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codeName="ThisWorkbook" defaultThemeVersion="164011"/>
  <mc:AlternateContent xmlns:mc="http://schemas.openxmlformats.org/markup-compatibility/2006">
    <mc:Choice Requires="x15">
      <x15ac:absPath xmlns:x15ac="http://schemas.microsoft.com/office/spreadsheetml/2010/11/ac" url="P:\Work\QIP\CEDS\Element Spreadsheets\Working\"/>
    </mc:Choice>
  </mc:AlternateContent>
  <bookViews>
    <workbookView xWindow="0" yWindow="0" windowWidth="21570" windowHeight="8730" activeTab="3"/>
  </bookViews>
  <sheets>
    <sheet name="New" sheetId="3" r:id="rId1"/>
    <sheet name="Changed" sheetId="4" r:id="rId2"/>
    <sheet name="Removed" sheetId="5" r:id="rId3"/>
    <sheet name="All - By Name" sheetId="8" r:id="rId4"/>
    <sheet name="All - By Domain" sheetId="9" r:id="rId5"/>
    <sheet name="Extend Elements" sheetId="7" r:id="rId6"/>
  </sheets>
  <definedNames>
    <definedName name="_xlnm._FilterDatabase" localSheetId="4" hidden="1">'All - By Domain'!$A$1:$Q$4157</definedName>
    <definedName name="_xlnm._FilterDatabase" localSheetId="3" hidden="1">'All - By Name'!$A$1:$N$1674</definedName>
    <definedName name="_xlnm._FilterDatabase" localSheetId="1" hidden="1">Changed!$A$1:$N$65</definedName>
    <definedName name="_xlnm._FilterDatabase" localSheetId="5" hidden="1">'Extend Elements'!$A$1:$H$1892</definedName>
    <definedName name="_xlnm._FilterDatabase" localSheetId="0" hidden="1">New!$A$1:$N$32</definedName>
    <definedName name="_xlnm._FilterDatabase" localSheetId="2" hidden="1">Removed!$A$1:$N$2</definedName>
  </definedNames>
  <calcPr calcId="171027"/>
</workbook>
</file>

<file path=xl/calcChain.xml><?xml version="1.0" encoding="utf-8"?>
<calcChain xmlns="http://schemas.openxmlformats.org/spreadsheetml/2006/main">
  <c r="Q4157" i="9" l="1"/>
  <c r="P4157" i="9"/>
  <c r="Q4156" i="9"/>
  <c r="P4156" i="9"/>
  <c r="Q4155" i="9"/>
  <c r="P4155" i="9"/>
  <c r="Q4154" i="9"/>
  <c r="P4154" i="9"/>
  <c r="Q4153" i="9"/>
  <c r="P4153" i="9"/>
  <c r="Q4152" i="9"/>
  <c r="P4152" i="9"/>
  <c r="Q4151" i="9"/>
  <c r="P4151" i="9"/>
  <c r="Q4148" i="9"/>
  <c r="P4148" i="9"/>
  <c r="Q4147" i="9"/>
  <c r="P4147" i="9"/>
  <c r="Q4146" i="9"/>
  <c r="P4146" i="9"/>
  <c r="Q4145" i="9"/>
  <c r="P4145" i="9"/>
  <c r="Q4144" i="9"/>
  <c r="P4144" i="9"/>
  <c r="Q4143" i="9"/>
  <c r="P4143" i="9"/>
  <c r="Q4142" i="9"/>
  <c r="P4142" i="9"/>
  <c r="Q4141" i="9"/>
  <c r="P4141" i="9"/>
  <c r="Q4140" i="9"/>
  <c r="P4140" i="9"/>
  <c r="Q4139" i="9"/>
  <c r="P4139" i="9"/>
  <c r="Q4135" i="9"/>
  <c r="P4135" i="9"/>
  <c r="Q4134" i="9"/>
  <c r="P4134" i="9"/>
  <c r="Q4133" i="9"/>
  <c r="P4133" i="9"/>
  <c r="Q4132" i="9"/>
  <c r="P4132" i="9"/>
  <c r="Q4131" i="9"/>
  <c r="P4131" i="9"/>
  <c r="Q4130" i="9"/>
  <c r="P4130" i="9"/>
  <c r="Q4129" i="9"/>
  <c r="P4129" i="9"/>
  <c r="Q4128" i="9"/>
  <c r="P4128" i="9"/>
  <c r="Q4127" i="9"/>
  <c r="P4127" i="9"/>
  <c r="Q4126" i="9"/>
  <c r="P4126" i="9"/>
  <c r="Q4125" i="9"/>
  <c r="P4125" i="9"/>
  <c r="Q4124" i="9"/>
  <c r="P4124" i="9"/>
  <c r="Q4123" i="9"/>
  <c r="P4123" i="9"/>
  <c r="Q4122" i="9"/>
  <c r="P4122" i="9"/>
  <c r="Q4121" i="9"/>
  <c r="P4121" i="9"/>
  <c r="Q4120" i="9"/>
  <c r="P4120" i="9"/>
  <c r="Q4119" i="9"/>
  <c r="P4119" i="9"/>
  <c r="Q4118" i="9"/>
  <c r="P4118" i="9"/>
  <c r="Q4117" i="9"/>
  <c r="P4117" i="9"/>
  <c r="Q4116" i="9"/>
  <c r="P4116" i="9"/>
  <c r="Q4114" i="9"/>
  <c r="P4114" i="9"/>
  <c r="Q4113" i="9"/>
  <c r="P4113" i="9"/>
  <c r="Q4112" i="9"/>
  <c r="P4112" i="9"/>
  <c r="Q4111" i="9"/>
  <c r="P4111" i="9"/>
  <c r="Q4110" i="9"/>
  <c r="P4110" i="9"/>
  <c r="Q4109" i="9"/>
  <c r="P4109" i="9"/>
  <c r="Q4108" i="9"/>
  <c r="P4108" i="9"/>
  <c r="Q4107" i="9"/>
  <c r="P4107" i="9"/>
  <c r="Q4106" i="9"/>
  <c r="P4106" i="9"/>
  <c r="Q4105" i="9"/>
  <c r="P4105" i="9"/>
  <c r="Q4104" i="9"/>
  <c r="P4104" i="9"/>
  <c r="Q4103" i="9"/>
  <c r="P4103" i="9"/>
  <c r="Q4102" i="9"/>
  <c r="P4102" i="9"/>
  <c r="Q4101" i="9"/>
  <c r="P4101" i="9"/>
  <c r="Q4100" i="9"/>
  <c r="P4100" i="9"/>
  <c r="Q4099" i="9"/>
  <c r="P4099" i="9"/>
  <c r="Q4098" i="9"/>
  <c r="P4098" i="9"/>
  <c r="Q4097" i="9"/>
  <c r="P4097" i="9"/>
  <c r="Q4096" i="9"/>
  <c r="P4096" i="9"/>
  <c r="Q4095" i="9"/>
  <c r="P4095" i="9"/>
  <c r="Q4094" i="9"/>
  <c r="P4094" i="9"/>
  <c r="Q4093" i="9"/>
  <c r="P4093" i="9"/>
  <c r="Q4092" i="9"/>
  <c r="P4092" i="9"/>
  <c r="Q4091" i="9"/>
  <c r="P4091" i="9"/>
  <c r="Q4090" i="9"/>
  <c r="P4090" i="9"/>
  <c r="Q4089" i="9"/>
  <c r="P4089" i="9"/>
  <c r="Q4088" i="9"/>
  <c r="P4088" i="9"/>
  <c r="Q4087" i="9"/>
  <c r="P4087" i="9"/>
  <c r="Q4086" i="9"/>
  <c r="P4086" i="9"/>
  <c r="Q4085" i="9"/>
  <c r="P4085" i="9"/>
  <c r="Q4084" i="9"/>
  <c r="P4084" i="9"/>
  <c r="Q4083" i="9"/>
  <c r="P4083" i="9"/>
  <c r="Q4082" i="9"/>
  <c r="P4082" i="9"/>
  <c r="Q4081" i="9"/>
  <c r="P4081" i="9"/>
  <c r="Q4080" i="9"/>
  <c r="P4080" i="9"/>
  <c r="Q4079" i="9"/>
  <c r="P4079" i="9"/>
  <c r="Q4078" i="9"/>
  <c r="P4078" i="9"/>
  <c r="Q4077" i="9"/>
  <c r="P4077" i="9"/>
  <c r="Q4073" i="9"/>
  <c r="P4073" i="9"/>
  <c r="Q4072" i="9"/>
  <c r="P4072" i="9"/>
  <c r="Q4071" i="9"/>
  <c r="P4071" i="9"/>
  <c r="Q4070" i="9"/>
  <c r="P4070" i="9"/>
  <c r="Q4069" i="9"/>
  <c r="P4069" i="9"/>
  <c r="Q4068" i="9"/>
  <c r="P4068" i="9"/>
  <c r="Q4067" i="9"/>
  <c r="P4067" i="9"/>
  <c r="Q4066" i="9"/>
  <c r="P4066" i="9"/>
  <c r="Q4065" i="9"/>
  <c r="P4065" i="9"/>
  <c r="Q4062" i="9"/>
  <c r="P4062" i="9"/>
  <c r="Q4061" i="9"/>
  <c r="P4061" i="9"/>
  <c r="Q4060" i="9"/>
  <c r="P4060" i="9"/>
  <c r="Q4059" i="9"/>
  <c r="P4059" i="9"/>
  <c r="Q4058" i="9"/>
  <c r="P4058" i="9"/>
  <c r="Q4057" i="9"/>
  <c r="P4057" i="9"/>
  <c r="Q4056" i="9"/>
  <c r="P4056" i="9"/>
  <c r="Q4055" i="9"/>
  <c r="P4055" i="9"/>
  <c r="Q4054" i="9"/>
  <c r="P4054" i="9"/>
  <c r="Q4053" i="9"/>
  <c r="P4053" i="9"/>
  <c r="Q4052" i="9"/>
  <c r="P4052" i="9"/>
  <c r="Q4051" i="9"/>
  <c r="P4051" i="9"/>
  <c r="Q4044" i="9"/>
  <c r="P4044" i="9"/>
  <c r="Q4043" i="9"/>
  <c r="P4043" i="9"/>
  <c r="Q4042" i="9"/>
  <c r="P4042" i="9"/>
  <c r="Q4033" i="9"/>
  <c r="P4033" i="9"/>
  <c r="Q4030" i="9"/>
  <c r="P4030" i="9"/>
  <c r="Q4029" i="9"/>
  <c r="P4029" i="9"/>
  <c r="Q4028" i="9"/>
  <c r="P4028" i="9"/>
  <c r="Q4027" i="9"/>
  <c r="P4027" i="9"/>
  <c r="Q4026" i="9"/>
  <c r="P4026" i="9"/>
  <c r="Q4025" i="9"/>
  <c r="P4025" i="9"/>
  <c r="Q4024" i="9"/>
  <c r="P4024" i="9"/>
  <c r="Q4023" i="9"/>
  <c r="P4023" i="9"/>
  <c r="Q4022" i="9"/>
  <c r="P4022" i="9"/>
  <c r="Q4021" i="9"/>
  <c r="P4021" i="9"/>
  <c r="Q4020" i="9"/>
  <c r="P4020" i="9"/>
  <c r="Q4019" i="9"/>
  <c r="P4019" i="9"/>
  <c r="Q4018" i="9"/>
  <c r="P4018" i="9"/>
  <c r="Q4017" i="9"/>
  <c r="P4017" i="9"/>
  <c r="Q4016" i="9"/>
  <c r="P4016" i="9"/>
  <c r="Q4015" i="9"/>
  <c r="P4015" i="9"/>
  <c r="Q4014" i="9"/>
  <c r="P4014" i="9"/>
  <c r="Q4013" i="9"/>
  <c r="P4013" i="9"/>
  <c r="Q4012" i="9"/>
  <c r="P4012" i="9"/>
  <c r="Q4011" i="9"/>
  <c r="P4011" i="9"/>
  <c r="Q4010" i="9"/>
  <c r="P4010" i="9"/>
  <c r="Q4009" i="9"/>
  <c r="P4009" i="9"/>
  <c r="Q4008" i="9"/>
  <c r="P4008" i="9"/>
  <c r="Q4007" i="9"/>
  <c r="P4007" i="9"/>
  <c r="Q4006" i="9"/>
  <c r="P4006" i="9"/>
  <c r="Q4003" i="9"/>
  <c r="P4003" i="9"/>
  <c r="Q4002" i="9"/>
  <c r="P4002" i="9"/>
  <c r="Q4001" i="9"/>
  <c r="P4001" i="9"/>
  <c r="Q4000" i="9"/>
  <c r="P4000" i="9"/>
  <c r="Q3999" i="9"/>
  <c r="P3999" i="9"/>
  <c r="Q3998" i="9"/>
  <c r="P3998" i="9"/>
  <c r="Q3997" i="9"/>
  <c r="P3997" i="9"/>
  <c r="Q3996" i="9"/>
  <c r="P3996" i="9"/>
  <c r="Q3995" i="9"/>
  <c r="P3995" i="9"/>
  <c r="Q3994" i="9"/>
  <c r="P3994" i="9"/>
  <c r="Q3993" i="9"/>
  <c r="P3993" i="9"/>
  <c r="Q3992" i="9"/>
  <c r="P3992" i="9"/>
  <c r="Q3991" i="9"/>
  <c r="P3991" i="9"/>
  <c r="Q3990" i="9"/>
  <c r="P3990" i="9"/>
  <c r="Q3989" i="9"/>
  <c r="P3989" i="9"/>
  <c r="Q3988" i="9"/>
  <c r="P3988" i="9"/>
  <c r="Q3987" i="9"/>
  <c r="P3987" i="9"/>
  <c r="Q3986" i="9"/>
  <c r="P3986" i="9"/>
  <c r="Q3985" i="9"/>
  <c r="P3985" i="9"/>
  <c r="Q3984" i="9"/>
  <c r="P3984" i="9"/>
  <c r="Q3983" i="9"/>
  <c r="P3983" i="9"/>
  <c r="Q3982" i="9"/>
  <c r="P3982" i="9"/>
  <c r="Q3981" i="9"/>
  <c r="P3981" i="9"/>
  <c r="Q3980" i="9"/>
  <c r="P3980" i="9"/>
  <c r="Q3979" i="9"/>
  <c r="P3979" i="9"/>
  <c r="Q3978" i="9"/>
  <c r="P3978" i="9"/>
  <c r="Q3977" i="9"/>
  <c r="P3977" i="9"/>
  <c r="Q3976" i="9"/>
  <c r="P3976" i="9"/>
  <c r="Q3975" i="9"/>
  <c r="P3975" i="9"/>
  <c r="Q3974" i="9"/>
  <c r="P3974" i="9"/>
  <c r="Q3973" i="9"/>
  <c r="P3973" i="9"/>
  <c r="Q3970" i="9"/>
  <c r="P3970" i="9"/>
  <c r="Q3969" i="9"/>
  <c r="P3969" i="9"/>
  <c r="Q3968" i="9"/>
  <c r="P3968" i="9"/>
  <c r="Q3967" i="9"/>
  <c r="P3967" i="9"/>
  <c r="Q3966" i="9"/>
  <c r="P3966" i="9"/>
  <c r="Q3963" i="9"/>
  <c r="P3963" i="9"/>
  <c r="Q3960" i="9"/>
  <c r="P3960" i="9"/>
  <c r="Q3959" i="9"/>
  <c r="P3959" i="9"/>
  <c r="Q3958" i="9"/>
  <c r="P3958" i="9"/>
  <c r="Q3954" i="9"/>
  <c r="P3954" i="9"/>
  <c r="Q3953" i="9"/>
  <c r="P3953" i="9"/>
  <c r="Q3952" i="9"/>
  <c r="P3952" i="9"/>
  <c r="Q3951" i="9"/>
  <c r="P3951" i="9"/>
  <c r="Q3950" i="9"/>
  <c r="P3950" i="9"/>
  <c r="Q3949" i="9"/>
  <c r="P3949" i="9"/>
  <c r="Q3948" i="9"/>
  <c r="P3948" i="9"/>
  <c r="Q3947" i="9"/>
  <c r="P3947" i="9"/>
  <c r="Q3946" i="9"/>
  <c r="P3946" i="9"/>
  <c r="Q3943" i="9"/>
  <c r="P3943" i="9"/>
  <c r="Q3942" i="9"/>
  <c r="P3942" i="9"/>
  <c r="Q3941" i="9"/>
  <c r="P3941" i="9"/>
  <c r="Q3940" i="9"/>
  <c r="P3940" i="9"/>
  <c r="Q3939" i="9"/>
  <c r="P3939" i="9"/>
  <c r="Q3938" i="9"/>
  <c r="P3938" i="9"/>
  <c r="Q3937" i="9"/>
  <c r="P3937" i="9"/>
  <c r="Q3936" i="9"/>
  <c r="P3936" i="9"/>
  <c r="Q3935" i="9"/>
  <c r="P3935" i="9"/>
  <c r="Q3934" i="9"/>
  <c r="P3934" i="9"/>
  <c r="Q3927" i="9"/>
  <c r="P3927" i="9"/>
  <c r="Q3926" i="9"/>
  <c r="P3926" i="9"/>
  <c r="Q3925" i="9"/>
  <c r="P3925" i="9"/>
  <c r="Q3916" i="9"/>
  <c r="P3916" i="9"/>
  <c r="Q3913" i="9"/>
  <c r="P3913" i="9"/>
  <c r="Q3912" i="9"/>
  <c r="P3912" i="9"/>
  <c r="Q3911" i="9"/>
  <c r="P3911" i="9"/>
  <c r="Q3910" i="9"/>
  <c r="P3910" i="9"/>
  <c r="Q3909" i="9"/>
  <c r="P3909" i="9"/>
  <c r="Q3908" i="9"/>
  <c r="P3908" i="9"/>
  <c r="Q3907" i="9"/>
  <c r="P3907" i="9"/>
  <c r="Q3906" i="9"/>
  <c r="P3906" i="9"/>
  <c r="Q3905" i="9"/>
  <c r="P3905" i="9"/>
  <c r="Q3904" i="9"/>
  <c r="P3904" i="9"/>
  <c r="Q3903" i="9"/>
  <c r="P3903" i="9"/>
  <c r="Q3902" i="9"/>
  <c r="P3902" i="9"/>
  <c r="Q3901" i="9"/>
  <c r="P3901" i="9"/>
  <c r="Q3900" i="9"/>
  <c r="P3900" i="9"/>
  <c r="Q3899" i="9"/>
  <c r="P3899" i="9"/>
  <c r="Q3898" i="9"/>
  <c r="P3898" i="9"/>
  <c r="Q3897" i="9"/>
  <c r="P3897" i="9"/>
  <c r="Q3896" i="9"/>
  <c r="P3896" i="9"/>
  <c r="Q3895" i="9"/>
  <c r="P3895" i="9"/>
  <c r="Q3894" i="9"/>
  <c r="P3894" i="9"/>
  <c r="Q3893" i="9"/>
  <c r="P3893" i="9"/>
  <c r="Q3892" i="9"/>
  <c r="P3892" i="9"/>
  <c r="Q3891" i="9"/>
  <c r="P3891" i="9"/>
  <c r="Q3890" i="9"/>
  <c r="P3890" i="9"/>
  <c r="Q3889" i="9"/>
  <c r="P3889" i="9"/>
  <c r="Q3888" i="9"/>
  <c r="P3888" i="9"/>
  <c r="Q3887" i="9"/>
  <c r="P3887" i="9"/>
  <c r="Q3886" i="9"/>
  <c r="P3886" i="9"/>
  <c r="Q3885" i="9"/>
  <c r="P3885" i="9"/>
  <c r="Q3884" i="9"/>
  <c r="P3884" i="9"/>
  <c r="Q3883" i="9"/>
  <c r="P3883" i="9"/>
  <c r="Q3882" i="9"/>
  <c r="P3882" i="9"/>
  <c r="Q3881" i="9"/>
  <c r="P3881" i="9"/>
  <c r="Q3880" i="9"/>
  <c r="P3880" i="9"/>
  <c r="Q3879" i="9"/>
  <c r="P3879" i="9"/>
  <c r="Q3878" i="9"/>
  <c r="P3878" i="9"/>
  <c r="Q3877" i="9"/>
  <c r="P3877" i="9"/>
  <c r="Q3876" i="9"/>
  <c r="P3876" i="9"/>
  <c r="Q3875" i="9"/>
  <c r="P3875" i="9"/>
  <c r="Q3874" i="9"/>
  <c r="P3874" i="9"/>
  <c r="Q3873" i="9"/>
  <c r="P3873" i="9"/>
  <c r="Q3872" i="9"/>
  <c r="P3872" i="9"/>
  <c r="Q3871" i="9"/>
  <c r="P3871" i="9"/>
  <c r="Q3870" i="9"/>
  <c r="P3870" i="9"/>
  <c r="Q3869" i="9"/>
  <c r="P3869" i="9"/>
  <c r="Q3868" i="9"/>
  <c r="P3868" i="9"/>
  <c r="Q3867" i="9"/>
  <c r="P3867" i="9"/>
  <c r="Q3866" i="9"/>
  <c r="P3866" i="9"/>
  <c r="Q3865" i="9"/>
  <c r="P3865" i="9"/>
  <c r="Q3862" i="9"/>
  <c r="P3862" i="9"/>
  <c r="Q3861" i="9"/>
  <c r="P3861" i="9"/>
  <c r="Q3860" i="9"/>
  <c r="P3860" i="9"/>
  <c r="Q3859" i="9"/>
  <c r="P3859" i="9"/>
  <c r="Q3858" i="9"/>
  <c r="P3858" i="9"/>
  <c r="Q3857" i="9"/>
  <c r="P3857" i="9"/>
  <c r="Q3856" i="9"/>
  <c r="P3856" i="9"/>
  <c r="Q3855" i="9"/>
  <c r="P3855" i="9"/>
  <c r="Q3854" i="9"/>
  <c r="P3854" i="9"/>
  <c r="Q3853" i="9"/>
  <c r="P3853" i="9"/>
  <c r="Q3852" i="9"/>
  <c r="P3852" i="9"/>
  <c r="Q3851" i="9"/>
  <c r="P3851" i="9"/>
  <c r="Q3850" i="9"/>
  <c r="P3850" i="9"/>
  <c r="Q3849" i="9"/>
  <c r="P3849" i="9"/>
  <c r="Q3848" i="9"/>
  <c r="P3848" i="9"/>
  <c r="Q3847" i="9"/>
  <c r="P3847" i="9"/>
  <c r="Q3846" i="9"/>
  <c r="P3846" i="9"/>
  <c r="Q3845" i="9"/>
  <c r="P3845" i="9"/>
  <c r="Q3844" i="9"/>
  <c r="P3844" i="9"/>
  <c r="Q3843" i="9"/>
  <c r="P3843" i="9"/>
  <c r="Q3842" i="9"/>
  <c r="P3842" i="9"/>
  <c r="Q3841" i="9"/>
  <c r="P3841" i="9"/>
  <c r="Q3840" i="9"/>
  <c r="P3840" i="9"/>
  <c r="Q3839" i="9"/>
  <c r="P3839" i="9"/>
  <c r="Q3838" i="9"/>
  <c r="P3838" i="9"/>
  <c r="Q3837" i="9"/>
  <c r="P3837" i="9"/>
  <c r="Q3836" i="9"/>
  <c r="P3836" i="9"/>
  <c r="Q3835" i="9"/>
  <c r="P3835" i="9"/>
  <c r="Q3834" i="9"/>
  <c r="P3834" i="9"/>
  <c r="Q3833" i="9"/>
  <c r="P3833" i="9"/>
  <c r="Q3832" i="9"/>
  <c r="P3832" i="9"/>
  <c r="Q3831" i="9"/>
  <c r="P3831" i="9"/>
  <c r="Q3830" i="9"/>
  <c r="P3830" i="9"/>
  <c r="Q3829" i="9"/>
  <c r="P3829" i="9"/>
  <c r="Q3828" i="9"/>
  <c r="P3828" i="9"/>
  <c r="Q3827" i="9"/>
  <c r="P3827" i="9"/>
  <c r="Q3826" i="9"/>
  <c r="P3826" i="9"/>
  <c r="Q3825" i="9"/>
  <c r="P3825" i="9"/>
  <c r="Q3824" i="9"/>
  <c r="P3824" i="9"/>
  <c r="Q3823" i="9"/>
  <c r="P3823" i="9"/>
  <c r="Q3822" i="9"/>
  <c r="P3822" i="9"/>
  <c r="Q3821" i="9"/>
  <c r="P3821" i="9"/>
  <c r="Q3820" i="9"/>
  <c r="P3820" i="9"/>
  <c r="Q3819" i="9"/>
  <c r="P3819" i="9"/>
  <c r="Q3816" i="9"/>
  <c r="P3816" i="9"/>
  <c r="Q3815" i="9"/>
  <c r="P3815" i="9"/>
  <c r="Q3812" i="9"/>
  <c r="P3812" i="9"/>
  <c r="Q3811" i="9"/>
  <c r="P3811" i="9"/>
  <c r="Q3810" i="9"/>
  <c r="P3810" i="9"/>
  <c r="Q3809" i="9"/>
  <c r="P3809" i="9"/>
  <c r="Q3808" i="9"/>
  <c r="P3808" i="9"/>
  <c r="Q3807" i="9"/>
  <c r="P3807" i="9"/>
  <c r="Q3806" i="9"/>
  <c r="P3806" i="9"/>
  <c r="Q3805" i="9"/>
  <c r="P3805" i="9"/>
  <c r="Q3804" i="9"/>
  <c r="P3804" i="9"/>
  <c r="Q3803" i="9"/>
  <c r="P3803" i="9"/>
  <c r="Q3802" i="9"/>
  <c r="P3802" i="9"/>
  <c r="Q3799" i="9"/>
  <c r="P3799" i="9"/>
  <c r="Q3796" i="9"/>
  <c r="P3796" i="9"/>
  <c r="Q3795" i="9"/>
  <c r="P3795" i="9"/>
  <c r="Q3794" i="9"/>
  <c r="P3794" i="9"/>
  <c r="Q3793" i="9"/>
  <c r="P3793" i="9"/>
  <c r="Q3792" i="9"/>
  <c r="P3792" i="9"/>
  <c r="Q3791" i="9"/>
  <c r="P3791" i="9"/>
  <c r="Q3790" i="9"/>
  <c r="P3790" i="9"/>
  <c r="Q3789" i="9"/>
  <c r="P3789" i="9"/>
  <c r="Q3784" i="9"/>
  <c r="P3784" i="9"/>
  <c r="Q3783" i="9"/>
  <c r="P3783" i="9"/>
  <c r="Q3782" i="9"/>
  <c r="P3782" i="9"/>
  <c r="Q3781" i="9"/>
  <c r="P3781" i="9"/>
  <c r="Q3780" i="9"/>
  <c r="P3780" i="9"/>
  <c r="Q3779" i="9"/>
  <c r="P3779" i="9"/>
  <c r="Q3778" i="9"/>
  <c r="P3778" i="9"/>
  <c r="Q3777" i="9"/>
  <c r="P3777" i="9"/>
  <c r="Q3772" i="9"/>
  <c r="P3772" i="9"/>
  <c r="Q3771" i="9"/>
  <c r="P3771" i="9"/>
  <c r="Q3770" i="9"/>
  <c r="P3770" i="9"/>
  <c r="Q3769" i="9"/>
  <c r="P3769" i="9"/>
  <c r="Q3766" i="9"/>
  <c r="P3766" i="9"/>
  <c r="Q3763" i="9"/>
  <c r="P3763" i="9"/>
  <c r="Q3762" i="9"/>
  <c r="P3762" i="9"/>
  <c r="Q3761" i="9"/>
  <c r="P3761" i="9"/>
  <c r="Q3760" i="9"/>
  <c r="P3760" i="9"/>
  <c r="Q3759" i="9"/>
  <c r="P3759" i="9"/>
  <c r="Q3758" i="9"/>
  <c r="P3758" i="9"/>
  <c r="Q3757" i="9"/>
  <c r="P3757" i="9"/>
  <c r="Q3756" i="9"/>
  <c r="P3756" i="9"/>
  <c r="Q3755" i="9"/>
  <c r="P3755" i="9"/>
  <c r="Q3752" i="9"/>
  <c r="P3752" i="9"/>
  <c r="Q3749" i="9"/>
  <c r="P3749" i="9"/>
  <c r="Q3748" i="9"/>
  <c r="P3748" i="9"/>
  <c r="Q3746" i="9"/>
  <c r="P3746" i="9"/>
  <c r="Q3745" i="9"/>
  <c r="P3745" i="9"/>
  <c r="Q3744" i="9"/>
  <c r="P3744" i="9"/>
  <c r="Q3743" i="9"/>
  <c r="P3743" i="9"/>
  <c r="Q3742" i="9"/>
  <c r="P3742" i="9"/>
  <c r="Q3741" i="9"/>
  <c r="P3741" i="9"/>
  <c r="Q3740" i="9"/>
  <c r="P3740" i="9"/>
  <c r="Q3739" i="9"/>
  <c r="P3739" i="9"/>
  <c r="Q3738" i="9"/>
  <c r="P3738" i="9"/>
  <c r="Q3737" i="9"/>
  <c r="P3737" i="9"/>
  <c r="Q3736" i="9"/>
  <c r="P3736" i="9"/>
  <c r="Q3735" i="9"/>
  <c r="P3735" i="9"/>
  <c r="Q3734" i="9"/>
  <c r="P3734" i="9"/>
  <c r="Q3733" i="9"/>
  <c r="P3733" i="9"/>
  <c r="Q3732" i="9"/>
  <c r="P3732" i="9"/>
  <c r="Q3731" i="9"/>
  <c r="P3731" i="9"/>
  <c r="Q3730" i="9"/>
  <c r="P3730" i="9"/>
  <c r="Q3729" i="9"/>
  <c r="P3729" i="9"/>
  <c r="Q3728" i="9"/>
  <c r="P3728" i="9"/>
  <c r="Q3727" i="9"/>
  <c r="P3727" i="9"/>
  <c r="Q3726" i="9"/>
  <c r="P3726" i="9"/>
  <c r="Q3725" i="9"/>
  <c r="P3725" i="9"/>
  <c r="Q3724" i="9"/>
  <c r="P3724" i="9"/>
  <c r="Q3721" i="9"/>
  <c r="P3721" i="9"/>
  <c r="Q3714" i="9"/>
  <c r="P3714" i="9"/>
  <c r="Q3713" i="9"/>
  <c r="P3713" i="9"/>
  <c r="Q3712" i="9"/>
  <c r="P3712" i="9"/>
  <c r="Q3711" i="9"/>
  <c r="P3711" i="9"/>
  <c r="Q3710" i="9"/>
  <c r="P3710" i="9"/>
  <c r="Q3709" i="9"/>
  <c r="P3709" i="9"/>
  <c r="Q3708" i="9"/>
  <c r="P3708" i="9"/>
  <c r="Q3707" i="9"/>
  <c r="P3707" i="9"/>
  <c r="Q3706" i="9"/>
  <c r="P3706" i="9"/>
  <c r="Q3705" i="9"/>
  <c r="P3705" i="9"/>
  <c r="Q3704" i="9"/>
  <c r="P3704" i="9"/>
  <c r="Q3703" i="9"/>
  <c r="P3703" i="9"/>
  <c r="Q3702" i="9"/>
  <c r="P3702" i="9"/>
  <c r="Q3701" i="9"/>
  <c r="P3701" i="9"/>
  <c r="Q3700" i="9"/>
  <c r="P3700" i="9"/>
  <c r="Q3699" i="9"/>
  <c r="P3699" i="9"/>
  <c r="Q3698" i="9"/>
  <c r="P3698" i="9"/>
  <c r="Q3697" i="9"/>
  <c r="P3697" i="9"/>
  <c r="Q3694" i="9"/>
  <c r="P3694" i="9"/>
  <c r="Q3693" i="9"/>
  <c r="P3693" i="9"/>
  <c r="Q3692" i="9"/>
  <c r="P3692" i="9"/>
  <c r="Q3691" i="9"/>
  <c r="P3691" i="9"/>
  <c r="Q3690" i="9"/>
  <c r="P3690" i="9"/>
  <c r="Q3689" i="9"/>
  <c r="P3689" i="9"/>
  <c r="Q3688" i="9"/>
  <c r="P3688" i="9"/>
  <c r="Q3687" i="9"/>
  <c r="P3687" i="9"/>
  <c r="Q3686" i="9"/>
  <c r="P3686" i="9"/>
  <c r="Q3685" i="9"/>
  <c r="P3685" i="9"/>
  <c r="Q3684" i="9"/>
  <c r="P3684" i="9"/>
  <c r="Q3683" i="9"/>
  <c r="P3683" i="9"/>
  <c r="Q3682" i="9"/>
  <c r="P3682" i="9"/>
  <c r="Q3681" i="9"/>
  <c r="P3681" i="9"/>
  <c r="Q3680" i="9"/>
  <c r="P3680" i="9"/>
  <c r="Q3677" i="9"/>
  <c r="P3677" i="9"/>
  <c r="Q3676" i="9"/>
  <c r="P3676" i="9"/>
  <c r="Q3675" i="9"/>
  <c r="P3675" i="9"/>
  <c r="Q3674" i="9"/>
  <c r="P3674" i="9"/>
  <c r="Q3673" i="9"/>
  <c r="P3673" i="9"/>
  <c r="Q3672" i="9"/>
  <c r="P3672" i="9"/>
  <c r="Q3671" i="9"/>
  <c r="P3671" i="9"/>
  <c r="Q3670" i="9"/>
  <c r="P3670" i="9"/>
  <c r="Q3669" i="9"/>
  <c r="P3669" i="9"/>
  <c r="Q3668" i="9"/>
  <c r="P3668" i="9"/>
  <c r="Q3667" i="9"/>
  <c r="P3667" i="9"/>
  <c r="Q3666" i="9"/>
  <c r="P3666" i="9"/>
  <c r="Q3665" i="9"/>
  <c r="P3665" i="9"/>
  <c r="Q3664" i="9"/>
  <c r="P3664" i="9"/>
  <c r="Q3663" i="9"/>
  <c r="P3663" i="9"/>
  <c r="Q3662" i="9"/>
  <c r="P3662" i="9"/>
  <c r="Q3661" i="9"/>
  <c r="P3661" i="9"/>
  <c r="Q3660" i="9"/>
  <c r="P3660" i="9"/>
  <c r="Q3659" i="9"/>
  <c r="P3659" i="9"/>
  <c r="Q3658" i="9"/>
  <c r="P3658" i="9"/>
  <c r="Q3657" i="9"/>
  <c r="P3657" i="9"/>
  <c r="Q3656" i="9"/>
  <c r="P3656" i="9"/>
  <c r="Q3655" i="9"/>
  <c r="P3655" i="9"/>
  <c r="Q3654" i="9"/>
  <c r="P3654" i="9"/>
  <c r="Q3653" i="9"/>
  <c r="P3653" i="9"/>
  <c r="Q3652" i="9"/>
  <c r="P3652" i="9"/>
  <c r="Q3651" i="9"/>
  <c r="P3651" i="9"/>
  <c r="Q3650" i="9"/>
  <c r="P3650" i="9"/>
  <c r="Q3649" i="9"/>
  <c r="P3649" i="9"/>
  <c r="Q3648" i="9"/>
  <c r="P3648" i="9"/>
  <c r="Q3647" i="9"/>
  <c r="P3647" i="9"/>
  <c r="Q3646" i="9"/>
  <c r="P3646" i="9"/>
  <c r="Q3645" i="9"/>
  <c r="P3645" i="9"/>
  <c r="Q3644" i="9"/>
  <c r="P3644" i="9"/>
  <c r="Q3643" i="9"/>
  <c r="P3643" i="9"/>
  <c r="Q3642" i="9"/>
  <c r="P3642" i="9"/>
  <c r="Q3641" i="9"/>
  <c r="P3641" i="9"/>
  <c r="Q3640" i="9"/>
  <c r="P3640" i="9"/>
  <c r="Q3639" i="9"/>
  <c r="P3639" i="9"/>
  <c r="Q3638" i="9"/>
  <c r="P3638" i="9"/>
  <c r="Q3637" i="9"/>
  <c r="P3637" i="9"/>
  <c r="Q3636" i="9"/>
  <c r="P3636" i="9"/>
  <c r="Q3635" i="9"/>
  <c r="P3635" i="9"/>
  <c r="Q3634" i="9"/>
  <c r="P3634" i="9"/>
  <c r="Q3633" i="9"/>
  <c r="P3633" i="9"/>
  <c r="Q3632" i="9"/>
  <c r="P3632" i="9"/>
  <c r="Q3629" i="9"/>
  <c r="P3629" i="9"/>
  <c r="Q3628" i="9"/>
  <c r="P3628" i="9"/>
  <c r="Q3627" i="9"/>
  <c r="P3627" i="9"/>
  <c r="Q3626" i="9"/>
  <c r="P3626" i="9"/>
  <c r="Q3625" i="9"/>
  <c r="P3625" i="9"/>
  <c r="Q3624" i="9"/>
  <c r="P3624" i="9"/>
  <c r="Q3623" i="9"/>
  <c r="P3623" i="9"/>
  <c r="Q3622" i="9"/>
  <c r="P3622" i="9"/>
  <c r="Q3621" i="9"/>
  <c r="P3621" i="9"/>
  <c r="Q3620" i="9"/>
  <c r="P3620" i="9"/>
  <c r="Q3619" i="9"/>
  <c r="P3619" i="9"/>
  <c r="Q3618" i="9"/>
  <c r="P3618" i="9"/>
  <c r="Q3617" i="9"/>
  <c r="P3617" i="9"/>
  <c r="Q3616" i="9"/>
  <c r="P3616" i="9"/>
  <c r="Q3615" i="9"/>
  <c r="P3615" i="9"/>
  <c r="Q3614" i="9"/>
  <c r="P3614" i="9"/>
  <c r="Q3613" i="9"/>
  <c r="P3613" i="9"/>
  <c r="Q3612" i="9"/>
  <c r="P3612" i="9"/>
  <c r="Q3611" i="9"/>
  <c r="P3611" i="9"/>
  <c r="Q3610" i="9"/>
  <c r="P3610" i="9"/>
  <c r="Q3609" i="9"/>
  <c r="P3609" i="9"/>
  <c r="Q3608" i="9"/>
  <c r="P3608" i="9"/>
  <c r="Q3607" i="9"/>
  <c r="P3607" i="9"/>
  <c r="Q3606" i="9"/>
  <c r="P3606" i="9"/>
  <c r="Q3605" i="9"/>
  <c r="P3605" i="9"/>
  <c r="Q3604" i="9"/>
  <c r="P3604" i="9"/>
  <c r="Q3603" i="9"/>
  <c r="P3603" i="9"/>
  <c r="Q3602" i="9"/>
  <c r="P3602" i="9"/>
  <c r="Q3601" i="9"/>
  <c r="P3601" i="9"/>
  <c r="Q3600" i="9"/>
  <c r="P3600" i="9"/>
  <c r="Q3599" i="9"/>
  <c r="P3599" i="9"/>
  <c r="Q3598" i="9"/>
  <c r="P3598" i="9"/>
  <c r="Q3597" i="9"/>
  <c r="P3597" i="9"/>
  <c r="Q3596" i="9"/>
  <c r="P3596" i="9"/>
  <c r="Q3595" i="9"/>
  <c r="P3595" i="9"/>
  <c r="Q3594" i="9"/>
  <c r="P3594" i="9"/>
  <c r="Q3593" i="9"/>
  <c r="P3593" i="9"/>
  <c r="Q3592" i="9"/>
  <c r="P3592" i="9"/>
  <c r="Q3591" i="9"/>
  <c r="P3591" i="9"/>
  <c r="Q3590" i="9"/>
  <c r="P3590" i="9"/>
  <c r="Q3589" i="9"/>
  <c r="P3589" i="9"/>
  <c r="Q3588" i="9"/>
  <c r="P3588" i="9"/>
  <c r="Q3587" i="9"/>
  <c r="P3587" i="9"/>
  <c r="Q3586" i="9"/>
  <c r="P3586" i="9"/>
  <c r="Q3585" i="9"/>
  <c r="P3585" i="9"/>
  <c r="Q3584" i="9"/>
  <c r="P3584" i="9"/>
  <c r="Q3581" i="9"/>
  <c r="P3581" i="9"/>
  <c r="Q3580" i="9"/>
  <c r="P3580" i="9"/>
  <c r="Q3579" i="9"/>
  <c r="P3579" i="9"/>
  <c r="Q3578" i="9"/>
  <c r="P3578" i="9"/>
  <c r="Q3577" i="9"/>
  <c r="P3577" i="9"/>
  <c r="Q3576" i="9"/>
  <c r="P3576" i="9"/>
  <c r="Q3575" i="9"/>
  <c r="P3575" i="9"/>
  <c r="Q3574" i="9"/>
  <c r="P3574" i="9"/>
  <c r="Q3573" i="9"/>
  <c r="P3573" i="9"/>
  <c r="Q3572" i="9"/>
  <c r="P3572" i="9"/>
  <c r="Q3571" i="9"/>
  <c r="P3571" i="9"/>
  <c r="Q3570" i="9"/>
  <c r="P3570" i="9"/>
  <c r="Q3569" i="9"/>
  <c r="P3569" i="9"/>
  <c r="Q3568" i="9"/>
  <c r="P3568" i="9"/>
  <c r="Q3565" i="9"/>
  <c r="P3565" i="9"/>
  <c r="Q3564" i="9"/>
  <c r="P3564" i="9"/>
  <c r="Q3563" i="9"/>
  <c r="P3563" i="9"/>
  <c r="Q3562" i="9"/>
  <c r="P3562" i="9"/>
  <c r="Q3561" i="9"/>
  <c r="P3561" i="9"/>
  <c r="Q3558" i="9"/>
  <c r="P3558" i="9"/>
  <c r="Q3557" i="9"/>
  <c r="P3557" i="9"/>
  <c r="Q3554" i="9"/>
  <c r="P3554" i="9"/>
  <c r="Q3553" i="9"/>
  <c r="P3553" i="9"/>
  <c r="Q3552" i="9"/>
  <c r="P3552" i="9"/>
  <c r="Q3547" i="9"/>
  <c r="P3547" i="9"/>
  <c r="Q3544" i="9"/>
  <c r="P3544" i="9"/>
  <c r="Q3543" i="9"/>
  <c r="P3543" i="9"/>
  <c r="Q3542" i="9"/>
  <c r="P3542" i="9"/>
  <c r="Q3541" i="9"/>
  <c r="P3541" i="9"/>
  <c r="Q3540" i="9"/>
  <c r="P3540" i="9"/>
  <c r="Q3539" i="9"/>
  <c r="P3539" i="9"/>
  <c r="Q3538" i="9"/>
  <c r="P3538" i="9"/>
  <c r="Q3537" i="9"/>
  <c r="P3537" i="9"/>
  <c r="Q3536" i="9"/>
  <c r="P3536" i="9"/>
  <c r="Q3535" i="9"/>
  <c r="P3535" i="9"/>
  <c r="Q3534" i="9"/>
  <c r="P3534" i="9"/>
  <c r="Q3529" i="9"/>
  <c r="P3529" i="9"/>
  <c r="Q3528" i="9"/>
  <c r="P3528" i="9"/>
  <c r="Q3527" i="9"/>
  <c r="P3527" i="9"/>
  <c r="Q3526" i="9"/>
  <c r="P3526" i="9"/>
  <c r="Q3525" i="9"/>
  <c r="P3525" i="9"/>
  <c r="Q3524" i="9"/>
  <c r="P3524" i="9"/>
  <c r="Q3523" i="9"/>
  <c r="P3523" i="9"/>
  <c r="Q3522" i="9"/>
  <c r="P3522" i="9"/>
  <c r="Q3521" i="9"/>
  <c r="P3521" i="9"/>
  <c r="Q3518" i="9"/>
  <c r="P3518" i="9"/>
  <c r="Q3515" i="9"/>
  <c r="P3515" i="9"/>
  <c r="Q3514" i="9"/>
  <c r="P3514" i="9"/>
  <c r="Q3513" i="9"/>
  <c r="P3513" i="9"/>
  <c r="Q3512" i="9"/>
  <c r="P3512" i="9"/>
  <c r="Q3511" i="9"/>
  <c r="P3511" i="9"/>
  <c r="Q3510" i="9"/>
  <c r="P3510" i="9"/>
  <c r="Q3509" i="9"/>
  <c r="P3509" i="9"/>
  <c r="Q3508" i="9"/>
  <c r="P3508" i="9"/>
  <c r="Q3507" i="9"/>
  <c r="P3507" i="9"/>
  <c r="Q3504" i="9"/>
  <c r="P3504" i="9"/>
  <c r="Q3503" i="9"/>
  <c r="P3503" i="9"/>
  <c r="Q3498" i="9"/>
  <c r="P3498" i="9"/>
  <c r="Q3497" i="9"/>
  <c r="P3497" i="9"/>
  <c r="Q3496" i="9"/>
  <c r="P3496" i="9"/>
  <c r="Q3495" i="9"/>
  <c r="P3495" i="9"/>
  <c r="Q3494" i="9"/>
  <c r="P3494" i="9"/>
  <c r="Q3493" i="9"/>
  <c r="P3493" i="9"/>
  <c r="Q3492" i="9"/>
  <c r="P3492" i="9"/>
  <c r="Q3491" i="9"/>
  <c r="P3491" i="9"/>
  <c r="Q3490" i="9"/>
  <c r="P3490" i="9"/>
  <c r="Q3489" i="9"/>
  <c r="P3489" i="9"/>
  <c r="Q3488" i="9"/>
  <c r="P3488" i="9"/>
  <c r="Q3487" i="9"/>
  <c r="P3487" i="9"/>
  <c r="Q3486" i="9"/>
  <c r="P3486" i="9"/>
  <c r="Q3485" i="9"/>
  <c r="P3485" i="9"/>
  <c r="Q3478" i="9"/>
  <c r="P3478" i="9"/>
  <c r="Q3477" i="9"/>
  <c r="P3477" i="9"/>
  <c r="Q3476" i="9"/>
  <c r="P3476" i="9"/>
  <c r="Q3475" i="9"/>
  <c r="P3475" i="9"/>
  <c r="Q3474" i="9"/>
  <c r="P3474" i="9"/>
  <c r="Q3473" i="9"/>
  <c r="P3473" i="9"/>
  <c r="Q3472" i="9"/>
  <c r="P3472" i="9"/>
  <c r="Q3471" i="9"/>
  <c r="P3471" i="9"/>
  <c r="Q3470" i="9"/>
  <c r="P3470" i="9"/>
  <c r="Q3467" i="9"/>
  <c r="P3467" i="9"/>
  <c r="Q3464" i="9"/>
  <c r="P3464" i="9"/>
  <c r="Q3463" i="9"/>
  <c r="P3463" i="9"/>
  <c r="Q3460" i="9"/>
  <c r="P3460" i="9"/>
  <c r="Q3459" i="9"/>
  <c r="P3459" i="9"/>
  <c r="Q3458" i="9"/>
  <c r="P3458" i="9"/>
  <c r="Q3457" i="9"/>
  <c r="P3457" i="9"/>
  <c r="Q3456" i="9"/>
  <c r="P3456" i="9"/>
  <c r="Q3455" i="9"/>
  <c r="P3455" i="9"/>
  <c r="Q3454" i="9"/>
  <c r="P3454" i="9"/>
  <c r="Q3453" i="9"/>
  <c r="P3453" i="9"/>
  <c r="Q3452" i="9"/>
  <c r="P3452" i="9"/>
  <c r="Q3451" i="9"/>
  <c r="P3451" i="9"/>
  <c r="Q3450" i="9"/>
  <c r="P3450" i="9"/>
  <c r="Q3449" i="9"/>
  <c r="P3449" i="9"/>
  <c r="Q3448" i="9"/>
  <c r="P3448" i="9"/>
  <c r="Q3447" i="9"/>
  <c r="P3447" i="9"/>
  <c r="Q3446" i="9"/>
  <c r="P3446" i="9"/>
  <c r="Q3445" i="9"/>
  <c r="P3445" i="9"/>
  <c r="Q3444" i="9"/>
  <c r="P3444" i="9"/>
  <c r="Q3443" i="9"/>
  <c r="P3443" i="9"/>
  <c r="Q3440" i="9"/>
  <c r="P3440" i="9"/>
  <c r="Q3439" i="9"/>
  <c r="P3439" i="9"/>
  <c r="Q3438" i="9"/>
  <c r="P3438" i="9"/>
  <c r="Q3437" i="9"/>
  <c r="P3437" i="9"/>
  <c r="Q3436" i="9"/>
  <c r="P3436" i="9"/>
  <c r="Q3435" i="9"/>
  <c r="P3435" i="9"/>
  <c r="Q3434" i="9"/>
  <c r="P3434" i="9"/>
  <c r="Q3433" i="9"/>
  <c r="P3433" i="9"/>
  <c r="Q3432" i="9"/>
  <c r="P3432" i="9"/>
  <c r="Q3431" i="9"/>
  <c r="P3431" i="9"/>
  <c r="Q3430" i="9"/>
  <c r="P3430" i="9"/>
  <c r="Q3429" i="9"/>
  <c r="P3429" i="9"/>
  <c r="Q3428" i="9"/>
  <c r="P3428" i="9"/>
  <c r="Q3427" i="9"/>
  <c r="P3427" i="9"/>
  <c r="Q3426" i="9"/>
  <c r="P3426" i="9"/>
  <c r="Q3425" i="9"/>
  <c r="P3425" i="9"/>
  <c r="Q3424" i="9"/>
  <c r="P3424" i="9"/>
  <c r="Q3423" i="9"/>
  <c r="P3423" i="9"/>
  <c r="Q3418" i="9"/>
  <c r="P3418" i="9"/>
  <c r="Q3413" i="9"/>
  <c r="P3413" i="9"/>
  <c r="Q3408" i="9"/>
  <c r="P3408" i="9"/>
  <c r="Q3403" i="9"/>
  <c r="P3403" i="9"/>
  <c r="Q3398" i="9"/>
  <c r="P3398" i="9"/>
  <c r="Q3393" i="9"/>
  <c r="P3393" i="9"/>
  <c r="Q3392" i="9"/>
  <c r="P3392" i="9"/>
  <c r="Q3391" i="9"/>
  <c r="P3391" i="9"/>
  <c r="Q3390" i="9"/>
  <c r="P3390" i="9"/>
  <c r="Q3389" i="9"/>
  <c r="P3389" i="9"/>
  <c r="Q3388" i="9"/>
  <c r="P3388" i="9"/>
  <c r="Q3387" i="9"/>
  <c r="P3387" i="9"/>
  <c r="Q3386" i="9"/>
  <c r="P3386" i="9"/>
  <c r="Q3385" i="9"/>
  <c r="P3385" i="9"/>
  <c r="Q3384" i="9"/>
  <c r="P3384" i="9"/>
  <c r="Q3383" i="9"/>
  <c r="P3383" i="9"/>
  <c r="Q3382" i="9"/>
  <c r="P3382" i="9"/>
  <c r="Q3381" i="9"/>
  <c r="P3381" i="9"/>
  <c r="Q3380" i="9"/>
  <c r="P3380" i="9"/>
  <c r="Q3379" i="9"/>
  <c r="P3379" i="9"/>
  <c r="Q3378" i="9"/>
  <c r="P3378" i="9"/>
  <c r="Q3377" i="9"/>
  <c r="P3377" i="9"/>
  <c r="Q3376" i="9"/>
  <c r="P3376" i="9"/>
  <c r="Q3375" i="9"/>
  <c r="P3375" i="9"/>
  <c r="Q3374" i="9"/>
  <c r="P3374" i="9"/>
  <c r="Q3373" i="9"/>
  <c r="P3373" i="9"/>
  <c r="Q3372" i="9"/>
  <c r="P3372" i="9"/>
  <c r="Q3371" i="9"/>
  <c r="P3371" i="9"/>
  <c r="Q3370" i="9"/>
  <c r="P3370" i="9"/>
  <c r="Q3367" i="9"/>
  <c r="P3367" i="9"/>
  <c r="Q3366" i="9"/>
  <c r="P3366" i="9"/>
  <c r="Q3365" i="9"/>
  <c r="P3365" i="9"/>
  <c r="Q3364" i="9"/>
  <c r="P3364" i="9"/>
  <c r="Q3363" i="9"/>
  <c r="P3363" i="9"/>
  <c r="Q3362" i="9"/>
  <c r="P3362" i="9"/>
  <c r="Q3361" i="9"/>
  <c r="P3361" i="9"/>
  <c r="Q3359" i="9"/>
  <c r="P3359" i="9"/>
  <c r="Q3357" i="9"/>
  <c r="P3357" i="9"/>
  <c r="Q3355" i="9"/>
  <c r="P3355" i="9"/>
  <c r="Q3354" i="9"/>
  <c r="P3354" i="9"/>
  <c r="Q3353" i="9"/>
  <c r="P3353" i="9"/>
  <c r="Q3352" i="9"/>
  <c r="P3352" i="9"/>
  <c r="Q3351" i="9"/>
  <c r="P3351" i="9"/>
  <c r="Q3350" i="9"/>
  <c r="P3350" i="9"/>
  <c r="Q3347" i="9"/>
  <c r="P3347" i="9"/>
  <c r="Q3346" i="9"/>
  <c r="P3346" i="9"/>
  <c r="Q3345" i="9"/>
  <c r="P3345" i="9"/>
  <c r="Q3344" i="9"/>
  <c r="P3344" i="9"/>
  <c r="Q3343" i="9"/>
  <c r="P3343" i="9"/>
  <c r="Q3342" i="9"/>
  <c r="P3342" i="9"/>
  <c r="Q3341" i="9"/>
  <c r="P3341" i="9"/>
  <c r="Q3340" i="9"/>
  <c r="P3340" i="9"/>
  <c r="Q3339" i="9"/>
  <c r="P3339" i="9"/>
  <c r="Q3338" i="9"/>
  <c r="P3338" i="9"/>
  <c r="Q3337" i="9"/>
  <c r="P3337" i="9"/>
  <c r="Q3336" i="9"/>
  <c r="P3336" i="9"/>
  <c r="Q3335" i="9"/>
  <c r="P3335" i="9"/>
  <c r="Q3334" i="9"/>
  <c r="P3334" i="9"/>
  <c r="Q3333" i="9"/>
  <c r="P3333" i="9"/>
  <c r="Q3330" i="9"/>
  <c r="P3330" i="9"/>
  <c r="Q3329" i="9"/>
  <c r="P3329" i="9"/>
  <c r="Q3328" i="9"/>
  <c r="P3328" i="9"/>
  <c r="Q3327" i="9"/>
  <c r="P3327" i="9"/>
  <c r="Q3326" i="9"/>
  <c r="P3326" i="9"/>
  <c r="Q3325" i="9"/>
  <c r="P3325" i="9"/>
  <c r="Q3324" i="9"/>
  <c r="P3324" i="9"/>
  <c r="Q3323" i="9"/>
  <c r="P3323" i="9"/>
  <c r="Q3322" i="9"/>
  <c r="P3322" i="9"/>
  <c r="Q3321" i="9"/>
  <c r="P3321" i="9"/>
  <c r="Q3320" i="9"/>
  <c r="P3320" i="9"/>
  <c r="Q3319" i="9"/>
  <c r="P3319" i="9"/>
  <c r="Q3318" i="9"/>
  <c r="P3318" i="9"/>
  <c r="Q3317" i="9"/>
  <c r="P3317" i="9"/>
  <c r="Q3316" i="9"/>
  <c r="P3316" i="9"/>
  <c r="Q3315" i="9"/>
  <c r="P3315" i="9"/>
  <c r="Q3314" i="9"/>
  <c r="P3314" i="9"/>
  <c r="Q3313" i="9"/>
  <c r="P3313" i="9"/>
  <c r="Q3312" i="9"/>
  <c r="P3312" i="9"/>
  <c r="Q3311" i="9"/>
  <c r="P3311" i="9"/>
  <c r="Q3310" i="9"/>
  <c r="P3310" i="9"/>
  <c r="Q3309" i="9"/>
  <c r="P3309" i="9"/>
  <c r="Q3308" i="9"/>
  <c r="P3308" i="9"/>
  <c r="Q3307" i="9"/>
  <c r="P3307" i="9"/>
  <c r="Q3306" i="9"/>
  <c r="P3306" i="9"/>
  <c r="Q3303" i="9"/>
  <c r="P3303" i="9"/>
  <c r="Q3302" i="9"/>
  <c r="P3302" i="9"/>
  <c r="Q3299" i="9"/>
  <c r="P3299" i="9"/>
  <c r="Q3298" i="9"/>
  <c r="P3298" i="9"/>
  <c r="Q3297" i="9"/>
  <c r="P3297" i="9"/>
  <c r="Q3296" i="9"/>
  <c r="P3296" i="9"/>
  <c r="Q3295" i="9"/>
  <c r="P3295" i="9"/>
  <c r="Q3294" i="9"/>
  <c r="P3294" i="9"/>
  <c r="Q3293" i="9"/>
  <c r="P3293" i="9"/>
  <c r="Q3291" i="9"/>
  <c r="P3291" i="9"/>
  <c r="Q3289" i="9"/>
  <c r="P3289" i="9"/>
  <c r="Q3287" i="9"/>
  <c r="P3287" i="9"/>
  <c r="Q3286" i="9"/>
  <c r="P3286" i="9"/>
  <c r="Q3285" i="9"/>
  <c r="P3285" i="9"/>
  <c r="Q3284" i="9"/>
  <c r="P3284" i="9"/>
  <c r="Q3283" i="9"/>
  <c r="P3283" i="9"/>
  <c r="Q3280" i="9"/>
  <c r="P3280" i="9"/>
  <c r="Q3279" i="9"/>
  <c r="P3279" i="9"/>
  <c r="Q3278" i="9"/>
  <c r="P3278" i="9"/>
  <c r="Q3277" i="9"/>
  <c r="P3277" i="9"/>
  <c r="Q3276" i="9"/>
  <c r="P3276" i="9"/>
  <c r="Q3275" i="9"/>
  <c r="P3275" i="9"/>
  <c r="Q3274" i="9"/>
  <c r="P3274" i="9"/>
  <c r="Q3273" i="9"/>
  <c r="P3273" i="9"/>
  <c r="Q3272" i="9"/>
  <c r="P3272" i="9"/>
  <c r="Q3271" i="9"/>
  <c r="P3271" i="9"/>
  <c r="Q3270" i="9"/>
  <c r="P3270" i="9"/>
  <c r="Q3269" i="9"/>
  <c r="P3269" i="9"/>
  <c r="Q3268" i="9"/>
  <c r="P3268" i="9"/>
  <c r="Q3267" i="9"/>
  <c r="P3267" i="9"/>
  <c r="Q3266" i="9"/>
  <c r="P3266" i="9"/>
  <c r="Q3265" i="9"/>
  <c r="P3265" i="9"/>
  <c r="Q3264" i="9"/>
  <c r="P3264" i="9"/>
  <c r="Q3263" i="9"/>
  <c r="P3263" i="9"/>
  <c r="Q3262" i="9"/>
  <c r="P3262" i="9"/>
  <c r="Q3261" i="9"/>
  <c r="P3261" i="9"/>
  <c r="Q3260" i="9"/>
  <c r="P3260" i="9"/>
  <c r="Q3259" i="9"/>
  <c r="P3259" i="9"/>
  <c r="Q3258" i="9"/>
  <c r="P3258" i="9"/>
  <c r="Q3257" i="9"/>
  <c r="P3257" i="9"/>
  <c r="Q3256" i="9"/>
  <c r="P3256" i="9"/>
  <c r="Q3255" i="9"/>
  <c r="P3255" i="9"/>
  <c r="Q3254" i="9"/>
  <c r="P3254" i="9"/>
  <c r="Q3253" i="9"/>
  <c r="P3253" i="9"/>
  <c r="Q3252" i="9"/>
  <c r="P3252" i="9"/>
  <c r="Q3251" i="9"/>
  <c r="P3251" i="9"/>
  <c r="Q3250" i="9"/>
  <c r="P3250" i="9"/>
  <c r="Q3249" i="9"/>
  <c r="P3249" i="9"/>
  <c r="Q3248" i="9"/>
  <c r="P3248" i="9"/>
  <c r="Q3247" i="9"/>
  <c r="P3247" i="9"/>
  <c r="Q3246" i="9"/>
  <c r="P3246" i="9"/>
  <c r="Q3245" i="9"/>
  <c r="P3245" i="9"/>
  <c r="Q3244" i="9"/>
  <c r="P3244" i="9"/>
  <c r="Q3243" i="9"/>
  <c r="P3243" i="9"/>
  <c r="Q3242" i="9"/>
  <c r="P3242" i="9"/>
  <c r="Q3241" i="9"/>
  <c r="P3241" i="9"/>
  <c r="Q3240" i="9"/>
  <c r="P3240" i="9"/>
  <c r="Q3239" i="9"/>
  <c r="P3239" i="9"/>
  <c r="Q3238" i="9"/>
  <c r="P3238" i="9"/>
  <c r="Q3237" i="9"/>
  <c r="P3237" i="9"/>
  <c r="Q3236" i="9"/>
  <c r="P3236" i="9"/>
  <c r="Q3235" i="9"/>
  <c r="P3235" i="9"/>
  <c r="Q3234" i="9"/>
  <c r="P3234" i="9"/>
  <c r="Q3233" i="9"/>
  <c r="P3233" i="9"/>
  <c r="Q3232" i="9"/>
  <c r="P3232" i="9"/>
  <c r="Q3231" i="9"/>
  <c r="P3231" i="9"/>
  <c r="Q3226" i="9"/>
  <c r="P3226" i="9"/>
  <c r="Q3221" i="9"/>
  <c r="P3221" i="9"/>
  <c r="Q3216" i="9"/>
  <c r="P3216" i="9"/>
  <c r="Q3211" i="9"/>
  <c r="P3211" i="9"/>
  <c r="Q3206" i="9"/>
  <c r="P3206" i="9"/>
  <c r="Q3201" i="9"/>
  <c r="P3201" i="9"/>
  <c r="Q3200" i="9"/>
  <c r="P3200" i="9"/>
  <c r="Q3199" i="9"/>
  <c r="P3199" i="9"/>
  <c r="Q3198" i="9"/>
  <c r="P3198" i="9"/>
  <c r="Q3197" i="9"/>
  <c r="P3197" i="9"/>
  <c r="Q3196" i="9"/>
  <c r="P3196" i="9"/>
  <c r="Q3195" i="9"/>
  <c r="P3195" i="9"/>
  <c r="Q3194" i="9"/>
  <c r="P3194" i="9"/>
  <c r="Q3193" i="9"/>
  <c r="P3193" i="9"/>
  <c r="Q3192" i="9"/>
  <c r="P3192" i="9"/>
  <c r="Q3191" i="9"/>
  <c r="P3191" i="9"/>
  <c r="Q3190" i="9"/>
  <c r="P3190" i="9"/>
  <c r="Q3189" i="9"/>
  <c r="P3189" i="9"/>
  <c r="Q3188" i="9"/>
  <c r="P3188" i="9"/>
  <c r="Q3187" i="9"/>
  <c r="P3187" i="9"/>
  <c r="Q3186" i="9"/>
  <c r="P3186" i="9"/>
  <c r="Q3185" i="9"/>
  <c r="P3185" i="9"/>
  <c r="Q3184" i="9"/>
  <c r="P3184" i="9"/>
  <c r="Q3183" i="9"/>
  <c r="P3183" i="9"/>
  <c r="Q3180" i="9"/>
  <c r="P3180" i="9"/>
  <c r="Q3179" i="9"/>
  <c r="P3179" i="9"/>
  <c r="Q3176" i="9"/>
  <c r="P3176" i="9"/>
  <c r="Q3175" i="9"/>
  <c r="P3175" i="9"/>
  <c r="Q3174" i="9"/>
  <c r="P3174" i="9"/>
  <c r="Q3173" i="9"/>
  <c r="P3173" i="9"/>
  <c r="Q3172" i="9"/>
  <c r="P3172" i="9"/>
  <c r="Q3171" i="9"/>
  <c r="P3171" i="9"/>
  <c r="Q3170" i="9"/>
  <c r="P3170" i="9"/>
  <c r="Q3168" i="9"/>
  <c r="P3168" i="9"/>
  <c r="Q3166" i="9"/>
  <c r="P3166" i="9"/>
  <c r="Q3164" i="9"/>
  <c r="P3164" i="9"/>
  <c r="Q3163" i="9"/>
  <c r="P3163" i="9"/>
  <c r="Q3162" i="9"/>
  <c r="P3162" i="9"/>
  <c r="Q3161" i="9"/>
  <c r="P3161" i="9"/>
  <c r="Q3160" i="9"/>
  <c r="P3160" i="9"/>
  <c r="Q3159" i="9"/>
  <c r="P3159" i="9"/>
  <c r="Q3158" i="9"/>
  <c r="P3158" i="9"/>
  <c r="Q3157" i="9"/>
  <c r="P3157" i="9"/>
  <c r="Q3156" i="9"/>
  <c r="P3156" i="9"/>
  <c r="Q3155" i="9"/>
  <c r="P3155" i="9"/>
  <c r="Q3154" i="9"/>
  <c r="P3154" i="9"/>
  <c r="Q3151" i="9"/>
  <c r="P3151" i="9"/>
  <c r="Q3150" i="9"/>
  <c r="P3150" i="9"/>
  <c r="Q3149" i="9"/>
  <c r="P3149" i="9"/>
  <c r="Q3148" i="9"/>
  <c r="P3148" i="9"/>
  <c r="Q3147" i="9"/>
  <c r="P3147" i="9"/>
  <c r="Q3146" i="9"/>
  <c r="P3146" i="9"/>
  <c r="Q3145" i="9"/>
  <c r="P3145" i="9"/>
  <c r="Q3144" i="9"/>
  <c r="P3144" i="9"/>
  <c r="Q3143" i="9"/>
  <c r="P3143" i="9"/>
  <c r="Q3142" i="9"/>
  <c r="P3142" i="9"/>
  <c r="Q3141" i="9"/>
  <c r="P3141" i="9"/>
  <c r="Q3140" i="9"/>
  <c r="P3140" i="9"/>
  <c r="Q3139" i="9"/>
  <c r="P3139" i="9"/>
  <c r="Q3138" i="9"/>
  <c r="P3138" i="9"/>
  <c r="Q3137" i="9"/>
  <c r="P3137" i="9"/>
  <c r="Q3136" i="9"/>
  <c r="P3136" i="9"/>
  <c r="Q3135" i="9"/>
  <c r="P3135" i="9"/>
  <c r="Q3134" i="9"/>
  <c r="P3134" i="9"/>
  <c r="Q3131" i="9"/>
  <c r="P3131" i="9"/>
  <c r="Q3128" i="9"/>
  <c r="P3128" i="9"/>
  <c r="Q3127" i="9"/>
  <c r="P3127" i="9"/>
  <c r="Q3126" i="9"/>
  <c r="P3126" i="9"/>
  <c r="Q3125" i="9"/>
  <c r="P3125" i="9"/>
  <c r="Q3124" i="9"/>
  <c r="P3124" i="9"/>
  <c r="Q3121" i="9"/>
  <c r="P3121" i="9"/>
  <c r="Q3120" i="9"/>
  <c r="P3120" i="9"/>
  <c r="Q3119" i="9"/>
  <c r="P3119" i="9"/>
  <c r="Q3118" i="9"/>
  <c r="P3118" i="9"/>
  <c r="Q3117" i="9"/>
  <c r="P3117" i="9"/>
  <c r="Q3116" i="9"/>
  <c r="P3116" i="9"/>
  <c r="Q3115" i="9"/>
  <c r="P3115" i="9"/>
  <c r="Q3114" i="9"/>
  <c r="P3114" i="9"/>
  <c r="Q3113" i="9"/>
  <c r="P3113" i="9"/>
  <c r="Q3112" i="9"/>
  <c r="P3112" i="9"/>
  <c r="Q3109" i="9"/>
  <c r="P3109" i="9"/>
  <c r="Q3108" i="9"/>
  <c r="P3108" i="9"/>
  <c r="Q3107" i="9"/>
  <c r="P3107" i="9"/>
  <c r="Q3106" i="9"/>
  <c r="P3106" i="9"/>
  <c r="Q3105" i="9"/>
  <c r="P3105" i="9"/>
  <c r="Q3104" i="9"/>
  <c r="P3104" i="9"/>
  <c r="Q3103" i="9"/>
  <c r="P3103" i="9"/>
  <c r="Q3102" i="9"/>
  <c r="P3102" i="9"/>
  <c r="Q3101" i="9"/>
  <c r="P3101" i="9"/>
  <c r="Q3100" i="9"/>
  <c r="P3100" i="9"/>
  <c r="Q3097" i="9"/>
  <c r="P3097" i="9"/>
  <c r="Q3096" i="9"/>
  <c r="P3096" i="9"/>
  <c r="Q3095" i="9"/>
  <c r="P3095" i="9"/>
  <c r="Q3094" i="9"/>
  <c r="P3094" i="9"/>
  <c r="Q3093" i="9"/>
  <c r="P3093" i="9"/>
  <c r="Q3092" i="9"/>
  <c r="P3092" i="9"/>
  <c r="Q3091" i="9"/>
  <c r="P3091" i="9"/>
  <c r="Q3090" i="9"/>
  <c r="P3090" i="9"/>
  <c r="Q3089" i="9"/>
  <c r="P3089" i="9"/>
  <c r="Q3088" i="9"/>
  <c r="P3088" i="9"/>
  <c r="Q3087" i="9"/>
  <c r="P3087" i="9"/>
  <c r="Q3086" i="9"/>
  <c r="P3086" i="9"/>
  <c r="Q3085" i="9"/>
  <c r="P3085" i="9"/>
  <c r="Q3084" i="9"/>
  <c r="P3084" i="9"/>
  <c r="Q3083" i="9"/>
  <c r="P3083" i="9"/>
  <c r="Q3082" i="9"/>
  <c r="P3082" i="9"/>
  <c r="Q3081" i="9"/>
  <c r="P3081" i="9"/>
  <c r="Q3080" i="9"/>
  <c r="P3080" i="9"/>
  <c r="Q3079" i="9"/>
  <c r="P3079" i="9"/>
  <c r="Q3078" i="9"/>
  <c r="P3078" i="9"/>
  <c r="Q3077" i="9"/>
  <c r="P3077" i="9"/>
  <c r="Q3076" i="9"/>
  <c r="P3076" i="9"/>
  <c r="Q3075" i="9"/>
  <c r="P3075" i="9"/>
  <c r="Q3072" i="9"/>
  <c r="P3072" i="9"/>
  <c r="Q3071" i="9"/>
  <c r="P3071" i="9"/>
  <c r="Q3070" i="9"/>
  <c r="P3070" i="9"/>
  <c r="Q3069" i="9"/>
  <c r="P3069" i="9"/>
  <c r="Q3068" i="9"/>
  <c r="P3068" i="9"/>
  <c r="Q3067" i="9"/>
  <c r="P3067" i="9"/>
  <c r="Q3066" i="9"/>
  <c r="P3066" i="9"/>
  <c r="Q3065" i="9"/>
  <c r="P3065" i="9"/>
  <c r="Q3064" i="9"/>
  <c r="P3064" i="9"/>
  <c r="Q3063" i="9"/>
  <c r="P3063" i="9"/>
  <c r="Q3062" i="9"/>
  <c r="P3062" i="9"/>
  <c r="Q3061" i="9"/>
  <c r="P3061" i="9"/>
  <c r="Q3058" i="9"/>
  <c r="P3058" i="9"/>
  <c r="Q3057" i="9"/>
  <c r="P3057" i="9"/>
  <c r="Q3056" i="9"/>
  <c r="P3056" i="9"/>
  <c r="Q3055" i="9"/>
  <c r="P3055" i="9"/>
  <c r="Q3054" i="9"/>
  <c r="P3054" i="9"/>
  <c r="Q3053" i="9"/>
  <c r="P3053" i="9"/>
  <c r="Q3052" i="9"/>
  <c r="P3052" i="9"/>
  <c r="Q3051" i="9"/>
  <c r="P3051" i="9"/>
  <c r="Q3050" i="9"/>
  <c r="P3050" i="9"/>
  <c r="Q3049" i="9"/>
  <c r="P3049" i="9"/>
  <c r="Q3048" i="9"/>
  <c r="P3048" i="9"/>
  <c r="Q3047" i="9"/>
  <c r="P3047" i="9"/>
  <c r="Q3046" i="9"/>
  <c r="P3046" i="9"/>
  <c r="Q3045" i="9"/>
  <c r="P3045" i="9"/>
  <c r="Q3042" i="9"/>
  <c r="P3042" i="9"/>
  <c r="Q3039" i="9"/>
  <c r="P3039" i="9"/>
  <c r="Q3038" i="9"/>
  <c r="P3038" i="9"/>
  <c r="Q3037" i="9"/>
  <c r="P3037" i="9"/>
  <c r="Q3036" i="9"/>
  <c r="P3036" i="9"/>
  <c r="Q3035" i="9"/>
  <c r="P3035" i="9"/>
  <c r="Q3034" i="9"/>
  <c r="P3034" i="9"/>
  <c r="Q3033" i="9"/>
  <c r="P3033" i="9"/>
  <c r="Q3032" i="9"/>
  <c r="P3032" i="9"/>
  <c r="Q3031" i="9"/>
  <c r="P3031" i="9"/>
  <c r="Q3030" i="9"/>
  <c r="P3030" i="9"/>
  <c r="Q3029" i="9"/>
  <c r="P3029" i="9"/>
  <c r="Q3028" i="9"/>
  <c r="P3028" i="9"/>
  <c r="Q3027" i="9"/>
  <c r="P3027" i="9"/>
  <c r="Q3026" i="9"/>
  <c r="P3026" i="9"/>
  <c r="Q3025" i="9"/>
  <c r="P3025" i="9"/>
  <c r="Q3024" i="9"/>
  <c r="P3024" i="9"/>
  <c r="Q3023" i="9"/>
  <c r="P3023" i="9"/>
  <c r="Q3022" i="9"/>
  <c r="P3022" i="9"/>
  <c r="Q3021" i="9"/>
  <c r="P3021" i="9"/>
  <c r="Q3020" i="9"/>
  <c r="P3020" i="9"/>
  <c r="Q3019" i="9"/>
  <c r="P3019" i="9"/>
  <c r="Q3016" i="9"/>
  <c r="P3016" i="9"/>
  <c r="Q3015" i="9"/>
  <c r="P3015" i="9"/>
  <c r="Q3012" i="9"/>
  <c r="P3012" i="9"/>
  <c r="Q3011" i="9"/>
  <c r="P3011" i="9"/>
  <c r="Q3010" i="9"/>
  <c r="P3010" i="9"/>
  <c r="Q3009" i="9"/>
  <c r="P3009" i="9"/>
  <c r="Q3008" i="9"/>
  <c r="P3008" i="9"/>
  <c r="Q3007" i="9"/>
  <c r="P3007" i="9"/>
  <c r="Q3006" i="9"/>
  <c r="P3006" i="9"/>
  <c r="Q3004" i="9"/>
  <c r="P3004" i="9"/>
  <c r="Q3002" i="9"/>
  <c r="P3002" i="9"/>
  <c r="Q3000" i="9"/>
  <c r="P3000" i="9"/>
  <c r="Q2999" i="9"/>
  <c r="P2999" i="9"/>
  <c r="Q2998" i="9"/>
  <c r="P2998" i="9"/>
  <c r="Q2997" i="9"/>
  <c r="P2997" i="9"/>
  <c r="Q2996" i="9"/>
  <c r="P2996" i="9"/>
  <c r="Q2995" i="9"/>
  <c r="P2995" i="9"/>
  <c r="Q2994" i="9"/>
  <c r="P2994" i="9"/>
  <c r="Q2993" i="9"/>
  <c r="P2993" i="9"/>
  <c r="Q2992" i="9"/>
  <c r="P2992" i="9"/>
  <c r="Q2991" i="9"/>
  <c r="P2991" i="9"/>
  <c r="Q2990" i="9"/>
  <c r="P2990" i="9"/>
  <c r="Q2987" i="9"/>
  <c r="P2987" i="9"/>
  <c r="Q2986" i="9"/>
  <c r="P2986" i="9"/>
  <c r="Q2985" i="9"/>
  <c r="P2985" i="9"/>
  <c r="Q2984" i="9"/>
  <c r="P2984" i="9"/>
  <c r="Q2983" i="9"/>
  <c r="P2983" i="9"/>
  <c r="Q2982" i="9"/>
  <c r="P2982" i="9"/>
  <c r="Q2981" i="9"/>
  <c r="P2981" i="9"/>
  <c r="Q2980" i="9"/>
  <c r="P2980" i="9"/>
  <c r="Q2979" i="9"/>
  <c r="P2979" i="9"/>
  <c r="Q2978" i="9"/>
  <c r="P2978" i="9"/>
  <c r="Q2977" i="9"/>
  <c r="P2977" i="9"/>
  <c r="Q2976" i="9"/>
  <c r="P2976" i="9"/>
  <c r="Q2975" i="9"/>
  <c r="P2975" i="9"/>
  <c r="Q2974" i="9"/>
  <c r="P2974" i="9"/>
  <c r="Q2973" i="9"/>
  <c r="P2973" i="9"/>
  <c r="Q2972" i="9"/>
  <c r="P2972" i="9"/>
  <c r="Q2971" i="9"/>
  <c r="P2971" i="9"/>
  <c r="Q2970" i="9"/>
  <c r="P2970" i="9"/>
  <c r="Q2967" i="9"/>
  <c r="P2967" i="9"/>
  <c r="Q2964" i="9"/>
  <c r="P2964" i="9"/>
  <c r="Q2963" i="9"/>
  <c r="P2963" i="9"/>
  <c r="Q2962" i="9"/>
  <c r="P2962" i="9"/>
  <c r="Q2961" i="9"/>
  <c r="P2961" i="9"/>
  <c r="Q2960" i="9"/>
  <c r="P2960" i="9"/>
  <c r="Q2957" i="9"/>
  <c r="P2957" i="9"/>
  <c r="Q2956" i="9"/>
  <c r="P2956" i="9"/>
  <c r="Q2955" i="9"/>
  <c r="P2955" i="9"/>
  <c r="Q2954" i="9"/>
  <c r="P2954" i="9"/>
  <c r="Q2953" i="9"/>
  <c r="P2953" i="9"/>
  <c r="Q2952" i="9"/>
  <c r="P2952" i="9"/>
  <c r="Q2951" i="9"/>
  <c r="P2951" i="9"/>
  <c r="Q2950" i="9"/>
  <c r="P2950" i="9"/>
  <c r="Q2949" i="9"/>
  <c r="P2949" i="9"/>
  <c r="Q2948" i="9"/>
  <c r="P2948" i="9"/>
  <c r="Q2945" i="9"/>
  <c r="P2945" i="9"/>
  <c r="Q2944" i="9"/>
  <c r="P2944" i="9"/>
  <c r="Q2943" i="9"/>
  <c r="P2943" i="9"/>
  <c r="Q2942" i="9"/>
  <c r="P2942" i="9"/>
  <c r="Q2941" i="9"/>
  <c r="P2941" i="9"/>
  <c r="Q2940" i="9"/>
  <c r="P2940" i="9"/>
  <c r="Q2939" i="9"/>
  <c r="P2939" i="9"/>
  <c r="Q2938" i="9"/>
  <c r="P2938" i="9"/>
  <c r="Q2937" i="9"/>
  <c r="P2937" i="9"/>
  <c r="Q2936" i="9"/>
  <c r="P2936" i="9"/>
  <c r="Q2933" i="9"/>
  <c r="P2933" i="9"/>
  <c r="Q2932" i="9"/>
  <c r="P2932" i="9"/>
  <c r="Q2931" i="9"/>
  <c r="P2931" i="9"/>
  <c r="Q2930" i="9"/>
  <c r="P2930" i="9"/>
  <c r="Q2929" i="9"/>
  <c r="P2929" i="9"/>
  <c r="Q2928" i="9"/>
  <c r="P2928" i="9"/>
  <c r="Q2927" i="9"/>
  <c r="P2927" i="9"/>
  <c r="Q2926" i="9"/>
  <c r="P2926" i="9"/>
  <c r="Q2925" i="9"/>
  <c r="P2925" i="9"/>
  <c r="Q2924" i="9"/>
  <c r="P2924" i="9"/>
  <c r="Q2923" i="9"/>
  <c r="P2923" i="9"/>
  <c r="Q2922" i="9"/>
  <c r="P2922" i="9"/>
  <c r="Q2921" i="9"/>
  <c r="P2921" i="9"/>
  <c r="Q2920" i="9"/>
  <c r="P2920" i="9"/>
  <c r="Q2919" i="9"/>
  <c r="P2919" i="9"/>
  <c r="Q2918" i="9"/>
  <c r="P2918" i="9"/>
  <c r="Q2917" i="9"/>
  <c r="P2917" i="9"/>
  <c r="Q2916" i="9"/>
  <c r="P2916" i="9"/>
  <c r="Q2915" i="9"/>
  <c r="P2915" i="9"/>
  <c r="Q2914" i="9"/>
  <c r="P2914" i="9"/>
  <c r="Q2913" i="9"/>
  <c r="P2913" i="9"/>
  <c r="Q2912" i="9"/>
  <c r="P2912" i="9"/>
  <c r="Q2911" i="9"/>
  <c r="P2911" i="9"/>
  <c r="Q2908" i="9"/>
  <c r="P2908" i="9"/>
  <c r="Q2907" i="9"/>
  <c r="P2907" i="9"/>
  <c r="Q2906" i="9"/>
  <c r="P2906" i="9"/>
  <c r="Q2905" i="9"/>
  <c r="P2905" i="9"/>
  <c r="Q2904" i="9"/>
  <c r="P2904" i="9"/>
  <c r="Q2903" i="9"/>
  <c r="P2903" i="9"/>
  <c r="Q2902" i="9"/>
  <c r="P2902" i="9"/>
  <c r="Q2901" i="9"/>
  <c r="P2901" i="9"/>
  <c r="Q2900" i="9"/>
  <c r="P2900" i="9"/>
  <c r="Q2899" i="9"/>
  <c r="P2899" i="9"/>
  <c r="Q2898" i="9"/>
  <c r="P2898" i="9"/>
  <c r="Q2897" i="9"/>
  <c r="P2897" i="9"/>
  <c r="Q2894" i="9"/>
  <c r="P2894" i="9"/>
  <c r="Q2893" i="9"/>
  <c r="P2893" i="9"/>
  <c r="Q2892" i="9"/>
  <c r="P2892" i="9"/>
  <c r="Q2891" i="9"/>
  <c r="P2891" i="9"/>
  <c r="Q2890" i="9"/>
  <c r="P2890" i="9"/>
  <c r="Q2889" i="9"/>
  <c r="P2889" i="9"/>
  <c r="Q2888" i="9"/>
  <c r="P2888" i="9"/>
  <c r="Q2887" i="9"/>
  <c r="P2887" i="9"/>
  <c r="Q2886" i="9"/>
  <c r="P2886" i="9"/>
  <c r="Q2885" i="9"/>
  <c r="P2885" i="9"/>
  <c r="Q2884" i="9"/>
  <c r="P2884" i="9"/>
  <c r="Q2883" i="9"/>
  <c r="P2883" i="9"/>
  <c r="Q2882" i="9"/>
  <c r="P2882" i="9"/>
  <c r="Q2881" i="9"/>
  <c r="P2881" i="9"/>
  <c r="Q2878" i="9"/>
  <c r="P2878" i="9"/>
  <c r="Q2875" i="9"/>
  <c r="P2875" i="9"/>
  <c r="Q2874" i="9"/>
  <c r="P2874" i="9"/>
  <c r="Q2873" i="9"/>
  <c r="P2873" i="9"/>
  <c r="Q2872" i="9"/>
  <c r="P2872" i="9"/>
  <c r="Q2871" i="9"/>
  <c r="P2871" i="9"/>
  <c r="Q2870" i="9"/>
  <c r="P2870" i="9"/>
  <c r="Q2869" i="9"/>
  <c r="P2869" i="9"/>
  <c r="Q2868" i="9"/>
  <c r="P2868" i="9"/>
  <c r="Q2867" i="9"/>
  <c r="P2867" i="9"/>
  <c r="Q2866" i="9"/>
  <c r="P2866" i="9"/>
  <c r="Q2865" i="9"/>
  <c r="P2865" i="9"/>
  <c r="Q2864" i="9"/>
  <c r="P2864" i="9"/>
  <c r="Q2863" i="9"/>
  <c r="P2863" i="9"/>
  <c r="Q2862" i="9"/>
  <c r="P2862" i="9"/>
  <c r="Q2861" i="9"/>
  <c r="P2861" i="9"/>
  <c r="Q2860" i="9"/>
  <c r="P2860" i="9"/>
  <c r="Q2859" i="9"/>
  <c r="P2859" i="9"/>
  <c r="Q2858" i="9"/>
  <c r="P2858" i="9"/>
  <c r="Q2857" i="9"/>
  <c r="P2857" i="9"/>
  <c r="Q2856" i="9"/>
  <c r="P2856" i="9"/>
  <c r="Q2855" i="9"/>
  <c r="P2855" i="9"/>
  <c r="Q2852" i="9"/>
  <c r="P2852" i="9"/>
  <c r="Q2851" i="9"/>
  <c r="P2851" i="9"/>
  <c r="Q2850" i="9"/>
  <c r="P2850" i="9"/>
  <c r="Q2849" i="9"/>
  <c r="P2849" i="9"/>
  <c r="Q2848" i="9"/>
  <c r="P2848" i="9"/>
  <c r="Q2847" i="9"/>
  <c r="P2847" i="9"/>
  <c r="Q2846" i="9"/>
  <c r="P2846" i="9"/>
  <c r="Q2845" i="9"/>
  <c r="P2845" i="9"/>
  <c r="Q2844" i="9"/>
  <c r="P2844" i="9"/>
  <c r="Q2843" i="9"/>
  <c r="P2843" i="9"/>
  <c r="Q2842" i="9"/>
  <c r="P2842" i="9"/>
  <c r="Q2841" i="9"/>
  <c r="P2841" i="9"/>
  <c r="Q2840" i="9"/>
  <c r="P2840" i="9"/>
  <c r="Q2839" i="9"/>
  <c r="P2839" i="9"/>
  <c r="Q2838" i="9"/>
  <c r="P2838" i="9"/>
  <c r="Q2837" i="9"/>
  <c r="P2837" i="9"/>
  <c r="Q2836" i="9"/>
  <c r="P2836" i="9"/>
  <c r="Q2835" i="9"/>
  <c r="P2835" i="9"/>
  <c r="Q2834" i="9"/>
  <c r="P2834" i="9"/>
  <c r="Q2833" i="9"/>
  <c r="P2833" i="9"/>
  <c r="Q2832" i="9"/>
  <c r="P2832" i="9"/>
  <c r="Q2831" i="9"/>
  <c r="P2831" i="9"/>
  <c r="Q2830" i="9"/>
  <c r="P2830" i="9"/>
  <c r="Q2829" i="9"/>
  <c r="P2829" i="9"/>
  <c r="Q2828" i="9"/>
  <c r="P2828" i="9"/>
  <c r="Q2827" i="9"/>
  <c r="P2827" i="9"/>
  <c r="Q2826" i="9"/>
  <c r="P2826" i="9"/>
  <c r="Q2825" i="9"/>
  <c r="P2825" i="9"/>
  <c r="Q2822" i="9"/>
  <c r="P2822" i="9"/>
  <c r="Q2821" i="9"/>
  <c r="P2821" i="9"/>
  <c r="Q2820" i="9"/>
  <c r="P2820" i="9"/>
  <c r="Q2819" i="9"/>
  <c r="P2819" i="9"/>
  <c r="Q2818" i="9"/>
  <c r="P2818" i="9"/>
  <c r="Q2817" i="9"/>
  <c r="P2817" i="9"/>
  <c r="Q2816" i="9"/>
  <c r="P2816" i="9"/>
  <c r="Q2815" i="9"/>
  <c r="P2815" i="9"/>
  <c r="Q2814" i="9"/>
  <c r="P2814" i="9"/>
  <c r="Q2813" i="9"/>
  <c r="P2813" i="9"/>
  <c r="Q2812" i="9"/>
  <c r="P2812" i="9"/>
  <c r="Q2811" i="9"/>
  <c r="P2811" i="9"/>
  <c r="Q2810" i="9"/>
  <c r="P2810" i="9"/>
  <c r="Q2809" i="9"/>
  <c r="P2809" i="9"/>
  <c r="Q2808" i="9"/>
  <c r="P2808" i="9"/>
  <c r="Q2807" i="9"/>
  <c r="P2807" i="9"/>
  <c r="Q2806" i="9"/>
  <c r="P2806" i="9"/>
  <c r="Q2805" i="9"/>
  <c r="P2805" i="9"/>
  <c r="Q2804" i="9"/>
  <c r="P2804" i="9"/>
  <c r="Q2803" i="9"/>
  <c r="P2803" i="9"/>
  <c r="Q2798" i="9"/>
  <c r="P2798" i="9"/>
  <c r="Q2793" i="9"/>
  <c r="P2793" i="9"/>
  <c r="Q2788" i="9"/>
  <c r="P2788" i="9"/>
  <c r="Q2783" i="9"/>
  <c r="P2783" i="9"/>
  <c r="Q2778" i="9"/>
  <c r="P2778" i="9"/>
  <c r="Q2773" i="9"/>
  <c r="P2773" i="9"/>
  <c r="Q2772" i="9"/>
  <c r="P2772" i="9"/>
  <c r="Q2771" i="9"/>
  <c r="P2771" i="9"/>
  <c r="Q2770" i="9"/>
  <c r="P2770" i="9"/>
  <c r="Q2769" i="9"/>
  <c r="P2769" i="9"/>
  <c r="Q2768" i="9"/>
  <c r="P2768" i="9"/>
  <c r="Q2767" i="9"/>
  <c r="P2767" i="9"/>
  <c r="Q2766" i="9"/>
  <c r="P2766" i="9"/>
  <c r="Q2765" i="9"/>
  <c r="P2765" i="9"/>
  <c r="Q2764" i="9"/>
  <c r="P2764" i="9"/>
  <c r="Q2763" i="9"/>
  <c r="P2763" i="9"/>
  <c r="Q2762" i="9"/>
  <c r="P2762" i="9"/>
  <c r="Q2761" i="9"/>
  <c r="P2761" i="9"/>
  <c r="Q2760" i="9"/>
  <c r="P2760" i="9"/>
  <c r="Q2759" i="9"/>
  <c r="P2759" i="9"/>
  <c r="Q2758" i="9"/>
  <c r="P2758" i="9"/>
  <c r="Q2757" i="9"/>
  <c r="P2757" i="9"/>
  <c r="Q2756" i="9"/>
  <c r="P2756" i="9"/>
  <c r="Q2755" i="9"/>
  <c r="P2755" i="9"/>
  <c r="Q2752" i="9"/>
  <c r="P2752" i="9"/>
  <c r="Q2751" i="9"/>
  <c r="P2751" i="9"/>
  <c r="Q2748" i="9"/>
  <c r="P2748" i="9"/>
  <c r="Q2747" i="9"/>
  <c r="P2747" i="9"/>
  <c r="Q2746" i="9"/>
  <c r="P2746" i="9"/>
  <c r="Q2745" i="9"/>
  <c r="P2745" i="9"/>
  <c r="Q2744" i="9"/>
  <c r="P2744" i="9"/>
  <c r="Q2743" i="9"/>
  <c r="P2743" i="9"/>
  <c r="Q2742" i="9"/>
  <c r="P2742" i="9"/>
  <c r="Q2740" i="9"/>
  <c r="P2740" i="9"/>
  <c r="Q2738" i="9"/>
  <c r="P2738" i="9"/>
  <c r="Q2736" i="9"/>
  <c r="P2736" i="9"/>
  <c r="Q2735" i="9"/>
  <c r="P2735" i="9"/>
  <c r="Q2734" i="9"/>
  <c r="P2734" i="9"/>
  <c r="Q2733" i="9"/>
  <c r="P2733" i="9"/>
  <c r="Q2732" i="9"/>
  <c r="P2732" i="9"/>
  <c r="Q2731" i="9"/>
  <c r="P2731" i="9"/>
  <c r="Q2730" i="9"/>
  <c r="P2730" i="9"/>
  <c r="Q2729" i="9"/>
  <c r="P2729" i="9"/>
  <c r="Q2728" i="9"/>
  <c r="P2728" i="9"/>
  <c r="Q2727" i="9"/>
  <c r="P2727" i="9"/>
  <c r="Q2726" i="9"/>
  <c r="P2726" i="9"/>
  <c r="Q2725" i="9"/>
  <c r="P2725" i="9"/>
  <c r="Q2724" i="9"/>
  <c r="P2724" i="9"/>
  <c r="Q2723" i="9"/>
  <c r="P2723" i="9"/>
  <c r="Q2722" i="9"/>
  <c r="P2722" i="9"/>
  <c r="Q2721" i="9"/>
  <c r="P2721" i="9"/>
  <c r="Q2720" i="9"/>
  <c r="P2720" i="9"/>
  <c r="Q2719" i="9"/>
  <c r="P2719" i="9"/>
  <c r="Q2718" i="9"/>
  <c r="P2718" i="9"/>
  <c r="Q2717" i="9"/>
  <c r="P2717" i="9"/>
  <c r="Q2716" i="9"/>
  <c r="P2716" i="9"/>
  <c r="Q2715" i="9"/>
  <c r="P2715" i="9"/>
  <c r="Q2714" i="9"/>
  <c r="P2714" i="9"/>
  <c r="Q2713" i="9"/>
  <c r="P2713" i="9"/>
  <c r="Q2711" i="9"/>
  <c r="P2711" i="9"/>
  <c r="Q2709" i="9"/>
  <c r="P2709" i="9"/>
  <c r="Q2707" i="9"/>
  <c r="P2707" i="9"/>
  <c r="Q2706" i="9"/>
  <c r="P2706" i="9"/>
  <c r="Q2705" i="9"/>
  <c r="P2705" i="9"/>
  <c r="Q2704" i="9"/>
  <c r="P2704" i="9"/>
  <c r="Q2703" i="9"/>
  <c r="P2703" i="9"/>
  <c r="Q2702" i="9"/>
  <c r="P2702" i="9"/>
  <c r="Q2701" i="9"/>
  <c r="P2701" i="9"/>
  <c r="Q2700" i="9"/>
  <c r="P2700" i="9"/>
  <c r="Q2699" i="9"/>
  <c r="P2699" i="9"/>
  <c r="Q2698" i="9"/>
  <c r="P2698" i="9"/>
  <c r="Q2697" i="9"/>
  <c r="P2697" i="9"/>
  <c r="Q2696" i="9"/>
  <c r="P2696" i="9"/>
  <c r="Q2695" i="9"/>
  <c r="P2695" i="9"/>
  <c r="Q2694" i="9"/>
  <c r="P2694" i="9"/>
  <c r="Q2693" i="9"/>
  <c r="P2693" i="9"/>
  <c r="Q2692" i="9"/>
  <c r="P2692" i="9"/>
  <c r="Q2691" i="9"/>
  <c r="P2691" i="9"/>
  <c r="Q2690" i="9"/>
  <c r="P2690" i="9"/>
  <c r="Q2689" i="9"/>
  <c r="P2689" i="9"/>
  <c r="Q2688" i="9"/>
  <c r="P2688" i="9"/>
  <c r="Q2687" i="9"/>
  <c r="P2687" i="9"/>
  <c r="Q2684" i="9"/>
  <c r="P2684" i="9"/>
  <c r="Q2683" i="9"/>
  <c r="P2683" i="9"/>
  <c r="Q2682" i="9"/>
  <c r="P2682" i="9"/>
  <c r="Q2681" i="9"/>
  <c r="P2681" i="9"/>
  <c r="Q2680" i="9"/>
  <c r="P2680" i="9"/>
  <c r="Q2679" i="9"/>
  <c r="P2679" i="9"/>
  <c r="Q2678" i="9"/>
  <c r="P2678" i="9"/>
  <c r="Q2677" i="9"/>
  <c r="P2677" i="9"/>
  <c r="Q2676" i="9"/>
  <c r="P2676" i="9"/>
  <c r="Q2675" i="9"/>
  <c r="P2675" i="9"/>
  <c r="Q2674" i="9"/>
  <c r="P2674" i="9"/>
  <c r="Q2673" i="9"/>
  <c r="P2673" i="9"/>
  <c r="Q2672" i="9"/>
  <c r="P2672" i="9"/>
  <c r="Q2671" i="9"/>
  <c r="P2671" i="9"/>
  <c r="Q2670" i="9"/>
  <c r="P2670" i="9"/>
  <c r="Q2669" i="9"/>
  <c r="P2669" i="9"/>
  <c r="Q2668" i="9"/>
  <c r="P2668" i="9"/>
  <c r="Q2667" i="9"/>
  <c r="P2667" i="9"/>
  <c r="Q2666" i="9"/>
  <c r="P2666" i="9"/>
  <c r="Q2665" i="9"/>
  <c r="P2665" i="9"/>
  <c r="Q2664" i="9"/>
  <c r="P2664" i="9"/>
  <c r="Q2663" i="9"/>
  <c r="P2663" i="9"/>
  <c r="Q2662" i="9"/>
  <c r="P2662" i="9"/>
  <c r="Q2661" i="9"/>
  <c r="P2661" i="9"/>
  <c r="Q2660" i="9"/>
  <c r="P2660" i="9"/>
  <c r="Q2659" i="9"/>
  <c r="P2659" i="9"/>
  <c r="Q2658" i="9"/>
  <c r="P2658" i="9"/>
  <c r="Q2657" i="9"/>
  <c r="P2657" i="9"/>
  <c r="Q2656" i="9"/>
  <c r="P2656" i="9"/>
  <c r="Q2654" i="9"/>
  <c r="P2654" i="9"/>
  <c r="Q2653" i="9"/>
  <c r="P2653" i="9"/>
  <c r="Q2652" i="9"/>
  <c r="P2652" i="9"/>
  <c r="Q2651" i="9"/>
  <c r="P2651" i="9"/>
  <c r="Q2650" i="9"/>
  <c r="P2650" i="9"/>
  <c r="Q2649" i="9"/>
  <c r="P2649" i="9"/>
  <c r="Q2648" i="9"/>
  <c r="P2648" i="9"/>
  <c r="Q2647" i="9"/>
  <c r="P2647" i="9"/>
  <c r="Q2646" i="9"/>
  <c r="P2646" i="9"/>
  <c r="Q2645" i="9"/>
  <c r="P2645" i="9"/>
  <c r="Q2644" i="9"/>
  <c r="P2644" i="9"/>
  <c r="Q2643" i="9"/>
  <c r="P2643" i="9"/>
  <c r="Q2642" i="9"/>
  <c r="P2642" i="9"/>
  <c r="Q2641" i="9"/>
  <c r="P2641" i="9"/>
  <c r="Q2640" i="9"/>
  <c r="P2640" i="9"/>
  <c r="Q2639" i="9"/>
  <c r="P2639" i="9"/>
  <c r="Q2638" i="9"/>
  <c r="P2638" i="9"/>
  <c r="Q2637" i="9"/>
  <c r="P2637" i="9"/>
  <c r="Q2636" i="9"/>
  <c r="P2636" i="9"/>
  <c r="Q2635" i="9"/>
  <c r="P2635" i="9"/>
  <c r="Q2634" i="9"/>
  <c r="P2634" i="9"/>
  <c r="Q2631" i="9"/>
  <c r="P2631" i="9"/>
  <c r="Q2630" i="9"/>
  <c r="P2630" i="9"/>
  <c r="Q2629" i="9"/>
  <c r="P2629" i="9"/>
  <c r="Q2628" i="9"/>
  <c r="P2628" i="9"/>
  <c r="Q2627" i="9"/>
  <c r="P2627" i="9"/>
  <c r="Q2626" i="9"/>
  <c r="P2626" i="9"/>
  <c r="Q2625" i="9"/>
  <c r="P2625" i="9"/>
  <c r="Q2624" i="9"/>
  <c r="P2624" i="9"/>
  <c r="Q2623" i="9"/>
  <c r="P2623" i="9"/>
  <c r="Q2622" i="9"/>
  <c r="P2622" i="9"/>
  <c r="Q2621" i="9"/>
  <c r="P2621" i="9"/>
  <c r="Q2620" i="9"/>
  <c r="P2620" i="9"/>
  <c r="Q2619" i="9"/>
  <c r="P2619" i="9"/>
  <c r="Q2618" i="9"/>
  <c r="P2618" i="9"/>
  <c r="Q2617" i="9"/>
  <c r="P2617" i="9"/>
  <c r="Q2616" i="9"/>
  <c r="P2616" i="9"/>
  <c r="Q2615" i="9"/>
  <c r="P2615" i="9"/>
  <c r="Q2614" i="9"/>
  <c r="P2614" i="9"/>
  <c r="Q2611" i="9"/>
  <c r="P2611" i="9"/>
  <c r="Q2610" i="9"/>
  <c r="P2610" i="9"/>
  <c r="Q2609" i="9"/>
  <c r="P2609" i="9"/>
  <c r="Q2606" i="9"/>
  <c r="P2606" i="9"/>
  <c r="Q2605" i="9"/>
  <c r="P2605" i="9"/>
  <c r="Q2604" i="9"/>
  <c r="P2604" i="9"/>
  <c r="Q2603" i="9"/>
  <c r="P2603" i="9"/>
  <c r="Q2602" i="9"/>
  <c r="P2602" i="9"/>
  <c r="Q2601" i="9"/>
  <c r="P2601" i="9"/>
  <c r="Q2600" i="9"/>
  <c r="P2600" i="9"/>
  <c r="Q2598" i="9"/>
  <c r="P2598" i="9"/>
  <c r="Q2596" i="9"/>
  <c r="P2596" i="9"/>
  <c r="Q2594" i="9"/>
  <c r="P2594" i="9"/>
  <c r="Q2593" i="9"/>
  <c r="P2593" i="9"/>
  <c r="Q2592" i="9"/>
  <c r="P2592" i="9"/>
  <c r="Q2591" i="9"/>
  <c r="P2591" i="9"/>
  <c r="Q2590" i="9"/>
  <c r="P2590" i="9"/>
  <c r="Q2589" i="9"/>
  <c r="P2589" i="9"/>
  <c r="Q2587" i="9"/>
  <c r="P2587" i="9"/>
  <c r="Q2586" i="9"/>
  <c r="P2586" i="9"/>
  <c r="Q2585" i="9"/>
  <c r="P2585" i="9"/>
  <c r="Q2584" i="9"/>
  <c r="P2584" i="9"/>
  <c r="Q2583" i="9"/>
  <c r="P2583" i="9"/>
  <c r="Q2582" i="9"/>
  <c r="P2582" i="9"/>
  <c r="Q2581" i="9"/>
  <c r="P2581" i="9"/>
  <c r="Q2580" i="9"/>
  <c r="P2580" i="9"/>
  <c r="Q2579" i="9"/>
  <c r="P2579" i="9"/>
  <c r="Q2578" i="9"/>
  <c r="P2578" i="9"/>
  <c r="Q2577" i="9"/>
  <c r="P2577" i="9"/>
  <c r="Q2576" i="9"/>
  <c r="P2576" i="9"/>
  <c r="Q2575" i="9"/>
  <c r="P2575" i="9"/>
  <c r="Q2574" i="9"/>
  <c r="P2574" i="9"/>
  <c r="Q2573" i="9"/>
  <c r="P2573" i="9"/>
  <c r="Q2572" i="9"/>
  <c r="P2572" i="9"/>
  <c r="Q2571" i="9"/>
  <c r="P2571" i="9"/>
  <c r="Q2570" i="9"/>
  <c r="P2570" i="9"/>
  <c r="Q2569" i="9"/>
  <c r="P2569" i="9"/>
  <c r="Q2568" i="9"/>
  <c r="P2568" i="9"/>
  <c r="Q2567" i="9"/>
  <c r="P2567" i="9"/>
  <c r="Q2566" i="9"/>
  <c r="P2566" i="9"/>
  <c r="Q2565" i="9"/>
  <c r="P2565" i="9"/>
  <c r="Q2564" i="9"/>
  <c r="P2564" i="9"/>
  <c r="Q2563" i="9"/>
  <c r="P2563" i="9"/>
  <c r="Q2558" i="9"/>
  <c r="P2558" i="9"/>
  <c r="Q2553" i="9"/>
  <c r="P2553" i="9"/>
  <c r="Q2548" i="9"/>
  <c r="P2548" i="9"/>
  <c r="Q2543" i="9"/>
  <c r="P2543" i="9"/>
  <c r="Q2538" i="9"/>
  <c r="P2538" i="9"/>
  <c r="Q2533" i="9"/>
  <c r="P2533" i="9"/>
  <c r="Q2532" i="9"/>
  <c r="P2532" i="9"/>
  <c r="Q2531" i="9"/>
  <c r="P2531" i="9"/>
  <c r="Q2530" i="9"/>
  <c r="P2530" i="9"/>
  <c r="Q2529" i="9"/>
  <c r="P2529" i="9"/>
  <c r="Q2528" i="9"/>
  <c r="P2528" i="9"/>
  <c r="Q2527" i="9"/>
  <c r="P2527" i="9"/>
  <c r="Q2526" i="9"/>
  <c r="P2526" i="9"/>
  <c r="Q2525" i="9"/>
  <c r="P2525" i="9"/>
  <c r="Q2524" i="9"/>
  <c r="P2524" i="9"/>
  <c r="Q2523" i="9"/>
  <c r="P2523" i="9"/>
  <c r="Q2522" i="9"/>
  <c r="P2522" i="9"/>
  <c r="Q2521" i="9"/>
  <c r="P2521" i="9"/>
  <c r="Q2520" i="9"/>
  <c r="P2520" i="9"/>
  <c r="Q2519" i="9"/>
  <c r="P2519" i="9"/>
  <c r="Q2516" i="9"/>
  <c r="P2516" i="9"/>
  <c r="Q2513" i="9"/>
  <c r="P2513" i="9"/>
  <c r="Q2512" i="9"/>
  <c r="P2512" i="9"/>
  <c r="Q2511" i="9"/>
  <c r="P2511" i="9"/>
  <c r="Q2510" i="9"/>
  <c r="P2510" i="9"/>
  <c r="Q2509" i="9"/>
  <c r="P2509" i="9"/>
  <c r="Q2508" i="9"/>
  <c r="P2508" i="9"/>
  <c r="Q2507" i="9"/>
  <c r="P2507" i="9"/>
  <c r="Q2505" i="9"/>
  <c r="P2505" i="9"/>
  <c r="Q2503" i="9"/>
  <c r="P2503" i="9"/>
  <c r="Q2501" i="9"/>
  <c r="P2501" i="9"/>
  <c r="Q2500" i="9"/>
  <c r="P2500" i="9"/>
  <c r="Q2499" i="9"/>
  <c r="P2499" i="9"/>
  <c r="Q2498" i="9"/>
  <c r="P2498" i="9"/>
  <c r="Q2495" i="9"/>
  <c r="P2495" i="9"/>
  <c r="Q2494" i="9"/>
  <c r="P2494" i="9"/>
  <c r="Q2493" i="9"/>
  <c r="P2493" i="9"/>
  <c r="Q2492" i="9"/>
  <c r="P2492" i="9"/>
  <c r="Q2491" i="9"/>
  <c r="P2491" i="9"/>
  <c r="Q2490" i="9"/>
  <c r="P2490" i="9"/>
  <c r="Q2489" i="9"/>
  <c r="P2489" i="9"/>
  <c r="Q2488" i="9"/>
  <c r="P2488" i="9"/>
  <c r="Q2487" i="9"/>
  <c r="P2487" i="9"/>
  <c r="Q2486" i="9"/>
  <c r="P2486" i="9"/>
  <c r="Q2485" i="9"/>
  <c r="P2485" i="9"/>
  <c r="Q2484" i="9"/>
  <c r="P2484" i="9"/>
  <c r="Q2483" i="9"/>
  <c r="P2483" i="9"/>
  <c r="Q2482" i="9"/>
  <c r="P2482" i="9"/>
  <c r="Q2481" i="9"/>
  <c r="P2481" i="9"/>
  <c r="Q2480" i="9"/>
  <c r="P2480" i="9"/>
  <c r="Q2479" i="9"/>
  <c r="P2479" i="9"/>
  <c r="Q2478" i="9"/>
  <c r="P2478" i="9"/>
  <c r="Q2475" i="9"/>
  <c r="P2475" i="9"/>
  <c r="Q2472" i="9"/>
  <c r="P2472" i="9"/>
  <c r="Q2471" i="9"/>
  <c r="P2471" i="9"/>
  <c r="Q2470" i="9"/>
  <c r="P2470" i="9"/>
  <c r="Q2469" i="9"/>
  <c r="P2469" i="9"/>
  <c r="Q2466" i="9"/>
  <c r="P2466" i="9"/>
  <c r="Q2465" i="9"/>
  <c r="P2465" i="9"/>
  <c r="Q2464" i="9"/>
  <c r="P2464" i="9"/>
  <c r="Q2463" i="9"/>
  <c r="P2463" i="9"/>
  <c r="Q2462" i="9"/>
  <c r="P2462" i="9"/>
  <c r="Q2461" i="9"/>
  <c r="P2461" i="9"/>
  <c r="Q2460" i="9"/>
  <c r="P2460" i="9"/>
  <c r="Q2459" i="9"/>
  <c r="P2459" i="9"/>
  <c r="Q2458" i="9"/>
  <c r="P2458" i="9"/>
  <c r="Q2455" i="9"/>
  <c r="P2455" i="9"/>
  <c r="Q2454" i="9"/>
  <c r="P2454" i="9"/>
  <c r="Q2453" i="9"/>
  <c r="P2453" i="9"/>
  <c r="Q2452" i="9"/>
  <c r="P2452" i="9"/>
  <c r="Q2451" i="9"/>
  <c r="P2451" i="9"/>
  <c r="Q2450" i="9"/>
  <c r="P2450" i="9"/>
  <c r="Q2449" i="9"/>
  <c r="P2449" i="9"/>
  <c r="Q2448" i="9"/>
  <c r="P2448" i="9"/>
  <c r="Q2447" i="9"/>
  <c r="P2447" i="9"/>
  <c r="Q2446" i="9"/>
  <c r="P2446" i="9"/>
  <c r="Q2445" i="9"/>
  <c r="P2445" i="9"/>
  <c r="Q2444" i="9"/>
  <c r="P2444" i="9"/>
  <c r="Q2443" i="9"/>
  <c r="P2443" i="9"/>
  <c r="Q2442" i="9"/>
  <c r="P2442" i="9"/>
  <c r="Q2441" i="9"/>
  <c r="P2441" i="9"/>
  <c r="Q2440" i="9"/>
  <c r="P2440" i="9"/>
  <c r="Q2439" i="9"/>
  <c r="P2439" i="9"/>
  <c r="Q2438" i="9"/>
  <c r="P2438" i="9"/>
  <c r="Q2437" i="9"/>
  <c r="P2437" i="9"/>
  <c r="Q2436" i="9"/>
  <c r="P2436" i="9"/>
  <c r="Q2435" i="9"/>
  <c r="P2435" i="9"/>
  <c r="Q2434" i="9"/>
  <c r="P2434" i="9"/>
  <c r="Q2433" i="9"/>
  <c r="P2433" i="9"/>
  <c r="Q2432" i="9"/>
  <c r="P2432" i="9"/>
  <c r="Q2431" i="9"/>
  <c r="P2431" i="9"/>
  <c r="Q2430" i="9"/>
  <c r="P2430" i="9"/>
  <c r="Q2429" i="9"/>
  <c r="P2429" i="9"/>
  <c r="Q2428" i="9"/>
  <c r="P2428" i="9"/>
  <c r="Q2427" i="9"/>
  <c r="P2427" i="9"/>
  <c r="Q2426" i="9"/>
  <c r="P2426" i="9"/>
  <c r="Q2425" i="9"/>
  <c r="P2425" i="9"/>
  <c r="Q2424" i="9"/>
  <c r="P2424" i="9"/>
  <c r="Q2421" i="9"/>
  <c r="P2421" i="9"/>
  <c r="Q2420" i="9"/>
  <c r="P2420" i="9"/>
  <c r="Q2419" i="9"/>
  <c r="P2419" i="9"/>
  <c r="Q2418" i="9"/>
  <c r="P2418" i="9"/>
  <c r="Q2415" i="9"/>
  <c r="P2415" i="9"/>
  <c r="Q2414" i="9"/>
  <c r="P2414" i="9"/>
  <c r="Q2411" i="9"/>
  <c r="P2411" i="9"/>
  <c r="Q2410" i="9"/>
  <c r="P2410" i="9"/>
  <c r="Q2409" i="9"/>
  <c r="P2409" i="9"/>
  <c r="Q2408" i="9"/>
  <c r="P2408" i="9"/>
  <c r="Q2407" i="9"/>
  <c r="P2407" i="9"/>
  <c r="Q2406" i="9"/>
  <c r="P2406" i="9"/>
  <c r="Q2405" i="9"/>
  <c r="P2405" i="9"/>
  <c r="Q2404" i="9"/>
  <c r="P2404" i="9"/>
  <c r="Q2403" i="9"/>
  <c r="P2403" i="9"/>
  <c r="Q2402" i="9"/>
  <c r="P2402" i="9"/>
  <c r="Q2401" i="9"/>
  <c r="P2401" i="9"/>
  <c r="Q2400" i="9"/>
  <c r="P2400" i="9"/>
  <c r="Q2391" i="9"/>
  <c r="P2391" i="9"/>
  <c r="Q2390" i="9"/>
  <c r="P2390" i="9"/>
  <c r="Q2389" i="9"/>
  <c r="P2389" i="9"/>
  <c r="Q2388" i="9"/>
  <c r="P2388" i="9"/>
  <c r="Q2387" i="9"/>
  <c r="P2387" i="9"/>
  <c r="Q2386" i="9"/>
  <c r="P2386" i="9"/>
  <c r="Q2385" i="9"/>
  <c r="P2385" i="9"/>
  <c r="Q2384" i="9"/>
  <c r="P2384" i="9"/>
  <c r="Q2383" i="9"/>
  <c r="P2383" i="9"/>
  <c r="Q2382" i="9"/>
  <c r="P2382" i="9"/>
  <c r="Q2381" i="9"/>
  <c r="P2381" i="9"/>
  <c r="Q2380" i="9"/>
  <c r="P2380" i="9"/>
  <c r="Q2378" i="9"/>
  <c r="P2378" i="9"/>
  <c r="Q2376" i="9"/>
  <c r="P2376" i="9"/>
  <c r="Q2375" i="9"/>
  <c r="P2375" i="9"/>
  <c r="Q2374" i="9"/>
  <c r="P2374" i="9"/>
  <c r="Q2373" i="9"/>
  <c r="P2373" i="9"/>
  <c r="Q2372" i="9"/>
  <c r="P2372" i="9"/>
  <c r="Q2371" i="9"/>
  <c r="P2371" i="9"/>
  <c r="Q2370" i="9"/>
  <c r="P2370" i="9"/>
  <c r="Q2369" i="9"/>
  <c r="P2369" i="9"/>
  <c r="Q2368" i="9"/>
  <c r="P2368" i="9"/>
  <c r="Q2367" i="9"/>
  <c r="P2367" i="9"/>
  <c r="Q2366" i="9"/>
  <c r="P2366" i="9"/>
  <c r="Q2365" i="9"/>
  <c r="P2365" i="9"/>
  <c r="Q2364" i="9"/>
  <c r="P2364" i="9"/>
  <c r="Q2363" i="9"/>
  <c r="P2363" i="9"/>
  <c r="Q2362" i="9"/>
  <c r="P2362" i="9"/>
  <c r="Q2361" i="9"/>
  <c r="P2361" i="9"/>
  <c r="Q2360" i="9"/>
  <c r="P2360" i="9"/>
  <c r="Q2359" i="9"/>
  <c r="P2359" i="9"/>
  <c r="Q2358" i="9"/>
  <c r="P2358" i="9"/>
  <c r="Q2357" i="9"/>
  <c r="P2357" i="9"/>
  <c r="Q2356" i="9"/>
  <c r="P2356" i="9"/>
  <c r="Q2355" i="9"/>
  <c r="P2355" i="9"/>
  <c r="Q2354" i="9"/>
  <c r="P2354" i="9"/>
  <c r="Q2353" i="9"/>
  <c r="P2353" i="9"/>
  <c r="Q2352" i="9"/>
  <c r="P2352" i="9"/>
  <c r="Q2351" i="9"/>
  <c r="P2351" i="9"/>
  <c r="Q2350" i="9"/>
  <c r="P2350" i="9"/>
  <c r="Q2349" i="9"/>
  <c r="P2349" i="9"/>
  <c r="Q2348" i="9"/>
  <c r="P2348" i="9"/>
  <c r="Q2347" i="9"/>
  <c r="P2347" i="9"/>
  <c r="Q2346" i="9"/>
  <c r="P2346" i="9"/>
  <c r="Q2345" i="9"/>
  <c r="P2345" i="9"/>
  <c r="Q2344" i="9"/>
  <c r="P2344" i="9"/>
  <c r="Q2343" i="9"/>
  <c r="P2343" i="9"/>
  <c r="Q2342" i="9"/>
  <c r="P2342" i="9"/>
  <c r="Q2341" i="9"/>
  <c r="P2341" i="9"/>
  <c r="Q2340" i="9"/>
  <c r="P2340" i="9"/>
  <c r="Q2339" i="9"/>
  <c r="P2339" i="9"/>
  <c r="Q2336" i="9"/>
  <c r="P2336" i="9"/>
  <c r="Q2335" i="9"/>
  <c r="P2335" i="9"/>
  <c r="Q2334" i="9"/>
  <c r="P2334" i="9"/>
  <c r="Q2333" i="9"/>
  <c r="P2333" i="9"/>
  <c r="Q2332" i="9"/>
  <c r="P2332" i="9"/>
  <c r="Q2331" i="9"/>
  <c r="P2331" i="9"/>
  <c r="Q2330" i="9"/>
  <c r="P2330" i="9"/>
  <c r="Q2329" i="9"/>
  <c r="P2329" i="9"/>
  <c r="Q2328" i="9"/>
  <c r="P2328" i="9"/>
  <c r="Q2327" i="9"/>
  <c r="P2327" i="9"/>
  <c r="Q2326" i="9"/>
  <c r="P2326" i="9"/>
  <c r="Q2325" i="9"/>
  <c r="P2325" i="9"/>
  <c r="Q2324" i="9"/>
  <c r="P2324" i="9"/>
  <c r="Q2323" i="9"/>
  <c r="P2323" i="9"/>
  <c r="Q2322" i="9"/>
  <c r="P2322" i="9"/>
  <c r="Q2321" i="9"/>
  <c r="P2321" i="9"/>
  <c r="Q2320" i="9"/>
  <c r="P2320" i="9"/>
  <c r="Q2319" i="9"/>
  <c r="P2319" i="9"/>
  <c r="Q2318" i="9"/>
  <c r="P2318" i="9"/>
  <c r="Q2317" i="9"/>
  <c r="P2317" i="9"/>
  <c r="Q2316" i="9"/>
  <c r="P2316" i="9"/>
  <c r="Q2315" i="9"/>
  <c r="P2315" i="9"/>
  <c r="Q2314" i="9"/>
  <c r="P2314" i="9"/>
  <c r="Q2313" i="9"/>
  <c r="P2313" i="9"/>
  <c r="Q2312" i="9"/>
  <c r="P2312" i="9"/>
  <c r="Q2311" i="9"/>
  <c r="P2311" i="9"/>
  <c r="Q2310" i="9"/>
  <c r="P2310" i="9"/>
  <c r="Q2309" i="9"/>
  <c r="P2309" i="9"/>
  <c r="Q2308" i="9"/>
  <c r="P2308" i="9"/>
  <c r="Q2307" i="9"/>
  <c r="P2307" i="9"/>
  <c r="Q2306" i="9"/>
  <c r="P2306" i="9"/>
  <c r="Q2305" i="9"/>
  <c r="P2305" i="9"/>
  <c r="Q2304" i="9"/>
  <c r="P2304" i="9"/>
  <c r="Q2303" i="9"/>
  <c r="P2303" i="9"/>
  <c r="Q2302" i="9"/>
  <c r="P2302" i="9"/>
  <c r="Q2301" i="9"/>
  <c r="P2301" i="9"/>
  <c r="Q2300" i="9"/>
  <c r="P2300" i="9"/>
  <c r="Q2299" i="9"/>
  <c r="P2299" i="9"/>
  <c r="Q2298" i="9"/>
  <c r="P2298" i="9"/>
  <c r="Q2295" i="9"/>
  <c r="P2295" i="9"/>
  <c r="Q2292" i="9"/>
  <c r="P2292" i="9"/>
  <c r="Q2291" i="9"/>
  <c r="P2291" i="9"/>
  <c r="Q2290" i="9"/>
  <c r="P2290" i="9"/>
  <c r="Q2289" i="9"/>
  <c r="P2289" i="9"/>
  <c r="Q2288" i="9"/>
  <c r="P2288" i="9"/>
  <c r="Q2287" i="9"/>
  <c r="P2287" i="9"/>
  <c r="Q2286" i="9"/>
  <c r="P2286" i="9"/>
  <c r="Q2285" i="9"/>
  <c r="P2285" i="9"/>
  <c r="Q2284" i="9"/>
  <c r="P2284" i="9"/>
  <c r="Q2283" i="9"/>
  <c r="P2283" i="9"/>
  <c r="Q2282" i="9"/>
  <c r="P2282" i="9"/>
  <c r="Q2281" i="9"/>
  <c r="P2281" i="9"/>
  <c r="Q2280" i="9"/>
  <c r="P2280" i="9"/>
  <c r="Q2279" i="9"/>
  <c r="P2279" i="9"/>
  <c r="Q2278" i="9"/>
  <c r="P2278" i="9"/>
  <c r="Q2277" i="9"/>
  <c r="P2277" i="9"/>
  <c r="Q2276" i="9"/>
  <c r="P2276" i="9"/>
  <c r="Q2275" i="9"/>
  <c r="P2275" i="9"/>
  <c r="Q2274" i="9"/>
  <c r="P2274" i="9"/>
  <c r="Q2273" i="9"/>
  <c r="P2273" i="9"/>
  <c r="Q2272" i="9"/>
  <c r="P2272" i="9"/>
  <c r="Q2271" i="9"/>
  <c r="P2271" i="9"/>
  <c r="Q2270" i="9"/>
  <c r="P2270" i="9"/>
  <c r="Q2268" i="9"/>
  <c r="P2268" i="9"/>
  <c r="Q2266" i="9"/>
  <c r="P2266" i="9"/>
  <c r="Q2264" i="9"/>
  <c r="P2264" i="9"/>
  <c r="Q2263" i="9"/>
  <c r="P2263" i="9"/>
  <c r="Q2262" i="9"/>
  <c r="P2262" i="9"/>
  <c r="Q2261" i="9"/>
  <c r="P2261" i="9"/>
  <c r="Q2259" i="9"/>
  <c r="P2259" i="9"/>
  <c r="Q2258" i="9"/>
  <c r="P2258" i="9"/>
  <c r="Q2257" i="9"/>
  <c r="P2257" i="9"/>
  <c r="Q2256" i="9"/>
  <c r="P2256" i="9"/>
  <c r="Q2255" i="9"/>
  <c r="P2255" i="9"/>
  <c r="Q2254" i="9"/>
  <c r="P2254" i="9"/>
  <c r="Q2253" i="9"/>
  <c r="P2253" i="9"/>
  <c r="Q2252" i="9"/>
  <c r="P2252" i="9"/>
  <c r="Q2251" i="9"/>
  <c r="P2251" i="9"/>
  <c r="Q2250" i="9"/>
  <c r="P2250" i="9"/>
  <c r="Q2249" i="9"/>
  <c r="P2249" i="9"/>
  <c r="Q2248" i="9"/>
  <c r="P2248" i="9"/>
  <c r="Q2247" i="9"/>
  <c r="P2247" i="9"/>
  <c r="Q2246" i="9"/>
  <c r="P2246" i="9"/>
  <c r="Q2245" i="9"/>
  <c r="P2245" i="9"/>
  <c r="Q2244" i="9"/>
  <c r="P2244" i="9"/>
  <c r="Q2243" i="9"/>
  <c r="P2243" i="9"/>
  <c r="Q2238" i="9"/>
  <c r="P2238" i="9"/>
  <c r="Q2233" i="9"/>
  <c r="P2233" i="9"/>
  <c r="Q2228" i="9"/>
  <c r="P2228" i="9"/>
  <c r="Q2223" i="9"/>
  <c r="P2223" i="9"/>
  <c r="Q2218" i="9"/>
  <c r="P2218" i="9"/>
  <c r="Q2213" i="9"/>
  <c r="P2213" i="9"/>
  <c r="Q2212" i="9"/>
  <c r="P2212" i="9"/>
  <c r="Q2211" i="9"/>
  <c r="P2211" i="9"/>
  <c r="Q2210" i="9"/>
  <c r="P2210" i="9"/>
  <c r="Q2209" i="9"/>
  <c r="P2209" i="9"/>
  <c r="Q2208" i="9"/>
  <c r="P2208" i="9"/>
  <c r="Q2207" i="9"/>
  <c r="P2207" i="9"/>
  <c r="Q2206" i="9"/>
  <c r="P2206" i="9"/>
  <c r="Q2205" i="9"/>
  <c r="P2205" i="9"/>
  <c r="Q2204" i="9"/>
  <c r="P2204" i="9"/>
  <c r="Q2203" i="9"/>
  <c r="P2203" i="9"/>
  <c r="Q2202" i="9"/>
  <c r="P2202" i="9"/>
  <c r="Q2201" i="9"/>
  <c r="P2201" i="9"/>
  <c r="Q2200" i="9"/>
  <c r="P2200" i="9"/>
  <c r="Q2199" i="9"/>
  <c r="P2199" i="9"/>
  <c r="Q2198" i="9"/>
  <c r="P2198" i="9"/>
  <c r="Q2197" i="9"/>
  <c r="P2197" i="9"/>
  <c r="Q2196" i="9"/>
  <c r="P2196" i="9"/>
  <c r="Q2195" i="9"/>
  <c r="P2195" i="9"/>
  <c r="Q2194" i="9"/>
  <c r="P2194" i="9"/>
  <c r="Q2191" i="9"/>
  <c r="P2191" i="9"/>
  <c r="Q2190" i="9"/>
  <c r="P2190" i="9"/>
  <c r="Q2187" i="9"/>
  <c r="P2187" i="9"/>
  <c r="Q2186" i="9"/>
  <c r="P2186" i="9"/>
  <c r="Q2185" i="9"/>
  <c r="P2185" i="9"/>
  <c r="Q2184" i="9"/>
  <c r="P2184" i="9"/>
  <c r="Q2183" i="9"/>
  <c r="P2183" i="9"/>
  <c r="Q2182" i="9"/>
  <c r="P2182" i="9"/>
  <c r="Q2181" i="9"/>
  <c r="P2181" i="9"/>
  <c r="Q2179" i="9"/>
  <c r="P2179" i="9"/>
  <c r="Q2177" i="9"/>
  <c r="P2177" i="9"/>
  <c r="Q2175" i="9"/>
  <c r="P2175" i="9"/>
  <c r="Q2174" i="9"/>
  <c r="P2174" i="9"/>
  <c r="Q2173" i="9"/>
  <c r="P2173" i="9"/>
  <c r="Q2172" i="9"/>
  <c r="P2172" i="9"/>
  <c r="Q2171" i="9"/>
  <c r="P2171" i="9"/>
  <c r="Q2168" i="9"/>
  <c r="P2168" i="9"/>
  <c r="Q2167" i="9"/>
  <c r="P2167" i="9"/>
  <c r="Q2166" i="9"/>
  <c r="P2166" i="9"/>
  <c r="Q2165" i="9"/>
  <c r="P2165" i="9"/>
  <c r="Q2164" i="9"/>
  <c r="P2164" i="9"/>
  <c r="Q2163" i="9"/>
  <c r="P2163" i="9"/>
  <c r="Q2162" i="9"/>
  <c r="P2162" i="9"/>
  <c r="Q2161" i="9"/>
  <c r="P2161" i="9"/>
  <c r="Q2160" i="9"/>
  <c r="P2160" i="9"/>
  <c r="Q2159" i="9"/>
  <c r="P2159" i="9"/>
  <c r="Q2158" i="9"/>
  <c r="P2158" i="9"/>
  <c r="Q2157" i="9"/>
  <c r="P2157" i="9"/>
  <c r="Q2156" i="9"/>
  <c r="P2156" i="9"/>
  <c r="Q2155" i="9"/>
  <c r="P2155" i="9"/>
  <c r="Q2154" i="9"/>
  <c r="P2154" i="9"/>
  <c r="Q2153" i="9"/>
  <c r="P2153" i="9"/>
  <c r="Q2152" i="9"/>
  <c r="P2152" i="9"/>
  <c r="Q2151" i="9"/>
  <c r="P2151" i="9"/>
  <c r="Q2150" i="9"/>
  <c r="P2150" i="9"/>
  <c r="Q2149" i="9"/>
  <c r="P2149" i="9"/>
  <c r="Q2148" i="9"/>
  <c r="P2148" i="9"/>
  <c r="Q2147" i="9"/>
  <c r="P2147" i="9"/>
  <c r="Q2146" i="9"/>
  <c r="P2146" i="9"/>
  <c r="Q2145" i="9"/>
  <c r="P2145" i="9"/>
  <c r="Q2144" i="9"/>
  <c r="P2144" i="9"/>
  <c r="Q2143" i="9"/>
  <c r="P2143" i="9"/>
  <c r="Q2142" i="9"/>
  <c r="P2142" i="9"/>
  <c r="Q2141" i="9"/>
  <c r="P2141" i="9"/>
  <c r="Q2140" i="9"/>
  <c r="P2140" i="9"/>
  <c r="Q2139" i="9"/>
  <c r="P2139" i="9"/>
  <c r="Q2138" i="9"/>
  <c r="P2138" i="9"/>
  <c r="Q2137" i="9"/>
  <c r="P2137" i="9"/>
  <c r="Q2136" i="9"/>
  <c r="P2136" i="9"/>
  <c r="Q2135" i="9"/>
  <c r="P2135" i="9"/>
  <c r="Q2134" i="9"/>
  <c r="P2134" i="9"/>
  <c r="Q2133" i="9"/>
  <c r="P2133" i="9"/>
  <c r="Q2132" i="9"/>
  <c r="P2132" i="9"/>
  <c r="Q2131" i="9"/>
  <c r="P2131" i="9"/>
  <c r="Q2130" i="9"/>
  <c r="P2130" i="9"/>
  <c r="Q2129" i="9"/>
  <c r="P2129" i="9"/>
  <c r="Q2128" i="9"/>
  <c r="P2128" i="9"/>
  <c r="Q2127" i="9"/>
  <c r="P2127" i="9"/>
  <c r="Q2126" i="9"/>
  <c r="P2126" i="9"/>
  <c r="Q2125" i="9"/>
  <c r="P2125" i="9"/>
  <c r="Q2124" i="9"/>
  <c r="P2124" i="9"/>
  <c r="Q2123" i="9"/>
  <c r="P2123" i="9"/>
  <c r="Q2122" i="9"/>
  <c r="P2122" i="9"/>
  <c r="Q2121" i="9"/>
  <c r="P2121" i="9"/>
  <c r="Q2120" i="9"/>
  <c r="P2120" i="9"/>
  <c r="Q2119" i="9"/>
  <c r="P2119" i="9"/>
  <c r="Q2118" i="9"/>
  <c r="P2118" i="9"/>
  <c r="Q2117" i="9"/>
  <c r="P2117" i="9"/>
  <c r="Q2116" i="9"/>
  <c r="P2116" i="9"/>
  <c r="Q2115" i="9"/>
  <c r="P2115" i="9"/>
  <c r="Q2114" i="9"/>
  <c r="P2114" i="9"/>
  <c r="Q2113" i="9"/>
  <c r="P2113" i="9"/>
  <c r="Q2112" i="9"/>
  <c r="P2112" i="9"/>
  <c r="Q2111" i="9"/>
  <c r="P2111" i="9"/>
  <c r="Q2110" i="9"/>
  <c r="P2110" i="9"/>
  <c r="Q2109" i="9"/>
  <c r="P2109" i="9"/>
  <c r="Q2106" i="9"/>
  <c r="P2106" i="9"/>
  <c r="Q2105" i="9"/>
  <c r="P2105" i="9"/>
  <c r="Q2102" i="9"/>
  <c r="P2102" i="9"/>
  <c r="Q2101" i="9"/>
  <c r="P2101" i="9"/>
  <c r="Q2100" i="9"/>
  <c r="P2100" i="9"/>
  <c r="Q2099" i="9"/>
  <c r="P2099" i="9"/>
  <c r="Q2098" i="9"/>
  <c r="P2098" i="9"/>
  <c r="Q2097" i="9"/>
  <c r="P2097" i="9"/>
  <c r="Q2096" i="9"/>
  <c r="P2096" i="9"/>
  <c r="Q2095" i="9"/>
  <c r="P2095" i="9"/>
  <c r="Q2094" i="9"/>
  <c r="P2094" i="9"/>
  <c r="Q2093" i="9"/>
  <c r="P2093" i="9"/>
  <c r="Q2092" i="9"/>
  <c r="P2092" i="9"/>
  <c r="Q2091" i="9"/>
  <c r="P2091" i="9"/>
  <c r="Q2090" i="9"/>
  <c r="P2090" i="9"/>
  <c r="Q2089" i="9"/>
  <c r="P2089" i="9"/>
  <c r="Q2088" i="9"/>
  <c r="P2088" i="9"/>
  <c r="Q2087" i="9"/>
  <c r="P2087" i="9"/>
  <c r="Q2086" i="9"/>
  <c r="P2086" i="9"/>
  <c r="Q2085" i="9"/>
  <c r="P2085" i="9"/>
  <c r="Q2084" i="9"/>
  <c r="P2084" i="9"/>
  <c r="Q2083" i="9"/>
  <c r="P2083" i="9"/>
  <c r="Q2082" i="9"/>
  <c r="P2082" i="9"/>
  <c r="Q2081" i="9"/>
  <c r="P2081" i="9"/>
  <c r="Q2080" i="9"/>
  <c r="P2080" i="9"/>
  <c r="Q2079" i="9"/>
  <c r="P2079" i="9"/>
  <c r="Q2078" i="9"/>
  <c r="P2078" i="9"/>
  <c r="Q2077" i="9"/>
  <c r="P2077" i="9"/>
  <c r="Q2076" i="9"/>
  <c r="P2076" i="9"/>
  <c r="Q2075" i="9"/>
  <c r="P2075" i="9"/>
  <c r="Q2074" i="9"/>
  <c r="P2074" i="9"/>
  <c r="Q2073" i="9"/>
  <c r="P2073" i="9"/>
  <c r="Q2072" i="9"/>
  <c r="P2072" i="9"/>
  <c r="Q2071" i="9"/>
  <c r="P2071" i="9"/>
  <c r="Q2070" i="9"/>
  <c r="P2070" i="9"/>
  <c r="Q2069" i="9"/>
  <c r="P2069" i="9"/>
  <c r="Q2068" i="9"/>
  <c r="P2068" i="9"/>
  <c r="Q2067" i="9"/>
  <c r="P2067" i="9"/>
  <c r="Q2066" i="9"/>
  <c r="P2066" i="9"/>
  <c r="Q2065" i="9"/>
  <c r="P2065" i="9"/>
  <c r="Q2064" i="9"/>
  <c r="P2064" i="9"/>
  <c r="Q2062" i="9"/>
  <c r="P2062" i="9"/>
  <c r="Q2061" i="9"/>
  <c r="P2061" i="9"/>
  <c r="Q2060" i="9"/>
  <c r="P2060" i="9"/>
  <c r="Q2059" i="9"/>
  <c r="P2059" i="9"/>
  <c r="Q2058" i="9"/>
  <c r="P2058" i="9"/>
  <c r="Q2057" i="9"/>
  <c r="P2057" i="9"/>
  <c r="Q2056" i="9"/>
  <c r="P2056" i="9"/>
  <c r="Q2055" i="9"/>
  <c r="P2055" i="9"/>
  <c r="Q2054" i="9"/>
  <c r="P2054" i="9"/>
  <c r="Q2053" i="9"/>
  <c r="P2053" i="9"/>
  <c r="Q2052" i="9"/>
  <c r="P2052" i="9"/>
  <c r="Q2051" i="9"/>
  <c r="P2051" i="9"/>
  <c r="Q2050" i="9"/>
  <c r="P2050" i="9"/>
  <c r="Q2049" i="9"/>
  <c r="P2049" i="9"/>
  <c r="Q2048" i="9"/>
  <c r="P2048" i="9"/>
  <c r="Q2047" i="9"/>
  <c r="P2047" i="9"/>
  <c r="Q2046" i="9"/>
  <c r="P2046" i="9"/>
  <c r="Q2045" i="9"/>
  <c r="P2045" i="9"/>
  <c r="Q2044" i="9"/>
  <c r="P2044" i="9"/>
  <c r="Q2043" i="9"/>
  <c r="P2043" i="9"/>
  <c r="Q2042" i="9"/>
  <c r="P2042" i="9"/>
  <c r="Q2041" i="9"/>
  <c r="P2041" i="9"/>
  <c r="Q2040" i="9"/>
  <c r="P2040" i="9"/>
  <c r="Q2039" i="9"/>
  <c r="P2039" i="9"/>
  <c r="Q2038" i="9"/>
  <c r="P2038" i="9"/>
  <c r="Q2037" i="9"/>
  <c r="P2037" i="9"/>
  <c r="Q2036" i="9"/>
  <c r="P2036" i="9"/>
  <c r="Q2035" i="9"/>
  <c r="P2035" i="9"/>
  <c r="Q2034" i="9"/>
  <c r="P2034" i="9"/>
  <c r="Q2033" i="9"/>
  <c r="P2033" i="9"/>
  <c r="Q2032" i="9"/>
  <c r="P2032" i="9"/>
  <c r="Q2031" i="9"/>
  <c r="P2031" i="9"/>
  <c r="Q2030" i="9"/>
  <c r="P2030" i="9"/>
  <c r="Q2029" i="9"/>
  <c r="P2029" i="9"/>
  <c r="Q2028" i="9"/>
  <c r="P2028" i="9"/>
  <c r="Q2027" i="9"/>
  <c r="P2027" i="9"/>
  <c r="Q2026" i="9"/>
  <c r="P2026" i="9"/>
  <c r="Q2025" i="9"/>
  <c r="P2025" i="9"/>
  <c r="Q2024" i="9"/>
  <c r="P2024" i="9"/>
  <c r="Q2023" i="9"/>
  <c r="P2023" i="9"/>
  <c r="Q2022" i="9"/>
  <c r="P2022" i="9"/>
  <c r="Q2021" i="9"/>
  <c r="P2021" i="9"/>
  <c r="Q2020" i="9"/>
  <c r="P2020" i="9"/>
  <c r="Q2019" i="9"/>
  <c r="P2019" i="9"/>
  <c r="Q2018" i="9"/>
  <c r="P2018" i="9"/>
  <c r="Q2015" i="9"/>
  <c r="P2015" i="9"/>
  <c r="Q2014" i="9"/>
  <c r="P2014" i="9"/>
  <c r="Q2011" i="9"/>
  <c r="P2011" i="9"/>
  <c r="Q2010" i="9"/>
  <c r="P2010" i="9"/>
  <c r="Q2009" i="9"/>
  <c r="P2009" i="9"/>
  <c r="Q2008" i="9"/>
  <c r="P2008" i="9"/>
  <c r="Q2007" i="9"/>
  <c r="P2007" i="9"/>
  <c r="Q2006" i="9"/>
  <c r="P2006" i="9"/>
  <c r="Q2005" i="9"/>
  <c r="P2005" i="9"/>
  <c r="Q2002" i="9"/>
  <c r="P2002" i="9"/>
  <c r="Q2001" i="9"/>
  <c r="P2001" i="9"/>
  <c r="Q2000" i="9"/>
  <c r="P2000" i="9"/>
  <c r="Q1999" i="9"/>
  <c r="P1999" i="9"/>
  <c r="Q1998" i="9"/>
  <c r="P1998" i="9"/>
  <c r="Q1997" i="9"/>
  <c r="P1997" i="9"/>
  <c r="Q1996" i="9"/>
  <c r="P1996" i="9"/>
  <c r="Q1995" i="9"/>
  <c r="P1995" i="9"/>
  <c r="Q1994" i="9"/>
  <c r="P1994" i="9"/>
  <c r="Q1993" i="9"/>
  <c r="P1993" i="9"/>
  <c r="Q1992" i="9"/>
  <c r="P1992" i="9"/>
  <c r="Q1991" i="9"/>
  <c r="P1991" i="9"/>
  <c r="Q1990" i="9"/>
  <c r="P1990" i="9"/>
  <c r="Q1989" i="9"/>
  <c r="P1989" i="9"/>
  <c r="Q1988" i="9"/>
  <c r="P1988" i="9"/>
  <c r="Q1987" i="9"/>
  <c r="P1987" i="9"/>
  <c r="Q1986" i="9"/>
  <c r="P1986" i="9"/>
  <c r="Q1985" i="9"/>
  <c r="P1985" i="9"/>
  <c r="Q1984" i="9"/>
  <c r="P1984" i="9"/>
  <c r="Q1983" i="9"/>
  <c r="P1983" i="9"/>
  <c r="Q1982" i="9"/>
  <c r="P1982" i="9"/>
  <c r="Q1981" i="9"/>
  <c r="P1981" i="9"/>
  <c r="Q1978" i="9"/>
  <c r="P1978" i="9"/>
  <c r="Q1977" i="9"/>
  <c r="P1977" i="9"/>
  <c r="Q1976" i="9"/>
  <c r="P1976" i="9"/>
  <c r="Q1975" i="9"/>
  <c r="P1975" i="9"/>
  <c r="Q1974" i="9"/>
  <c r="P1974" i="9"/>
  <c r="Q1971" i="9"/>
  <c r="P1971" i="9"/>
  <c r="Q1962" i="9"/>
  <c r="P1962" i="9"/>
  <c r="Q1961" i="9"/>
  <c r="P1961" i="9"/>
  <c r="Q1960" i="9"/>
  <c r="P1960" i="9"/>
  <c r="Q1959" i="9"/>
  <c r="P1959" i="9"/>
  <c r="Q1956" i="9"/>
  <c r="P1956" i="9"/>
  <c r="Q1955" i="9"/>
  <c r="P1955" i="9"/>
  <c r="Q1954" i="9"/>
  <c r="P1954" i="9"/>
  <c r="Q1953" i="9"/>
  <c r="P1953" i="9"/>
  <c r="Q1952" i="9"/>
  <c r="P1952" i="9"/>
  <c r="Q1951" i="9"/>
  <c r="P1951" i="9"/>
  <c r="Q1950" i="9"/>
  <c r="P1950" i="9"/>
  <c r="Q1949" i="9"/>
  <c r="P1949" i="9"/>
  <c r="Q1948" i="9"/>
  <c r="P1948" i="9"/>
  <c r="Q1947" i="9"/>
  <c r="P1947" i="9"/>
  <c r="Q1946" i="9"/>
  <c r="P1946" i="9"/>
  <c r="Q1945" i="9"/>
  <c r="P1945" i="9"/>
  <c r="Q1944" i="9"/>
  <c r="P1944" i="9"/>
  <c r="Q1943" i="9"/>
  <c r="P1943" i="9"/>
  <c r="Q1942" i="9"/>
  <c r="P1942" i="9"/>
  <c r="Q1941" i="9"/>
  <c r="P1941" i="9"/>
  <c r="Q1940" i="9"/>
  <c r="P1940" i="9"/>
  <c r="Q1939" i="9"/>
  <c r="P1939" i="9"/>
  <c r="Q1938" i="9"/>
  <c r="P1938" i="9"/>
  <c r="Q1937" i="9"/>
  <c r="P1937" i="9"/>
  <c r="Q1936" i="9"/>
  <c r="P1936" i="9"/>
  <c r="Q1935" i="9"/>
  <c r="P1935" i="9"/>
  <c r="Q1934" i="9"/>
  <c r="P1934" i="9"/>
  <c r="Q1933" i="9"/>
  <c r="P1933" i="9"/>
  <c r="Q1932" i="9"/>
  <c r="P1932" i="9"/>
  <c r="Q1931" i="9"/>
  <c r="P1931" i="9"/>
  <c r="Q1930" i="9"/>
  <c r="P1930" i="9"/>
  <c r="Q1929" i="9"/>
  <c r="P1929" i="9"/>
  <c r="Q1928" i="9"/>
  <c r="P1928" i="9"/>
  <c r="Q1927" i="9"/>
  <c r="P1927" i="9"/>
  <c r="Q1924" i="9"/>
  <c r="P1924" i="9"/>
  <c r="Q1923" i="9"/>
  <c r="P1923" i="9"/>
  <c r="Q1922" i="9"/>
  <c r="P1922" i="9"/>
  <c r="Q1921" i="9"/>
  <c r="P1921" i="9"/>
  <c r="Q1918" i="9"/>
  <c r="P1918" i="9"/>
  <c r="Q1917" i="9"/>
  <c r="P1917" i="9"/>
  <c r="Q1916" i="9"/>
  <c r="P1916" i="9"/>
  <c r="Q1915" i="9"/>
  <c r="P1915" i="9"/>
  <c r="Q1914" i="9"/>
  <c r="P1914" i="9"/>
  <c r="Q1913" i="9"/>
  <c r="P1913" i="9"/>
  <c r="Q1912" i="9"/>
  <c r="P1912" i="9"/>
  <c r="Q1911" i="9"/>
  <c r="P1911" i="9"/>
  <c r="Q1910" i="9"/>
  <c r="P1910" i="9"/>
  <c r="Q1909" i="9"/>
  <c r="P1909" i="9"/>
  <c r="Q1908" i="9"/>
  <c r="P1908" i="9"/>
  <c r="Q1907" i="9"/>
  <c r="P1907" i="9"/>
  <c r="Q1906" i="9"/>
  <c r="P1906" i="9"/>
  <c r="Q1905" i="9"/>
  <c r="P1905" i="9"/>
  <c r="Q1904" i="9"/>
  <c r="P1904" i="9"/>
  <c r="Q1903" i="9"/>
  <c r="P1903" i="9"/>
  <c r="Q1902" i="9"/>
  <c r="P1902" i="9"/>
  <c r="Q1901" i="9"/>
  <c r="P1901" i="9"/>
  <c r="Q1900" i="9"/>
  <c r="P1900" i="9"/>
  <c r="Q1899" i="9"/>
  <c r="P1899" i="9"/>
  <c r="Q1898" i="9"/>
  <c r="P1898" i="9"/>
  <c r="Q1897" i="9"/>
  <c r="P1897" i="9"/>
  <c r="Q1896" i="9"/>
  <c r="P1896" i="9"/>
  <c r="Q1894" i="9"/>
  <c r="P1894" i="9"/>
  <c r="Q1892" i="9"/>
  <c r="P1892" i="9"/>
  <c r="Q1890" i="9"/>
  <c r="P1890" i="9"/>
  <c r="Q1889" i="9"/>
  <c r="P1889" i="9"/>
  <c r="Q1888" i="9"/>
  <c r="P1888" i="9"/>
  <c r="Q1887" i="9"/>
  <c r="P1887" i="9"/>
  <c r="Q1886" i="9"/>
  <c r="P1886" i="9"/>
  <c r="Q1885" i="9"/>
  <c r="P1885" i="9"/>
  <c r="Q1884" i="9"/>
  <c r="P1884" i="9"/>
  <c r="Q1883" i="9"/>
  <c r="P1883" i="9"/>
  <c r="Q1882" i="9"/>
  <c r="P1882" i="9"/>
  <c r="Q1881" i="9"/>
  <c r="P1881" i="9"/>
  <c r="Q1880" i="9"/>
  <c r="P1880" i="9"/>
  <c r="Q1879" i="9"/>
  <c r="P1879" i="9"/>
  <c r="Q1878" i="9"/>
  <c r="P1878" i="9"/>
  <c r="Q1877" i="9"/>
  <c r="P1877" i="9"/>
  <c r="Q1876" i="9"/>
  <c r="P1876" i="9"/>
  <c r="Q1875" i="9"/>
  <c r="P1875" i="9"/>
  <c r="Q1874" i="9"/>
  <c r="P1874" i="9"/>
  <c r="Q1873" i="9"/>
  <c r="P1873" i="9"/>
  <c r="Q1872" i="9"/>
  <c r="P1872" i="9"/>
  <c r="Q1871" i="9"/>
  <c r="P1871" i="9"/>
  <c r="Q1870" i="9"/>
  <c r="P1870" i="9"/>
  <c r="Q1869" i="9"/>
  <c r="P1869" i="9"/>
  <c r="Q1866" i="9"/>
  <c r="P1866" i="9"/>
  <c r="Q1865" i="9"/>
  <c r="P1865" i="9"/>
  <c r="Q1864" i="9"/>
  <c r="P1864" i="9"/>
  <c r="Q1863" i="9"/>
  <c r="P1863" i="9"/>
  <c r="Q1862" i="9"/>
  <c r="P1862" i="9"/>
  <c r="Q1861" i="9"/>
  <c r="P1861" i="9"/>
  <c r="Q1860" i="9"/>
  <c r="P1860" i="9"/>
  <c r="Q1859" i="9"/>
  <c r="P1859" i="9"/>
  <c r="Q1858" i="9"/>
  <c r="P1858" i="9"/>
  <c r="Q1857" i="9"/>
  <c r="P1857" i="9"/>
  <c r="Q1856" i="9"/>
  <c r="P1856" i="9"/>
  <c r="Q1855" i="9"/>
  <c r="P1855" i="9"/>
  <c r="Q1854" i="9"/>
  <c r="P1854" i="9"/>
  <c r="Q1853" i="9"/>
  <c r="P1853" i="9"/>
  <c r="Q1850" i="9"/>
  <c r="P1850" i="9"/>
  <c r="Q1849" i="9"/>
  <c r="P1849" i="9"/>
  <c r="Q1848" i="9"/>
  <c r="P1848" i="9"/>
  <c r="Q1847" i="9"/>
  <c r="P1847" i="9"/>
  <c r="Q1846" i="9"/>
  <c r="P1846" i="9"/>
  <c r="Q1845" i="9"/>
  <c r="P1845" i="9"/>
  <c r="Q1844" i="9"/>
  <c r="P1844" i="9"/>
  <c r="Q1843" i="9"/>
  <c r="P1843" i="9"/>
  <c r="Q1842" i="9"/>
  <c r="P1842" i="9"/>
  <c r="Q1841" i="9"/>
  <c r="P1841" i="9"/>
  <c r="Q1840" i="9"/>
  <c r="P1840" i="9"/>
  <c r="Q1839" i="9"/>
  <c r="P1839" i="9"/>
  <c r="Q1838" i="9"/>
  <c r="P1838" i="9"/>
  <c r="Q1837" i="9"/>
  <c r="P1837" i="9"/>
  <c r="Q1836" i="9"/>
  <c r="P1836" i="9"/>
  <c r="Q1835" i="9"/>
  <c r="P1835" i="9"/>
  <c r="Q1834" i="9"/>
  <c r="P1834" i="9"/>
  <c r="Q1833" i="9"/>
  <c r="P1833" i="9"/>
  <c r="Q1832" i="9"/>
  <c r="P1832" i="9"/>
  <c r="Q1831" i="9"/>
  <c r="P1831" i="9"/>
  <c r="Q1830" i="9"/>
  <c r="P1830" i="9"/>
  <c r="Q1829" i="9"/>
  <c r="P1829" i="9"/>
  <c r="Q1828" i="9"/>
  <c r="P1828" i="9"/>
  <c r="Q1827" i="9"/>
  <c r="P1827" i="9"/>
  <c r="Q1824" i="9"/>
  <c r="P1824" i="9"/>
  <c r="Q1823" i="9"/>
  <c r="P1823" i="9"/>
  <c r="Q1822" i="9"/>
  <c r="P1822" i="9"/>
  <c r="Q1821" i="9"/>
  <c r="P1821" i="9"/>
  <c r="Q1820" i="9"/>
  <c r="P1820" i="9"/>
  <c r="Q1819" i="9"/>
  <c r="P1819" i="9"/>
  <c r="Q1818" i="9"/>
  <c r="P1818" i="9"/>
  <c r="Q1817" i="9"/>
  <c r="P1817" i="9"/>
  <c r="Q1816" i="9"/>
  <c r="P1816" i="9"/>
  <c r="Q1815" i="9"/>
  <c r="P1815" i="9"/>
  <c r="Q1814" i="9"/>
  <c r="P1814" i="9"/>
  <c r="Q1811" i="9"/>
  <c r="P1811" i="9"/>
  <c r="Q1810" i="9"/>
  <c r="P1810" i="9"/>
  <c r="Q1809" i="9"/>
  <c r="P1809" i="9"/>
  <c r="Q1808" i="9"/>
  <c r="P1808" i="9"/>
  <c r="Q1807" i="9"/>
  <c r="P1807" i="9"/>
  <c r="Q1806" i="9"/>
  <c r="P1806" i="9"/>
  <c r="Q1805" i="9"/>
  <c r="P1805" i="9"/>
  <c r="Q1804" i="9"/>
  <c r="P1804" i="9"/>
  <c r="Q1803" i="9"/>
  <c r="P1803" i="9"/>
  <c r="Q1802" i="9"/>
  <c r="P1802" i="9"/>
  <c r="Q1801" i="9"/>
  <c r="P1801" i="9"/>
  <c r="Q1798" i="9"/>
  <c r="P1798" i="9"/>
  <c r="Q1797" i="9"/>
  <c r="P1797" i="9"/>
  <c r="Q1796" i="9"/>
  <c r="P1796" i="9"/>
  <c r="Q1795" i="9"/>
  <c r="P1795" i="9"/>
  <c r="Q1794" i="9"/>
  <c r="P1794" i="9"/>
  <c r="Q1793" i="9"/>
  <c r="P1793" i="9"/>
  <c r="Q1792" i="9"/>
  <c r="P1792" i="9"/>
  <c r="Q1791" i="9"/>
  <c r="P1791" i="9"/>
  <c r="Q1790" i="9"/>
  <c r="P1790" i="9"/>
  <c r="Q1789" i="9"/>
  <c r="P1789" i="9"/>
  <c r="Q1788" i="9"/>
  <c r="P1788" i="9"/>
  <c r="Q1787" i="9"/>
  <c r="P1787" i="9"/>
  <c r="Q1784" i="9"/>
  <c r="P1784" i="9"/>
  <c r="Q1783" i="9"/>
  <c r="P1783" i="9"/>
  <c r="Q1782" i="9"/>
  <c r="P1782" i="9"/>
  <c r="Q1781" i="9"/>
  <c r="P1781" i="9"/>
  <c r="Q1780" i="9"/>
  <c r="P1780" i="9"/>
  <c r="Q1779" i="9"/>
  <c r="P1779" i="9"/>
  <c r="Q1778" i="9"/>
  <c r="P1778" i="9"/>
  <c r="Q1777" i="9"/>
  <c r="P1777" i="9"/>
  <c r="Q1776" i="9"/>
  <c r="P1776" i="9"/>
  <c r="Q1775" i="9"/>
  <c r="P1775" i="9"/>
  <c r="Q1774" i="9"/>
  <c r="P1774" i="9"/>
  <c r="Q1773" i="9"/>
  <c r="P1773" i="9"/>
  <c r="Q1772" i="9"/>
  <c r="P1772" i="9"/>
  <c r="Q1771" i="9"/>
  <c r="P1771" i="9"/>
  <c r="Q1768" i="9"/>
  <c r="P1768" i="9"/>
  <c r="Q1765" i="9"/>
  <c r="P1765" i="9"/>
  <c r="Q1764" i="9"/>
  <c r="P1764" i="9"/>
  <c r="Q1763" i="9"/>
  <c r="P1763" i="9"/>
  <c r="Q1762" i="9"/>
  <c r="P1762" i="9"/>
  <c r="Q1761" i="9"/>
  <c r="P1761" i="9"/>
  <c r="Q1760" i="9"/>
  <c r="P1760" i="9"/>
  <c r="Q1759" i="9"/>
  <c r="P1759" i="9"/>
  <c r="Q1758" i="9"/>
  <c r="P1758" i="9"/>
  <c r="Q1757" i="9"/>
  <c r="P1757" i="9"/>
  <c r="Q1756" i="9"/>
  <c r="P1756" i="9"/>
  <c r="Q1755" i="9"/>
  <c r="P1755" i="9"/>
  <c r="Q1754" i="9"/>
  <c r="P1754" i="9"/>
  <c r="Q1753" i="9"/>
  <c r="P1753" i="9"/>
  <c r="Q1752" i="9"/>
  <c r="P1752" i="9"/>
  <c r="Q1751" i="9"/>
  <c r="P1751" i="9"/>
  <c r="Q1750" i="9"/>
  <c r="P1750" i="9"/>
  <c r="Q1749" i="9"/>
  <c r="P1749" i="9"/>
  <c r="Q1746" i="9"/>
  <c r="P1746" i="9"/>
  <c r="Q1745" i="9"/>
  <c r="P1745" i="9"/>
  <c r="Q1744" i="9"/>
  <c r="P1744" i="9"/>
  <c r="Q1743" i="9"/>
  <c r="P1743" i="9"/>
  <c r="Q1742" i="9"/>
  <c r="P1742" i="9"/>
  <c r="Q1741" i="9"/>
  <c r="P1741" i="9"/>
  <c r="Q1740" i="9"/>
  <c r="P1740" i="9"/>
  <c r="Q1739" i="9"/>
  <c r="P1739" i="9"/>
  <c r="Q1738" i="9"/>
  <c r="P1738" i="9"/>
  <c r="Q1737" i="9"/>
  <c r="P1737" i="9"/>
  <c r="Q1736" i="9"/>
  <c r="P1736" i="9"/>
  <c r="Q1735" i="9"/>
  <c r="P1735" i="9"/>
  <c r="Q1734" i="9"/>
  <c r="P1734" i="9"/>
  <c r="Q1733" i="9"/>
  <c r="P1733" i="9"/>
  <c r="Q1732" i="9"/>
  <c r="P1732" i="9"/>
  <c r="Q1731" i="9"/>
  <c r="P1731" i="9"/>
  <c r="Q1730" i="9"/>
  <c r="P1730" i="9"/>
  <c r="Q1727" i="9"/>
  <c r="P1727" i="9"/>
  <c r="Q1726" i="9"/>
  <c r="P1726" i="9"/>
  <c r="Q1725" i="9"/>
  <c r="P1725" i="9"/>
  <c r="Q1724" i="9"/>
  <c r="P1724" i="9"/>
  <c r="Q1723" i="9"/>
  <c r="P1723" i="9"/>
  <c r="Q1722" i="9"/>
  <c r="P1722" i="9"/>
  <c r="Q1721" i="9"/>
  <c r="P1721" i="9"/>
  <c r="Q1720" i="9"/>
  <c r="P1720" i="9"/>
  <c r="Q1719" i="9"/>
  <c r="P1719" i="9"/>
  <c r="Q1718" i="9"/>
  <c r="P1718" i="9"/>
  <c r="Q1717" i="9"/>
  <c r="P1717" i="9"/>
  <c r="Q1716" i="9"/>
  <c r="P1716" i="9"/>
  <c r="Q1715" i="9"/>
  <c r="P1715" i="9"/>
  <c r="Q1714" i="9"/>
  <c r="P1714" i="9"/>
  <c r="Q1713" i="9"/>
  <c r="P1713" i="9"/>
  <c r="Q1712" i="9"/>
  <c r="P1712" i="9"/>
  <c r="Q1711" i="9"/>
  <c r="P1711" i="9"/>
  <c r="Q1710" i="9"/>
  <c r="P1710" i="9"/>
  <c r="Q1709" i="9"/>
  <c r="P1709" i="9"/>
  <c r="Q1708" i="9"/>
  <c r="P1708" i="9"/>
  <c r="Q1707" i="9"/>
  <c r="P1707" i="9"/>
  <c r="Q1706" i="9"/>
  <c r="P1706" i="9"/>
  <c r="Q1705" i="9"/>
  <c r="P1705" i="9"/>
  <c r="Q1704" i="9"/>
  <c r="P1704" i="9"/>
  <c r="Q1703" i="9"/>
  <c r="P1703" i="9"/>
  <c r="Q1702" i="9"/>
  <c r="P1702" i="9"/>
  <c r="Q1701" i="9"/>
  <c r="P1701" i="9"/>
  <c r="Q1700" i="9"/>
  <c r="P1700" i="9"/>
  <c r="Q1699" i="9"/>
  <c r="P1699" i="9"/>
  <c r="Q1698" i="9"/>
  <c r="P1698" i="9"/>
  <c r="Q1695" i="9"/>
  <c r="P1695" i="9"/>
  <c r="Q1694" i="9"/>
  <c r="P1694" i="9"/>
  <c r="Q1693" i="9"/>
  <c r="P1693" i="9"/>
  <c r="Q1692" i="9"/>
  <c r="P1692" i="9"/>
  <c r="Q1691" i="9"/>
  <c r="P1691" i="9"/>
  <c r="Q1690" i="9"/>
  <c r="P1690" i="9"/>
  <c r="Q1687" i="9"/>
  <c r="P1687" i="9"/>
  <c r="Q1686" i="9"/>
  <c r="P1686" i="9"/>
  <c r="Q1685" i="9"/>
  <c r="P1685" i="9"/>
  <c r="Q1684" i="9"/>
  <c r="P1684" i="9"/>
  <c r="Q1683" i="9"/>
  <c r="P1683" i="9"/>
  <c r="Q1682" i="9"/>
  <c r="P1682" i="9"/>
  <c r="Q1681" i="9"/>
  <c r="P1681" i="9"/>
  <c r="Q1680" i="9"/>
  <c r="P1680" i="9"/>
  <c r="Q1679" i="9"/>
  <c r="P1679" i="9"/>
  <c r="Q1678" i="9"/>
  <c r="P1678" i="9"/>
  <c r="Q1677" i="9"/>
  <c r="P1677" i="9"/>
  <c r="Q1676" i="9"/>
  <c r="P1676" i="9"/>
  <c r="Q1675" i="9"/>
  <c r="P1675" i="9"/>
  <c r="Q1674" i="9"/>
  <c r="P1674" i="9"/>
  <c r="Q1673" i="9"/>
  <c r="P1673" i="9"/>
  <c r="Q1672" i="9"/>
  <c r="P1672" i="9"/>
  <c r="Q1671" i="9"/>
  <c r="P1671" i="9"/>
  <c r="Q1670" i="9"/>
  <c r="P1670" i="9"/>
  <c r="Q1669" i="9"/>
  <c r="P1669" i="9"/>
  <c r="Q1668" i="9"/>
  <c r="P1668" i="9"/>
  <c r="Q1667" i="9"/>
  <c r="P1667" i="9"/>
  <c r="Q1666" i="9"/>
  <c r="P1666" i="9"/>
  <c r="Q1665" i="9"/>
  <c r="P1665" i="9"/>
  <c r="Q1664" i="9"/>
  <c r="P1664" i="9"/>
  <c r="Q1663" i="9"/>
  <c r="P1663" i="9"/>
  <c r="Q1662" i="9"/>
  <c r="P1662" i="9"/>
  <c r="Q1661" i="9"/>
  <c r="P1661" i="9"/>
  <c r="Q1659" i="9"/>
  <c r="P1659" i="9"/>
  <c r="Q1657" i="9"/>
  <c r="P1657" i="9"/>
  <c r="Q1655" i="9"/>
  <c r="P1655" i="9"/>
  <c r="Q1654" i="9"/>
  <c r="P1654" i="9"/>
  <c r="Q1653" i="9"/>
  <c r="P1653" i="9"/>
  <c r="Q1652" i="9"/>
  <c r="P1652" i="9"/>
  <c r="Q1651" i="9"/>
  <c r="P1651" i="9"/>
  <c r="Q1650" i="9"/>
  <c r="P1650" i="9"/>
  <c r="Q1649" i="9"/>
  <c r="P1649" i="9"/>
  <c r="Q1648" i="9"/>
  <c r="P1648" i="9"/>
  <c r="Q1647" i="9"/>
  <c r="P1647" i="9"/>
  <c r="Q1644" i="9"/>
  <c r="P1644" i="9"/>
  <c r="Q1643" i="9"/>
  <c r="P1643" i="9"/>
  <c r="Q1642" i="9"/>
  <c r="P1642" i="9"/>
  <c r="Q1641" i="9"/>
  <c r="P1641" i="9"/>
  <c r="Q1640" i="9"/>
  <c r="P1640" i="9"/>
  <c r="Q1639" i="9"/>
  <c r="P1639" i="9"/>
  <c r="Q1638" i="9"/>
  <c r="P1638" i="9"/>
  <c r="Q1637" i="9"/>
  <c r="P1637" i="9"/>
  <c r="Q1636" i="9"/>
  <c r="P1636" i="9"/>
  <c r="Q1635" i="9"/>
  <c r="P1635" i="9"/>
  <c r="Q1634" i="9"/>
  <c r="P1634" i="9"/>
  <c r="Q1633" i="9"/>
  <c r="P1633" i="9"/>
  <c r="Q1632" i="9"/>
  <c r="P1632" i="9"/>
  <c r="Q1631" i="9"/>
  <c r="P1631" i="9"/>
  <c r="Q1630" i="9"/>
  <c r="P1630" i="9"/>
  <c r="Q1629" i="9"/>
  <c r="P1629" i="9"/>
  <c r="Q1628" i="9"/>
  <c r="P1628" i="9"/>
  <c r="Q1627" i="9"/>
  <c r="P1627" i="9"/>
  <c r="Q1626" i="9"/>
  <c r="P1626" i="9"/>
  <c r="Q1625" i="9"/>
  <c r="P1625" i="9"/>
  <c r="Q1624" i="9"/>
  <c r="P1624" i="9"/>
  <c r="Q1623" i="9"/>
  <c r="P1623" i="9"/>
  <c r="Q1622" i="9"/>
  <c r="P1622" i="9"/>
  <c r="Q1621" i="9"/>
  <c r="P1621" i="9"/>
  <c r="Q1620" i="9"/>
  <c r="P1620" i="9"/>
  <c r="Q1619" i="9"/>
  <c r="P1619" i="9"/>
  <c r="Q1618" i="9"/>
  <c r="P1618" i="9"/>
  <c r="Q1617" i="9"/>
  <c r="P1617" i="9"/>
  <c r="Q1616" i="9"/>
  <c r="P1616" i="9"/>
  <c r="Q1615" i="9"/>
  <c r="P1615" i="9"/>
  <c r="Q1614" i="9"/>
  <c r="P1614" i="9"/>
  <c r="Q1613" i="9"/>
  <c r="P1613" i="9"/>
  <c r="Q1612" i="9"/>
  <c r="P1612" i="9"/>
  <c r="Q1611" i="9"/>
  <c r="P1611" i="9"/>
  <c r="Q1610" i="9"/>
  <c r="P1610" i="9"/>
  <c r="Q1609" i="9"/>
  <c r="P1609" i="9"/>
  <c r="Q1608" i="9"/>
  <c r="P1608" i="9"/>
  <c r="Q1607" i="9"/>
  <c r="P1607" i="9"/>
  <c r="Q1606" i="9"/>
  <c r="P1606" i="9"/>
  <c r="Q1605" i="9"/>
  <c r="P1605" i="9"/>
  <c r="Q1604" i="9"/>
  <c r="P1604" i="9"/>
  <c r="Q1603" i="9"/>
  <c r="P1603" i="9"/>
  <c r="Q1602" i="9"/>
  <c r="P1602" i="9"/>
  <c r="Q1601" i="9"/>
  <c r="P1601" i="9"/>
  <c r="Q1600" i="9"/>
  <c r="P1600" i="9"/>
  <c r="Q1599" i="9"/>
  <c r="P1599" i="9"/>
  <c r="Q1598" i="9"/>
  <c r="P1598" i="9"/>
  <c r="Q1597" i="9"/>
  <c r="P1597" i="9"/>
  <c r="Q1596" i="9"/>
  <c r="P1596" i="9"/>
  <c r="Q1595" i="9"/>
  <c r="P1595" i="9"/>
  <c r="Q1594" i="9"/>
  <c r="P1594" i="9"/>
  <c r="Q1593" i="9"/>
  <c r="P1593" i="9"/>
  <c r="Q1592" i="9"/>
  <c r="P1592" i="9"/>
  <c r="Q1591" i="9"/>
  <c r="P1591" i="9"/>
  <c r="Q1590" i="9"/>
  <c r="P1590" i="9"/>
  <c r="Q1589" i="9"/>
  <c r="P1589" i="9"/>
  <c r="Q1588" i="9"/>
  <c r="P1588" i="9"/>
  <c r="Q1587" i="9"/>
  <c r="P1587" i="9"/>
  <c r="Q1586" i="9"/>
  <c r="P1586" i="9"/>
  <c r="Q1583" i="9"/>
  <c r="P1583" i="9"/>
  <c r="Q1582" i="9"/>
  <c r="P1582" i="9"/>
  <c r="Q1579" i="9"/>
  <c r="P1579" i="9"/>
  <c r="Q1574" i="9"/>
  <c r="P1574" i="9"/>
  <c r="Q1569" i="9"/>
  <c r="P1569" i="9"/>
  <c r="Q1564" i="9"/>
  <c r="P1564" i="9"/>
  <c r="Q1559" i="9"/>
  <c r="P1559" i="9"/>
  <c r="Q1554" i="9"/>
  <c r="P1554" i="9"/>
  <c r="Q1549" i="9"/>
  <c r="P1549" i="9"/>
  <c r="Q1548" i="9"/>
  <c r="P1548" i="9"/>
  <c r="Q1547" i="9"/>
  <c r="P1547" i="9"/>
  <c r="Q1546" i="9"/>
  <c r="P1546" i="9"/>
  <c r="Q1545" i="9"/>
  <c r="P1545" i="9"/>
  <c r="Q1544" i="9"/>
  <c r="P1544" i="9"/>
  <c r="Q1543" i="9"/>
  <c r="P1543" i="9"/>
  <c r="Q1542" i="9"/>
  <c r="P1542" i="9"/>
  <c r="Q1541" i="9"/>
  <c r="P1541" i="9"/>
  <c r="Q1540" i="9"/>
  <c r="P1540" i="9"/>
  <c r="Q1539" i="9"/>
  <c r="P1539" i="9"/>
  <c r="Q1538" i="9"/>
  <c r="P1538" i="9"/>
  <c r="Q1537" i="9"/>
  <c r="P1537" i="9"/>
  <c r="Q1536" i="9"/>
  <c r="P1536" i="9"/>
  <c r="Q1535" i="9"/>
  <c r="P1535" i="9"/>
  <c r="Q1534" i="9"/>
  <c r="P1534" i="9"/>
  <c r="Q1533" i="9"/>
  <c r="P1533" i="9"/>
  <c r="Q1532" i="9"/>
  <c r="P1532" i="9"/>
  <c r="Q1531" i="9"/>
  <c r="P1531" i="9"/>
  <c r="Q1528" i="9"/>
  <c r="P1528" i="9"/>
  <c r="Q1527" i="9"/>
  <c r="P1527" i="9"/>
  <c r="Q1524" i="9"/>
  <c r="P1524" i="9"/>
  <c r="Q1523" i="9"/>
  <c r="P1523" i="9"/>
  <c r="Q1522" i="9"/>
  <c r="P1522" i="9"/>
  <c r="Q1521" i="9"/>
  <c r="P1521" i="9"/>
  <c r="Q1520" i="9"/>
  <c r="P1520" i="9"/>
  <c r="Q1519" i="9"/>
  <c r="P1519" i="9"/>
  <c r="Q1518" i="9"/>
  <c r="P1518" i="9"/>
  <c r="Q1516" i="9"/>
  <c r="P1516" i="9"/>
  <c r="Q1514" i="9"/>
  <c r="P1514" i="9"/>
  <c r="Q1512" i="9"/>
  <c r="P1512" i="9"/>
  <c r="Q1511" i="9"/>
  <c r="P1511" i="9"/>
  <c r="Q1510" i="9"/>
  <c r="P1510" i="9"/>
  <c r="Q1509" i="9"/>
  <c r="P1509" i="9"/>
  <c r="Q1508" i="9"/>
  <c r="P1508" i="9"/>
  <c r="Q1507" i="9"/>
  <c r="P1507" i="9"/>
  <c r="Q1504" i="9"/>
  <c r="P1504" i="9"/>
  <c r="Q1503" i="9"/>
  <c r="P1503" i="9"/>
  <c r="Q1502" i="9"/>
  <c r="P1502" i="9"/>
  <c r="Q1499" i="9"/>
  <c r="P1499" i="9"/>
  <c r="Q1498" i="9"/>
  <c r="P1498" i="9"/>
  <c r="Q1497" i="9"/>
  <c r="P1497" i="9"/>
  <c r="Q1494" i="9"/>
  <c r="P1494" i="9"/>
  <c r="Q1493" i="9"/>
  <c r="P1493" i="9"/>
  <c r="Q1492" i="9"/>
  <c r="P1492" i="9"/>
  <c r="Q1491" i="9"/>
  <c r="P1491" i="9"/>
  <c r="Q1490" i="9"/>
  <c r="P1490" i="9"/>
  <c r="Q1489" i="9"/>
  <c r="P1489" i="9"/>
  <c r="Q1488" i="9"/>
  <c r="P1488" i="9"/>
  <c r="Q1487" i="9"/>
  <c r="P1487" i="9"/>
  <c r="Q1486" i="9"/>
  <c r="P1486" i="9"/>
  <c r="Q1485" i="9"/>
  <c r="P1485" i="9"/>
  <c r="Q1484" i="9"/>
  <c r="P1484" i="9"/>
  <c r="Q1483" i="9"/>
  <c r="P1483" i="9"/>
  <c r="Q1482" i="9"/>
  <c r="P1482" i="9"/>
  <c r="Q1481" i="9"/>
  <c r="P1481" i="9"/>
  <c r="Q1480" i="9"/>
  <c r="P1480" i="9"/>
  <c r="Q1479" i="9"/>
  <c r="P1479" i="9"/>
  <c r="Q1478" i="9"/>
  <c r="P1478" i="9"/>
  <c r="Q1477" i="9"/>
  <c r="P1477" i="9"/>
  <c r="Q1476" i="9"/>
  <c r="P1476" i="9"/>
  <c r="Q1473" i="9"/>
  <c r="P1473" i="9"/>
  <c r="Q1472" i="9"/>
  <c r="P1472" i="9"/>
  <c r="Q1471" i="9"/>
  <c r="P1471" i="9"/>
  <c r="Q1468" i="9"/>
  <c r="P1468" i="9"/>
  <c r="Q1467" i="9"/>
  <c r="P1467" i="9"/>
  <c r="Q1466" i="9"/>
  <c r="P1466" i="9"/>
  <c r="Q1465" i="9"/>
  <c r="P1465" i="9"/>
  <c r="Q1464" i="9"/>
  <c r="P1464" i="9"/>
  <c r="Q1463" i="9"/>
  <c r="P1463" i="9"/>
  <c r="Q1462" i="9"/>
  <c r="P1462" i="9"/>
  <c r="Q1460" i="9"/>
  <c r="P1460" i="9"/>
  <c r="Q1458" i="9"/>
  <c r="P1458" i="9"/>
  <c r="Q1456" i="9"/>
  <c r="P1456" i="9"/>
  <c r="Q1455" i="9"/>
  <c r="P1455" i="9"/>
  <c r="Q1454" i="9"/>
  <c r="P1454" i="9"/>
  <c r="Q1453" i="9"/>
  <c r="P1453" i="9"/>
  <c r="Q1452" i="9"/>
  <c r="P1452" i="9"/>
  <c r="Q1449" i="9"/>
  <c r="P1449" i="9"/>
  <c r="Q1448" i="9"/>
  <c r="P1448" i="9"/>
  <c r="Q1447" i="9"/>
  <c r="P1447" i="9"/>
  <c r="Q1444" i="9"/>
  <c r="P1444" i="9"/>
  <c r="Q1443" i="9"/>
  <c r="P1443" i="9"/>
  <c r="Q1442" i="9"/>
  <c r="P1442" i="9"/>
  <c r="Q1441" i="9"/>
  <c r="P1441" i="9"/>
  <c r="Q1440" i="9"/>
  <c r="P1440" i="9"/>
  <c r="Q1439" i="9"/>
  <c r="P1439" i="9"/>
  <c r="Q1438" i="9"/>
  <c r="P1438" i="9"/>
  <c r="Q1437" i="9"/>
  <c r="P1437" i="9"/>
  <c r="Q1436" i="9"/>
  <c r="P1436" i="9"/>
  <c r="Q1435" i="9"/>
  <c r="P1435" i="9"/>
  <c r="Q1434" i="9"/>
  <c r="P1434" i="9"/>
  <c r="Q1433" i="9"/>
  <c r="P1433" i="9"/>
  <c r="Q1432" i="9"/>
  <c r="P1432" i="9"/>
  <c r="Q1431" i="9"/>
  <c r="P1431" i="9"/>
  <c r="Q1430" i="9"/>
  <c r="P1430" i="9"/>
  <c r="Q1429" i="9"/>
  <c r="P1429" i="9"/>
  <c r="Q1428" i="9"/>
  <c r="P1428" i="9"/>
  <c r="Q1427" i="9"/>
  <c r="P1427" i="9"/>
  <c r="Q1426" i="9"/>
  <c r="P1426" i="9"/>
  <c r="Q1425" i="9"/>
  <c r="P1425" i="9"/>
  <c r="Q1424" i="9"/>
  <c r="P1424" i="9"/>
  <c r="Q1423" i="9"/>
  <c r="P1423" i="9"/>
  <c r="Q1422" i="9"/>
  <c r="P1422" i="9"/>
  <c r="Q1421" i="9"/>
  <c r="P1421" i="9"/>
  <c r="Q1420" i="9"/>
  <c r="P1420" i="9"/>
  <c r="Q1419" i="9"/>
  <c r="P1419" i="9"/>
  <c r="Q1418" i="9"/>
  <c r="P1418" i="9"/>
  <c r="Q1417" i="9"/>
  <c r="P1417" i="9"/>
  <c r="Q1416" i="9"/>
  <c r="P1416" i="9"/>
  <c r="Q1415" i="9"/>
  <c r="P1415" i="9"/>
  <c r="Q1414" i="9"/>
  <c r="P1414" i="9"/>
  <c r="Q1413" i="9"/>
  <c r="P1413" i="9"/>
  <c r="Q1412" i="9"/>
  <c r="P1412" i="9"/>
  <c r="Q1411" i="9"/>
  <c r="P1411" i="9"/>
  <c r="Q1410" i="9"/>
  <c r="P1410" i="9"/>
  <c r="Q1409" i="9"/>
  <c r="P1409" i="9"/>
  <c r="Q1408" i="9"/>
  <c r="P1408" i="9"/>
  <c r="Q1407" i="9"/>
  <c r="P1407" i="9"/>
  <c r="Q1406" i="9"/>
  <c r="P1406" i="9"/>
  <c r="Q1405" i="9"/>
  <c r="P1405" i="9"/>
  <c r="Q1404" i="9"/>
  <c r="P1404" i="9"/>
  <c r="Q1403" i="9"/>
  <c r="P1403" i="9"/>
  <c r="Q1402" i="9"/>
  <c r="P1402" i="9"/>
  <c r="Q1401" i="9"/>
  <c r="P1401" i="9"/>
  <c r="Q1400" i="9"/>
  <c r="P1400" i="9"/>
  <c r="Q1399" i="9"/>
  <c r="P1399" i="9"/>
  <c r="Q1398" i="9"/>
  <c r="P1398" i="9"/>
  <c r="Q1397" i="9"/>
  <c r="P1397" i="9"/>
  <c r="Q1396" i="9"/>
  <c r="P1396" i="9"/>
  <c r="Q1395" i="9"/>
  <c r="P1395" i="9"/>
  <c r="Q1394" i="9"/>
  <c r="P1394" i="9"/>
  <c r="Q1393" i="9"/>
  <c r="P1393" i="9"/>
  <c r="Q1392" i="9"/>
  <c r="P1392" i="9"/>
  <c r="Q1391" i="9"/>
  <c r="P1391" i="9"/>
  <c r="Q1390" i="9"/>
  <c r="P1390" i="9"/>
  <c r="Q1389" i="9"/>
  <c r="P1389" i="9"/>
  <c r="Q1388" i="9"/>
  <c r="P1388" i="9"/>
  <c r="Q1387" i="9"/>
  <c r="P1387" i="9"/>
  <c r="Q1384" i="9"/>
  <c r="P1384" i="9"/>
  <c r="Q1383" i="9"/>
  <c r="P1383" i="9"/>
  <c r="Q1382" i="9"/>
  <c r="P1382" i="9"/>
  <c r="Q1381" i="9"/>
  <c r="P1381" i="9"/>
  <c r="Q1380" i="9"/>
  <c r="P1380" i="9"/>
  <c r="Q1379" i="9"/>
  <c r="P1379" i="9"/>
  <c r="Q1378" i="9"/>
  <c r="P1378" i="9"/>
  <c r="Q1377" i="9"/>
  <c r="P1377" i="9"/>
  <c r="Q1376" i="9"/>
  <c r="P1376" i="9"/>
  <c r="Q1374" i="9"/>
  <c r="P1374" i="9"/>
  <c r="Q1372" i="9"/>
  <c r="P1372" i="9"/>
  <c r="Q1371" i="9"/>
  <c r="P1371" i="9"/>
  <c r="Q1370" i="9"/>
  <c r="P1370" i="9"/>
  <c r="Q1369" i="9"/>
  <c r="P1369" i="9"/>
  <c r="Q1368" i="9"/>
  <c r="P1368" i="9"/>
  <c r="Q1367" i="9"/>
  <c r="P1367" i="9"/>
  <c r="Q1366" i="9"/>
  <c r="P1366" i="9"/>
  <c r="Q1363" i="9"/>
  <c r="P1363" i="9"/>
  <c r="Q1362" i="9"/>
  <c r="P1362" i="9"/>
  <c r="Q1361" i="9"/>
  <c r="P1361" i="9"/>
  <c r="Q1360" i="9"/>
  <c r="P1360" i="9"/>
  <c r="Q1359" i="9"/>
  <c r="P1359" i="9"/>
  <c r="Q1358" i="9"/>
  <c r="P1358" i="9"/>
  <c r="Q1357" i="9"/>
  <c r="P1357" i="9"/>
  <c r="Q1356" i="9"/>
  <c r="P1356" i="9"/>
  <c r="Q1355" i="9"/>
  <c r="P1355" i="9"/>
  <c r="Q1354" i="9"/>
  <c r="P1354" i="9"/>
  <c r="Q1353" i="9"/>
  <c r="P1353" i="9"/>
  <c r="Q1352" i="9"/>
  <c r="P1352" i="9"/>
  <c r="Q1351" i="9"/>
  <c r="P1351" i="9"/>
  <c r="Q1350" i="9"/>
  <c r="P1350" i="9"/>
  <c r="Q1349" i="9"/>
  <c r="P1349" i="9"/>
  <c r="Q1348" i="9"/>
  <c r="P1348" i="9"/>
  <c r="Q1347" i="9"/>
  <c r="P1347" i="9"/>
  <c r="Q1344" i="9"/>
  <c r="P1344" i="9"/>
  <c r="Q1343" i="9"/>
  <c r="P1343" i="9"/>
  <c r="Q1342" i="9"/>
  <c r="P1342" i="9"/>
  <c r="Q1341" i="9"/>
  <c r="P1341" i="9"/>
  <c r="Q1340" i="9"/>
  <c r="P1340" i="9"/>
  <c r="Q1339" i="9"/>
  <c r="P1339" i="9"/>
  <c r="Q1338" i="9"/>
  <c r="P1338" i="9"/>
  <c r="Q1337" i="9"/>
  <c r="P1337" i="9"/>
  <c r="Q1336" i="9"/>
  <c r="P1336" i="9"/>
  <c r="Q1335" i="9"/>
  <c r="P1335" i="9"/>
  <c r="Q1334" i="9"/>
  <c r="P1334" i="9"/>
  <c r="Q1333" i="9"/>
  <c r="P1333" i="9"/>
  <c r="Q1332" i="9"/>
  <c r="P1332" i="9"/>
  <c r="Q1331" i="9"/>
  <c r="P1331" i="9"/>
  <c r="Q1330" i="9"/>
  <c r="P1330" i="9"/>
  <c r="Q1329" i="9"/>
  <c r="P1329" i="9"/>
  <c r="Q1328" i="9"/>
  <c r="P1328" i="9"/>
  <c r="Q1327" i="9"/>
  <c r="P1327" i="9"/>
  <c r="Q1326" i="9"/>
  <c r="P1326" i="9"/>
  <c r="Q1325" i="9"/>
  <c r="P1325" i="9"/>
  <c r="Q1324" i="9"/>
  <c r="P1324" i="9"/>
  <c r="Q1323" i="9"/>
  <c r="P1323" i="9"/>
  <c r="Q1322" i="9"/>
  <c r="P1322" i="9"/>
  <c r="Q1321" i="9"/>
  <c r="P1321" i="9"/>
  <c r="Q1320" i="9"/>
  <c r="P1320" i="9"/>
  <c r="Q1319" i="9"/>
  <c r="P1319" i="9"/>
  <c r="Q1318" i="9"/>
  <c r="P1318" i="9"/>
  <c r="Q1317" i="9"/>
  <c r="P1317" i="9"/>
  <c r="Q1316" i="9"/>
  <c r="P1316" i="9"/>
  <c r="Q1315" i="9"/>
  <c r="P1315" i="9"/>
  <c r="Q1312" i="9"/>
  <c r="P1312" i="9"/>
  <c r="Q1311" i="9"/>
  <c r="P1311" i="9"/>
  <c r="Q1310" i="9"/>
  <c r="P1310" i="9"/>
  <c r="Q1309" i="9"/>
  <c r="P1309" i="9"/>
  <c r="Q1308" i="9"/>
  <c r="P1308" i="9"/>
  <c r="Q1307" i="9"/>
  <c r="P1307" i="9"/>
  <c r="Q1306" i="9"/>
  <c r="P1306" i="9"/>
  <c r="Q1305" i="9"/>
  <c r="P1305" i="9"/>
  <c r="Q1304" i="9"/>
  <c r="P1304" i="9"/>
  <c r="Q1303" i="9"/>
  <c r="P1303" i="9"/>
  <c r="Q1302" i="9"/>
  <c r="P1302" i="9"/>
  <c r="Q1301" i="9"/>
  <c r="P1301" i="9"/>
  <c r="Q1300" i="9"/>
  <c r="P1300" i="9"/>
  <c r="Q1299" i="9"/>
  <c r="P1299" i="9"/>
  <c r="Q1298" i="9"/>
  <c r="P1298" i="9"/>
  <c r="Q1297" i="9"/>
  <c r="P1297" i="9"/>
  <c r="Q1296" i="9"/>
  <c r="P1296" i="9"/>
  <c r="Q1295" i="9"/>
  <c r="P1295" i="9"/>
  <c r="Q1294" i="9"/>
  <c r="P1294" i="9"/>
  <c r="Q1293" i="9"/>
  <c r="P1293" i="9"/>
  <c r="Q1292" i="9"/>
  <c r="P1292" i="9"/>
  <c r="Q1291" i="9"/>
  <c r="P1291" i="9"/>
  <c r="Q1290" i="9"/>
  <c r="P1290" i="9"/>
  <c r="Q1289" i="9"/>
  <c r="P1289" i="9"/>
  <c r="Q1288" i="9"/>
  <c r="P1288" i="9"/>
  <c r="Q1287" i="9"/>
  <c r="P1287" i="9"/>
  <c r="Q1286" i="9"/>
  <c r="P1286" i="9"/>
  <c r="Q1285" i="9"/>
  <c r="P1285" i="9"/>
  <c r="Q1284" i="9"/>
  <c r="P1284" i="9"/>
  <c r="Q1283" i="9"/>
  <c r="P1283" i="9"/>
  <c r="Q1282" i="9"/>
  <c r="P1282" i="9"/>
  <c r="Q1281" i="9"/>
  <c r="P1281" i="9"/>
  <c r="Q1280" i="9"/>
  <c r="P1280" i="9"/>
  <c r="Q1279" i="9"/>
  <c r="P1279" i="9"/>
  <c r="Q1278" i="9"/>
  <c r="P1278" i="9"/>
  <c r="Q1277" i="9"/>
  <c r="P1277" i="9"/>
  <c r="Q1276" i="9"/>
  <c r="P1276" i="9"/>
  <c r="Q1275" i="9"/>
  <c r="P1275" i="9"/>
  <c r="Q1274" i="9"/>
  <c r="P1274" i="9"/>
  <c r="Q1273" i="9"/>
  <c r="P1273" i="9"/>
  <c r="Q1272" i="9"/>
  <c r="P1272" i="9"/>
  <c r="Q1271" i="9"/>
  <c r="P1271" i="9"/>
  <c r="Q1270" i="9"/>
  <c r="P1270" i="9"/>
  <c r="Q1269" i="9"/>
  <c r="P1269" i="9"/>
  <c r="Q1268" i="9"/>
  <c r="P1268" i="9"/>
  <c r="Q1267" i="9"/>
  <c r="P1267" i="9"/>
  <c r="Q1266" i="9"/>
  <c r="P1266" i="9"/>
  <c r="Q1265" i="9"/>
  <c r="P1265" i="9"/>
  <c r="Q1264" i="9"/>
  <c r="P1264" i="9"/>
  <c r="Q1263" i="9"/>
  <c r="P1263" i="9"/>
  <c r="Q1262" i="9"/>
  <c r="P1262" i="9"/>
  <c r="Q1261" i="9"/>
  <c r="P1261" i="9"/>
  <c r="Q1260" i="9"/>
  <c r="P1260" i="9"/>
  <c r="Q1259" i="9"/>
  <c r="P1259" i="9"/>
  <c r="Q1258" i="9"/>
  <c r="P1258" i="9"/>
  <c r="Q1257" i="9"/>
  <c r="P1257" i="9"/>
  <c r="Q1256" i="9"/>
  <c r="P1256" i="9"/>
  <c r="Q1255" i="9"/>
  <c r="P1255" i="9"/>
  <c r="Q1254" i="9"/>
  <c r="P1254" i="9"/>
  <c r="Q1253" i="9"/>
  <c r="P1253" i="9"/>
  <c r="Q1252" i="9"/>
  <c r="P1252" i="9"/>
  <c r="Q1249" i="9"/>
  <c r="P1249" i="9"/>
  <c r="Q1248" i="9"/>
  <c r="P1248" i="9"/>
  <c r="Q1247" i="9"/>
  <c r="P1247" i="9"/>
  <c r="Q1246" i="9"/>
  <c r="P1246" i="9"/>
  <c r="Q1245" i="9"/>
  <c r="P1245" i="9"/>
  <c r="Q1244" i="9"/>
  <c r="P1244" i="9"/>
  <c r="Q1243" i="9"/>
  <c r="P1243" i="9"/>
  <c r="Q1242" i="9"/>
  <c r="P1242" i="9"/>
  <c r="Q1241" i="9"/>
  <c r="P1241" i="9"/>
  <c r="Q1240" i="9"/>
  <c r="P1240" i="9"/>
  <c r="Q1239" i="9"/>
  <c r="P1239" i="9"/>
  <c r="Q1238" i="9"/>
  <c r="P1238" i="9"/>
  <c r="Q1237" i="9"/>
  <c r="P1237" i="9"/>
  <c r="Q1236" i="9"/>
  <c r="P1236" i="9"/>
  <c r="Q1235" i="9"/>
  <c r="P1235" i="9"/>
  <c r="Q1232" i="9"/>
  <c r="P1232" i="9"/>
  <c r="Q1231" i="9"/>
  <c r="P1231" i="9"/>
  <c r="Q1230" i="9"/>
  <c r="P1230" i="9"/>
  <c r="Q1229" i="9"/>
  <c r="P1229" i="9"/>
  <c r="Q1228" i="9"/>
  <c r="P1228" i="9"/>
  <c r="Q1227" i="9"/>
  <c r="P1227" i="9"/>
  <c r="Q1226" i="9"/>
  <c r="P1226" i="9"/>
  <c r="Q1225" i="9"/>
  <c r="P1225" i="9"/>
  <c r="Q1224" i="9"/>
  <c r="P1224" i="9"/>
  <c r="Q1223" i="9"/>
  <c r="P1223" i="9"/>
  <c r="Q1222" i="9"/>
  <c r="P1222" i="9"/>
  <c r="Q1221" i="9"/>
  <c r="P1221" i="9"/>
  <c r="Q1220" i="9"/>
  <c r="P1220" i="9"/>
  <c r="Q1219" i="9"/>
  <c r="P1219" i="9"/>
  <c r="Q1218" i="9"/>
  <c r="P1218" i="9"/>
  <c r="Q1217" i="9"/>
  <c r="P1217" i="9"/>
  <c r="Q1216" i="9"/>
  <c r="P1216" i="9"/>
  <c r="Q1215" i="9"/>
  <c r="P1215" i="9"/>
  <c r="Q1214" i="9"/>
  <c r="P1214" i="9"/>
  <c r="Q1213" i="9"/>
  <c r="P1213" i="9"/>
  <c r="Q1212" i="9"/>
  <c r="P1212" i="9"/>
  <c r="Q1211" i="9"/>
  <c r="P1211" i="9"/>
  <c r="Q1210" i="9"/>
  <c r="P1210" i="9"/>
  <c r="Q1209" i="9"/>
  <c r="P1209" i="9"/>
  <c r="Q1208" i="9"/>
  <c r="P1208" i="9"/>
  <c r="Q1207" i="9"/>
  <c r="P1207" i="9"/>
  <c r="Q1206" i="9"/>
  <c r="P1206" i="9"/>
  <c r="Q1205" i="9"/>
  <c r="P1205" i="9"/>
  <c r="Q1204" i="9"/>
  <c r="P1204" i="9"/>
  <c r="Q1203" i="9"/>
  <c r="P1203" i="9"/>
  <c r="Q1202" i="9"/>
  <c r="P1202" i="9"/>
  <c r="Q1201" i="9"/>
  <c r="P1201" i="9"/>
  <c r="Q1200" i="9"/>
  <c r="P1200" i="9"/>
  <c r="Q1199" i="9"/>
  <c r="P1199" i="9"/>
  <c r="Q1198" i="9"/>
  <c r="P1198" i="9"/>
  <c r="Q1197" i="9"/>
  <c r="P1197" i="9"/>
  <c r="Q1196" i="9"/>
  <c r="P1196" i="9"/>
  <c r="Q1195" i="9"/>
  <c r="P1195" i="9"/>
  <c r="Q1194" i="9"/>
  <c r="P1194" i="9"/>
  <c r="Q1193" i="9"/>
  <c r="P1193" i="9"/>
  <c r="Q1192" i="9"/>
  <c r="P1192" i="9"/>
  <c r="Q1191" i="9"/>
  <c r="P1191" i="9"/>
  <c r="Q1190" i="9"/>
  <c r="P1190" i="9"/>
  <c r="Q1189" i="9"/>
  <c r="P1189" i="9"/>
  <c r="Q1188" i="9"/>
  <c r="P1188" i="9"/>
  <c r="Q1187" i="9"/>
  <c r="P1187" i="9"/>
  <c r="Q1186" i="9"/>
  <c r="P1186" i="9"/>
  <c r="Q1185" i="9"/>
  <c r="P1185" i="9"/>
  <c r="Q1184" i="9"/>
  <c r="P1184" i="9"/>
  <c r="Q1183" i="9"/>
  <c r="P1183" i="9"/>
  <c r="Q1182" i="9"/>
  <c r="P1182" i="9"/>
  <c r="Q1181" i="9"/>
  <c r="P1181" i="9"/>
  <c r="Q1180" i="9"/>
  <c r="P1180" i="9"/>
  <c r="Q1179" i="9"/>
  <c r="P1179" i="9"/>
  <c r="Q1176" i="9"/>
  <c r="P1176" i="9"/>
  <c r="Q1175" i="9"/>
  <c r="P1175" i="9"/>
  <c r="Q1174" i="9"/>
  <c r="P1174" i="9"/>
  <c r="Q1173" i="9"/>
  <c r="P1173" i="9"/>
  <c r="Q1172" i="9"/>
  <c r="P1172" i="9"/>
  <c r="Q1171" i="9"/>
  <c r="P1171" i="9"/>
  <c r="Q1168" i="9"/>
  <c r="P1168" i="9"/>
  <c r="Q1167" i="9"/>
  <c r="P1167" i="9"/>
  <c r="Q1166" i="9"/>
  <c r="P1166" i="9"/>
  <c r="Q1165" i="9"/>
  <c r="P1165" i="9"/>
  <c r="Q1164" i="9"/>
  <c r="P1164" i="9"/>
  <c r="Q1163" i="9"/>
  <c r="P1163" i="9"/>
  <c r="Q1162" i="9"/>
  <c r="P1162" i="9"/>
  <c r="Q1161" i="9"/>
  <c r="P1161" i="9"/>
  <c r="Q1160" i="9"/>
  <c r="P1160" i="9"/>
  <c r="Q1159" i="9"/>
  <c r="P1159" i="9"/>
  <c r="Q1158" i="9"/>
  <c r="P1158" i="9"/>
  <c r="Q1157" i="9"/>
  <c r="P1157" i="9"/>
  <c r="Q1156" i="9"/>
  <c r="P1156" i="9"/>
  <c r="Q1155" i="9"/>
  <c r="P1155" i="9"/>
  <c r="Q1154" i="9"/>
  <c r="P1154" i="9"/>
  <c r="Q1153" i="9"/>
  <c r="P1153" i="9"/>
  <c r="Q1152" i="9"/>
  <c r="P1152" i="9"/>
  <c r="Q1151" i="9"/>
  <c r="P1151" i="9"/>
  <c r="Q1150" i="9"/>
  <c r="P1150" i="9"/>
  <c r="Q1149" i="9"/>
  <c r="P1149" i="9"/>
  <c r="Q1148" i="9"/>
  <c r="P1148" i="9"/>
  <c r="Q1143" i="9"/>
  <c r="P1143" i="9"/>
  <c r="Q1142" i="9"/>
  <c r="P1142" i="9"/>
  <c r="Q1139" i="9"/>
  <c r="P1139" i="9"/>
  <c r="Q1138" i="9"/>
  <c r="P1138" i="9"/>
  <c r="Q1135" i="9"/>
  <c r="P1135" i="9"/>
  <c r="Q1134" i="9"/>
  <c r="P1134" i="9"/>
  <c r="Q1131" i="9"/>
  <c r="P1131" i="9"/>
  <c r="Q1130" i="9"/>
  <c r="P1130" i="9"/>
  <c r="Q1127" i="9"/>
  <c r="P1127" i="9"/>
  <c r="Q1126" i="9"/>
  <c r="P1126" i="9"/>
  <c r="Q1125" i="9"/>
  <c r="P1125" i="9"/>
  <c r="Q1124" i="9"/>
  <c r="P1124" i="9"/>
  <c r="Q1113" i="9"/>
  <c r="P1113" i="9"/>
  <c r="Q1112" i="9"/>
  <c r="P1112" i="9"/>
  <c r="Q1111" i="9"/>
  <c r="P1111" i="9"/>
  <c r="Q1110" i="9"/>
  <c r="P1110" i="9"/>
  <c r="Q1109" i="9"/>
  <c r="P1109" i="9"/>
  <c r="Q1104" i="9"/>
  <c r="P1104" i="9"/>
  <c r="Q1103" i="9"/>
  <c r="P1103" i="9"/>
  <c r="Q1098" i="9"/>
  <c r="P1098" i="9"/>
  <c r="Q1093" i="9"/>
  <c r="P1093" i="9"/>
  <c r="Q1088" i="9"/>
  <c r="P1088" i="9"/>
  <c r="Q1083" i="9"/>
  <c r="P1083" i="9"/>
  <c r="Q1078" i="9"/>
  <c r="P1078" i="9"/>
  <c r="Q1077" i="9"/>
  <c r="P1077" i="9"/>
  <c r="Q1076" i="9"/>
  <c r="P1076" i="9"/>
  <c r="Q1075" i="9"/>
  <c r="P1075" i="9"/>
  <c r="Q1074" i="9"/>
  <c r="P1074" i="9"/>
  <c r="Q1073" i="9"/>
  <c r="P1073" i="9"/>
  <c r="Q1072" i="9"/>
  <c r="P1072" i="9"/>
  <c r="Q1071" i="9"/>
  <c r="P1071" i="9"/>
  <c r="Q1070" i="9"/>
  <c r="P1070" i="9"/>
  <c r="Q1069" i="9"/>
  <c r="P1069" i="9"/>
  <c r="Q1068" i="9"/>
  <c r="P1068" i="9"/>
  <c r="Q1067" i="9"/>
  <c r="P1067" i="9"/>
  <c r="Q1066" i="9"/>
  <c r="P1066" i="9"/>
  <c r="Q1065" i="9"/>
  <c r="P1065" i="9"/>
  <c r="Q1064" i="9"/>
  <c r="P1064" i="9"/>
  <c r="Q1063" i="9"/>
  <c r="P1063" i="9"/>
  <c r="Q1062" i="9"/>
  <c r="P1062" i="9"/>
  <c r="Q1061" i="9"/>
  <c r="P1061" i="9"/>
  <c r="Q1060" i="9"/>
  <c r="P1060" i="9"/>
  <c r="Q1057" i="9"/>
  <c r="P1057" i="9"/>
  <c r="Q1056" i="9"/>
  <c r="P1056" i="9"/>
  <c r="Q1053" i="9"/>
  <c r="P1053" i="9"/>
  <c r="Q1052" i="9"/>
  <c r="P1052" i="9"/>
  <c r="Q1051" i="9"/>
  <c r="P1051" i="9"/>
  <c r="Q1050" i="9"/>
  <c r="P1050" i="9"/>
  <c r="Q1049" i="9"/>
  <c r="P1049" i="9"/>
  <c r="Q1048" i="9"/>
  <c r="P1048" i="9"/>
  <c r="Q1047" i="9"/>
  <c r="P1047" i="9"/>
  <c r="Q1045" i="9"/>
  <c r="P1045" i="9"/>
  <c r="Q1043" i="9"/>
  <c r="P1043" i="9"/>
  <c r="Q1041" i="9"/>
  <c r="P1041" i="9"/>
  <c r="Q1040" i="9"/>
  <c r="P1040" i="9"/>
  <c r="Q1039" i="9"/>
  <c r="P1039" i="9"/>
  <c r="Q1038" i="9"/>
  <c r="P1038" i="9"/>
  <c r="Q1037" i="9"/>
  <c r="P1037" i="9"/>
  <c r="Q1036" i="9"/>
  <c r="P1036" i="9"/>
  <c r="Q1035" i="9"/>
  <c r="P1035" i="9"/>
  <c r="Q1034" i="9"/>
  <c r="P1034" i="9"/>
  <c r="Q1033" i="9"/>
  <c r="P1033" i="9"/>
  <c r="Q1032" i="9"/>
  <c r="P1032" i="9"/>
  <c r="Q1031" i="9"/>
  <c r="P1031" i="9"/>
  <c r="Q1030" i="9"/>
  <c r="P1030" i="9"/>
  <c r="Q1029" i="9"/>
  <c r="P1029" i="9"/>
  <c r="Q1028" i="9"/>
  <c r="P1028" i="9"/>
  <c r="Q1027" i="9"/>
  <c r="P1027" i="9"/>
  <c r="Q1026" i="9"/>
  <c r="P1026" i="9"/>
  <c r="Q1017" i="9"/>
  <c r="P1017" i="9"/>
  <c r="Q1016" i="9"/>
  <c r="P1016" i="9"/>
  <c r="Q1015" i="9"/>
  <c r="P1015" i="9"/>
  <c r="Q1014" i="9"/>
  <c r="P1014" i="9"/>
  <c r="Q1011" i="9"/>
  <c r="P1011" i="9"/>
  <c r="Q1010" i="9"/>
  <c r="P1010" i="9"/>
  <c r="Q1009" i="9"/>
  <c r="P1009" i="9"/>
  <c r="Q1008" i="9"/>
  <c r="P1008" i="9"/>
  <c r="Q1007" i="9"/>
  <c r="P1007" i="9"/>
  <c r="Q1006" i="9"/>
  <c r="P1006" i="9"/>
  <c r="Q1005" i="9"/>
  <c r="P1005" i="9"/>
  <c r="Q1004" i="9"/>
  <c r="P1004" i="9"/>
  <c r="Q1003" i="9"/>
  <c r="P1003" i="9"/>
  <c r="Q1002" i="9"/>
  <c r="P1002" i="9"/>
  <c r="Q1001" i="9"/>
  <c r="P1001" i="9"/>
  <c r="Q1000" i="9"/>
  <c r="P1000" i="9"/>
  <c r="Q999" i="9"/>
  <c r="P999" i="9"/>
  <c r="Q998" i="9"/>
  <c r="P998" i="9"/>
  <c r="Q997" i="9"/>
  <c r="P997" i="9"/>
  <c r="Q996" i="9"/>
  <c r="P996" i="9"/>
  <c r="Q995" i="9"/>
  <c r="P995" i="9"/>
  <c r="Q994" i="9"/>
  <c r="P994" i="9"/>
  <c r="Q993" i="9"/>
  <c r="P993" i="9"/>
  <c r="Q992" i="9"/>
  <c r="P992" i="9"/>
  <c r="Q991" i="9"/>
  <c r="P991" i="9"/>
  <c r="Q990" i="9"/>
  <c r="P990" i="9"/>
  <c r="Q989" i="9"/>
  <c r="P989" i="9"/>
  <c r="Q988" i="9"/>
  <c r="P988" i="9"/>
  <c r="Q987" i="9"/>
  <c r="P987" i="9"/>
  <c r="Q986" i="9"/>
  <c r="P986" i="9"/>
  <c r="Q985" i="9"/>
  <c r="P985" i="9"/>
  <c r="Q984" i="9"/>
  <c r="P984" i="9"/>
  <c r="Q983" i="9"/>
  <c r="P983" i="9"/>
  <c r="Q982" i="9"/>
  <c r="P982" i="9"/>
  <c r="Q981" i="9"/>
  <c r="P981" i="9"/>
  <c r="Q980" i="9"/>
  <c r="P980" i="9"/>
  <c r="Q979" i="9"/>
  <c r="P979" i="9"/>
  <c r="Q978" i="9"/>
  <c r="P978" i="9"/>
  <c r="Q977" i="9"/>
  <c r="P977" i="9"/>
  <c r="Q976" i="9"/>
  <c r="P976" i="9"/>
  <c r="Q975" i="9"/>
  <c r="P975" i="9"/>
  <c r="Q974" i="9"/>
  <c r="P974" i="9"/>
  <c r="Q973" i="9"/>
  <c r="P973" i="9"/>
  <c r="Q971" i="9"/>
  <c r="P971" i="9"/>
  <c r="Q969" i="9"/>
  <c r="P969" i="9"/>
  <c r="Q967" i="9"/>
  <c r="P967" i="9"/>
  <c r="Q966" i="9"/>
  <c r="P966" i="9"/>
  <c r="Q965" i="9"/>
  <c r="P965" i="9"/>
  <c r="Q964" i="9"/>
  <c r="P964" i="9"/>
  <c r="Q963" i="9"/>
  <c r="P963" i="9"/>
  <c r="Q962" i="9"/>
  <c r="P962" i="9"/>
  <c r="Q961" i="9"/>
  <c r="P961" i="9"/>
  <c r="Q960" i="9"/>
  <c r="P960" i="9"/>
  <c r="Q959" i="9"/>
  <c r="P959" i="9"/>
  <c r="Q958" i="9"/>
  <c r="P958" i="9"/>
  <c r="Q957" i="9"/>
  <c r="P957" i="9"/>
  <c r="Q956" i="9"/>
  <c r="P956" i="9"/>
  <c r="Q955" i="9"/>
  <c r="P955" i="9"/>
  <c r="Q954" i="9"/>
  <c r="P954" i="9"/>
  <c r="Q953" i="9"/>
  <c r="P953" i="9"/>
  <c r="Q952" i="9"/>
  <c r="P952" i="9"/>
  <c r="Q951" i="9"/>
  <c r="P951" i="9"/>
  <c r="Q948" i="9"/>
  <c r="P948" i="9"/>
  <c r="Q947" i="9"/>
  <c r="P947" i="9"/>
  <c r="Q946" i="9"/>
  <c r="P946" i="9"/>
  <c r="Q945" i="9"/>
  <c r="P945" i="9"/>
  <c r="Q944" i="9"/>
  <c r="P944" i="9"/>
  <c r="Q935" i="9"/>
  <c r="P935" i="9"/>
  <c r="Q934" i="9"/>
  <c r="P934" i="9"/>
  <c r="Q933" i="9"/>
  <c r="P933" i="9"/>
  <c r="Q932" i="9"/>
  <c r="P932" i="9"/>
  <c r="Q929" i="9"/>
  <c r="P929" i="9"/>
  <c r="Q928" i="9"/>
  <c r="P928" i="9"/>
  <c r="Q927" i="9"/>
  <c r="P927" i="9"/>
  <c r="Q926" i="9"/>
  <c r="P926" i="9"/>
  <c r="Q925" i="9"/>
  <c r="P925" i="9"/>
  <c r="Q924" i="9"/>
  <c r="P924" i="9"/>
  <c r="Q923" i="9"/>
  <c r="P923" i="9"/>
  <c r="Q922" i="9"/>
  <c r="P922" i="9"/>
  <c r="Q921" i="9"/>
  <c r="P921" i="9"/>
  <c r="Q920" i="9"/>
  <c r="P920" i="9"/>
  <c r="Q919" i="9"/>
  <c r="P919" i="9"/>
  <c r="Q918" i="9"/>
  <c r="P918" i="9"/>
  <c r="Q917" i="9"/>
  <c r="P917" i="9"/>
  <c r="Q916" i="9"/>
  <c r="P916" i="9"/>
  <c r="Q915" i="9"/>
  <c r="P915" i="9"/>
  <c r="Q914" i="9"/>
  <c r="P914" i="9"/>
  <c r="Q913" i="9"/>
  <c r="P913" i="9"/>
  <c r="Q912" i="9"/>
  <c r="P912" i="9"/>
  <c r="Q911" i="9"/>
  <c r="P911" i="9"/>
  <c r="Q910" i="9"/>
  <c r="P910" i="9"/>
  <c r="Q909" i="9"/>
  <c r="P909" i="9"/>
  <c r="Q908" i="9"/>
  <c r="P908" i="9"/>
  <c r="Q907" i="9"/>
  <c r="P907" i="9"/>
  <c r="Q906" i="9"/>
  <c r="P906" i="9"/>
  <c r="Q905" i="9"/>
  <c r="P905" i="9"/>
  <c r="Q904" i="9"/>
  <c r="P904" i="9"/>
  <c r="Q903" i="9"/>
  <c r="P903" i="9"/>
  <c r="Q902" i="9"/>
  <c r="P902" i="9"/>
  <c r="Q901" i="9"/>
  <c r="P901" i="9"/>
  <c r="Q900" i="9"/>
  <c r="P900" i="9"/>
  <c r="Q899" i="9"/>
  <c r="P899" i="9"/>
  <c r="Q898" i="9"/>
  <c r="P898" i="9"/>
  <c r="Q897" i="9"/>
  <c r="P897" i="9"/>
  <c r="Q896" i="9"/>
  <c r="P896" i="9"/>
  <c r="Q895" i="9"/>
  <c r="P895" i="9"/>
  <c r="Q894" i="9"/>
  <c r="P894" i="9"/>
  <c r="Q893" i="9"/>
  <c r="P893" i="9"/>
  <c r="Q892" i="9"/>
  <c r="P892" i="9"/>
  <c r="Q891" i="9"/>
  <c r="P891" i="9"/>
  <c r="Q890" i="9"/>
  <c r="P890" i="9"/>
  <c r="Q889" i="9"/>
  <c r="P889" i="9"/>
  <c r="Q888" i="9"/>
  <c r="P888" i="9"/>
  <c r="Q887" i="9"/>
  <c r="P887" i="9"/>
  <c r="Q886" i="9"/>
  <c r="P886" i="9"/>
  <c r="Q885" i="9"/>
  <c r="P885" i="9"/>
  <c r="Q884" i="9"/>
  <c r="P884" i="9"/>
  <c r="Q883" i="9"/>
  <c r="P883" i="9"/>
  <c r="Q882" i="9"/>
  <c r="P882" i="9"/>
  <c r="Q881" i="9"/>
  <c r="P881" i="9"/>
  <c r="Q880" i="9"/>
  <c r="P880" i="9"/>
  <c r="Q879" i="9"/>
  <c r="P879" i="9"/>
  <c r="Q878" i="9"/>
  <c r="P878" i="9"/>
  <c r="Q877" i="9"/>
  <c r="P877" i="9"/>
  <c r="Q876" i="9"/>
  <c r="P876" i="9"/>
  <c r="Q875" i="9"/>
  <c r="P875" i="9"/>
  <c r="Q874" i="9"/>
  <c r="P874" i="9"/>
  <c r="Q873" i="9"/>
  <c r="P873" i="9"/>
  <c r="Q872" i="9"/>
  <c r="P872" i="9"/>
  <c r="Q871" i="9"/>
  <c r="P871" i="9"/>
  <c r="Q870" i="9"/>
  <c r="P870" i="9"/>
  <c r="Q869" i="9"/>
  <c r="P869" i="9"/>
  <c r="Q868" i="9"/>
  <c r="P868" i="9"/>
  <c r="Q867" i="9"/>
  <c r="P867" i="9"/>
  <c r="Q866" i="9"/>
  <c r="P866" i="9"/>
  <c r="Q865" i="9"/>
  <c r="P865" i="9"/>
  <c r="Q864" i="9"/>
  <c r="P864" i="9"/>
  <c r="Q863" i="9"/>
  <c r="P863" i="9"/>
  <c r="Q862" i="9"/>
  <c r="P862" i="9"/>
  <c r="Q861" i="9"/>
  <c r="P861" i="9"/>
  <c r="Q860" i="9"/>
  <c r="P860" i="9"/>
  <c r="Q859" i="9"/>
  <c r="P859" i="9"/>
  <c r="Q858" i="9"/>
  <c r="P858" i="9"/>
  <c r="Q857" i="9"/>
  <c r="P857" i="9"/>
  <c r="Q856" i="9"/>
  <c r="P856" i="9"/>
  <c r="Q855" i="9"/>
  <c r="P855" i="9"/>
  <c r="Q854" i="9"/>
  <c r="P854" i="9"/>
  <c r="Q853" i="9"/>
  <c r="P853" i="9"/>
  <c r="Q852" i="9"/>
  <c r="P852" i="9"/>
  <c r="Q851" i="9"/>
  <c r="P851" i="9"/>
  <c r="Q850" i="9"/>
  <c r="P850" i="9"/>
  <c r="Q849" i="9"/>
  <c r="P849" i="9"/>
  <c r="Q848" i="9"/>
  <c r="P848" i="9"/>
  <c r="Q847" i="9"/>
  <c r="P847" i="9"/>
  <c r="Q846" i="9"/>
  <c r="P846" i="9"/>
  <c r="Q845" i="9"/>
  <c r="P845" i="9"/>
  <c r="Q844" i="9"/>
  <c r="P844" i="9"/>
  <c r="Q843" i="9"/>
  <c r="P843" i="9"/>
  <c r="Q842" i="9"/>
  <c r="P842" i="9"/>
  <c r="Q839" i="9"/>
  <c r="P839" i="9"/>
  <c r="Q838" i="9"/>
  <c r="P838" i="9"/>
  <c r="Q837" i="9"/>
  <c r="P837" i="9"/>
  <c r="Q836" i="9"/>
  <c r="P836" i="9"/>
  <c r="Q835" i="9"/>
  <c r="P835" i="9"/>
  <c r="Q834" i="9"/>
  <c r="P834" i="9"/>
  <c r="Q832" i="9"/>
  <c r="P832" i="9"/>
  <c r="Q831" i="9"/>
  <c r="P831" i="9"/>
  <c r="Q830" i="9"/>
  <c r="P830" i="9"/>
  <c r="Q829" i="9"/>
  <c r="P829" i="9"/>
  <c r="Q828" i="9"/>
  <c r="P828" i="9"/>
  <c r="Q827" i="9"/>
  <c r="P827" i="9"/>
  <c r="Q826" i="9"/>
  <c r="P826" i="9"/>
  <c r="Q825" i="9"/>
  <c r="P825" i="9"/>
  <c r="Q824" i="9"/>
  <c r="P824" i="9"/>
  <c r="Q823" i="9"/>
  <c r="P823" i="9"/>
  <c r="Q822" i="9"/>
  <c r="P822" i="9"/>
  <c r="Q821" i="9"/>
  <c r="P821" i="9"/>
  <c r="Q820" i="9"/>
  <c r="P820" i="9"/>
  <c r="Q819" i="9"/>
  <c r="P819" i="9"/>
  <c r="Q818" i="9"/>
  <c r="P818" i="9"/>
  <c r="Q817" i="9"/>
  <c r="P817" i="9"/>
  <c r="Q816" i="9"/>
  <c r="P816" i="9"/>
  <c r="Q815" i="9"/>
  <c r="P815" i="9"/>
  <c r="Q812" i="9"/>
  <c r="P812" i="9"/>
  <c r="Q811" i="9"/>
  <c r="P811" i="9"/>
  <c r="Q810" i="9"/>
  <c r="P810" i="9"/>
  <c r="Q809" i="9"/>
  <c r="P809" i="9"/>
  <c r="Q808" i="9"/>
  <c r="P808" i="9"/>
  <c r="Q807" i="9"/>
  <c r="P807" i="9"/>
  <c r="Q806" i="9"/>
  <c r="P806" i="9"/>
  <c r="Q805" i="9"/>
  <c r="P805" i="9"/>
  <c r="Q804" i="9"/>
  <c r="P804" i="9"/>
  <c r="Q803" i="9"/>
  <c r="P803" i="9"/>
  <c r="Q802" i="9"/>
  <c r="P802" i="9"/>
  <c r="Q801" i="9"/>
  <c r="P801" i="9"/>
  <c r="Q800" i="9"/>
  <c r="P800" i="9"/>
  <c r="Q799" i="9"/>
  <c r="P799" i="9"/>
  <c r="Q798" i="9"/>
  <c r="P798" i="9"/>
  <c r="Q797" i="9"/>
  <c r="P797" i="9"/>
  <c r="Q796" i="9"/>
  <c r="P796" i="9"/>
  <c r="Q795" i="9"/>
  <c r="P795" i="9"/>
  <c r="Q794" i="9"/>
  <c r="P794" i="9"/>
  <c r="Q793" i="9"/>
  <c r="P793" i="9"/>
  <c r="Q792" i="9"/>
  <c r="P792" i="9"/>
  <c r="Q791" i="9"/>
  <c r="P791" i="9"/>
  <c r="Q790" i="9"/>
  <c r="P790" i="9"/>
  <c r="Q789" i="9"/>
  <c r="P789" i="9"/>
  <c r="Q788" i="9"/>
  <c r="P788" i="9"/>
  <c r="Q787" i="9"/>
  <c r="P787" i="9"/>
  <c r="Q786" i="9"/>
  <c r="P786" i="9"/>
  <c r="Q785" i="9"/>
  <c r="P785" i="9"/>
  <c r="Q784" i="9"/>
  <c r="P784" i="9"/>
  <c r="Q783" i="9"/>
  <c r="P783" i="9"/>
  <c r="Q782" i="9"/>
  <c r="P782" i="9"/>
  <c r="Q781" i="9"/>
  <c r="P781" i="9"/>
  <c r="Q780" i="9"/>
  <c r="P780" i="9"/>
  <c r="Q779" i="9"/>
  <c r="P779" i="9"/>
  <c r="Q778" i="9"/>
  <c r="P778" i="9"/>
  <c r="Q777" i="9"/>
  <c r="P777" i="9"/>
  <c r="Q768" i="9"/>
  <c r="P768" i="9"/>
  <c r="Q767" i="9"/>
  <c r="P767" i="9"/>
  <c r="Q766" i="9"/>
  <c r="P766" i="9"/>
  <c r="Q765" i="9"/>
  <c r="P765" i="9"/>
  <c r="Q762" i="9"/>
  <c r="P762" i="9"/>
  <c r="Q761" i="9"/>
  <c r="P761" i="9"/>
  <c r="Q760" i="9"/>
  <c r="P760" i="9"/>
  <c r="Q759" i="9"/>
  <c r="P759" i="9"/>
  <c r="Q758" i="9"/>
  <c r="P758" i="9"/>
  <c r="Q757" i="9"/>
  <c r="P757" i="9"/>
  <c r="Q756" i="9"/>
  <c r="P756" i="9"/>
  <c r="Q755" i="9"/>
  <c r="P755" i="9"/>
  <c r="Q754" i="9"/>
  <c r="P754" i="9"/>
  <c r="Q753" i="9"/>
  <c r="P753" i="9"/>
  <c r="Q752" i="9"/>
  <c r="P752" i="9"/>
  <c r="Q751" i="9"/>
  <c r="P751" i="9"/>
  <c r="Q750" i="9"/>
  <c r="P750" i="9"/>
  <c r="Q749" i="9"/>
  <c r="P749" i="9"/>
  <c r="Q748" i="9"/>
  <c r="P748" i="9"/>
  <c r="Q747" i="9"/>
  <c r="P747" i="9"/>
  <c r="Q746" i="9"/>
  <c r="P746" i="9"/>
  <c r="Q745" i="9"/>
  <c r="P745" i="9"/>
  <c r="Q744" i="9"/>
  <c r="P744" i="9"/>
  <c r="Q743" i="9"/>
  <c r="P743" i="9"/>
  <c r="Q742" i="9"/>
  <c r="P742" i="9"/>
  <c r="Q741" i="9"/>
  <c r="P741" i="9"/>
  <c r="Q740" i="9"/>
  <c r="P740" i="9"/>
  <c r="Q739" i="9"/>
  <c r="P739" i="9"/>
  <c r="Q738" i="9"/>
  <c r="P738" i="9"/>
  <c r="Q737" i="9"/>
  <c r="P737" i="9"/>
  <c r="Q736" i="9"/>
  <c r="P736" i="9"/>
  <c r="Q735" i="9"/>
  <c r="P735" i="9"/>
  <c r="Q734" i="9"/>
  <c r="P734" i="9"/>
  <c r="Q733" i="9"/>
  <c r="P733" i="9"/>
  <c r="Q732" i="9"/>
  <c r="P732" i="9"/>
  <c r="Q731" i="9"/>
  <c r="P731" i="9"/>
  <c r="Q730" i="9"/>
  <c r="P730" i="9"/>
  <c r="Q729" i="9"/>
  <c r="P729" i="9"/>
  <c r="Q728" i="9"/>
  <c r="P728" i="9"/>
  <c r="Q727" i="9"/>
  <c r="P727" i="9"/>
  <c r="Q726" i="9"/>
  <c r="P726" i="9"/>
  <c r="Q725" i="9"/>
  <c r="P725" i="9"/>
  <c r="Q724" i="9"/>
  <c r="P724" i="9"/>
  <c r="Q723" i="9"/>
  <c r="P723" i="9"/>
  <c r="Q722" i="9"/>
  <c r="P722" i="9"/>
  <c r="Q721" i="9"/>
  <c r="P721" i="9"/>
  <c r="Q720" i="9"/>
  <c r="P720" i="9"/>
  <c r="Q719" i="9"/>
  <c r="P719" i="9"/>
  <c r="Q718" i="9"/>
  <c r="P718" i="9"/>
  <c r="Q717" i="9"/>
  <c r="P717" i="9"/>
  <c r="Q716" i="9"/>
  <c r="P716" i="9"/>
  <c r="Q715" i="9"/>
  <c r="P715" i="9"/>
  <c r="Q714" i="9"/>
  <c r="P714" i="9"/>
  <c r="Q713" i="9"/>
  <c r="P713" i="9"/>
  <c r="Q712" i="9"/>
  <c r="P712" i="9"/>
  <c r="Q709" i="9"/>
  <c r="P709" i="9"/>
  <c r="Q706" i="9"/>
  <c r="P706" i="9"/>
  <c r="Q705" i="9"/>
  <c r="P705" i="9"/>
  <c r="Q704" i="9"/>
  <c r="P704" i="9"/>
  <c r="Q703" i="9"/>
  <c r="P703" i="9"/>
  <c r="Q702" i="9"/>
  <c r="P702" i="9"/>
  <c r="Q701" i="9"/>
  <c r="P701" i="9"/>
  <c r="Q700" i="9"/>
  <c r="P700" i="9"/>
  <c r="Q699" i="9"/>
  <c r="P699" i="9"/>
  <c r="Q698" i="9"/>
  <c r="P698" i="9"/>
  <c r="Q697" i="9"/>
  <c r="P697" i="9"/>
  <c r="Q696" i="9"/>
  <c r="P696" i="9"/>
  <c r="Q695" i="9"/>
  <c r="P695" i="9"/>
  <c r="Q694" i="9"/>
  <c r="P694" i="9"/>
  <c r="Q693" i="9"/>
  <c r="P693" i="9"/>
  <c r="Q692" i="9"/>
  <c r="P692" i="9"/>
  <c r="Q691" i="9"/>
  <c r="P691" i="9"/>
  <c r="Q690" i="9"/>
  <c r="P690" i="9"/>
  <c r="Q689" i="9"/>
  <c r="P689" i="9"/>
  <c r="Q688" i="9"/>
  <c r="P688" i="9"/>
  <c r="Q687" i="9"/>
  <c r="P687" i="9"/>
  <c r="Q686" i="9"/>
  <c r="P686" i="9"/>
  <c r="Q685" i="9"/>
  <c r="P685" i="9"/>
  <c r="Q684" i="9"/>
  <c r="P684" i="9"/>
  <c r="Q683" i="9"/>
  <c r="P683" i="9"/>
  <c r="Q682" i="9"/>
  <c r="P682" i="9"/>
  <c r="Q681" i="9"/>
  <c r="P681" i="9"/>
  <c r="Q680" i="9"/>
  <c r="P680" i="9"/>
  <c r="Q679" i="9"/>
  <c r="P679" i="9"/>
  <c r="Q678" i="9"/>
  <c r="P678" i="9"/>
  <c r="Q677" i="9"/>
  <c r="P677" i="9"/>
  <c r="Q676" i="9"/>
  <c r="P676" i="9"/>
  <c r="Q675" i="9"/>
  <c r="P675" i="9"/>
  <c r="Q674" i="9"/>
  <c r="P674" i="9"/>
  <c r="Q673" i="9"/>
  <c r="P673" i="9"/>
  <c r="Q672" i="9"/>
  <c r="P672" i="9"/>
  <c r="Q671" i="9"/>
  <c r="P671" i="9"/>
  <c r="Q670" i="9"/>
  <c r="P670" i="9"/>
  <c r="Q669" i="9"/>
  <c r="P669" i="9"/>
  <c r="Q668" i="9"/>
  <c r="P668" i="9"/>
  <c r="Q667" i="9"/>
  <c r="P667" i="9"/>
  <c r="Q666" i="9"/>
  <c r="P666" i="9"/>
  <c r="Q665" i="9"/>
  <c r="P665" i="9"/>
  <c r="Q664" i="9"/>
  <c r="P664" i="9"/>
  <c r="Q663" i="9"/>
  <c r="P663" i="9"/>
  <c r="Q662" i="9"/>
  <c r="P662" i="9"/>
  <c r="Q659" i="9"/>
  <c r="P659" i="9"/>
  <c r="Q658" i="9"/>
  <c r="P658" i="9"/>
  <c r="Q655" i="9"/>
  <c r="P655" i="9"/>
  <c r="Q654" i="9"/>
  <c r="P654" i="9"/>
  <c r="Q653" i="9"/>
  <c r="P653" i="9"/>
  <c r="Q652" i="9"/>
  <c r="P652" i="9"/>
  <c r="Q651" i="9"/>
  <c r="P651" i="9"/>
  <c r="Q650" i="9"/>
  <c r="P650" i="9"/>
  <c r="Q649" i="9"/>
  <c r="P649" i="9"/>
  <c r="Q648" i="9"/>
  <c r="P648" i="9"/>
  <c r="Q647" i="9"/>
  <c r="P647" i="9"/>
  <c r="Q646" i="9"/>
  <c r="P646" i="9"/>
  <c r="Q645" i="9"/>
  <c r="P645" i="9"/>
  <c r="Q644" i="9"/>
  <c r="P644" i="9"/>
  <c r="Q643" i="9"/>
  <c r="P643" i="9"/>
  <c r="Q642" i="9"/>
  <c r="P642" i="9"/>
  <c r="Q641" i="9"/>
  <c r="P641" i="9"/>
  <c r="Q640" i="9"/>
  <c r="P640" i="9"/>
  <c r="Q639" i="9"/>
  <c r="P639" i="9"/>
  <c r="Q638" i="9"/>
  <c r="P638" i="9"/>
  <c r="Q637" i="9"/>
  <c r="P637" i="9"/>
  <c r="Q634" i="9"/>
  <c r="P634" i="9"/>
  <c r="Q633" i="9"/>
  <c r="P633" i="9"/>
  <c r="Q632" i="9"/>
  <c r="P632" i="9"/>
  <c r="Q631" i="9"/>
  <c r="P631" i="9"/>
  <c r="Q630" i="9"/>
  <c r="P630" i="9"/>
  <c r="Q629" i="9"/>
  <c r="P629" i="9"/>
  <c r="Q628" i="9"/>
  <c r="P628" i="9"/>
  <c r="Q627" i="9"/>
  <c r="P627" i="9"/>
  <c r="Q626" i="9"/>
  <c r="P626" i="9"/>
  <c r="Q625" i="9"/>
  <c r="P625" i="9"/>
  <c r="Q624" i="9"/>
  <c r="P624" i="9"/>
  <c r="Q621" i="9"/>
  <c r="P621" i="9"/>
  <c r="Q620" i="9"/>
  <c r="P620" i="9"/>
  <c r="Q619" i="9"/>
  <c r="P619" i="9"/>
  <c r="Q618" i="9"/>
  <c r="P618" i="9"/>
  <c r="Q617" i="9"/>
  <c r="P617" i="9"/>
  <c r="Q616" i="9"/>
  <c r="P616" i="9"/>
  <c r="Q615" i="9"/>
  <c r="P615" i="9"/>
  <c r="Q614" i="9"/>
  <c r="P614" i="9"/>
  <c r="Q611" i="9"/>
  <c r="P611" i="9"/>
  <c r="Q610" i="9"/>
  <c r="P610" i="9"/>
  <c r="Q609" i="9"/>
  <c r="P609" i="9"/>
  <c r="Q608" i="9"/>
  <c r="P608" i="9"/>
  <c r="Q607" i="9"/>
  <c r="P607" i="9"/>
  <c r="Q606" i="9"/>
  <c r="P606" i="9"/>
  <c r="Q605" i="9"/>
  <c r="P605" i="9"/>
  <c r="Q604" i="9"/>
  <c r="P604" i="9"/>
  <c r="Q603" i="9"/>
  <c r="P603" i="9"/>
  <c r="Q602" i="9"/>
  <c r="P602" i="9"/>
  <c r="Q601" i="9"/>
  <c r="P601" i="9"/>
  <c r="Q600" i="9"/>
  <c r="P600" i="9"/>
  <c r="Q599" i="9"/>
  <c r="P599" i="9"/>
  <c r="Q598" i="9"/>
  <c r="P598" i="9"/>
  <c r="Q597" i="9"/>
  <c r="P597" i="9"/>
  <c r="Q596" i="9"/>
  <c r="P596" i="9"/>
  <c r="Q595" i="9"/>
  <c r="P595" i="9"/>
  <c r="Q594" i="9"/>
  <c r="P594" i="9"/>
  <c r="Q593" i="9"/>
  <c r="P593" i="9"/>
  <c r="Q592" i="9"/>
  <c r="P592" i="9"/>
  <c r="Q591" i="9"/>
  <c r="P591" i="9"/>
  <c r="Q590" i="9"/>
  <c r="P590" i="9"/>
  <c r="Q589" i="9"/>
  <c r="P589" i="9"/>
  <c r="Q588" i="9"/>
  <c r="P588" i="9"/>
  <c r="Q587" i="9"/>
  <c r="P587" i="9"/>
  <c r="Q586" i="9"/>
  <c r="P586" i="9"/>
  <c r="Q585" i="9"/>
  <c r="P585" i="9"/>
  <c r="Q584" i="9"/>
  <c r="P584" i="9"/>
  <c r="Q583" i="9"/>
  <c r="P583" i="9"/>
  <c r="Q582" i="9"/>
  <c r="P582" i="9"/>
  <c r="Q580" i="9"/>
  <c r="P580" i="9"/>
  <c r="Q578" i="9"/>
  <c r="P578" i="9"/>
  <c r="Q576" i="9"/>
  <c r="P576" i="9"/>
  <c r="Q575" i="9"/>
  <c r="P575" i="9"/>
  <c r="Q574" i="9"/>
  <c r="P574" i="9"/>
  <c r="Q573" i="9"/>
  <c r="P573" i="9"/>
  <c r="Q572" i="9"/>
  <c r="P572" i="9"/>
  <c r="Q571" i="9"/>
  <c r="P571" i="9"/>
  <c r="Q570" i="9"/>
  <c r="P570" i="9"/>
  <c r="Q569" i="9"/>
  <c r="P569" i="9"/>
  <c r="Q568" i="9"/>
  <c r="P568" i="9"/>
  <c r="Q565" i="9"/>
  <c r="P565" i="9"/>
  <c r="Q564" i="9"/>
  <c r="P564" i="9"/>
  <c r="Q563" i="9"/>
  <c r="P563" i="9"/>
  <c r="Q562" i="9"/>
  <c r="P562" i="9"/>
  <c r="Q561" i="9"/>
  <c r="P561" i="9"/>
  <c r="Q560" i="9"/>
  <c r="P560" i="9"/>
  <c r="Q559" i="9"/>
  <c r="P559" i="9"/>
  <c r="Q558" i="9"/>
  <c r="P558" i="9"/>
  <c r="Q557" i="9"/>
  <c r="P557" i="9"/>
  <c r="Q556" i="9"/>
  <c r="P556" i="9"/>
  <c r="Q555" i="9"/>
  <c r="P555" i="9"/>
  <c r="Q554" i="9"/>
  <c r="P554" i="9"/>
  <c r="Q553" i="9"/>
  <c r="P553" i="9"/>
  <c r="Q552" i="9"/>
  <c r="P552" i="9"/>
  <c r="Q551" i="9"/>
  <c r="P551" i="9"/>
  <c r="Q550" i="9"/>
  <c r="P550" i="9"/>
  <c r="Q549" i="9"/>
  <c r="P549" i="9"/>
  <c r="Q548" i="9"/>
  <c r="P548" i="9"/>
  <c r="Q547" i="9"/>
  <c r="P547" i="9"/>
  <c r="Q546" i="9"/>
  <c r="P546" i="9"/>
  <c r="Q545" i="9"/>
  <c r="P545" i="9"/>
  <c r="Q544" i="9"/>
  <c r="P544" i="9"/>
  <c r="Q543" i="9"/>
  <c r="P543" i="9"/>
  <c r="Q542" i="9"/>
  <c r="P542" i="9"/>
  <c r="Q541" i="9"/>
  <c r="P541" i="9"/>
  <c r="Q540" i="9"/>
  <c r="P540" i="9"/>
  <c r="Q539" i="9"/>
  <c r="P539" i="9"/>
  <c r="Q538" i="9"/>
  <c r="P538" i="9"/>
  <c r="Q537" i="9"/>
  <c r="P537" i="9"/>
  <c r="Q536" i="9"/>
  <c r="P536" i="9"/>
  <c r="Q535" i="9"/>
  <c r="P535" i="9"/>
  <c r="Q534" i="9"/>
  <c r="P534" i="9"/>
  <c r="Q533" i="9"/>
  <c r="P533" i="9"/>
  <c r="Q532" i="9"/>
  <c r="P532" i="9"/>
  <c r="Q531" i="9"/>
  <c r="P531" i="9"/>
  <c r="Q530" i="9"/>
  <c r="P530" i="9"/>
  <c r="Q529" i="9"/>
  <c r="P529" i="9"/>
  <c r="Q528" i="9"/>
  <c r="P528" i="9"/>
  <c r="Q527" i="9"/>
  <c r="P527" i="9"/>
  <c r="Q526" i="9"/>
  <c r="P526" i="9"/>
  <c r="Q525" i="9"/>
  <c r="P525" i="9"/>
  <c r="Q524" i="9"/>
  <c r="P524" i="9"/>
  <c r="Q523" i="9"/>
  <c r="P523" i="9"/>
  <c r="Q522" i="9"/>
  <c r="P522" i="9"/>
  <c r="Q521" i="9"/>
  <c r="P521" i="9"/>
  <c r="Q520" i="9"/>
  <c r="P520" i="9"/>
  <c r="Q519" i="9"/>
  <c r="P519" i="9"/>
  <c r="Q518" i="9"/>
  <c r="P518" i="9"/>
  <c r="Q517" i="9"/>
  <c r="P517" i="9"/>
  <c r="Q516" i="9"/>
  <c r="P516" i="9"/>
  <c r="Q515" i="9"/>
  <c r="P515" i="9"/>
  <c r="Q514" i="9"/>
  <c r="P514" i="9"/>
  <c r="Q513" i="9"/>
  <c r="P513" i="9"/>
  <c r="Q512" i="9"/>
  <c r="P512" i="9"/>
  <c r="Q511" i="9"/>
  <c r="P511" i="9"/>
  <c r="Q510" i="9"/>
  <c r="P510" i="9"/>
  <c r="Q509" i="9"/>
  <c r="P509" i="9"/>
  <c r="Q508" i="9"/>
  <c r="P508" i="9"/>
  <c r="Q507" i="9"/>
  <c r="P507" i="9"/>
  <c r="Q506" i="9"/>
  <c r="P506" i="9"/>
  <c r="Q505" i="9"/>
  <c r="P505" i="9"/>
  <c r="Q504" i="9"/>
  <c r="P504" i="9"/>
  <c r="Q503" i="9"/>
  <c r="P503" i="9"/>
  <c r="Q502" i="9"/>
  <c r="P502" i="9"/>
  <c r="Q501" i="9"/>
  <c r="P501" i="9"/>
  <c r="Q500" i="9"/>
  <c r="P500" i="9"/>
  <c r="Q499" i="9"/>
  <c r="P499" i="9"/>
  <c r="Q498" i="9"/>
  <c r="P498" i="9"/>
  <c r="Q497" i="9"/>
  <c r="P497" i="9"/>
  <c r="Q496" i="9"/>
  <c r="P496" i="9"/>
  <c r="Q495" i="9"/>
  <c r="P495" i="9"/>
  <c r="Q494" i="9"/>
  <c r="P494" i="9"/>
  <c r="Q493" i="9"/>
  <c r="P493" i="9"/>
  <c r="Q492" i="9"/>
  <c r="P492" i="9"/>
  <c r="Q491" i="9"/>
  <c r="P491" i="9"/>
  <c r="Q490" i="9"/>
  <c r="P490" i="9"/>
  <c r="Q489" i="9"/>
  <c r="P489" i="9"/>
  <c r="Q484" i="9"/>
  <c r="P484" i="9"/>
  <c r="Q479" i="9"/>
  <c r="P479" i="9"/>
  <c r="Q474" i="9"/>
  <c r="P474" i="9"/>
  <c r="Q469" i="9"/>
  <c r="P469" i="9"/>
  <c r="Q464" i="9"/>
  <c r="P464" i="9"/>
  <c r="Q459" i="9"/>
  <c r="P459" i="9"/>
  <c r="Q458" i="9"/>
  <c r="P458" i="9"/>
  <c r="Q457" i="9"/>
  <c r="P457" i="9"/>
  <c r="Q456" i="9"/>
  <c r="P456" i="9"/>
  <c r="Q455" i="9"/>
  <c r="P455" i="9"/>
  <c r="Q454" i="9"/>
  <c r="P454" i="9"/>
  <c r="Q453" i="9"/>
  <c r="P453" i="9"/>
  <c r="Q452" i="9"/>
  <c r="P452" i="9"/>
  <c r="Q451" i="9"/>
  <c r="P451" i="9"/>
  <c r="Q450" i="9"/>
  <c r="P450" i="9"/>
  <c r="Q449" i="9"/>
  <c r="P449" i="9"/>
  <c r="Q448" i="9"/>
  <c r="P448" i="9"/>
  <c r="Q447" i="9"/>
  <c r="P447" i="9"/>
  <c r="Q446" i="9"/>
  <c r="P446" i="9"/>
  <c r="Q445" i="9"/>
  <c r="P445" i="9"/>
  <c r="Q444" i="9"/>
  <c r="P444" i="9"/>
  <c r="Q443" i="9"/>
  <c r="P443" i="9"/>
  <c r="Q442" i="9"/>
  <c r="P442" i="9"/>
  <c r="Q439" i="9"/>
  <c r="P439" i="9"/>
  <c r="Q438" i="9"/>
  <c r="P438" i="9"/>
  <c r="Q437" i="9"/>
  <c r="P437" i="9"/>
  <c r="Q436" i="9"/>
  <c r="P436" i="9"/>
  <c r="Q435" i="9"/>
  <c r="P435" i="9"/>
  <c r="Q434" i="9"/>
  <c r="P434" i="9"/>
  <c r="Q433" i="9"/>
  <c r="P433" i="9"/>
  <c r="Q432" i="9"/>
  <c r="P432" i="9"/>
  <c r="Q430" i="9"/>
  <c r="P430" i="9"/>
  <c r="Q428" i="9"/>
  <c r="P428" i="9"/>
  <c r="Q426" i="9"/>
  <c r="P426" i="9"/>
  <c r="Q425" i="9"/>
  <c r="P425" i="9"/>
  <c r="Q424" i="9"/>
  <c r="P424" i="9"/>
  <c r="Q423" i="9"/>
  <c r="P423" i="9"/>
  <c r="Q422" i="9"/>
  <c r="P422" i="9"/>
  <c r="Q421" i="9"/>
  <c r="P421" i="9"/>
  <c r="Q420" i="9"/>
  <c r="P420" i="9"/>
  <c r="Q419" i="9"/>
  <c r="P419" i="9"/>
  <c r="Q418" i="9"/>
  <c r="P418" i="9"/>
  <c r="Q417" i="9"/>
  <c r="P417" i="9"/>
  <c r="Q416" i="9"/>
  <c r="P416" i="9"/>
  <c r="Q415" i="9"/>
  <c r="P415" i="9"/>
  <c r="Q414" i="9"/>
  <c r="P414" i="9"/>
  <c r="Q413" i="9"/>
  <c r="P413" i="9"/>
  <c r="Q412" i="9"/>
  <c r="P412" i="9"/>
  <c r="Q411" i="9"/>
  <c r="P411" i="9"/>
  <c r="Q410" i="9"/>
  <c r="P410" i="9"/>
  <c r="Q409" i="9"/>
  <c r="P409" i="9"/>
  <c r="Q408" i="9"/>
  <c r="P408" i="9"/>
  <c r="Q407" i="9"/>
  <c r="P407" i="9"/>
  <c r="Q406" i="9"/>
  <c r="P406" i="9"/>
  <c r="Q405" i="9"/>
  <c r="P405" i="9"/>
  <c r="Q404" i="9"/>
  <c r="P404" i="9"/>
  <c r="Q403" i="9"/>
  <c r="P403" i="9"/>
  <c r="Q402" i="9"/>
  <c r="P402" i="9"/>
  <c r="Q401" i="9"/>
  <c r="P401" i="9"/>
  <c r="Q400" i="9"/>
  <c r="P400" i="9"/>
  <c r="Q399" i="9"/>
  <c r="P399" i="9"/>
  <c r="Q398" i="9"/>
  <c r="P398" i="9"/>
  <c r="Q397" i="9"/>
  <c r="P397" i="9"/>
  <c r="Q396" i="9"/>
  <c r="P396" i="9"/>
  <c r="Q395" i="9"/>
  <c r="P395" i="9"/>
  <c r="Q394" i="9"/>
  <c r="P394" i="9"/>
  <c r="Q393" i="9"/>
  <c r="P393" i="9"/>
  <c r="Q392" i="9"/>
  <c r="P392" i="9"/>
  <c r="Q391" i="9"/>
  <c r="P391" i="9"/>
  <c r="Q390" i="9"/>
  <c r="P390" i="9"/>
  <c r="Q389" i="9"/>
  <c r="P389" i="9"/>
  <c r="Q388" i="9"/>
  <c r="P388" i="9"/>
  <c r="Q387" i="9"/>
  <c r="P387" i="9"/>
  <c r="Q386" i="9"/>
  <c r="P386" i="9"/>
  <c r="Q385" i="9"/>
  <c r="P385" i="9"/>
  <c r="Q384" i="9"/>
  <c r="P384" i="9"/>
  <c r="Q383" i="9"/>
  <c r="P383" i="9"/>
  <c r="Q382" i="9"/>
  <c r="P382" i="9"/>
  <c r="Q381" i="9"/>
  <c r="P381" i="9"/>
  <c r="Q380" i="9"/>
  <c r="P380" i="9"/>
  <c r="Q379" i="9"/>
  <c r="P379" i="9"/>
  <c r="Q378" i="9"/>
  <c r="P378" i="9"/>
  <c r="Q377" i="9"/>
  <c r="P377" i="9"/>
  <c r="Q376" i="9"/>
  <c r="P376" i="9"/>
  <c r="Q375" i="9"/>
  <c r="P375" i="9"/>
  <c r="Q374" i="9"/>
  <c r="P374" i="9"/>
  <c r="Q373" i="9"/>
  <c r="P373" i="9"/>
  <c r="Q372" i="9"/>
  <c r="P372" i="9"/>
  <c r="Q371" i="9"/>
  <c r="P371" i="9"/>
  <c r="Q370" i="9"/>
  <c r="P370" i="9"/>
  <c r="Q369" i="9"/>
  <c r="P369" i="9"/>
  <c r="Q368" i="9"/>
  <c r="P368" i="9"/>
  <c r="Q367" i="9"/>
  <c r="P367" i="9"/>
  <c r="Q366" i="9"/>
  <c r="P366" i="9"/>
  <c r="Q365" i="9"/>
  <c r="P365" i="9"/>
  <c r="Q364" i="9"/>
  <c r="P364" i="9"/>
  <c r="Q363" i="9"/>
  <c r="P363" i="9"/>
  <c r="Q362" i="9"/>
  <c r="P362" i="9"/>
  <c r="Q361" i="9"/>
  <c r="P361" i="9"/>
  <c r="Q360" i="9"/>
  <c r="P360" i="9"/>
  <c r="Q359" i="9"/>
  <c r="P359" i="9"/>
  <c r="Q358" i="9"/>
  <c r="P358" i="9"/>
  <c r="Q357" i="9"/>
  <c r="P357" i="9"/>
  <c r="Q356" i="9"/>
  <c r="P356" i="9"/>
  <c r="Q355" i="9"/>
  <c r="P355" i="9"/>
  <c r="Q354" i="9"/>
  <c r="P354" i="9"/>
  <c r="Q353" i="9"/>
  <c r="P353" i="9"/>
  <c r="Q352" i="9"/>
  <c r="P352" i="9"/>
  <c r="Q351" i="9"/>
  <c r="P351" i="9"/>
  <c r="Q350" i="9"/>
  <c r="P350" i="9"/>
  <c r="Q349" i="9"/>
  <c r="P349" i="9"/>
  <c r="Q348" i="9"/>
  <c r="P348" i="9"/>
  <c r="Q347" i="9"/>
  <c r="P347" i="9"/>
  <c r="Q346" i="9"/>
  <c r="P346" i="9"/>
  <c r="Q345" i="9"/>
  <c r="P345" i="9"/>
  <c r="Q344" i="9"/>
  <c r="P344" i="9"/>
  <c r="Q343" i="9"/>
  <c r="P343" i="9"/>
  <c r="Q342" i="9"/>
  <c r="P342" i="9"/>
  <c r="Q341" i="9"/>
  <c r="P341" i="9"/>
  <c r="Q340" i="9"/>
  <c r="P340" i="9"/>
  <c r="Q339" i="9"/>
  <c r="P339" i="9"/>
  <c r="Q338" i="9"/>
  <c r="P338" i="9"/>
  <c r="Q337" i="9"/>
  <c r="P337" i="9"/>
  <c r="Q336" i="9"/>
  <c r="P336" i="9"/>
  <c r="Q335" i="9"/>
  <c r="P335" i="9"/>
  <c r="Q334" i="9"/>
  <c r="P334" i="9"/>
  <c r="Q333" i="9"/>
  <c r="P333" i="9"/>
  <c r="Q332" i="9"/>
  <c r="P332" i="9"/>
  <c r="Q331" i="9"/>
  <c r="P331" i="9"/>
  <c r="Q330" i="9"/>
  <c r="P330" i="9"/>
  <c r="Q329" i="9"/>
  <c r="P329" i="9"/>
  <c r="Q328" i="9"/>
  <c r="P328" i="9"/>
  <c r="Q327" i="9"/>
  <c r="P327" i="9"/>
  <c r="Q326" i="9"/>
  <c r="P326" i="9"/>
  <c r="Q325" i="9"/>
  <c r="P325" i="9"/>
  <c r="Q324" i="9"/>
  <c r="P324" i="9"/>
  <c r="Q323" i="9"/>
  <c r="P323" i="9"/>
  <c r="Q322" i="9"/>
  <c r="P322" i="9"/>
  <c r="Q321" i="9"/>
  <c r="P321" i="9"/>
  <c r="Q320" i="9"/>
  <c r="P320" i="9"/>
  <c r="Q319" i="9"/>
  <c r="P319" i="9"/>
  <c r="Q318" i="9"/>
  <c r="P318" i="9"/>
  <c r="Q317" i="9"/>
  <c r="P317" i="9"/>
  <c r="Q316" i="9"/>
  <c r="P316" i="9"/>
  <c r="Q315" i="9"/>
  <c r="P315" i="9"/>
  <c r="Q314" i="9"/>
  <c r="P314" i="9"/>
  <c r="Q313" i="9"/>
  <c r="P313" i="9"/>
  <c r="Q312" i="9"/>
  <c r="P312" i="9"/>
  <c r="Q311" i="9"/>
  <c r="P311" i="9"/>
  <c r="Q310" i="9"/>
  <c r="P310" i="9"/>
  <c r="Q309" i="9"/>
  <c r="P309" i="9"/>
  <c r="Q308" i="9"/>
  <c r="P308" i="9"/>
  <c r="Q306" i="9"/>
  <c r="P306" i="9"/>
  <c r="Q304" i="9"/>
  <c r="P304" i="9"/>
  <c r="Q302" i="9"/>
  <c r="P302" i="9"/>
  <c r="Q301" i="9"/>
  <c r="P301" i="9"/>
  <c r="Q300" i="9"/>
  <c r="P300" i="9"/>
  <c r="Q299" i="9"/>
  <c r="P299" i="9"/>
  <c r="Q298" i="9"/>
  <c r="P298" i="9"/>
  <c r="Q297" i="9"/>
  <c r="P297" i="9"/>
  <c r="Q296" i="9"/>
  <c r="P296" i="9"/>
  <c r="Q295" i="9"/>
  <c r="P295" i="9"/>
  <c r="Q292" i="9"/>
  <c r="P292" i="9"/>
  <c r="Q291" i="9"/>
  <c r="P291" i="9"/>
  <c r="Q290" i="9"/>
  <c r="P290" i="9"/>
  <c r="Q289" i="9"/>
  <c r="P289" i="9"/>
  <c r="Q288" i="9"/>
  <c r="P288" i="9"/>
  <c r="Q287" i="9"/>
  <c r="P287" i="9"/>
  <c r="Q286" i="9"/>
  <c r="P286" i="9"/>
  <c r="Q285" i="9"/>
  <c r="P285" i="9"/>
  <c r="Q284" i="9"/>
  <c r="P284" i="9"/>
  <c r="Q283" i="9"/>
  <c r="P283" i="9"/>
  <c r="Q280" i="9"/>
  <c r="P280" i="9"/>
  <c r="Q279" i="9"/>
  <c r="P279" i="9"/>
  <c r="Q278" i="9"/>
  <c r="P278" i="9"/>
  <c r="Q277" i="9"/>
  <c r="P277" i="9"/>
  <c r="Q276" i="9"/>
  <c r="P276" i="9"/>
  <c r="Q275" i="9"/>
  <c r="P275" i="9"/>
  <c r="Q274" i="9"/>
  <c r="P274" i="9"/>
  <c r="Q273" i="9"/>
  <c r="P273" i="9"/>
  <c r="Q272" i="9"/>
  <c r="P272" i="9"/>
  <c r="Q271" i="9"/>
  <c r="P271" i="9"/>
  <c r="Q270" i="9"/>
  <c r="P270" i="9"/>
  <c r="Q269" i="9"/>
  <c r="P269" i="9"/>
  <c r="Q268" i="9"/>
  <c r="P268" i="9"/>
  <c r="Q267" i="9"/>
  <c r="P267" i="9"/>
  <c r="Q266" i="9"/>
  <c r="P266" i="9"/>
  <c r="Q265" i="9"/>
  <c r="P265" i="9"/>
  <c r="Q264" i="9"/>
  <c r="P264" i="9"/>
  <c r="Q263" i="9"/>
  <c r="P263" i="9"/>
  <c r="Q262" i="9"/>
  <c r="P262" i="9"/>
  <c r="Q261" i="9"/>
  <c r="P261" i="9"/>
  <c r="Q260" i="9"/>
  <c r="P260" i="9"/>
  <c r="Q259" i="9"/>
  <c r="P259" i="9"/>
  <c r="Q258" i="9"/>
  <c r="P258" i="9"/>
  <c r="Q257" i="9"/>
  <c r="P257" i="9"/>
  <c r="Q256" i="9"/>
  <c r="P256" i="9"/>
  <c r="Q255" i="9"/>
  <c r="P255" i="9"/>
  <c r="Q254" i="9"/>
  <c r="P254" i="9"/>
  <c r="Q253" i="9"/>
  <c r="P253" i="9"/>
  <c r="Q252" i="9"/>
  <c r="P252" i="9"/>
  <c r="Q251" i="9"/>
  <c r="P251" i="9"/>
  <c r="Q250" i="9"/>
  <c r="P250" i="9"/>
  <c r="Q247" i="9"/>
  <c r="P247" i="9"/>
  <c r="Q246" i="9"/>
  <c r="P246" i="9"/>
  <c r="Q245" i="9"/>
  <c r="P245" i="9"/>
  <c r="Q244" i="9"/>
  <c r="P244" i="9"/>
  <c r="Q243" i="9"/>
  <c r="P243" i="9"/>
  <c r="Q242" i="9"/>
  <c r="P242" i="9"/>
  <c r="Q241" i="9"/>
  <c r="P241" i="9"/>
  <c r="Q240" i="9"/>
  <c r="P240" i="9"/>
  <c r="Q238" i="9"/>
  <c r="P238" i="9"/>
  <c r="Q236" i="9"/>
  <c r="P236" i="9"/>
  <c r="Q234" i="9"/>
  <c r="P234" i="9"/>
  <c r="Q233" i="9"/>
  <c r="P233" i="9"/>
  <c r="Q232" i="9"/>
  <c r="P232" i="9"/>
  <c r="Q231" i="9"/>
  <c r="P231" i="9"/>
  <c r="Q230" i="9"/>
  <c r="P230" i="9"/>
  <c r="Q229" i="9"/>
  <c r="P229" i="9"/>
  <c r="Q228" i="9"/>
  <c r="P228" i="9"/>
  <c r="Q227" i="9"/>
  <c r="P227" i="9"/>
  <c r="Q226" i="9"/>
  <c r="P226" i="9"/>
  <c r="Q225" i="9"/>
  <c r="P225" i="9"/>
  <c r="Q224" i="9"/>
  <c r="P224" i="9"/>
  <c r="Q223" i="9"/>
  <c r="P223" i="9"/>
  <c r="Q222" i="9"/>
  <c r="P222" i="9"/>
  <c r="Q217" i="9"/>
  <c r="P217" i="9"/>
  <c r="Q216" i="9"/>
  <c r="P216" i="9"/>
  <c r="Q213" i="9"/>
  <c r="P213" i="9"/>
  <c r="Q212" i="9"/>
  <c r="P212" i="9"/>
  <c r="Q211" i="9"/>
  <c r="P211" i="9"/>
  <c r="Q210" i="9"/>
  <c r="P210" i="9"/>
  <c r="Q209" i="9"/>
  <c r="P209" i="9"/>
  <c r="Q208" i="9"/>
  <c r="P208" i="9"/>
  <c r="Q207" i="9"/>
  <c r="P207" i="9"/>
  <c r="Q206" i="9"/>
  <c r="P206" i="9"/>
  <c r="Q205" i="9"/>
  <c r="P205" i="9"/>
  <c r="Q204" i="9"/>
  <c r="P204" i="9"/>
  <c r="Q203" i="9"/>
  <c r="P203" i="9"/>
  <c r="Q202" i="9"/>
  <c r="P202" i="9"/>
  <c r="Q201" i="9"/>
  <c r="P201" i="9"/>
  <c r="Q200" i="9"/>
  <c r="P200" i="9"/>
  <c r="Q199" i="9"/>
  <c r="P199" i="9"/>
  <c r="Q198" i="9"/>
  <c r="P198" i="9"/>
  <c r="Q197" i="9"/>
  <c r="P197" i="9"/>
  <c r="Q196" i="9"/>
  <c r="P196" i="9"/>
  <c r="Q195" i="9"/>
  <c r="P195" i="9"/>
  <c r="Q194" i="9"/>
  <c r="P194" i="9"/>
  <c r="Q193" i="9"/>
  <c r="P193" i="9"/>
  <c r="Q192" i="9"/>
  <c r="P192" i="9"/>
  <c r="Q191" i="9"/>
  <c r="P191" i="9"/>
  <c r="Q190" i="9"/>
  <c r="P190" i="9"/>
  <c r="Q189" i="9"/>
  <c r="P189" i="9"/>
  <c r="Q188" i="9"/>
  <c r="P188" i="9"/>
  <c r="Q187" i="9"/>
  <c r="P187" i="9"/>
  <c r="Q186" i="9"/>
  <c r="P186" i="9"/>
  <c r="Q185" i="9"/>
  <c r="P185" i="9"/>
  <c r="Q184" i="9"/>
  <c r="P184" i="9"/>
  <c r="Q183" i="9"/>
  <c r="P183" i="9"/>
  <c r="Q182" i="9"/>
  <c r="P182" i="9"/>
  <c r="Q181" i="9"/>
  <c r="P181" i="9"/>
  <c r="Q180" i="9"/>
  <c r="P180" i="9"/>
  <c r="Q179" i="9"/>
  <c r="P179" i="9"/>
  <c r="Q178" i="9"/>
  <c r="P178" i="9"/>
  <c r="Q177" i="9"/>
  <c r="P177" i="9"/>
  <c r="Q176" i="9"/>
  <c r="P176" i="9"/>
  <c r="Q175" i="9"/>
  <c r="P175" i="9"/>
  <c r="Q174" i="9"/>
  <c r="P174" i="9"/>
  <c r="Q173" i="9"/>
  <c r="P173" i="9"/>
  <c r="Q172" i="9"/>
  <c r="P172" i="9"/>
  <c r="Q171" i="9"/>
  <c r="P171" i="9"/>
  <c r="Q170" i="9"/>
  <c r="P170" i="9"/>
  <c r="Q169" i="9"/>
  <c r="P169" i="9"/>
  <c r="Q168" i="9"/>
  <c r="P168" i="9"/>
  <c r="Q167" i="9"/>
  <c r="P167" i="9"/>
  <c r="Q166" i="9"/>
  <c r="P166" i="9"/>
  <c r="Q165" i="9"/>
  <c r="P165" i="9"/>
  <c r="Q164" i="9"/>
  <c r="P164" i="9"/>
  <c r="Q163" i="9"/>
  <c r="P163" i="9"/>
  <c r="Q160" i="9"/>
  <c r="P160" i="9"/>
  <c r="Q159" i="9"/>
  <c r="P159" i="9"/>
  <c r="Q158" i="9"/>
  <c r="P158" i="9"/>
  <c r="Q155" i="9"/>
  <c r="P155" i="9"/>
  <c r="Q154" i="9"/>
  <c r="P154" i="9"/>
  <c r="Q153" i="9"/>
  <c r="P153" i="9"/>
  <c r="Q152" i="9"/>
  <c r="P152" i="9"/>
  <c r="Q151" i="9"/>
  <c r="P151" i="9"/>
  <c r="Q150" i="9"/>
  <c r="P150" i="9"/>
  <c r="Q149" i="9"/>
  <c r="P149" i="9"/>
  <c r="Q148" i="9"/>
  <c r="P148" i="9"/>
  <c r="Q147" i="9"/>
  <c r="P147" i="9"/>
  <c r="Q146" i="9"/>
  <c r="P146" i="9"/>
  <c r="Q145" i="9"/>
  <c r="P145" i="9"/>
  <c r="Q144" i="9"/>
  <c r="P144" i="9"/>
  <c r="Q143" i="9"/>
  <c r="P143" i="9"/>
  <c r="Q142" i="9"/>
  <c r="P142" i="9"/>
  <c r="Q141" i="9"/>
  <c r="P141" i="9"/>
  <c r="Q140" i="9"/>
  <c r="P140" i="9"/>
  <c r="Q139" i="9"/>
  <c r="P139" i="9"/>
  <c r="Q138" i="9"/>
  <c r="P138" i="9"/>
  <c r="Q137" i="9"/>
  <c r="P137" i="9"/>
  <c r="Q136" i="9"/>
  <c r="P136" i="9"/>
  <c r="Q135" i="9"/>
  <c r="P135" i="9"/>
  <c r="Q134" i="9"/>
  <c r="P134" i="9"/>
  <c r="Q133" i="9"/>
  <c r="P133" i="9"/>
  <c r="Q132" i="9"/>
  <c r="P132" i="9"/>
  <c r="Q127" i="9"/>
  <c r="P127" i="9"/>
  <c r="Q126" i="9"/>
  <c r="P126" i="9"/>
  <c r="Q125" i="9"/>
  <c r="P125" i="9"/>
  <c r="Q124" i="9"/>
  <c r="P124" i="9"/>
  <c r="Q123" i="9"/>
  <c r="P123" i="9"/>
  <c r="Q122" i="9"/>
  <c r="P122" i="9"/>
  <c r="Q121" i="9"/>
  <c r="P121" i="9"/>
  <c r="Q120" i="9"/>
  <c r="P120" i="9"/>
  <c r="Q119" i="9"/>
  <c r="P119" i="9"/>
  <c r="Q118" i="9"/>
  <c r="P118" i="9"/>
  <c r="Q117" i="9"/>
  <c r="P117" i="9"/>
  <c r="Q116" i="9"/>
  <c r="P116" i="9"/>
  <c r="Q115" i="9"/>
  <c r="P115" i="9"/>
  <c r="Q114" i="9"/>
  <c r="P114" i="9"/>
  <c r="Q113" i="9"/>
  <c r="P113" i="9"/>
  <c r="Q112" i="9"/>
  <c r="P112" i="9"/>
  <c r="Q111" i="9"/>
  <c r="P111" i="9"/>
  <c r="Q110" i="9"/>
  <c r="P110" i="9"/>
  <c r="Q103" i="9"/>
  <c r="P103" i="9"/>
  <c r="Q102" i="9"/>
  <c r="P102" i="9"/>
  <c r="Q101" i="9"/>
  <c r="P101" i="9"/>
  <c r="Q100" i="9"/>
  <c r="P100" i="9"/>
  <c r="Q99" i="9"/>
  <c r="P99" i="9"/>
  <c r="Q98" i="9"/>
  <c r="P98" i="9"/>
  <c r="Q97" i="9"/>
  <c r="P97" i="9"/>
  <c r="Q96" i="9"/>
  <c r="P96" i="9"/>
  <c r="Q95" i="9"/>
  <c r="P95" i="9"/>
  <c r="Q94" i="9"/>
  <c r="P94" i="9"/>
  <c r="Q93" i="9"/>
  <c r="P93" i="9"/>
  <c r="Q92" i="9"/>
  <c r="P92" i="9"/>
  <c r="Q91" i="9"/>
  <c r="P91" i="9"/>
  <c r="Q90" i="9"/>
  <c r="P90" i="9"/>
  <c r="Q89" i="9"/>
  <c r="P89" i="9"/>
  <c r="Q88" i="9"/>
  <c r="P88" i="9"/>
  <c r="Q87" i="9"/>
  <c r="P87" i="9"/>
  <c r="Q86" i="9"/>
  <c r="P86" i="9"/>
  <c r="Q85" i="9"/>
  <c r="P85" i="9"/>
  <c r="Q84" i="9"/>
  <c r="P84" i="9"/>
  <c r="Q83" i="9"/>
  <c r="P83" i="9"/>
  <c r="Q82" i="9"/>
  <c r="P82" i="9"/>
  <c r="Q81" i="9"/>
  <c r="P81" i="9"/>
  <c r="Q80" i="9"/>
  <c r="P80" i="9"/>
  <c r="Q79" i="9"/>
  <c r="P79" i="9"/>
  <c r="Q78" i="9"/>
  <c r="P78" i="9"/>
  <c r="Q77" i="9"/>
  <c r="P77" i="9"/>
  <c r="Q76" i="9"/>
  <c r="P76" i="9"/>
  <c r="Q75" i="9"/>
  <c r="P75" i="9"/>
  <c r="Q74" i="9"/>
  <c r="P74" i="9"/>
  <c r="Q73" i="9"/>
  <c r="P73" i="9"/>
  <c r="Q72" i="9"/>
  <c r="P72" i="9"/>
  <c r="Q71" i="9"/>
  <c r="P71" i="9"/>
  <c r="Q70" i="9"/>
  <c r="P70" i="9"/>
  <c r="Q69" i="9"/>
  <c r="P69" i="9"/>
  <c r="Q68" i="9"/>
  <c r="P68" i="9"/>
  <c r="Q67" i="9"/>
  <c r="P67" i="9"/>
  <c r="Q62" i="9"/>
  <c r="P62" i="9"/>
  <c r="Q57" i="9"/>
  <c r="P57" i="9"/>
  <c r="Q52" i="9"/>
  <c r="P52" i="9"/>
  <c r="Q47" i="9"/>
  <c r="P47" i="9"/>
  <c r="Q42" i="9"/>
  <c r="P42" i="9"/>
  <c r="Q37" i="9"/>
  <c r="P37" i="9"/>
  <c r="Q36" i="9"/>
  <c r="P36" i="9"/>
  <c r="Q35" i="9"/>
  <c r="P35" i="9"/>
  <c r="Q34" i="9"/>
  <c r="P34" i="9"/>
  <c r="Q33" i="9"/>
  <c r="P33" i="9"/>
  <c r="Q32" i="9"/>
  <c r="P32" i="9"/>
  <c r="Q31" i="9"/>
  <c r="P31" i="9"/>
  <c r="Q30" i="9"/>
  <c r="P30" i="9"/>
  <c r="Q29" i="9"/>
  <c r="P29" i="9"/>
  <c r="Q28" i="9"/>
  <c r="P28" i="9"/>
  <c r="Q27" i="9"/>
  <c r="P27" i="9"/>
  <c r="Q26" i="9"/>
  <c r="P26" i="9"/>
  <c r="Q25" i="9"/>
  <c r="P25" i="9"/>
  <c r="Q24" i="9"/>
  <c r="P24" i="9"/>
  <c r="Q23" i="9"/>
  <c r="P23" i="9"/>
  <c r="Q22" i="9"/>
  <c r="P22" i="9"/>
  <c r="Q21" i="9"/>
  <c r="P21" i="9"/>
  <c r="Q18" i="9"/>
  <c r="P18" i="9"/>
  <c r="Q17" i="9"/>
  <c r="P17" i="9"/>
  <c r="Q14" i="9"/>
  <c r="P14" i="9"/>
  <c r="Q13" i="9"/>
  <c r="P13" i="9"/>
  <c r="Q12" i="9"/>
  <c r="P12" i="9"/>
  <c r="Q11" i="9"/>
  <c r="P11" i="9"/>
  <c r="Q10" i="9"/>
  <c r="P10" i="9"/>
  <c r="Q9" i="9"/>
  <c r="P9" i="9"/>
  <c r="Q7" i="9"/>
  <c r="P7" i="9"/>
  <c r="Q5" i="9"/>
  <c r="P5" i="9"/>
  <c r="Q3" i="9"/>
  <c r="P3" i="9"/>
  <c r="Q2" i="9"/>
  <c r="P2" i="9"/>
  <c r="N1674" i="8"/>
  <c r="M1674" i="8"/>
  <c r="N1673" i="8"/>
  <c r="M1673" i="8"/>
  <c r="N1672" i="8"/>
  <c r="M1672" i="8"/>
  <c r="N1671" i="8"/>
  <c r="M1671" i="8"/>
  <c r="N1670" i="8"/>
  <c r="M1670" i="8"/>
  <c r="N1669" i="8"/>
  <c r="M1669" i="8"/>
  <c r="N1664" i="8"/>
  <c r="M1664" i="8"/>
  <c r="N1663" i="8"/>
  <c r="M1663" i="8"/>
  <c r="N1662" i="8"/>
  <c r="M1662" i="8"/>
  <c r="N1661" i="8"/>
  <c r="M1661" i="8"/>
  <c r="N1660" i="8"/>
  <c r="M1660" i="8"/>
  <c r="N1659" i="8"/>
  <c r="M1659" i="8"/>
  <c r="N1658" i="8"/>
  <c r="M1658" i="8"/>
  <c r="N1657" i="8"/>
  <c r="M1657" i="8"/>
  <c r="N1656" i="8"/>
  <c r="M1656" i="8"/>
  <c r="N1655" i="8"/>
  <c r="M1655" i="8"/>
  <c r="N1654" i="8"/>
  <c r="M1654" i="8"/>
  <c r="N1653" i="8"/>
  <c r="M1653" i="8"/>
  <c r="N1652" i="8"/>
  <c r="M1652" i="8"/>
  <c r="N1651" i="8"/>
  <c r="M1651" i="8"/>
  <c r="N1650" i="8"/>
  <c r="M1650" i="8"/>
  <c r="N1649" i="8"/>
  <c r="M1649" i="8"/>
  <c r="N1648" i="8"/>
  <c r="M1648" i="8"/>
  <c r="N1647" i="8"/>
  <c r="M1647" i="8"/>
  <c r="N1646" i="8"/>
  <c r="M1646" i="8"/>
  <c r="N1645" i="8"/>
  <c r="M1645" i="8"/>
  <c r="N1644" i="8"/>
  <c r="M1644" i="8"/>
  <c r="N1643" i="8"/>
  <c r="M1643" i="8"/>
  <c r="N1642" i="8"/>
  <c r="M1642" i="8"/>
  <c r="N1641" i="8"/>
  <c r="M1641" i="8"/>
  <c r="N1640" i="8"/>
  <c r="M1640" i="8"/>
  <c r="N1629" i="8"/>
  <c r="M1629" i="8"/>
  <c r="N1628" i="8"/>
  <c r="M1628" i="8"/>
  <c r="N1627" i="8"/>
  <c r="M1627" i="8"/>
  <c r="N1626" i="8"/>
  <c r="M1626" i="8"/>
  <c r="N1625" i="8"/>
  <c r="M1625" i="8"/>
  <c r="N1624" i="8"/>
  <c r="M1624" i="8"/>
  <c r="N1623" i="8"/>
  <c r="M1623" i="8"/>
  <c r="N1622" i="8"/>
  <c r="M1622" i="8"/>
  <c r="N1621" i="8"/>
  <c r="M1621" i="8"/>
  <c r="N1620" i="8"/>
  <c r="M1620" i="8"/>
  <c r="N1619" i="8"/>
  <c r="M1619" i="8"/>
  <c r="N1618" i="8"/>
  <c r="M1618" i="8"/>
  <c r="N1617" i="8"/>
  <c r="M1617" i="8"/>
  <c r="N1616" i="8"/>
  <c r="M1616" i="8"/>
  <c r="N1615" i="8"/>
  <c r="M1615" i="8"/>
  <c r="N1614" i="8"/>
  <c r="M1614" i="8"/>
  <c r="N1613" i="8"/>
  <c r="M1613" i="8"/>
  <c r="N1612" i="8"/>
  <c r="M1612" i="8"/>
  <c r="N1611" i="8"/>
  <c r="M1611" i="8"/>
  <c r="N1610" i="8"/>
  <c r="M1610" i="8"/>
  <c r="N1609" i="8"/>
  <c r="M1609" i="8"/>
  <c r="N1608" i="8"/>
  <c r="M1608" i="8"/>
  <c r="N1607" i="8"/>
  <c r="M1607" i="8"/>
  <c r="N1606" i="8"/>
  <c r="M1606" i="8"/>
  <c r="N1605" i="8"/>
  <c r="M1605" i="8"/>
  <c r="N1604" i="8"/>
  <c r="M1604" i="8"/>
  <c r="N1601" i="8"/>
  <c r="M1601" i="8"/>
  <c r="N1600" i="8"/>
  <c r="M1600" i="8"/>
  <c r="N1599" i="8"/>
  <c r="M1599" i="8"/>
  <c r="N1598" i="8"/>
  <c r="M1598" i="8"/>
  <c r="N1597" i="8"/>
  <c r="M1597" i="8"/>
  <c r="N1596" i="8"/>
  <c r="M1596" i="8"/>
  <c r="N1595" i="8"/>
  <c r="M1595" i="8"/>
  <c r="N1594" i="8"/>
  <c r="M1594" i="8"/>
  <c r="N1593" i="8"/>
  <c r="M1593" i="8"/>
  <c r="N1592" i="8"/>
  <c r="M1592" i="8"/>
  <c r="N1591" i="8"/>
  <c r="M1591" i="8"/>
  <c r="N1590" i="8"/>
  <c r="M1590" i="8"/>
  <c r="N1589" i="8"/>
  <c r="M1589" i="8"/>
  <c r="N1588" i="8"/>
  <c r="M1588" i="8"/>
  <c r="N1587" i="8"/>
  <c r="M1587" i="8"/>
  <c r="N1586" i="8"/>
  <c r="M1586" i="8"/>
  <c r="N1585" i="8"/>
  <c r="M1585" i="8"/>
  <c r="N1584" i="8"/>
  <c r="M1584" i="8"/>
  <c r="N1583" i="8"/>
  <c r="M1583" i="8"/>
  <c r="N1582" i="8"/>
  <c r="M1582" i="8"/>
  <c r="N1581" i="8"/>
  <c r="M1581" i="8"/>
  <c r="N1580" i="8"/>
  <c r="M1580" i="8"/>
  <c r="N1579" i="8"/>
  <c r="M1579" i="8"/>
  <c r="N1570" i="8"/>
  <c r="M1570" i="8"/>
  <c r="N1569" i="8"/>
  <c r="M1569" i="8"/>
  <c r="N1568" i="8"/>
  <c r="M1568" i="8"/>
  <c r="N1567" i="8"/>
  <c r="M1567" i="8"/>
  <c r="N1566" i="8"/>
  <c r="M1566" i="8"/>
  <c r="N1565" i="8"/>
  <c r="M1565" i="8"/>
  <c r="N1564" i="8"/>
  <c r="M1564" i="8"/>
  <c r="N1563" i="8"/>
  <c r="M1563" i="8"/>
  <c r="N1560" i="8"/>
  <c r="M1560" i="8"/>
  <c r="N1559" i="8"/>
  <c r="M1559" i="8"/>
  <c r="N1558" i="8"/>
  <c r="M1558" i="8"/>
  <c r="N1557" i="8"/>
  <c r="M1557" i="8"/>
  <c r="N1556" i="8"/>
  <c r="M1556" i="8"/>
  <c r="N1555" i="8"/>
  <c r="M1555" i="8"/>
  <c r="N1554" i="8"/>
  <c r="M1554" i="8"/>
  <c r="N1553" i="8"/>
  <c r="M1553" i="8"/>
  <c r="N1552" i="8"/>
  <c r="M1552" i="8"/>
  <c r="N1551" i="8"/>
  <c r="M1551" i="8"/>
  <c r="N1550" i="8"/>
  <c r="M1550" i="8"/>
  <c r="N1549" i="8"/>
  <c r="M1549" i="8"/>
  <c r="N1548" i="8"/>
  <c r="M1548" i="8"/>
  <c r="N1547" i="8"/>
  <c r="M1547" i="8"/>
  <c r="N1546" i="8"/>
  <c r="M1546" i="8"/>
  <c r="N1545" i="8"/>
  <c r="M1545" i="8"/>
  <c r="N1544" i="8"/>
  <c r="M1544" i="8"/>
  <c r="N1543" i="8"/>
  <c r="M1543" i="8"/>
  <c r="N1542" i="8"/>
  <c r="M1542" i="8"/>
  <c r="N1539" i="8"/>
  <c r="M1539" i="8"/>
  <c r="N1538" i="8"/>
  <c r="M1538" i="8"/>
  <c r="N1537" i="8"/>
  <c r="M1537" i="8"/>
  <c r="N1536" i="8"/>
  <c r="M1536" i="8"/>
  <c r="N1535" i="8"/>
  <c r="M1535" i="8"/>
  <c r="N1534" i="8"/>
  <c r="M1534" i="8"/>
  <c r="N1533" i="8"/>
  <c r="M1533" i="8"/>
  <c r="N1532" i="8"/>
  <c r="M1532" i="8"/>
  <c r="N1529" i="8"/>
  <c r="M1529" i="8"/>
  <c r="N1528" i="8"/>
  <c r="M1528" i="8"/>
  <c r="N1527" i="8"/>
  <c r="M1527" i="8"/>
  <c r="N1526" i="8"/>
  <c r="M1526" i="8"/>
  <c r="N1525" i="8"/>
  <c r="M1525" i="8"/>
  <c r="N1524" i="8"/>
  <c r="M1524" i="8"/>
  <c r="N1523" i="8"/>
  <c r="M1523" i="8"/>
  <c r="N1522" i="8"/>
  <c r="M1522" i="8"/>
  <c r="N1521" i="8"/>
  <c r="M1521" i="8"/>
  <c r="N1520" i="8"/>
  <c r="M1520" i="8"/>
  <c r="N1519" i="8"/>
  <c r="M1519" i="8"/>
  <c r="N1518" i="8"/>
  <c r="M1518" i="8"/>
  <c r="N1517" i="8"/>
  <c r="M1517" i="8"/>
  <c r="N1516" i="8"/>
  <c r="M1516" i="8"/>
  <c r="N1515" i="8"/>
  <c r="M1515" i="8"/>
  <c r="N1514" i="8"/>
  <c r="M1514" i="8"/>
  <c r="N1513" i="8"/>
  <c r="M1513" i="8"/>
  <c r="N1512" i="8"/>
  <c r="M1512" i="8"/>
  <c r="N1511" i="8"/>
  <c r="M1511" i="8"/>
  <c r="N1510" i="8"/>
  <c r="M1510" i="8"/>
  <c r="N1509" i="8"/>
  <c r="M1509" i="8"/>
  <c r="N1508" i="8"/>
  <c r="M1508" i="8"/>
  <c r="N1507" i="8"/>
  <c r="M1507" i="8"/>
  <c r="N1506" i="8"/>
  <c r="M1506" i="8"/>
  <c r="N1505" i="8"/>
  <c r="M1505" i="8"/>
  <c r="N1504" i="8"/>
  <c r="M1504" i="8"/>
  <c r="N1503" i="8"/>
  <c r="M1503" i="8"/>
  <c r="N1502" i="8"/>
  <c r="M1502" i="8"/>
  <c r="N1501" i="8"/>
  <c r="M1501" i="8"/>
  <c r="N1498" i="8"/>
  <c r="M1498" i="8"/>
  <c r="N1497" i="8"/>
  <c r="M1497" i="8"/>
  <c r="N1496" i="8"/>
  <c r="M1496" i="8"/>
  <c r="N1495" i="8"/>
  <c r="M1495" i="8"/>
  <c r="N1494" i="8"/>
  <c r="M1494" i="8"/>
  <c r="N1493" i="8"/>
  <c r="M1493" i="8"/>
  <c r="N1492" i="8"/>
  <c r="M1492" i="8"/>
  <c r="N1491" i="8"/>
  <c r="M1491" i="8"/>
  <c r="N1490" i="8"/>
  <c r="M1490" i="8"/>
  <c r="N1489" i="8"/>
  <c r="M1489" i="8"/>
  <c r="N1488" i="8"/>
  <c r="M1488" i="8"/>
  <c r="N1487" i="8"/>
  <c r="M1487" i="8"/>
  <c r="N1486" i="8"/>
  <c r="M1486" i="8"/>
  <c r="N1485" i="8"/>
  <c r="M1485" i="8"/>
  <c r="N1484" i="8"/>
  <c r="M1484" i="8"/>
  <c r="N1483" i="8"/>
  <c r="M1483" i="8"/>
  <c r="N1482" i="8"/>
  <c r="M1482" i="8"/>
  <c r="N1481" i="8"/>
  <c r="M1481" i="8"/>
  <c r="N1480" i="8"/>
  <c r="M1480" i="8"/>
  <c r="N1479" i="8"/>
  <c r="M1479" i="8"/>
  <c r="N1478" i="8"/>
  <c r="M1478" i="8"/>
  <c r="N1477" i="8"/>
  <c r="M1477" i="8"/>
  <c r="N1476" i="8"/>
  <c r="M1476" i="8"/>
  <c r="N1475" i="8"/>
  <c r="M1475" i="8"/>
  <c r="N1474" i="8"/>
  <c r="M1474" i="8"/>
  <c r="N1473" i="8"/>
  <c r="M1473" i="8"/>
  <c r="N1472" i="8"/>
  <c r="M1472" i="8"/>
  <c r="N1471" i="8"/>
  <c r="M1471" i="8"/>
  <c r="N1470" i="8"/>
  <c r="M1470" i="8"/>
  <c r="N1469" i="8"/>
  <c r="M1469" i="8"/>
  <c r="N1468" i="8"/>
  <c r="M1468" i="8"/>
  <c r="N1467" i="8"/>
  <c r="M1467" i="8"/>
  <c r="N1466" i="8"/>
  <c r="M1466" i="8"/>
  <c r="N1465" i="8"/>
  <c r="M1465" i="8"/>
  <c r="N1464" i="8"/>
  <c r="M1464" i="8"/>
  <c r="N1463" i="8"/>
  <c r="M1463" i="8"/>
  <c r="N1462" i="8"/>
  <c r="M1462" i="8"/>
  <c r="N1461" i="8"/>
  <c r="M1461" i="8"/>
  <c r="N1460" i="8"/>
  <c r="M1460" i="8"/>
  <c r="N1459" i="8"/>
  <c r="M1459" i="8"/>
  <c r="N1456" i="8"/>
  <c r="M1456" i="8"/>
  <c r="N1455" i="8"/>
  <c r="M1455" i="8"/>
  <c r="N1454" i="8"/>
  <c r="M1454" i="8"/>
  <c r="N1453" i="8"/>
  <c r="M1453" i="8"/>
  <c r="N1452" i="8"/>
  <c r="M1452" i="8"/>
  <c r="N1451" i="8"/>
  <c r="M1451" i="8"/>
  <c r="N1450" i="8"/>
  <c r="M1450" i="8"/>
  <c r="N1449" i="8"/>
  <c r="M1449" i="8"/>
  <c r="N1448" i="8"/>
  <c r="M1448" i="8"/>
  <c r="N1447" i="8"/>
  <c r="M1447" i="8"/>
  <c r="N1446" i="8"/>
  <c r="M1446" i="8"/>
  <c r="N1445" i="8"/>
  <c r="M1445" i="8"/>
  <c r="N1444" i="8"/>
  <c r="M1444" i="8"/>
  <c r="N1443" i="8"/>
  <c r="M1443" i="8"/>
  <c r="N1442" i="8"/>
  <c r="M1442" i="8"/>
  <c r="N1441" i="8"/>
  <c r="M1441" i="8"/>
  <c r="N1440" i="8"/>
  <c r="M1440" i="8"/>
  <c r="N1439" i="8"/>
  <c r="M1439" i="8"/>
  <c r="N1438" i="8"/>
  <c r="M1438" i="8"/>
  <c r="N1437" i="8"/>
  <c r="M1437" i="8"/>
  <c r="N1436" i="8"/>
  <c r="M1436" i="8"/>
  <c r="N1435" i="8"/>
  <c r="M1435" i="8"/>
  <c r="N1434" i="8"/>
  <c r="M1434" i="8"/>
  <c r="N1433" i="8"/>
  <c r="M1433" i="8"/>
  <c r="N1430" i="8"/>
  <c r="M1430" i="8"/>
  <c r="N1429" i="8"/>
  <c r="M1429" i="8"/>
  <c r="N1428" i="8"/>
  <c r="M1428" i="8"/>
  <c r="N1427" i="8"/>
  <c r="M1427" i="8"/>
  <c r="N1426" i="8"/>
  <c r="M1426" i="8"/>
  <c r="N1425" i="8"/>
  <c r="M1425" i="8"/>
  <c r="N1424" i="8"/>
  <c r="M1424" i="8"/>
  <c r="N1423" i="8"/>
  <c r="M1423" i="8"/>
  <c r="N1422" i="8"/>
  <c r="M1422" i="8"/>
  <c r="N1421" i="8"/>
  <c r="M1421" i="8"/>
  <c r="N1420" i="8"/>
  <c r="M1420" i="8"/>
  <c r="N1419" i="8"/>
  <c r="M1419" i="8"/>
  <c r="N1418" i="8"/>
  <c r="M1418" i="8"/>
  <c r="N1417" i="8"/>
  <c r="M1417" i="8"/>
  <c r="N1416" i="8"/>
  <c r="M1416" i="8"/>
  <c r="N1413" i="8"/>
  <c r="M1413" i="8"/>
  <c r="N1412" i="8"/>
  <c r="M1412" i="8"/>
  <c r="N1411" i="8"/>
  <c r="M1411" i="8"/>
  <c r="N1406" i="8"/>
  <c r="M1406" i="8"/>
  <c r="N1405" i="8"/>
  <c r="M1405" i="8"/>
  <c r="N1402" i="8"/>
  <c r="M1402" i="8"/>
  <c r="N1401" i="8"/>
  <c r="M1401" i="8"/>
  <c r="N1400" i="8"/>
  <c r="M1400" i="8"/>
  <c r="N1399" i="8"/>
  <c r="M1399" i="8"/>
  <c r="N1396" i="8"/>
  <c r="M1396" i="8"/>
  <c r="N1395" i="8"/>
  <c r="M1395" i="8"/>
  <c r="N1394" i="8"/>
  <c r="M1394" i="8"/>
  <c r="N1393" i="8"/>
  <c r="M1393" i="8"/>
  <c r="N1392" i="8"/>
  <c r="M1392" i="8"/>
  <c r="N1391" i="8"/>
  <c r="M1391" i="8"/>
  <c r="N1390" i="8"/>
  <c r="M1390" i="8"/>
  <c r="N1389" i="8"/>
  <c r="M1389" i="8"/>
  <c r="N1388" i="8"/>
  <c r="M1388" i="8"/>
  <c r="N1387" i="8"/>
  <c r="M1387" i="8"/>
  <c r="N1386" i="8"/>
  <c r="M1386" i="8"/>
  <c r="N1385" i="8"/>
  <c r="M1385" i="8"/>
  <c r="N1384" i="8"/>
  <c r="M1384" i="8"/>
  <c r="N1383" i="8"/>
  <c r="M1383" i="8"/>
  <c r="N1382" i="8"/>
  <c r="M1382" i="8"/>
  <c r="N1381" i="8"/>
  <c r="M1381" i="8"/>
  <c r="N1380" i="8"/>
  <c r="M1380" i="8"/>
  <c r="N1379" i="8"/>
  <c r="M1379" i="8"/>
  <c r="N1378" i="8"/>
  <c r="M1378" i="8"/>
  <c r="N1377" i="8"/>
  <c r="M1377" i="8"/>
  <c r="N1376" i="8"/>
  <c r="M1376" i="8"/>
  <c r="N1375" i="8"/>
  <c r="M1375" i="8"/>
  <c r="N1374" i="8"/>
  <c r="M1374" i="8"/>
  <c r="N1373" i="8"/>
  <c r="M1373" i="8"/>
  <c r="N1372" i="8"/>
  <c r="M1372" i="8"/>
  <c r="N1371" i="8"/>
  <c r="M1371" i="8"/>
  <c r="N1370" i="8"/>
  <c r="M1370" i="8"/>
  <c r="N1369" i="8"/>
  <c r="M1369" i="8"/>
  <c r="N1368" i="8"/>
  <c r="M1368" i="8"/>
  <c r="N1367" i="8"/>
  <c r="M1367" i="8"/>
  <c r="N1366" i="8"/>
  <c r="M1366" i="8"/>
  <c r="N1365" i="8"/>
  <c r="M1365" i="8"/>
  <c r="N1364" i="8"/>
  <c r="M1364" i="8"/>
  <c r="N1363" i="8"/>
  <c r="M1363" i="8"/>
  <c r="N1362" i="8"/>
  <c r="M1362" i="8"/>
  <c r="N1361" i="8"/>
  <c r="M1361" i="8"/>
  <c r="N1360" i="8"/>
  <c r="M1360" i="8"/>
  <c r="N1359" i="8"/>
  <c r="M1359" i="8"/>
  <c r="N1358" i="8"/>
  <c r="M1358" i="8"/>
  <c r="N1357" i="8"/>
  <c r="M1357" i="8"/>
  <c r="N1356" i="8"/>
  <c r="M1356" i="8"/>
  <c r="N1355" i="8"/>
  <c r="M1355" i="8"/>
  <c r="N1354" i="8"/>
  <c r="M1354" i="8"/>
  <c r="N1353" i="8"/>
  <c r="M1353" i="8"/>
  <c r="N1352" i="8"/>
  <c r="M1352" i="8"/>
  <c r="N1351" i="8"/>
  <c r="M1351" i="8"/>
  <c r="N1350" i="8"/>
  <c r="M1350" i="8"/>
  <c r="N1349" i="8"/>
  <c r="M1349" i="8"/>
  <c r="N1348" i="8"/>
  <c r="M1348" i="8"/>
  <c r="N1347" i="8"/>
  <c r="M1347" i="8"/>
  <c r="N1346" i="8"/>
  <c r="M1346" i="8"/>
  <c r="N1345" i="8"/>
  <c r="M1345" i="8"/>
  <c r="N1344" i="8"/>
  <c r="M1344" i="8"/>
  <c r="N1343" i="8"/>
  <c r="M1343" i="8"/>
  <c r="N1342" i="8"/>
  <c r="M1342" i="8"/>
  <c r="N1339" i="8"/>
  <c r="M1339" i="8"/>
  <c r="N1338" i="8"/>
  <c r="M1338" i="8"/>
  <c r="N1337" i="8"/>
  <c r="M1337" i="8"/>
  <c r="N1336" i="8"/>
  <c r="M1336" i="8"/>
  <c r="N1335" i="8"/>
  <c r="M1335" i="8"/>
  <c r="N1334" i="8"/>
  <c r="M1334" i="8"/>
  <c r="N1333" i="8"/>
  <c r="M1333" i="8"/>
  <c r="N1332" i="8"/>
  <c r="M1332" i="8"/>
  <c r="N1331" i="8"/>
  <c r="M1331" i="8"/>
  <c r="N1330" i="8"/>
  <c r="M1330" i="8"/>
  <c r="N1329" i="8"/>
  <c r="M1329" i="8"/>
  <c r="N1328" i="8"/>
  <c r="M1328" i="8"/>
  <c r="N1327" i="8"/>
  <c r="M1327" i="8"/>
  <c r="N1326" i="8"/>
  <c r="M1326" i="8"/>
  <c r="N1325" i="8"/>
  <c r="M1325" i="8"/>
  <c r="N1322" i="8"/>
  <c r="M1322" i="8"/>
  <c r="N1321" i="8"/>
  <c r="M1321" i="8"/>
  <c r="N1320" i="8"/>
  <c r="M1320" i="8"/>
  <c r="N1319" i="8"/>
  <c r="M1319" i="8"/>
  <c r="N1318" i="8"/>
  <c r="M1318" i="8"/>
  <c r="N1317" i="8"/>
  <c r="M1317" i="8"/>
  <c r="N1316" i="8"/>
  <c r="M1316" i="8"/>
  <c r="N1315" i="8"/>
  <c r="M1315" i="8"/>
  <c r="N1314" i="8"/>
  <c r="M1314" i="8"/>
  <c r="N1313" i="8"/>
  <c r="M1313" i="8"/>
  <c r="N1310" i="8"/>
  <c r="M1310" i="8"/>
  <c r="N1309" i="8"/>
  <c r="M1309" i="8"/>
  <c r="N1308" i="8"/>
  <c r="M1308" i="8"/>
  <c r="N1307" i="8"/>
  <c r="M1307" i="8"/>
  <c r="N1306" i="8"/>
  <c r="M1306" i="8"/>
  <c r="N1305" i="8"/>
  <c r="M1305" i="8"/>
  <c r="N1304" i="8"/>
  <c r="M1304" i="8"/>
  <c r="N1303" i="8"/>
  <c r="M1303" i="8"/>
  <c r="N1302" i="8"/>
  <c r="M1302" i="8"/>
  <c r="N1301" i="8"/>
  <c r="M1301" i="8"/>
  <c r="N1300" i="8"/>
  <c r="M1300" i="8"/>
  <c r="N1299" i="8"/>
  <c r="M1299" i="8"/>
  <c r="N1298" i="8"/>
  <c r="M1298" i="8"/>
  <c r="N1297" i="8"/>
  <c r="M1297" i="8"/>
  <c r="N1296" i="8"/>
  <c r="M1296" i="8"/>
  <c r="N1295" i="8"/>
  <c r="M1295" i="8"/>
  <c r="N1294" i="8"/>
  <c r="M1294" i="8"/>
  <c r="N1293" i="8"/>
  <c r="M1293" i="8"/>
  <c r="N1292" i="8"/>
  <c r="M1292" i="8"/>
  <c r="N1291" i="8"/>
  <c r="M1291" i="8"/>
  <c r="N1290" i="8"/>
  <c r="M1290" i="8"/>
  <c r="N1289" i="8"/>
  <c r="M1289" i="8"/>
  <c r="N1288" i="8"/>
  <c r="M1288" i="8"/>
  <c r="N1287" i="8"/>
  <c r="M1287" i="8"/>
  <c r="N1286" i="8"/>
  <c r="M1286" i="8"/>
  <c r="N1285" i="8"/>
  <c r="M1285" i="8"/>
  <c r="N1284" i="8"/>
  <c r="M1284" i="8"/>
  <c r="N1283" i="8"/>
  <c r="M1283" i="8"/>
  <c r="N1282" i="8"/>
  <c r="M1282" i="8"/>
  <c r="N1281" i="8"/>
  <c r="M1281" i="8"/>
  <c r="N1280" i="8"/>
  <c r="M1280" i="8"/>
  <c r="N1279" i="8"/>
  <c r="M1279" i="8"/>
  <c r="N1278" i="8"/>
  <c r="M1278" i="8"/>
  <c r="N1277" i="8"/>
  <c r="M1277" i="8"/>
  <c r="N1276" i="8"/>
  <c r="M1276" i="8"/>
  <c r="N1275" i="8"/>
  <c r="M1275" i="8"/>
  <c r="N1274" i="8"/>
  <c r="M1274" i="8"/>
  <c r="N1273" i="8"/>
  <c r="M1273" i="8"/>
  <c r="N1272" i="8"/>
  <c r="M1272" i="8"/>
  <c r="N1271" i="8"/>
  <c r="M1271" i="8"/>
  <c r="N1270" i="8"/>
  <c r="M1270" i="8"/>
  <c r="N1269" i="8"/>
  <c r="M1269" i="8"/>
  <c r="N1268" i="8"/>
  <c r="M1268" i="8"/>
  <c r="N1267" i="8"/>
  <c r="M1267" i="8"/>
  <c r="N1266" i="8"/>
  <c r="M1266" i="8"/>
  <c r="N1265" i="8"/>
  <c r="M1265" i="8"/>
  <c r="N1264" i="8"/>
  <c r="M1264" i="8"/>
  <c r="N1263" i="8"/>
  <c r="M1263" i="8"/>
  <c r="N1262" i="8"/>
  <c r="M1262" i="8"/>
  <c r="N1261" i="8"/>
  <c r="M1261" i="8"/>
  <c r="N1260" i="8"/>
  <c r="M1260" i="8"/>
  <c r="N1259" i="8"/>
  <c r="M1259" i="8"/>
  <c r="N1258" i="8"/>
  <c r="M1258" i="8"/>
  <c r="N1257" i="8"/>
  <c r="M1257" i="8"/>
  <c r="N1254" i="8"/>
  <c r="M1254" i="8"/>
  <c r="N1253" i="8"/>
  <c r="M1253" i="8"/>
  <c r="N1252" i="8"/>
  <c r="M1252" i="8"/>
  <c r="N1251" i="8"/>
  <c r="M1251" i="8"/>
  <c r="N1250" i="8"/>
  <c r="M1250" i="8"/>
  <c r="N1249" i="8"/>
  <c r="M1249" i="8"/>
  <c r="N1248" i="8"/>
  <c r="M1248" i="8"/>
  <c r="N1247" i="8"/>
  <c r="M1247" i="8"/>
  <c r="N1246" i="8"/>
  <c r="M1246" i="8"/>
  <c r="N1245" i="8"/>
  <c r="M1245" i="8"/>
  <c r="N1244" i="8"/>
  <c r="M1244" i="8"/>
  <c r="N1243" i="8"/>
  <c r="M1243" i="8"/>
  <c r="N1242" i="8"/>
  <c r="M1242" i="8"/>
  <c r="N1241" i="8"/>
  <c r="M1241" i="8"/>
  <c r="N1240" i="8"/>
  <c r="M1240" i="8"/>
  <c r="N1239" i="8"/>
  <c r="M1239" i="8"/>
  <c r="N1238" i="8"/>
  <c r="M1238" i="8"/>
  <c r="N1237" i="8"/>
  <c r="M1237" i="8"/>
  <c r="N1236" i="8"/>
  <c r="M1236" i="8"/>
  <c r="N1235" i="8"/>
  <c r="M1235" i="8"/>
  <c r="N1234" i="8"/>
  <c r="M1234" i="8"/>
  <c r="N1233" i="8"/>
  <c r="M1233" i="8"/>
  <c r="N1232" i="8"/>
  <c r="M1232" i="8"/>
  <c r="N1231" i="8"/>
  <c r="M1231" i="8"/>
  <c r="N1230" i="8"/>
  <c r="M1230" i="8"/>
  <c r="N1229" i="8"/>
  <c r="M1229" i="8"/>
  <c r="N1226" i="8"/>
  <c r="M1226" i="8"/>
  <c r="N1225" i="8"/>
  <c r="M1225" i="8"/>
  <c r="N1224" i="8"/>
  <c r="M1224" i="8"/>
  <c r="N1223" i="8"/>
  <c r="M1223" i="8"/>
  <c r="N1222" i="8"/>
  <c r="M1222" i="8"/>
  <c r="N1221" i="8"/>
  <c r="M1221" i="8"/>
  <c r="N1220" i="8"/>
  <c r="M1220" i="8"/>
  <c r="N1217" i="8"/>
  <c r="M1217" i="8"/>
  <c r="N1216" i="8"/>
  <c r="M1216" i="8"/>
  <c r="N1215" i="8"/>
  <c r="M1215" i="8"/>
  <c r="N1214" i="8"/>
  <c r="M1214" i="8"/>
  <c r="N1213" i="8"/>
  <c r="M1213" i="8"/>
  <c r="N1212" i="8"/>
  <c r="M1212" i="8"/>
  <c r="N1211" i="8"/>
  <c r="M1211" i="8"/>
  <c r="N1210" i="8"/>
  <c r="M1210" i="8"/>
  <c r="N1209" i="8"/>
  <c r="M1209" i="8"/>
  <c r="N1208" i="8"/>
  <c r="M1208" i="8"/>
  <c r="N1207" i="8"/>
  <c r="M1207" i="8"/>
  <c r="N1206" i="8"/>
  <c r="M1206" i="8"/>
  <c r="N1205" i="8"/>
  <c r="M1205" i="8"/>
  <c r="N1204" i="8"/>
  <c r="M1204" i="8"/>
  <c r="N1203" i="8"/>
  <c r="M1203" i="8"/>
  <c r="N1202" i="8"/>
  <c r="M1202" i="8"/>
  <c r="N1201" i="8"/>
  <c r="M1201" i="8"/>
  <c r="N1200" i="8"/>
  <c r="M1200" i="8"/>
  <c r="N1199" i="8"/>
  <c r="M1199" i="8"/>
  <c r="N1198" i="8"/>
  <c r="M1198" i="8"/>
  <c r="N1197" i="8"/>
  <c r="M1197" i="8"/>
  <c r="N1196" i="8"/>
  <c r="M1196" i="8"/>
  <c r="N1195" i="8"/>
  <c r="M1195" i="8"/>
  <c r="N1194" i="8"/>
  <c r="M1194" i="8"/>
  <c r="N1193" i="8"/>
  <c r="M1193" i="8"/>
  <c r="N1192" i="8"/>
  <c r="M1192" i="8"/>
  <c r="N1191" i="8"/>
  <c r="M1191" i="8"/>
  <c r="N1190" i="8"/>
  <c r="M1190" i="8"/>
  <c r="N1189" i="8"/>
  <c r="M1189" i="8"/>
  <c r="N1187" i="8"/>
  <c r="M1187" i="8"/>
  <c r="N1185" i="8"/>
  <c r="M1185" i="8"/>
  <c r="N1184" i="8"/>
  <c r="M1184" i="8"/>
  <c r="N1179" i="8"/>
  <c r="M1179" i="8"/>
  <c r="N1178" i="8"/>
  <c r="M1178" i="8"/>
  <c r="N1177" i="8"/>
  <c r="M1177" i="8"/>
  <c r="N1176" i="8"/>
  <c r="M1176" i="8"/>
  <c r="N1175" i="8"/>
  <c r="M1175" i="8"/>
  <c r="N1174" i="8"/>
  <c r="M1174" i="8"/>
  <c r="N1173" i="8"/>
  <c r="M1173" i="8"/>
  <c r="N1172" i="8"/>
  <c r="M1172" i="8"/>
  <c r="N1171" i="8"/>
  <c r="M1171" i="8"/>
  <c r="N1170" i="8"/>
  <c r="M1170" i="8"/>
  <c r="N1169" i="8"/>
  <c r="M1169" i="8"/>
  <c r="N1168" i="8"/>
  <c r="M1168" i="8"/>
  <c r="N1167" i="8"/>
  <c r="M1167" i="8"/>
  <c r="N1166" i="8"/>
  <c r="M1166" i="8"/>
  <c r="N1165" i="8"/>
  <c r="M1165" i="8"/>
  <c r="N1164" i="8"/>
  <c r="M1164" i="8"/>
  <c r="N1163" i="8"/>
  <c r="M1163" i="8"/>
  <c r="N1162" i="8"/>
  <c r="M1162" i="8"/>
  <c r="N1161" i="8"/>
  <c r="M1161" i="8"/>
  <c r="N1160" i="8"/>
  <c r="M1160" i="8"/>
  <c r="N1159" i="8"/>
  <c r="M1159" i="8"/>
  <c r="N1158" i="8"/>
  <c r="M1158" i="8"/>
  <c r="N1157" i="8"/>
  <c r="M1157" i="8"/>
  <c r="N1156" i="8"/>
  <c r="M1156" i="8"/>
  <c r="N1155" i="8"/>
  <c r="M1155" i="8"/>
  <c r="N1154" i="8"/>
  <c r="M1154" i="8"/>
  <c r="N1153" i="8"/>
  <c r="M1153" i="8"/>
  <c r="N1152" i="8"/>
  <c r="M1152" i="8"/>
  <c r="N1151" i="8"/>
  <c r="M1151" i="8"/>
  <c r="N1149" i="8"/>
  <c r="M1149" i="8"/>
  <c r="N1148" i="8"/>
  <c r="M1148" i="8"/>
  <c r="N1147" i="8"/>
  <c r="M1147" i="8"/>
  <c r="N1146" i="8"/>
  <c r="M1146" i="8"/>
  <c r="N1145" i="8"/>
  <c r="M1145" i="8"/>
  <c r="N1144" i="8"/>
  <c r="M1144" i="8"/>
  <c r="N1143" i="8"/>
  <c r="M1143" i="8"/>
  <c r="N1142" i="8"/>
  <c r="M1142" i="8"/>
  <c r="N1141" i="8"/>
  <c r="M1141" i="8"/>
  <c r="N1140" i="8"/>
  <c r="M1140" i="8"/>
  <c r="N1139" i="8"/>
  <c r="M1139" i="8"/>
  <c r="N1138" i="8"/>
  <c r="M1138" i="8"/>
  <c r="N1136" i="8"/>
  <c r="M1136" i="8"/>
  <c r="N1135" i="8"/>
  <c r="M1135" i="8"/>
  <c r="N1134" i="8"/>
  <c r="M1134" i="8"/>
  <c r="N1133" i="8"/>
  <c r="M1133" i="8"/>
  <c r="N1132" i="8"/>
  <c r="M1132" i="8"/>
  <c r="N1129" i="8"/>
  <c r="M1129" i="8"/>
  <c r="N1128" i="8"/>
  <c r="M1128" i="8"/>
  <c r="N1127" i="8"/>
  <c r="M1127" i="8"/>
  <c r="N1126" i="8"/>
  <c r="M1126" i="8"/>
  <c r="N1125" i="8"/>
  <c r="M1125" i="8"/>
  <c r="N1124" i="8"/>
  <c r="M1124" i="8"/>
  <c r="N1123" i="8"/>
  <c r="M1123" i="8"/>
  <c r="N1122" i="8"/>
  <c r="M1122" i="8"/>
  <c r="N1121" i="8"/>
  <c r="M1121" i="8"/>
  <c r="N1120" i="8"/>
  <c r="M1120" i="8"/>
  <c r="N1119" i="8"/>
  <c r="M1119" i="8"/>
  <c r="N1118" i="8"/>
  <c r="M1118" i="8"/>
  <c r="N1117" i="8"/>
  <c r="M1117" i="8"/>
  <c r="N1116" i="8"/>
  <c r="M1116" i="8"/>
  <c r="N1115" i="8"/>
  <c r="M1115" i="8"/>
  <c r="N1114" i="8"/>
  <c r="M1114" i="8"/>
  <c r="N1113" i="8"/>
  <c r="M1113" i="8"/>
  <c r="N1112" i="8"/>
  <c r="M1112" i="8"/>
  <c r="N1111" i="8"/>
  <c r="M1111" i="8"/>
  <c r="N1110" i="8"/>
  <c r="M1110" i="8"/>
  <c r="N1109" i="8"/>
  <c r="M1109" i="8"/>
  <c r="N1108" i="8"/>
  <c r="M1108" i="8"/>
  <c r="N1107" i="8"/>
  <c r="M1107" i="8"/>
  <c r="N1106" i="8"/>
  <c r="M1106" i="8"/>
  <c r="N1105" i="8"/>
  <c r="M1105" i="8"/>
  <c r="N1104" i="8"/>
  <c r="M1104" i="8"/>
  <c r="N1103" i="8"/>
  <c r="M1103" i="8"/>
  <c r="N1096" i="8"/>
  <c r="M1096" i="8"/>
  <c r="N1087" i="8"/>
  <c r="M1087" i="8"/>
  <c r="N1086" i="8"/>
  <c r="M1086" i="8"/>
  <c r="N1083" i="8"/>
  <c r="M1083" i="8"/>
  <c r="N1082" i="8"/>
  <c r="M1082" i="8"/>
  <c r="N1081" i="8"/>
  <c r="M1081" i="8"/>
  <c r="N1080" i="8"/>
  <c r="M1080" i="8"/>
  <c r="N1079" i="8"/>
  <c r="M1079" i="8"/>
  <c r="N1078" i="8"/>
  <c r="M1078" i="8"/>
  <c r="N1077" i="8"/>
  <c r="M1077" i="8"/>
  <c r="N1076" i="8"/>
  <c r="M1076" i="8"/>
  <c r="N1073" i="8"/>
  <c r="M1073" i="8"/>
  <c r="N1072" i="8"/>
  <c r="M1072" i="8"/>
  <c r="N1071" i="8"/>
  <c r="M1071" i="8"/>
  <c r="N1070" i="8"/>
  <c r="M1070" i="8"/>
  <c r="N1069" i="8"/>
  <c r="M1069" i="8"/>
  <c r="N1068" i="8"/>
  <c r="M1068" i="8"/>
  <c r="N1067" i="8"/>
  <c r="M1067" i="8"/>
  <c r="N1066" i="8"/>
  <c r="M1066" i="8"/>
  <c r="N1062" i="8"/>
  <c r="M1062" i="8"/>
  <c r="N1061" i="8"/>
  <c r="M1061" i="8"/>
  <c r="N1060" i="8"/>
  <c r="M1060" i="8"/>
  <c r="N1059" i="8"/>
  <c r="M1059" i="8"/>
  <c r="N1058" i="8"/>
  <c r="M1058" i="8"/>
  <c r="N1057" i="8"/>
  <c r="M1057" i="8"/>
  <c r="N1056" i="8"/>
  <c r="M1056" i="8"/>
  <c r="N1055" i="8"/>
  <c r="M1055" i="8"/>
  <c r="N1054" i="8"/>
  <c r="M1054" i="8"/>
  <c r="N1053" i="8"/>
  <c r="M1053" i="8"/>
  <c r="N1052" i="8"/>
  <c r="M1052" i="8"/>
  <c r="N1051" i="8"/>
  <c r="M1051" i="8"/>
  <c r="N1050" i="8"/>
  <c r="M1050" i="8"/>
  <c r="N1049" i="8"/>
  <c r="M1049" i="8"/>
  <c r="N1048" i="8"/>
  <c r="M1048" i="8"/>
  <c r="N1047" i="8"/>
  <c r="M1047" i="8"/>
  <c r="N1046" i="8"/>
  <c r="M1046" i="8"/>
  <c r="N1045" i="8"/>
  <c r="M1045" i="8"/>
  <c r="N1044" i="8"/>
  <c r="M1044" i="8"/>
  <c r="N1043" i="8"/>
  <c r="M1043" i="8"/>
  <c r="N1042" i="8"/>
  <c r="M1042" i="8"/>
  <c r="N1041" i="8"/>
  <c r="M1041" i="8"/>
  <c r="N1040" i="8"/>
  <c r="M1040" i="8"/>
  <c r="N1039" i="8"/>
  <c r="M1039" i="8"/>
  <c r="N1038" i="8"/>
  <c r="M1038" i="8"/>
  <c r="N1037" i="8"/>
  <c r="M1037" i="8"/>
  <c r="N1036" i="8"/>
  <c r="M1036" i="8"/>
  <c r="N1035" i="8"/>
  <c r="M1035" i="8"/>
  <c r="N1034" i="8"/>
  <c r="M1034" i="8"/>
  <c r="N1033" i="8"/>
  <c r="M1033" i="8"/>
  <c r="N1032" i="8"/>
  <c r="M1032" i="8"/>
  <c r="N1031" i="8"/>
  <c r="M1031" i="8"/>
  <c r="N1030" i="8"/>
  <c r="M1030" i="8"/>
  <c r="N1029" i="8"/>
  <c r="M1029" i="8"/>
  <c r="N1028" i="8"/>
  <c r="M1028" i="8"/>
  <c r="N1027" i="8"/>
  <c r="M1027" i="8"/>
  <c r="N1026" i="8"/>
  <c r="M1026" i="8"/>
  <c r="N1025" i="8"/>
  <c r="M1025" i="8"/>
  <c r="N1024" i="8"/>
  <c r="M1024" i="8"/>
  <c r="N1023" i="8"/>
  <c r="M1023" i="8"/>
  <c r="N1022" i="8"/>
  <c r="M1022" i="8"/>
  <c r="N1021" i="8"/>
  <c r="M1021" i="8"/>
  <c r="N1020" i="8"/>
  <c r="M1020" i="8"/>
  <c r="N1019" i="8"/>
  <c r="M1019" i="8"/>
  <c r="N1017" i="8"/>
  <c r="M1017" i="8"/>
  <c r="N1016" i="8"/>
  <c r="M1016" i="8"/>
  <c r="N1015" i="8"/>
  <c r="M1015" i="8"/>
  <c r="N1014" i="8"/>
  <c r="M1014" i="8"/>
  <c r="N1013" i="8"/>
  <c r="M1013" i="8"/>
  <c r="N1012" i="8"/>
  <c r="M1012" i="8"/>
  <c r="N1011" i="8"/>
  <c r="M1011" i="8"/>
  <c r="N1010" i="8"/>
  <c r="M1010" i="8"/>
  <c r="N1009" i="8"/>
  <c r="M1009" i="8"/>
  <c r="N1008" i="8"/>
  <c r="M1008" i="8"/>
  <c r="N1007" i="8"/>
  <c r="M1007" i="8"/>
  <c r="N1006" i="8"/>
  <c r="M1006" i="8"/>
  <c r="N1005" i="8"/>
  <c r="M1005" i="8"/>
  <c r="N1004" i="8"/>
  <c r="M1004" i="8"/>
  <c r="N1003" i="8"/>
  <c r="M1003" i="8"/>
  <c r="N1002" i="8"/>
  <c r="M1002" i="8"/>
  <c r="N1001" i="8"/>
  <c r="M1001" i="8"/>
  <c r="N1000" i="8"/>
  <c r="M1000" i="8"/>
  <c r="N999" i="8"/>
  <c r="M999" i="8"/>
  <c r="N998" i="8"/>
  <c r="M998" i="8"/>
  <c r="N997" i="8"/>
  <c r="M997" i="8"/>
  <c r="N996" i="8"/>
  <c r="M996" i="8"/>
  <c r="N995" i="8"/>
  <c r="M995" i="8"/>
  <c r="N994" i="8"/>
  <c r="M994" i="8"/>
  <c r="N993" i="8"/>
  <c r="M993" i="8"/>
  <c r="N992" i="8"/>
  <c r="M992" i="8"/>
  <c r="N991" i="8"/>
  <c r="M991" i="8"/>
  <c r="N990" i="8"/>
  <c r="M990" i="8"/>
  <c r="N989" i="8"/>
  <c r="M989" i="8"/>
  <c r="N988" i="8"/>
  <c r="M988" i="8"/>
  <c r="N987" i="8"/>
  <c r="M987" i="8"/>
  <c r="N986" i="8"/>
  <c r="M986" i="8"/>
  <c r="N985" i="8"/>
  <c r="M985" i="8"/>
  <c r="N984" i="8"/>
  <c r="M984" i="8"/>
  <c r="N983" i="8"/>
  <c r="M983" i="8"/>
  <c r="N982" i="8"/>
  <c r="M982" i="8"/>
  <c r="N981" i="8"/>
  <c r="M981" i="8"/>
  <c r="N980" i="8"/>
  <c r="M980" i="8"/>
  <c r="N979" i="8"/>
  <c r="M979" i="8"/>
  <c r="N978" i="8"/>
  <c r="M978" i="8"/>
  <c r="N977" i="8"/>
  <c r="M977" i="8"/>
  <c r="N976" i="8"/>
  <c r="M976" i="8"/>
  <c r="N975" i="8"/>
  <c r="M975" i="8"/>
  <c r="N974" i="8"/>
  <c r="M974" i="8"/>
  <c r="N973" i="8"/>
  <c r="M973" i="8"/>
  <c r="N972" i="8"/>
  <c r="M972" i="8"/>
  <c r="N971" i="8"/>
  <c r="M971" i="8"/>
  <c r="N970" i="8"/>
  <c r="M970" i="8"/>
  <c r="N969" i="8"/>
  <c r="M969" i="8"/>
  <c r="N968" i="8"/>
  <c r="M968" i="8"/>
  <c r="N967" i="8"/>
  <c r="M967" i="8"/>
  <c r="N966" i="8"/>
  <c r="M966" i="8"/>
  <c r="N963" i="8"/>
  <c r="M963" i="8"/>
  <c r="N962" i="8"/>
  <c r="M962" i="8"/>
  <c r="N961" i="8"/>
  <c r="M961" i="8"/>
  <c r="N958" i="8"/>
  <c r="M958" i="8"/>
  <c r="N957" i="8"/>
  <c r="M957" i="8"/>
  <c r="N956" i="8"/>
  <c r="M956" i="8"/>
  <c r="N954" i="8"/>
  <c r="M954" i="8"/>
  <c r="N953" i="8"/>
  <c r="M953" i="8"/>
  <c r="N952" i="8"/>
  <c r="M952" i="8"/>
  <c r="N951" i="8"/>
  <c r="M951" i="8"/>
  <c r="N950" i="8"/>
  <c r="M950" i="8"/>
  <c r="N949" i="8"/>
  <c r="M949" i="8"/>
  <c r="N948" i="8"/>
  <c r="M948" i="8"/>
  <c r="N947" i="8"/>
  <c r="M947" i="8"/>
  <c r="N946" i="8"/>
  <c r="M946" i="8"/>
  <c r="N945" i="8"/>
  <c r="M945" i="8"/>
  <c r="N944" i="8"/>
  <c r="M944" i="8"/>
  <c r="N943" i="8"/>
  <c r="M943" i="8"/>
  <c r="N942" i="8"/>
  <c r="M942" i="8"/>
  <c r="N941" i="8"/>
  <c r="M941" i="8"/>
  <c r="N940" i="8"/>
  <c r="M940" i="8"/>
  <c r="N939" i="8"/>
  <c r="M939" i="8"/>
  <c r="N938" i="8"/>
  <c r="M938" i="8"/>
  <c r="N937" i="8"/>
  <c r="M937" i="8"/>
  <c r="N936" i="8"/>
  <c r="M936" i="8"/>
  <c r="N935" i="8"/>
  <c r="M935" i="8"/>
  <c r="N934" i="8"/>
  <c r="M934" i="8"/>
  <c r="N933" i="8"/>
  <c r="M933" i="8"/>
  <c r="N932" i="8"/>
  <c r="M932" i="8"/>
  <c r="N931" i="8"/>
  <c r="M931" i="8"/>
  <c r="N930" i="8"/>
  <c r="M930" i="8"/>
  <c r="N929" i="8"/>
  <c r="M929" i="8"/>
  <c r="N928" i="8"/>
  <c r="M928" i="8"/>
  <c r="N927" i="8"/>
  <c r="M927" i="8"/>
  <c r="N926" i="8"/>
  <c r="M926" i="8"/>
  <c r="N925" i="8"/>
  <c r="M925" i="8"/>
  <c r="N924" i="8"/>
  <c r="M924" i="8"/>
  <c r="N923" i="8"/>
  <c r="M923" i="8"/>
  <c r="N922" i="8"/>
  <c r="M922" i="8"/>
  <c r="N921" i="8"/>
  <c r="M921" i="8"/>
  <c r="N920" i="8"/>
  <c r="M920" i="8"/>
  <c r="N919" i="8"/>
  <c r="M919" i="8"/>
  <c r="N918" i="8"/>
  <c r="M918" i="8"/>
  <c r="N917" i="8"/>
  <c r="M917" i="8"/>
  <c r="N916" i="8"/>
  <c r="M916" i="8"/>
  <c r="N915" i="8"/>
  <c r="M915" i="8"/>
  <c r="N914" i="8"/>
  <c r="M914" i="8"/>
  <c r="N913" i="8"/>
  <c r="M913" i="8"/>
  <c r="N912" i="8"/>
  <c r="M912" i="8"/>
  <c r="N911" i="8"/>
  <c r="M911" i="8"/>
  <c r="N910" i="8"/>
  <c r="M910" i="8"/>
  <c r="N909" i="8"/>
  <c r="M909" i="8"/>
  <c r="N908" i="8"/>
  <c r="M908" i="8"/>
  <c r="N907" i="8"/>
  <c r="M907" i="8"/>
  <c r="N906" i="8"/>
  <c r="M906" i="8"/>
  <c r="N905" i="8"/>
  <c r="M905" i="8"/>
  <c r="N904" i="8"/>
  <c r="M904" i="8"/>
  <c r="N903" i="8"/>
  <c r="M903" i="8"/>
  <c r="N902" i="8"/>
  <c r="M902" i="8"/>
  <c r="N901" i="8"/>
  <c r="M901" i="8"/>
  <c r="N900" i="8"/>
  <c r="M900" i="8"/>
  <c r="N899" i="8"/>
  <c r="M899" i="8"/>
  <c r="N898" i="8"/>
  <c r="M898" i="8"/>
  <c r="N897" i="8"/>
  <c r="M897" i="8"/>
  <c r="N896" i="8"/>
  <c r="M896" i="8"/>
  <c r="N895" i="8"/>
  <c r="M895" i="8"/>
  <c r="N894" i="8"/>
  <c r="M894" i="8"/>
  <c r="N893" i="8"/>
  <c r="M893" i="8"/>
  <c r="N892" i="8"/>
  <c r="M892" i="8"/>
  <c r="N891" i="8"/>
  <c r="M891" i="8"/>
  <c r="N888" i="8"/>
  <c r="M888" i="8"/>
  <c r="N887" i="8"/>
  <c r="M887" i="8"/>
  <c r="N884" i="8"/>
  <c r="M884" i="8"/>
  <c r="N883" i="8"/>
  <c r="M883" i="8"/>
  <c r="N882" i="8"/>
  <c r="M882" i="8"/>
  <c r="N881" i="8"/>
  <c r="M881" i="8"/>
  <c r="N880" i="8"/>
  <c r="M880" i="8"/>
  <c r="N879" i="8"/>
  <c r="M879" i="8"/>
  <c r="N878" i="8"/>
  <c r="M878" i="8"/>
  <c r="N877" i="8"/>
  <c r="M877" i="8"/>
  <c r="N876" i="8"/>
  <c r="M876" i="8"/>
  <c r="N875" i="8"/>
  <c r="M875" i="8"/>
  <c r="N872" i="8"/>
  <c r="M872" i="8"/>
  <c r="N871" i="8"/>
  <c r="M871" i="8"/>
  <c r="N870" i="8"/>
  <c r="M870" i="8"/>
  <c r="N869" i="8"/>
  <c r="M869" i="8"/>
  <c r="N866" i="8"/>
  <c r="M866" i="8"/>
  <c r="N865" i="8"/>
  <c r="M865" i="8"/>
  <c r="N864" i="8"/>
  <c r="M864" i="8"/>
  <c r="N863" i="8"/>
  <c r="M863" i="8"/>
  <c r="N862" i="8"/>
  <c r="M862" i="8"/>
  <c r="N861" i="8"/>
  <c r="M861" i="8"/>
  <c r="N860" i="8"/>
  <c r="M860" i="8"/>
  <c r="N859" i="8"/>
  <c r="M859" i="8"/>
  <c r="N858" i="8"/>
  <c r="M858" i="8"/>
  <c r="N857" i="8"/>
  <c r="M857" i="8"/>
  <c r="N856" i="8"/>
  <c r="M856" i="8"/>
  <c r="N855" i="8"/>
  <c r="M855" i="8"/>
  <c r="N854" i="8"/>
  <c r="M854" i="8"/>
  <c r="N853" i="8"/>
  <c r="M853" i="8"/>
  <c r="N852" i="8"/>
  <c r="M852" i="8"/>
  <c r="N851" i="8"/>
  <c r="M851" i="8"/>
  <c r="N850" i="8"/>
  <c r="M850" i="8"/>
  <c r="N849" i="8"/>
  <c r="M849" i="8"/>
  <c r="N848" i="8"/>
  <c r="M848" i="8"/>
  <c r="N847" i="8"/>
  <c r="M847" i="8"/>
  <c r="N846" i="8"/>
  <c r="M846" i="8"/>
  <c r="N845" i="8"/>
  <c r="M845" i="8"/>
  <c r="N844" i="8"/>
  <c r="M844" i="8"/>
  <c r="N843" i="8"/>
  <c r="M843" i="8"/>
  <c r="N842" i="8"/>
  <c r="M842" i="8"/>
  <c r="N841" i="8"/>
  <c r="M841" i="8"/>
  <c r="N840" i="8"/>
  <c r="M840" i="8"/>
  <c r="N839" i="8"/>
  <c r="M839" i="8"/>
  <c r="N838" i="8"/>
  <c r="M838" i="8"/>
  <c r="N837" i="8"/>
  <c r="M837" i="8"/>
  <c r="N832" i="8"/>
  <c r="M832" i="8"/>
  <c r="N831" i="8"/>
  <c r="M831" i="8"/>
  <c r="N830" i="8"/>
  <c r="M830" i="8"/>
  <c r="N829" i="8"/>
  <c r="M829" i="8"/>
  <c r="N828" i="8"/>
  <c r="M828" i="8"/>
  <c r="N827" i="8"/>
  <c r="M827" i="8"/>
  <c r="N825" i="8"/>
  <c r="M825" i="8"/>
  <c r="N824" i="8"/>
  <c r="M824" i="8"/>
  <c r="N823" i="8"/>
  <c r="M823" i="8"/>
  <c r="N822" i="8"/>
  <c r="M822" i="8"/>
  <c r="N821" i="8"/>
  <c r="M821" i="8"/>
  <c r="N820" i="8"/>
  <c r="M820" i="8"/>
  <c r="N819" i="8"/>
  <c r="M819" i="8"/>
  <c r="N818" i="8"/>
  <c r="M818" i="8"/>
  <c r="N817" i="8"/>
  <c r="M817" i="8"/>
  <c r="N816" i="8"/>
  <c r="M816" i="8"/>
  <c r="N815" i="8"/>
  <c r="M815" i="8"/>
  <c r="N814" i="8"/>
  <c r="M814" i="8"/>
  <c r="N813" i="8"/>
  <c r="M813" i="8"/>
  <c r="N812" i="8"/>
  <c r="M812" i="8"/>
  <c r="N811" i="8"/>
  <c r="M811" i="8"/>
  <c r="N810" i="8"/>
  <c r="M810" i="8"/>
  <c r="N809" i="8"/>
  <c r="M809" i="8"/>
  <c r="N808" i="8"/>
  <c r="M808" i="8"/>
  <c r="N807" i="8"/>
  <c r="M807" i="8"/>
  <c r="N806" i="8"/>
  <c r="M806" i="8"/>
  <c r="N805" i="8"/>
  <c r="M805" i="8"/>
  <c r="N804" i="8"/>
  <c r="M804" i="8"/>
  <c r="N803" i="8"/>
  <c r="M803" i="8"/>
  <c r="N802" i="8"/>
  <c r="M802" i="8"/>
  <c r="N801" i="8"/>
  <c r="M801" i="8"/>
  <c r="N800" i="8"/>
  <c r="M800" i="8"/>
  <c r="N799" i="8"/>
  <c r="M799" i="8"/>
  <c r="N798" i="8"/>
  <c r="M798" i="8"/>
  <c r="N796" i="8"/>
  <c r="M796" i="8"/>
  <c r="N795" i="8"/>
  <c r="M795" i="8"/>
  <c r="N794" i="8"/>
  <c r="M794" i="8"/>
  <c r="N793" i="8"/>
  <c r="M793" i="8"/>
  <c r="N792" i="8"/>
  <c r="M792" i="8"/>
  <c r="N791" i="8"/>
  <c r="M791" i="8"/>
  <c r="N790" i="8"/>
  <c r="M790" i="8"/>
  <c r="N789" i="8"/>
  <c r="M789" i="8"/>
  <c r="N788" i="8"/>
  <c r="M788" i="8"/>
  <c r="N787" i="8"/>
  <c r="M787" i="8"/>
  <c r="N786" i="8"/>
  <c r="M786" i="8"/>
  <c r="N785" i="8"/>
  <c r="M785" i="8"/>
  <c r="N784" i="8"/>
  <c r="M784" i="8"/>
  <c r="N783" i="8"/>
  <c r="M783" i="8"/>
  <c r="N782" i="8"/>
  <c r="M782" i="8"/>
  <c r="N781" i="8"/>
  <c r="M781" i="8"/>
  <c r="N780" i="8"/>
  <c r="M780" i="8"/>
  <c r="N779" i="8"/>
  <c r="M779" i="8"/>
  <c r="N778" i="8"/>
  <c r="M778" i="8"/>
  <c r="N777" i="8"/>
  <c r="M777" i="8"/>
  <c r="N776" i="8"/>
  <c r="M776" i="8"/>
  <c r="N767" i="8"/>
  <c r="M767" i="8"/>
  <c r="N766" i="8"/>
  <c r="M766" i="8"/>
  <c r="N765" i="8"/>
  <c r="M765" i="8"/>
  <c r="N764" i="8"/>
  <c r="M764" i="8"/>
  <c r="N763" i="8"/>
  <c r="M763" i="8"/>
  <c r="N762" i="8"/>
  <c r="M762" i="8"/>
  <c r="N761" i="8"/>
  <c r="M761" i="8"/>
  <c r="N760" i="8"/>
  <c r="M760" i="8"/>
  <c r="N758" i="8"/>
  <c r="M758" i="8"/>
  <c r="N756" i="8"/>
  <c r="M756" i="8"/>
  <c r="N754" i="8"/>
  <c r="M754" i="8"/>
  <c r="N753" i="8"/>
  <c r="M753" i="8"/>
  <c r="N751" i="8"/>
  <c r="M751" i="8"/>
  <c r="N750" i="8"/>
  <c r="M750" i="8"/>
  <c r="N749" i="8"/>
  <c r="M749" i="8"/>
  <c r="N748" i="8"/>
  <c r="M748" i="8"/>
  <c r="N747" i="8"/>
  <c r="M747" i="8"/>
  <c r="N746" i="8"/>
  <c r="M746" i="8"/>
  <c r="N743" i="8"/>
  <c r="M743" i="8"/>
  <c r="N742" i="8"/>
  <c r="M742" i="8"/>
  <c r="N741" i="8"/>
  <c r="M741" i="8"/>
  <c r="N740" i="8"/>
  <c r="M740" i="8"/>
  <c r="N739" i="8"/>
  <c r="M739" i="8"/>
  <c r="N738" i="8"/>
  <c r="M738" i="8"/>
  <c r="N737" i="8"/>
  <c r="M737" i="8"/>
  <c r="N736" i="8"/>
  <c r="M736" i="8"/>
  <c r="N735" i="8"/>
  <c r="M735" i="8"/>
  <c r="N734" i="8"/>
  <c r="M734" i="8"/>
  <c r="N733" i="8"/>
  <c r="M733" i="8"/>
  <c r="N732" i="8"/>
  <c r="M732" i="8"/>
  <c r="N731" i="8"/>
  <c r="M731" i="8"/>
  <c r="N730" i="8"/>
  <c r="M730" i="8"/>
  <c r="N729" i="8"/>
  <c r="M729" i="8"/>
  <c r="N726" i="8"/>
  <c r="M726" i="8"/>
  <c r="N725" i="8"/>
  <c r="M725" i="8"/>
  <c r="N724" i="8"/>
  <c r="M724" i="8"/>
  <c r="N723" i="8"/>
  <c r="M723" i="8"/>
  <c r="N722" i="8"/>
  <c r="M722" i="8"/>
  <c r="N721" i="8"/>
  <c r="M721" i="8"/>
  <c r="N720" i="8"/>
  <c r="M720" i="8"/>
  <c r="N719" i="8"/>
  <c r="M719" i="8"/>
  <c r="N718" i="8"/>
  <c r="M718" i="8"/>
  <c r="N715" i="8"/>
  <c r="M715" i="8"/>
  <c r="N714" i="8"/>
  <c r="M714" i="8"/>
  <c r="N713" i="8"/>
  <c r="M713" i="8"/>
  <c r="N712" i="8"/>
  <c r="M712" i="8"/>
  <c r="N711" i="8"/>
  <c r="M711" i="8"/>
  <c r="N710" i="8"/>
  <c r="M710" i="8"/>
  <c r="N709" i="8"/>
  <c r="M709" i="8"/>
  <c r="N708" i="8"/>
  <c r="M708" i="8"/>
  <c r="N707" i="8"/>
  <c r="M707" i="8"/>
  <c r="N706" i="8"/>
  <c r="M706" i="8"/>
  <c r="N705" i="8"/>
  <c r="M705" i="8"/>
  <c r="N704" i="8"/>
  <c r="M704" i="8"/>
  <c r="N703" i="8"/>
  <c r="M703" i="8"/>
  <c r="N702" i="8"/>
  <c r="M702" i="8"/>
  <c r="N701" i="8"/>
  <c r="M701" i="8"/>
  <c r="N700" i="8"/>
  <c r="M700" i="8"/>
  <c r="N699" i="8"/>
  <c r="M699" i="8"/>
  <c r="N698" i="8"/>
  <c r="M698" i="8"/>
  <c r="N697" i="8"/>
  <c r="M697" i="8"/>
  <c r="N696" i="8"/>
  <c r="M696" i="8"/>
  <c r="N695" i="8"/>
  <c r="M695" i="8"/>
  <c r="N694" i="8"/>
  <c r="M694" i="8"/>
  <c r="N693" i="8"/>
  <c r="M693" i="8"/>
  <c r="N692" i="8"/>
  <c r="M692" i="8"/>
  <c r="N691" i="8"/>
  <c r="M691" i="8"/>
  <c r="N690" i="8"/>
  <c r="M690" i="8"/>
  <c r="N689" i="8"/>
  <c r="M689" i="8"/>
  <c r="N688" i="8"/>
  <c r="M688" i="8"/>
  <c r="N687" i="8"/>
  <c r="M687" i="8"/>
  <c r="N686" i="8"/>
  <c r="M686" i="8"/>
  <c r="N685" i="8"/>
  <c r="M685" i="8"/>
  <c r="N684" i="8"/>
  <c r="M684" i="8"/>
  <c r="N683" i="8"/>
  <c r="M683" i="8"/>
  <c r="N682" i="8"/>
  <c r="M682" i="8"/>
  <c r="N681" i="8"/>
  <c r="M681" i="8"/>
  <c r="N680" i="8"/>
  <c r="M680" i="8"/>
  <c r="N679" i="8"/>
  <c r="M679" i="8"/>
  <c r="N678" i="8"/>
  <c r="M678" i="8"/>
  <c r="N677" i="8"/>
  <c r="M677" i="8"/>
  <c r="N676" i="8"/>
  <c r="M676" i="8"/>
  <c r="N675" i="8"/>
  <c r="M675" i="8"/>
  <c r="N674" i="8"/>
  <c r="M674" i="8"/>
  <c r="N673" i="8"/>
  <c r="M673" i="8"/>
  <c r="N672" i="8"/>
  <c r="M672" i="8"/>
  <c r="N671" i="8"/>
  <c r="M671" i="8"/>
  <c r="N670" i="8"/>
  <c r="M670" i="8"/>
  <c r="N669" i="8"/>
  <c r="M669" i="8"/>
  <c r="N668" i="8"/>
  <c r="M668" i="8"/>
  <c r="N667" i="8"/>
  <c r="M667" i="8"/>
  <c r="N666" i="8"/>
  <c r="M666" i="8"/>
  <c r="N665" i="8"/>
  <c r="M665" i="8"/>
  <c r="N664" i="8"/>
  <c r="M664" i="8"/>
  <c r="N663" i="8"/>
  <c r="M663" i="8"/>
  <c r="N662" i="8"/>
  <c r="M662" i="8"/>
  <c r="N661" i="8"/>
  <c r="M661" i="8"/>
  <c r="N660" i="8"/>
  <c r="M660" i="8"/>
  <c r="N659" i="8"/>
  <c r="M659" i="8"/>
  <c r="N658" i="8"/>
  <c r="M658" i="8"/>
  <c r="N657" i="8"/>
  <c r="M657" i="8"/>
  <c r="N656" i="8"/>
  <c r="M656" i="8"/>
  <c r="N655" i="8"/>
  <c r="M655" i="8"/>
  <c r="N654" i="8"/>
  <c r="M654" i="8"/>
  <c r="N653" i="8"/>
  <c r="M653" i="8"/>
  <c r="N652" i="8"/>
  <c r="M652" i="8"/>
  <c r="N651" i="8"/>
  <c r="M651" i="8"/>
  <c r="N650" i="8"/>
  <c r="M650" i="8"/>
  <c r="N649" i="8"/>
  <c r="M649" i="8"/>
  <c r="N646" i="8"/>
  <c r="M646" i="8"/>
  <c r="N645" i="8"/>
  <c r="M645" i="8"/>
  <c r="N644" i="8"/>
  <c r="M644" i="8"/>
  <c r="N643" i="8"/>
  <c r="M643" i="8"/>
  <c r="N642" i="8"/>
  <c r="M642" i="8"/>
  <c r="N639" i="8"/>
  <c r="M639" i="8"/>
  <c r="N638" i="8"/>
  <c r="M638" i="8"/>
  <c r="N637" i="8"/>
  <c r="M637" i="8"/>
  <c r="N634" i="8"/>
  <c r="M634" i="8"/>
  <c r="N633" i="8"/>
  <c r="M633" i="8"/>
  <c r="N632" i="8"/>
  <c r="M632" i="8"/>
  <c r="N631" i="8"/>
  <c r="M631" i="8"/>
  <c r="N630" i="8"/>
  <c r="M630" i="8"/>
  <c r="N629" i="8"/>
  <c r="M629" i="8"/>
  <c r="N628" i="8"/>
  <c r="M628" i="8"/>
  <c r="N627" i="8"/>
  <c r="M627" i="8"/>
  <c r="N626" i="8"/>
  <c r="M626" i="8"/>
  <c r="N625" i="8"/>
  <c r="M625" i="8"/>
  <c r="N624" i="8"/>
  <c r="M624" i="8"/>
  <c r="N623" i="8"/>
  <c r="M623" i="8"/>
  <c r="N622" i="8"/>
  <c r="M622" i="8"/>
  <c r="N621" i="8"/>
  <c r="M621" i="8"/>
  <c r="N620" i="8"/>
  <c r="M620" i="8"/>
  <c r="N619" i="8"/>
  <c r="M619" i="8"/>
  <c r="N618" i="8"/>
  <c r="M618" i="8"/>
  <c r="N617" i="8"/>
  <c r="M617" i="8"/>
  <c r="N616" i="8"/>
  <c r="M616" i="8"/>
  <c r="N615" i="8"/>
  <c r="M615" i="8"/>
  <c r="N614" i="8"/>
  <c r="M614" i="8"/>
  <c r="N613" i="8"/>
  <c r="M613" i="8"/>
  <c r="N612" i="8"/>
  <c r="M612" i="8"/>
  <c r="N611" i="8"/>
  <c r="M611" i="8"/>
  <c r="N610" i="8"/>
  <c r="M610" i="8"/>
  <c r="N609" i="8"/>
  <c r="M609" i="8"/>
  <c r="N608" i="8"/>
  <c r="M608" i="8"/>
  <c r="N607" i="8"/>
  <c r="M607" i="8"/>
  <c r="N606" i="8"/>
  <c r="M606" i="8"/>
  <c r="N605" i="8"/>
  <c r="M605" i="8"/>
  <c r="N604" i="8"/>
  <c r="M604" i="8"/>
  <c r="N603" i="8"/>
  <c r="M603" i="8"/>
  <c r="N602" i="8"/>
  <c r="M602" i="8"/>
  <c r="N601" i="8"/>
  <c r="M601" i="8"/>
  <c r="N600" i="8"/>
  <c r="M600" i="8"/>
  <c r="N599" i="8"/>
  <c r="M599" i="8"/>
  <c r="N598" i="8"/>
  <c r="M598" i="8"/>
  <c r="N597" i="8"/>
  <c r="M597" i="8"/>
  <c r="N594" i="8"/>
  <c r="M594" i="8"/>
  <c r="N593" i="8"/>
  <c r="M593" i="8"/>
  <c r="N592" i="8"/>
  <c r="M592" i="8"/>
  <c r="N591" i="8"/>
  <c r="M591" i="8"/>
  <c r="N590" i="8"/>
  <c r="M590" i="8"/>
  <c r="N589" i="8"/>
  <c r="M589" i="8"/>
  <c r="N588" i="8"/>
  <c r="M588" i="8"/>
  <c r="N587" i="8"/>
  <c r="M587" i="8"/>
  <c r="N586" i="8"/>
  <c r="M586" i="8"/>
  <c r="N585" i="8"/>
  <c r="M585" i="8"/>
  <c r="N584" i="8"/>
  <c r="M584" i="8"/>
  <c r="N583" i="8"/>
  <c r="M583" i="8"/>
  <c r="N582" i="8"/>
  <c r="M582" i="8"/>
  <c r="N581" i="8"/>
  <c r="M581" i="8"/>
  <c r="N580" i="8"/>
  <c r="M580" i="8"/>
  <c r="N579" i="8"/>
  <c r="M579" i="8"/>
  <c r="N578" i="8"/>
  <c r="M578" i="8"/>
  <c r="N577" i="8"/>
  <c r="M577" i="8"/>
  <c r="N576" i="8"/>
  <c r="M576" i="8"/>
  <c r="N575" i="8"/>
  <c r="M575" i="8"/>
  <c r="N574" i="8"/>
  <c r="M574" i="8"/>
  <c r="N573" i="8"/>
  <c r="M573" i="8"/>
  <c r="N572" i="8"/>
  <c r="M572" i="8"/>
  <c r="N571" i="8"/>
  <c r="M571" i="8"/>
  <c r="N570" i="8"/>
  <c r="M570" i="8"/>
  <c r="N569" i="8"/>
  <c r="M569" i="8"/>
  <c r="N568" i="8"/>
  <c r="M568" i="8"/>
  <c r="N567" i="8"/>
  <c r="M567" i="8"/>
  <c r="N566" i="8"/>
  <c r="M566" i="8"/>
  <c r="N565" i="8"/>
  <c r="M565" i="8"/>
  <c r="N564" i="8"/>
  <c r="M564" i="8"/>
  <c r="N563" i="8"/>
  <c r="M563" i="8"/>
  <c r="N562" i="8"/>
  <c r="M562" i="8"/>
  <c r="N561" i="8"/>
  <c r="M561" i="8"/>
  <c r="N560" i="8"/>
  <c r="M560" i="8"/>
  <c r="N559" i="8"/>
  <c r="M559" i="8"/>
  <c r="N558" i="8"/>
  <c r="M558" i="8"/>
  <c r="N557" i="8"/>
  <c r="M557" i="8"/>
  <c r="N556" i="8"/>
  <c r="M556" i="8"/>
  <c r="N555" i="8"/>
  <c r="M555" i="8"/>
  <c r="N554" i="8"/>
  <c r="M554" i="8"/>
  <c r="N553" i="8"/>
  <c r="M553" i="8"/>
  <c r="N552" i="8"/>
  <c r="M552" i="8"/>
  <c r="N549" i="8"/>
  <c r="M549" i="8"/>
  <c r="N548" i="8"/>
  <c r="M548" i="8"/>
  <c r="N547" i="8"/>
  <c r="M547" i="8"/>
  <c r="N546" i="8"/>
  <c r="M546" i="8"/>
  <c r="N545" i="8"/>
  <c r="M545" i="8"/>
  <c r="N544" i="8"/>
  <c r="M544" i="8"/>
  <c r="N543" i="8"/>
  <c r="M543" i="8"/>
  <c r="N542" i="8"/>
  <c r="M542" i="8"/>
  <c r="N541" i="8"/>
  <c r="M541" i="8"/>
  <c r="N540" i="8"/>
  <c r="M540" i="8"/>
  <c r="N539" i="8"/>
  <c r="M539" i="8"/>
  <c r="N538" i="8"/>
  <c r="M538" i="8"/>
  <c r="N537" i="8"/>
  <c r="M537" i="8"/>
  <c r="N536" i="8"/>
  <c r="M536" i="8"/>
  <c r="N535" i="8"/>
  <c r="M535" i="8"/>
  <c r="N534" i="8"/>
  <c r="M534" i="8"/>
  <c r="N533" i="8"/>
  <c r="M533" i="8"/>
  <c r="N532" i="8"/>
  <c r="M532" i="8"/>
  <c r="N531" i="8"/>
  <c r="M531" i="8"/>
  <c r="N528" i="8"/>
  <c r="M528" i="8"/>
  <c r="N527" i="8"/>
  <c r="M527" i="8"/>
  <c r="N526" i="8"/>
  <c r="M526" i="8"/>
  <c r="N525" i="8"/>
  <c r="M525" i="8"/>
  <c r="N524" i="8"/>
  <c r="M524" i="8"/>
  <c r="N523" i="8"/>
  <c r="M523" i="8"/>
  <c r="N522" i="8"/>
  <c r="M522" i="8"/>
  <c r="N521" i="8"/>
  <c r="M521" i="8"/>
  <c r="N520" i="8"/>
  <c r="M520" i="8"/>
  <c r="N519" i="8"/>
  <c r="M519" i="8"/>
  <c r="N518" i="8"/>
  <c r="M518" i="8"/>
  <c r="N517" i="8"/>
  <c r="M517" i="8"/>
  <c r="N516" i="8"/>
  <c r="M516" i="8"/>
  <c r="N515" i="8"/>
  <c r="M515" i="8"/>
  <c r="N514" i="8"/>
  <c r="M514" i="8"/>
  <c r="N513" i="8"/>
  <c r="M513" i="8"/>
  <c r="N512" i="8"/>
  <c r="M512" i="8"/>
  <c r="N511" i="8"/>
  <c r="M511" i="8"/>
  <c r="N510" i="8"/>
  <c r="M510" i="8"/>
  <c r="N509" i="8"/>
  <c r="M509" i="8"/>
  <c r="N508" i="8"/>
  <c r="M508" i="8"/>
  <c r="N507" i="8"/>
  <c r="M507" i="8"/>
  <c r="N506" i="8"/>
  <c r="M506" i="8"/>
  <c r="N505" i="8"/>
  <c r="M505" i="8"/>
  <c r="N504" i="8"/>
  <c r="M504" i="8"/>
  <c r="N503" i="8"/>
  <c r="M503" i="8"/>
  <c r="N502" i="8"/>
  <c r="M502" i="8"/>
  <c r="N501" i="8"/>
  <c r="M501" i="8"/>
  <c r="N500" i="8"/>
  <c r="M500" i="8"/>
  <c r="N499" i="8"/>
  <c r="M499" i="8"/>
  <c r="N498" i="8"/>
  <c r="M498" i="8"/>
  <c r="N497" i="8"/>
  <c r="M497" i="8"/>
  <c r="N496" i="8"/>
  <c r="M496" i="8"/>
  <c r="N495" i="8"/>
  <c r="M495" i="8"/>
  <c r="N494" i="8"/>
  <c r="M494" i="8"/>
  <c r="N493" i="8"/>
  <c r="M493" i="8"/>
  <c r="N492" i="8"/>
  <c r="M492" i="8"/>
  <c r="N491" i="8"/>
  <c r="M491" i="8"/>
  <c r="N490" i="8"/>
  <c r="M490" i="8"/>
  <c r="N489" i="8"/>
  <c r="M489" i="8"/>
  <c r="N488" i="8"/>
  <c r="M488" i="8"/>
  <c r="N487" i="8"/>
  <c r="M487" i="8"/>
  <c r="N486" i="8"/>
  <c r="M486" i="8"/>
  <c r="N483" i="8"/>
  <c r="M483" i="8"/>
  <c r="N482" i="8"/>
  <c r="M482" i="8"/>
  <c r="N481" i="8"/>
  <c r="M481" i="8"/>
  <c r="N480" i="8"/>
  <c r="M480" i="8"/>
  <c r="N479" i="8"/>
  <c r="M479" i="8"/>
  <c r="N478" i="8"/>
  <c r="M478" i="8"/>
  <c r="N477" i="8"/>
  <c r="M477" i="8"/>
  <c r="N476" i="8"/>
  <c r="M476" i="8"/>
  <c r="N475" i="8"/>
  <c r="M475" i="8"/>
  <c r="N474" i="8"/>
  <c r="M474" i="8"/>
  <c r="N473" i="8"/>
  <c r="M473" i="8"/>
  <c r="N472" i="8"/>
  <c r="M472" i="8"/>
  <c r="N471" i="8"/>
  <c r="M471" i="8"/>
  <c r="N470" i="8"/>
  <c r="M470" i="8"/>
  <c r="N469" i="8"/>
  <c r="M469" i="8"/>
  <c r="N468" i="8"/>
  <c r="M468" i="8"/>
  <c r="N465" i="8"/>
  <c r="M465" i="8"/>
  <c r="N464" i="8"/>
  <c r="M464" i="8"/>
  <c r="N463" i="8"/>
  <c r="M463" i="8"/>
  <c r="N462" i="8"/>
  <c r="M462" i="8"/>
  <c r="N461" i="8"/>
  <c r="M461" i="8"/>
  <c r="N460" i="8"/>
  <c r="M460" i="8"/>
  <c r="N459" i="8"/>
  <c r="M459" i="8"/>
  <c r="N458" i="8"/>
  <c r="M458" i="8"/>
  <c r="N457" i="8"/>
  <c r="M457" i="8"/>
  <c r="N456" i="8"/>
  <c r="M456" i="8"/>
  <c r="N455" i="8"/>
  <c r="M455" i="8"/>
  <c r="N454" i="8"/>
  <c r="M454" i="8"/>
  <c r="N453" i="8"/>
  <c r="M453" i="8"/>
  <c r="N452" i="8"/>
  <c r="M452" i="8"/>
  <c r="N451" i="8"/>
  <c r="M451" i="8"/>
  <c r="N450" i="8"/>
  <c r="M450" i="8"/>
  <c r="N449" i="8"/>
  <c r="M449" i="8"/>
  <c r="N448" i="8"/>
  <c r="M448" i="8"/>
  <c r="N447" i="8"/>
  <c r="M447" i="8"/>
  <c r="N446" i="8"/>
  <c r="M446" i="8"/>
  <c r="N445" i="8"/>
  <c r="M445" i="8"/>
  <c r="N444" i="8"/>
  <c r="M444" i="8"/>
  <c r="N443" i="8"/>
  <c r="M443" i="8"/>
  <c r="N442" i="8"/>
  <c r="M442" i="8"/>
  <c r="N441" i="8"/>
  <c r="M441" i="8"/>
  <c r="N440" i="8"/>
  <c r="M440" i="8"/>
  <c r="N439" i="8"/>
  <c r="M439" i="8"/>
  <c r="N438" i="8"/>
  <c r="M438" i="8"/>
  <c r="N437" i="8"/>
  <c r="M437" i="8"/>
  <c r="N436" i="8"/>
  <c r="M436" i="8"/>
  <c r="N435" i="8"/>
  <c r="M435" i="8"/>
  <c r="N434" i="8"/>
  <c r="M434" i="8"/>
  <c r="N433" i="8"/>
  <c r="M433" i="8"/>
  <c r="N432" i="8"/>
  <c r="M432" i="8"/>
  <c r="N431" i="8"/>
  <c r="M431" i="8"/>
  <c r="N430" i="8"/>
  <c r="M430" i="8"/>
  <c r="N429" i="8"/>
  <c r="M429" i="8"/>
  <c r="N428" i="8"/>
  <c r="M428" i="8"/>
  <c r="N427" i="8"/>
  <c r="M427" i="8"/>
  <c r="N424" i="8"/>
  <c r="M424" i="8"/>
  <c r="N419" i="8"/>
  <c r="M419" i="8"/>
  <c r="N418" i="8"/>
  <c r="M418" i="8"/>
  <c r="N417" i="8"/>
  <c r="M417" i="8"/>
  <c r="N416" i="8"/>
  <c r="M416" i="8"/>
  <c r="N415" i="8"/>
  <c r="M415" i="8"/>
  <c r="N414" i="8"/>
  <c r="M414" i="8"/>
  <c r="N413" i="8"/>
  <c r="M413" i="8"/>
  <c r="N412" i="8"/>
  <c r="M412" i="8"/>
  <c r="N411" i="8"/>
  <c r="M411" i="8"/>
  <c r="N410" i="8"/>
  <c r="M410" i="8"/>
  <c r="N409" i="8"/>
  <c r="M409" i="8"/>
  <c r="N408" i="8"/>
  <c r="M408" i="8"/>
  <c r="N407" i="8"/>
  <c r="M407" i="8"/>
  <c r="N406" i="8"/>
  <c r="M406" i="8"/>
  <c r="N405" i="8"/>
  <c r="M405" i="8"/>
  <c r="N402" i="8"/>
  <c r="M402" i="8"/>
  <c r="N401" i="8"/>
  <c r="M401" i="8"/>
  <c r="N400" i="8"/>
  <c r="M400" i="8"/>
  <c r="N399" i="8"/>
  <c r="M399" i="8"/>
  <c r="N398" i="8"/>
  <c r="M398" i="8"/>
  <c r="N397" i="8"/>
  <c r="M397" i="8"/>
  <c r="N396" i="8"/>
  <c r="M396" i="8"/>
  <c r="N395" i="8"/>
  <c r="M395" i="8"/>
  <c r="N394" i="8"/>
  <c r="M394" i="8"/>
  <c r="N393" i="8"/>
  <c r="M393" i="8"/>
  <c r="N392" i="8"/>
  <c r="M392" i="8"/>
  <c r="N391" i="8"/>
  <c r="M391" i="8"/>
  <c r="N390" i="8"/>
  <c r="M390" i="8"/>
  <c r="N389" i="8"/>
  <c r="M389" i="8"/>
  <c r="N388" i="8"/>
  <c r="M388" i="8"/>
  <c r="N387" i="8"/>
  <c r="M387" i="8"/>
  <c r="N386" i="8"/>
  <c r="M386" i="8"/>
  <c r="N385" i="8"/>
  <c r="M385" i="8"/>
  <c r="N382" i="8"/>
  <c r="M382" i="8"/>
  <c r="N381" i="8"/>
  <c r="M381" i="8"/>
  <c r="N380" i="8"/>
  <c r="M380" i="8"/>
  <c r="N379" i="8"/>
  <c r="M379" i="8"/>
  <c r="N378" i="8"/>
  <c r="M378" i="8"/>
  <c r="N377" i="8"/>
  <c r="M377" i="8"/>
  <c r="N376" i="8"/>
  <c r="M376" i="8"/>
  <c r="N375" i="8"/>
  <c r="M375" i="8"/>
  <c r="N374" i="8"/>
  <c r="M374" i="8"/>
  <c r="N373" i="8"/>
  <c r="M373" i="8"/>
  <c r="N372" i="8"/>
  <c r="M372" i="8"/>
  <c r="N371" i="8"/>
  <c r="M371" i="8"/>
  <c r="N366" i="8"/>
  <c r="M366" i="8"/>
  <c r="N365" i="8"/>
  <c r="M365" i="8"/>
  <c r="N364" i="8"/>
  <c r="M364" i="8"/>
  <c r="N361" i="8"/>
  <c r="M361" i="8"/>
  <c r="N360" i="8"/>
  <c r="M360" i="8"/>
  <c r="N359" i="8"/>
  <c r="M359" i="8"/>
  <c r="N358" i="8"/>
  <c r="M358" i="8"/>
  <c r="N357" i="8"/>
  <c r="M357" i="8"/>
  <c r="N356" i="8"/>
  <c r="M356" i="8"/>
  <c r="N355" i="8"/>
  <c r="M355" i="8"/>
  <c r="N354" i="8"/>
  <c r="M354" i="8"/>
  <c r="N353" i="8"/>
  <c r="M353" i="8"/>
  <c r="N352" i="8"/>
  <c r="M352" i="8"/>
  <c r="N351" i="8"/>
  <c r="M351" i="8"/>
  <c r="N350" i="8"/>
  <c r="M350" i="8"/>
  <c r="N349" i="8"/>
  <c r="M349" i="8"/>
  <c r="N348" i="8"/>
  <c r="M348" i="8"/>
  <c r="N347" i="8"/>
  <c r="M347" i="8"/>
  <c r="N346" i="8"/>
  <c r="M346" i="8"/>
  <c r="N345" i="8"/>
  <c r="M345" i="8"/>
  <c r="N344" i="8"/>
  <c r="M344" i="8"/>
  <c r="N343" i="8"/>
  <c r="M343" i="8"/>
  <c r="N342" i="8"/>
  <c r="M342" i="8"/>
  <c r="N341" i="8"/>
  <c r="M341" i="8"/>
  <c r="N336" i="8"/>
  <c r="M336" i="8"/>
  <c r="N335" i="8"/>
  <c r="M335" i="8"/>
  <c r="N334" i="8"/>
  <c r="M334" i="8"/>
  <c r="N333" i="8"/>
  <c r="M333" i="8"/>
  <c r="N332" i="8"/>
  <c r="M332" i="8"/>
  <c r="N331" i="8"/>
  <c r="M331" i="8"/>
  <c r="N330" i="8"/>
  <c r="M330" i="8"/>
  <c r="N329" i="8"/>
  <c r="M329" i="8"/>
  <c r="N328" i="8"/>
  <c r="M328" i="8"/>
  <c r="N327" i="8"/>
  <c r="M327" i="8"/>
  <c r="N322" i="8"/>
  <c r="M322" i="8"/>
  <c r="N321" i="8"/>
  <c r="M321" i="8"/>
  <c r="N320" i="8"/>
  <c r="M320" i="8"/>
  <c r="N319" i="8"/>
  <c r="M319" i="8"/>
  <c r="N318" i="8"/>
  <c r="M318" i="8"/>
  <c r="N317" i="8"/>
  <c r="M317" i="8"/>
  <c r="N316" i="8"/>
  <c r="M316" i="8"/>
  <c r="N315" i="8"/>
  <c r="M315" i="8"/>
  <c r="N314" i="8"/>
  <c r="M314" i="8"/>
  <c r="N311" i="8"/>
  <c r="M311" i="8"/>
  <c r="N310" i="8"/>
  <c r="M310" i="8"/>
  <c r="N309" i="8"/>
  <c r="M309" i="8"/>
  <c r="N308" i="8"/>
  <c r="M308" i="8"/>
  <c r="N307" i="8"/>
  <c r="M307" i="8"/>
  <c r="N306" i="8"/>
  <c r="M306" i="8"/>
  <c r="N305" i="8"/>
  <c r="M305" i="8"/>
  <c r="N302" i="8"/>
  <c r="M302" i="8"/>
  <c r="N301" i="8"/>
  <c r="M301" i="8"/>
  <c r="N300" i="8"/>
  <c r="M300" i="8"/>
  <c r="N299" i="8"/>
  <c r="M299" i="8"/>
  <c r="N298" i="8"/>
  <c r="M298" i="8"/>
  <c r="N297" i="8"/>
  <c r="M297" i="8"/>
  <c r="N296" i="8"/>
  <c r="M296" i="8"/>
  <c r="N295" i="8"/>
  <c r="M295" i="8"/>
  <c r="N294" i="8"/>
  <c r="M294" i="8"/>
  <c r="N293" i="8"/>
  <c r="M293" i="8"/>
  <c r="N292" i="8"/>
  <c r="M292" i="8"/>
  <c r="N291" i="8"/>
  <c r="M291" i="8"/>
  <c r="N290" i="8"/>
  <c r="M290" i="8"/>
  <c r="N289" i="8"/>
  <c r="M289" i="8"/>
  <c r="N288" i="8"/>
  <c r="M288" i="8"/>
  <c r="N287" i="8"/>
  <c r="M287" i="8"/>
  <c r="N286" i="8"/>
  <c r="M286" i="8"/>
  <c r="N285" i="8"/>
  <c r="M285" i="8"/>
  <c r="N284" i="8"/>
  <c r="M284" i="8"/>
  <c r="N283" i="8"/>
  <c r="M283" i="8"/>
  <c r="N282" i="8"/>
  <c r="M282" i="8"/>
  <c r="N281" i="8"/>
  <c r="M281" i="8"/>
  <c r="N280" i="8"/>
  <c r="M280" i="8"/>
  <c r="N279" i="8"/>
  <c r="M279" i="8"/>
  <c r="N278" i="8"/>
  <c r="M278" i="8"/>
  <c r="N277" i="8"/>
  <c r="M277" i="8"/>
  <c r="N276" i="8"/>
  <c r="M276" i="8"/>
  <c r="N275" i="8"/>
  <c r="M275" i="8"/>
  <c r="N274" i="8"/>
  <c r="M274" i="8"/>
  <c r="N273" i="8"/>
  <c r="M273" i="8"/>
  <c r="N272" i="8"/>
  <c r="M272" i="8"/>
  <c r="N271" i="8"/>
  <c r="M271" i="8"/>
  <c r="N270" i="8"/>
  <c r="M270" i="8"/>
  <c r="N269" i="8"/>
  <c r="M269" i="8"/>
  <c r="N268" i="8"/>
  <c r="M268" i="8"/>
  <c r="N267" i="8"/>
  <c r="M267" i="8"/>
  <c r="N266" i="8"/>
  <c r="M266" i="8"/>
  <c r="N265" i="8"/>
  <c r="M265" i="8"/>
  <c r="N264" i="8"/>
  <c r="M264" i="8"/>
  <c r="N263" i="8"/>
  <c r="M263" i="8"/>
  <c r="N262" i="8"/>
  <c r="M262" i="8"/>
  <c r="N261" i="8"/>
  <c r="M261" i="8"/>
  <c r="N260" i="8"/>
  <c r="M260" i="8"/>
  <c r="N259" i="8"/>
  <c r="M259" i="8"/>
  <c r="N258" i="8"/>
  <c r="M258" i="8"/>
  <c r="N257" i="8"/>
  <c r="M257" i="8"/>
  <c r="N256" i="8"/>
  <c r="M256" i="8"/>
  <c r="N255" i="8"/>
  <c r="M255" i="8"/>
  <c r="N254" i="8"/>
  <c r="M254" i="8"/>
  <c r="N253" i="8"/>
  <c r="M253" i="8"/>
  <c r="N252" i="8"/>
  <c r="M252" i="8"/>
  <c r="N251" i="8"/>
  <c r="M251" i="8"/>
  <c r="N250" i="8"/>
  <c r="M250" i="8"/>
  <c r="N249" i="8"/>
  <c r="M249" i="8"/>
  <c r="N248" i="8"/>
  <c r="M248" i="8"/>
  <c r="N247" i="8"/>
  <c r="M247" i="8"/>
  <c r="N246" i="8"/>
  <c r="M246" i="8"/>
  <c r="N245" i="8"/>
  <c r="M245" i="8"/>
  <c r="N244" i="8"/>
  <c r="M244" i="8"/>
  <c r="N243" i="8"/>
  <c r="M243" i="8"/>
  <c r="N242" i="8"/>
  <c r="M242" i="8"/>
  <c r="N241" i="8"/>
  <c r="M241" i="8"/>
  <c r="N240" i="8"/>
  <c r="M240" i="8"/>
  <c r="N239" i="8"/>
  <c r="M239" i="8"/>
  <c r="N238" i="8"/>
  <c r="M238" i="8"/>
  <c r="N237" i="8"/>
  <c r="M237" i="8"/>
  <c r="N236" i="8"/>
  <c r="M236" i="8"/>
  <c r="N235" i="8"/>
  <c r="M235" i="8"/>
  <c r="N234" i="8"/>
  <c r="M234" i="8"/>
  <c r="N233" i="8"/>
  <c r="M233" i="8"/>
  <c r="N232" i="8"/>
  <c r="M232" i="8"/>
  <c r="N231" i="8"/>
  <c r="M231" i="8"/>
  <c r="N230" i="8"/>
  <c r="M230" i="8"/>
  <c r="N229" i="8"/>
  <c r="M229" i="8"/>
  <c r="N228" i="8"/>
  <c r="M228" i="8"/>
  <c r="N227" i="8"/>
  <c r="M227" i="8"/>
  <c r="N226" i="8"/>
  <c r="M226" i="8"/>
  <c r="N225" i="8"/>
  <c r="M225" i="8"/>
  <c r="N224" i="8"/>
  <c r="M224" i="8"/>
  <c r="N223" i="8"/>
  <c r="M223" i="8"/>
  <c r="N222" i="8"/>
  <c r="M222" i="8"/>
  <c r="N221" i="8"/>
  <c r="M221" i="8"/>
  <c r="N220" i="8"/>
  <c r="M220" i="8"/>
  <c r="N219" i="8"/>
  <c r="M219" i="8"/>
  <c r="N218" i="8"/>
  <c r="M218" i="8"/>
  <c r="N217" i="8"/>
  <c r="M217" i="8"/>
  <c r="N214" i="8"/>
  <c r="M214" i="8"/>
  <c r="N213" i="8"/>
  <c r="M213" i="8"/>
  <c r="N212" i="8"/>
  <c r="M212" i="8"/>
  <c r="N211" i="8"/>
  <c r="M211" i="8"/>
  <c r="N210" i="8"/>
  <c r="M210" i="8"/>
  <c r="N209" i="8"/>
  <c r="M209" i="8"/>
  <c r="N208" i="8"/>
  <c r="M208" i="8"/>
  <c r="N207" i="8"/>
  <c r="M207" i="8"/>
  <c r="N206" i="8"/>
  <c r="M206" i="8"/>
  <c r="N205" i="8"/>
  <c r="M205" i="8"/>
  <c r="N204" i="8"/>
  <c r="M204" i="8"/>
  <c r="N203" i="8"/>
  <c r="M203" i="8"/>
  <c r="N202" i="8"/>
  <c r="M202" i="8"/>
  <c r="N201" i="8"/>
  <c r="M201" i="8"/>
  <c r="N200" i="8"/>
  <c r="M200" i="8"/>
  <c r="N199" i="8"/>
  <c r="M199" i="8"/>
  <c r="N198" i="8"/>
  <c r="M198" i="8"/>
  <c r="N197" i="8"/>
  <c r="M197" i="8"/>
  <c r="N196" i="8"/>
  <c r="M196" i="8"/>
  <c r="N195" i="8"/>
  <c r="M195" i="8"/>
  <c r="N194" i="8"/>
  <c r="M194" i="8"/>
  <c r="N193" i="8"/>
  <c r="M193" i="8"/>
  <c r="N192" i="8"/>
  <c r="M192" i="8"/>
  <c r="N191" i="8"/>
  <c r="M191" i="8"/>
  <c r="N190" i="8"/>
  <c r="M190" i="8"/>
  <c r="N189" i="8"/>
  <c r="M189" i="8"/>
  <c r="N188" i="8"/>
  <c r="M188" i="8"/>
  <c r="N187" i="8"/>
  <c r="M187" i="8"/>
  <c r="N184" i="8"/>
  <c r="M184" i="8"/>
  <c r="N183" i="8"/>
  <c r="M183" i="8"/>
  <c r="N182" i="8"/>
  <c r="M182" i="8"/>
  <c r="N181" i="8"/>
  <c r="M181" i="8"/>
  <c r="N180" i="8"/>
  <c r="M180" i="8"/>
  <c r="N179" i="8"/>
  <c r="M179" i="8"/>
  <c r="N178" i="8"/>
  <c r="M178" i="8"/>
  <c r="N177" i="8"/>
  <c r="M177" i="8"/>
  <c r="N176" i="8"/>
  <c r="M176" i="8"/>
  <c r="N175" i="8"/>
  <c r="M175" i="8"/>
  <c r="N174" i="8"/>
  <c r="M174" i="8"/>
  <c r="N171" i="8"/>
  <c r="M171" i="8"/>
  <c r="N170" i="8"/>
  <c r="M170" i="8"/>
  <c r="N167" i="8"/>
  <c r="M167" i="8"/>
  <c r="N166" i="8"/>
  <c r="M166" i="8"/>
  <c r="N165" i="8"/>
  <c r="M165" i="8"/>
  <c r="N164" i="8"/>
  <c r="M164" i="8"/>
  <c r="N163" i="8"/>
  <c r="M163" i="8"/>
  <c r="N162" i="8"/>
  <c r="M162" i="8"/>
  <c r="N161" i="8"/>
  <c r="M161" i="8"/>
  <c r="N160" i="8"/>
  <c r="M160" i="8"/>
  <c r="N159" i="8"/>
  <c r="M159" i="8"/>
  <c r="N158" i="8"/>
  <c r="M158" i="8"/>
  <c r="N157" i="8"/>
  <c r="M157" i="8"/>
  <c r="N156" i="8"/>
  <c r="M156" i="8"/>
  <c r="N155" i="8"/>
  <c r="M155" i="8"/>
  <c r="N152" i="8"/>
  <c r="M152" i="8"/>
  <c r="N149" i="8"/>
  <c r="M149" i="8"/>
  <c r="N148" i="8"/>
  <c r="M148" i="8"/>
  <c r="N147" i="8"/>
  <c r="M147" i="8"/>
  <c r="N146" i="8"/>
  <c r="M146" i="8"/>
  <c r="N145" i="8"/>
  <c r="M145" i="8"/>
  <c r="N142" i="8"/>
  <c r="M142" i="8"/>
  <c r="N141" i="8"/>
  <c r="M141" i="8"/>
  <c r="N136" i="8"/>
  <c r="M136" i="8"/>
  <c r="N135" i="8"/>
  <c r="M135" i="8"/>
  <c r="N134" i="8"/>
  <c r="M134" i="8"/>
  <c r="N133" i="8"/>
  <c r="M133" i="8"/>
  <c r="N132" i="8"/>
  <c r="M132" i="8"/>
  <c r="N125" i="8"/>
  <c r="M125" i="8"/>
  <c r="N124" i="8"/>
  <c r="M124" i="8"/>
  <c r="N123" i="8"/>
  <c r="M123" i="8"/>
  <c r="N122" i="8"/>
  <c r="M122" i="8"/>
  <c r="N121" i="8"/>
  <c r="M121" i="8"/>
  <c r="N120" i="8"/>
  <c r="M120" i="8"/>
  <c r="N119" i="8"/>
  <c r="M119" i="8"/>
  <c r="N118" i="8"/>
  <c r="M118" i="8"/>
  <c r="N115" i="8"/>
  <c r="M115" i="8"/>
  <c r="N114" i="8"/>
  <c r="M114" i="8"/>
  <c r="N113" i="8"/>
  <c r="M113" i="8"/>
  <c r="N112" i="8"/>
  <c r="M112" i="8"/>
  <c r="N111" i="8"/>
  <c r="M111" i="8"/>
  <c r="N110" i="8"/>
  <c r="M110" i="8"/>
  <c r="N109" i="8"/>
  <c r="M109" i="8"/>
  <c r="N108" i="8"/>
  <c r="M108" i="8"/>
  <c r="N107" i="8"/>
  <c r="M107" i="8"/>
  <c r="N106" i="8"/>
  <c r="M106" i="8"/>
  <c r="N105" i="8"/>
  <c r="M105" i="8"/>
  <c r="N104" i="8"/>
  <c r="M104" i="8"/>
  <c r="N103" i="8"/>
  <c r="M103" i="8"/>
  <c r="N102" i="8"/>
  <c r="M102" i="8"/>
  <c r="N101" i="8"/>
  <c r="M101" i="8"/>
  <c r="N100" i="8"/>
  <c r="M100" i="8"/>
  <c r="N99" i="8"/>
  <c r="M99" i="8"/>
  <c r="N94" i="8"/>
  <c r="M94" i="8"/>
  <c r="N93" i="8"/>
  <c r="M93" i="8"/>
  <c r="N92" i="8"/>
  <c r="M92" i="8"/>
  <c r="N91" i="8"/>
  <c r="M91" i="8"/>
  <c r="N90" i="8"/>
  <c r="M90" i="8"/>
  <c r="N89" i="8"/>
  <c r="M89" i="8"/>
  <c r="N88" i="8"/>
  <c r="M88" i="8"/>
  <c r="N87" i="8"/>
  <c r="M87" i="8"/>
  <c r="N82" i="8"/>
  <c r="M82" i="8"/>
  <c r="N81" i="8"/>
  <c r="M81" i="8"/>
  <c r="N80" i="8"/>
  <c r="M80" i="8"/>
  <c r="N79" i="8"/>
  <c r="M79" i="8"/>
  <c r="N78" i="8"/>
  <c r="M78" i="8"/>
  <c r="N77" i="8"/>
  <c r="M77" i="8"/>
  <c r="N76" i="8"/>
  <c r="M76" i="8"/>
  <c r="N75" i="8"/>
  <c r="M75" i="8"/>
  <c r="N72" i="8"/>
  <c r="M72" i="8"/>
  <c r="N71" i="8"/>
  <c r="M71" i="8"/>
  <c r="N70" i="8"/>
  <c r="M70" i="8"/>
  <c r="N69" i="8"/>
  <c r="M69" i="8"/>
  <c r="N68" i="8"/>
  <c r="M68" i="8"/>
  <c r="N67" i="8"/>
  <c r="M67" i="8"/>
  <c r="N66" i="8"/>
  <c r="M66" i="8"/>
  <c r="N65" i="8"/>
  <c r="M65" i="8"/>
  <c r="N64" i="8"/>
  <c r="M64" i="8"/>
  <c r="N61" i="8"/>
  <c r="M61" i="8"/>
  <c r="N60" i="8"/>
  <c r="M60" i="8"/>
  <c r="N59" i="8"/>
  <c r="M59" i="8"/>
  <c r="N58" i="8"/>
  <c r="M58" i="8"/>
  <c r="N57" i="8"/>
  <c r="M57" i="8"/>
  <c r="N56" i="8"/>
  <c r="M56" i="8"/>
  <c r="N55" i="8"/>
  <c r="M55" i="8"/>
  <c r="N54" i="8"/>
  <c r="M54" i="8"/>
  <c r="N53" i="8"/>
  <c r="M53" i="8"/>
  <c r="N52" i="8"/>
  <c r="M52" i="8"/>
  <c r="N51" i="8"/>
  <c r="M51" i="8"/>
  <c r="N50" i="8"/>
  <c r="M50" i="8"/>
  <c r="N49" i="8"/>
  <c r="M49" i="8"/>
  <c r="N48" i="8"/>
  <c r="M48" i="8"/>
  <c r="N47" i="8"/>
  <c r="M47" i="8"/>
  <c r="N46" i="8"/>
  <c r="M46" i="8"/>
  <c r="N45" i="8"/>
  <c r="M45" i="8"/>
  <c r="N44" i="8"/>
  <c r="M44" i="8"/>
  <c r="N43" i="8"/>
  <c r="M43" i="8"/>
  <c r="N42" i="8"/>
  <c r="M42" i="8"/>
  <c r="N41" i="8"/>
  <c r="M41" i="8"/>
  <c r="N40" i="8"/>
  <c r="M40" i="8"/>
  <c r="N39" i="8"/>
  <c r="M39" i="8"/>
  <c r="N38" i="8"/>
  <c r="M38" i="8"/>
  <c r="N37" i="8"/>
  <c r="M37" i="8"/>
  <c r="N36" i="8"/>
  <c r="M36" i="8"/>
  <c r="N35" i="8"/>
  <c r="M35" i="8"/>
  <c r="N34" i="8"/>
  <c r="M34" i="8"/>
  <c r="N33" i="8"/>
  <c r="M33" i="8"/>
  <c r="N30" i="8"/>
  <c r="M30" i="8"/>
  <c r="N29" i="8"/>
  <c r="M29" i="8"/>
  <c r="N28" i="8"/>
  <c r="M28" i="8"/>
  <c r="N27" i="8"/>
  <c r="M27" i="8"/>
  <c r="N26" i="8"/>
  <c r="M26" i="8"/>
  <c r="N25" i="8"/>
  <c r="M25" i="8"/>
  <c r="N24" i="8"/>
  <c r="M24" i="8"/>
  <c r="N23" i="8"/>
  <c r="M23" i="8"/>
  <c r="N22" i="8"/>
  <c r="M22" i="8"/>
  <c r="N21" i="8"/>
  <c r="M21" i="8"/>
  <c r="N20" i="8"/>
  <c r="M20" i="8"/>
  <c r="N19" i="8"/>
  <c r="M19" i="8"/>
  <c r="N18" i="8"/>
  <c r="M18" i="8"/>
  <c r="N17" i="8"/>
  <c r="M17" i="8"/>
  <c r="N16" i="8"/>
  <c r="M16" i="8"/>
  <c r="N15" i="8"/>
  <c r="M15" i="8"/>
  <c r="N14" i="8"/>
  <c r="M14" i="8"/>
  <c r="N13" i="8"/>
  <c r="M13" i="8"/>
  <c r="N12" i="8"/>
  <c r="M12" i="8"/>
  <c r="N11" i="8"/>
  <c r="M11" i="8"/>
  <c r="N10" i="8"/>
  <c r="M10" i="8"/>
  <c r="N9" i="8"/>
  <c r="M9" i="8"/>
  <c r="N8" i="8"/>
  <c r="M8" i="8"/>
  <c r="N7" i="8"/>
  <c r="M7" i="8"/>
  <c r="N6" i="8"/>
  <c r="M6" i="8"/>
  <c r="N5" i="8"/>
  <c r="M5" i="8"/>
  <c r="N4" i="8"/>
  <c r="M4" i="8"/>
  <c r="N3" i="8"/>
  <c r="M3" i="8"/>
  <c r="N2" i="8"/>
  <c r="M2" i="8"/>
  <c r="N22" i="3" l="1"/>
  <c r="M22" i="3"/>
  <c r="N2" i="5" l="1"/>
  <c r="M2" i="5"/>
  <c r="N65" i="4"/>
  <c r="M65" i="4"/>
  <c r="N64" i="4"/>
  <c r="M64" i="4"/>
  <c r="N63" i="4"/>
  <c r="M63" i="4"/>
  <c r="N62" i="4"/>
  <c r="M62" i="4"/>
  <c r="N61" i="4"/>
  <c r="M61" i="4"/>
  <c r="N60" i="4"/>
  <c r="M60" i="4"/>
  <c r="N59" i="4"/>
  <c r="M59" i="4"/>
  <c r="N57" i="4"/>
  <c r="M57" i="4"/>
  <c r="N56" i="4"/>
  <c r="M56" i="4"/>
  <c r="N55" i="4"/>
  <c r="M55" i="4"/>
  <c r="N51" i="4"/>
  <c r="M51" i="4"/>
  <c r="N50" i="4"/>
  <c r="M50" i="4"/>
  <c r="N48" i="4"/>
  <c r="M48" i="4"/>
  <c r="N47" i="4"/>
  <c r="M47" i="4"/>
  <c r="N46" i="4"/>
  <c r="M46" i="4"/>
  <c r="N45" i="4"/>
  <c r="M45" i="4"/>
  <c r="N44" i="4"/>
  <c r="M44" i="4"/>
  <c r="N43" i="4"/>
  <c r="M43" i="4"/>
  <c r="N34" i="4"/>
  <c r="M34" i="4"/>
  <c r="N33" i="4"/>
  <c r="M33" i="4"/>
  <c r="N32" i="4"/>
  <c r="M32" i="4"/>
  <c r="N31" i="4"/>
  <c r="M31" i="4"/>
  <c r="N30" i="4"/>
  <c r="M30" i="4"/>
  <c r="N29" i="4"/>
  <c r="M29" i="4"/>
  <c r="N26" i="4"/>
  <c r="M26" i="4"/>
  <c r="N25" i="4"/>
  <c r="M25" i="4"/>
  <c r="N24" i="4"/>
  <c r="M24" i="4"/>
  <c r="N23" i="4"/>
  <c r="M23" i="4"/>
  <c r="N22" i="4"/>
  <c r="M22" i="4"/>
  <c r="N21" i="4"/>
  <c r="M21" i="4"/>
  <c r="N20" i="4"/>
  <c r="M20" i="4"/>
  <c r="N19" i="4"/>
  <c r="M19" i="4"/>
  <c r="N18" i="4"/>
  <c r="M18" i="4"/>
  <c r="N17" i="4"/>
  <c r="M17" i="4"/>
  <c r="N16" i="4"/>
  <c r="M16" i="4"/>
  <c r="N15" i="4"/>
  <c r="M15" i="4"/>
  <c r="N14" i="4"/>
  <c r="M14" i="4"/>
  <c r="N13" i="4"/>
  <c r="M13" i="4"/>
  <c r="N12" i="4"/>
  <c r="M12" i="4"/>
  <c r="N11" i="4"/>
  <c r="M11" i="4"/>
  <c r="N10" i="4"/>
  <c r="M10" i="4"/>
  <c r="N3" i="4"/>
  <c r="M3" i="4"/>
  <c r="N2" i="4"/>
  <c r="M2" i="4"/>
  <c r="N21" i="3"/>
  <c r="M21" i="3"/>
  <c r="N20" i="3"/>
  <c r="M20" i="3"/>
  <c r="N19" i="3"/>
  <c r="M19" i="3"/>
  <c r="N18" i="3"/>
  <c r="M18" i="3"/>
  <c r="N17" i="3"/>
  <c r="M17" i="3"/>
  <c r="N16" i="3"/>
  <c r="M16" i="3"/>
  <c r="N15" i="3"/>
  <c r="M15" i="3"/>
  <c r="N14" i="3"/>
  <c r="M14" i="3"/>
  <c r="N13" i="3"/>
  <c r="M13" i="3"/>
  <c r="N12" i="3"/>
  <c r="M12" i="3"/>
  <c r="N11" i="3"/>
  <c r="M11" i="3"/>
  <c r="N10" i="3"/>
  <c r="M10" i="3"/>
  <c r="N9" i="3"/>
  <c r="M9" i="3"/>
  <c r="N8" i="3"/>
  <c r="M8" i="3"/>
  <c r="N7" i="3"/>
  <c r="M7" i="3"/>
  <c r="N6" i="3"/>
  <c r="M6" i="3"/>
  <c r="N5" i="3"/>
  <c r="M5" i="3"/>
  <c r="N4" i="3"/>
  <c r="M4" i="3"/>
  <c r="N3" i="3"/>
  <c r="M3" i="3"/>
  <c r="N2" i="3"/>
  <c r="M2" i="3"/>
</calcChain>
</file>

<file path=xl/sharedStrings.xml><?xml version="1.0" encoding="utf-8"?>
<sst xmlns="http://schemas.openxmlformats.org/spreadsheetml/2006/main" count="55640" uniqueCount="11398">
  <si>
    <t>Ability Grouping Status</t>
  </si>
  <si>
    <t>An indication of whether the school has students who are ability grouped for classroom instruction in mathematics or English/reading/language arts.</t>
  </si>
  <si>
    <t>000328</t>
  </si>
  <si>
    <t>AbilityGroupingStatus</t>
  </si>
  <si>
    <t>K-12 -&gt; Civil Rights Data Collection</t>
  </si>
  <si>
    <t>Absent Attendance Category</t>
  </si>
  <si>
    <t>The category that describes how the student spends his or her time not physically present on school grounds and not participating in instruction or instruction-related activities at an approved off-grounds location.</t>
  </si>
  <si>
    <t>K12 -&gt; K12 Student -&gt; Attendance</t>
  </si>
  <si>
    <t>000599</t>
  </si>
  <si>
    <t>AbsentAttendanceCategory</t>
  </si>
  <si>
    <t>Academic Award Date</t>
  </si>
  <si>
    <t>The year, month and day or year and month on which the academic award was conferred.</t>
  </si>
  <si>
    <t>None</t>
  </si>
  <si>
    <t>YYYY-MM-DD or YYYY-MM</t>
  </si>
  <si>
    <t>000001</t>
  </si>
  <si>
    <t>AcademicAwardDate</t>
  </si>
  <si>
    <t>Academic Award Level Conferred</t>
  </si>
  <si>
    <t>An indicator of the category of award conferred by a college, university, or other postsecondary education institution as official recognition for the successful completion of a program of study.</t>
  </si>
  <si>
    <t>000002</t>
  </si>
  <si>
    <t>AcademicAwardLevelConferred</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</si>
  <si>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</si>
  <si>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</si>
  <si>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</si>
  <si>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</si>
  <si>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</si>
  <si>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</si>
  <si>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</si>
  <si>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</si>
  <si>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t>K12 -&gt; K12 Student -&gt; Academic Record</t>
  </si>
  <si>
    <t>000004</t>
  </si>
  <si>
    <t>AcademicHonorsType</t>
  </si>
  <si>
    <t>Academic Rank</t>
  </si>
  <si>
    <t>The academic rank of staff whose primary responsibility is instruction, research, and/or public service. Institutions without standard academic ranks should code staff whose primary responsibility is instruction, research, and/or public service as "No Academic Rank."</t>
  </si>
  <si>
    <t>Postsecondary -&gt; PS Staff -&gt; Employment</t>
  </si>
  <si>
    <t>Element definition and option set defined in IPEDS. Adjunct is not included since it can be determined from a combination of the elements Instructional Staff Faculty Tenure Status and Full-time Status.</t>
  </si>
  <si>
    <t>000740</t>
  </si>
  <si>
    <t>AcademicRank</t>
  </si>
  <si>
    <t>Postsecondary Education -&gt; IPEDS -&gt; HR</t>
  </si>
  <si>
    <t>Academic Term Designator</t>
  </si>
  <si>
    <t>The academic term for which the data apply.</t>
  </si>
  <si>
    <t>Needs to be used in combination with Predominant Calendar System element in order to determine if the option set is referring to a semester, quarter, or some other term length.</t>
  </si>
  <si>
    <t>000727</t>
  </si>
  <si>
    <t>AcademicTermDesignator</t>
  </si>
  <si>
    <t>Academic Year Designator</t>
  </si>
  <si>
    <t>The academic year for which the data apply.</t>
  </si>
  <si>
    <t>YYYY-YYYY</t>
  </si>
  <si>
    <t>000726</t>
  </si>
  <si>
    <t>AcademicYearDesignator</t>
  </si>
  <si>
    <t>Accommodations Needed Type</t>
  </si>
  <si>
    <t>Codes identifying the set of health accommodations.</t>
  </si>
  <si>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</si>
  <si>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</si>
  <si>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</si>
  <si>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</si>
  <si>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</si>
  <si>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</si>
  <si>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</si>
  <si>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</si>
  <si>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</si>
  <si>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</si>
  <si>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t>Early Learning -&gt; EL Organization -&gt; Accreditation</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</si>
  <si>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</si>
  <si>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</si>
  <si>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</si>
  <si>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</si>
  <si>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</si>
  <si>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</si>
  <si>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</si>
  <si>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</si>
  <si>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</si>
  <si>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</si>
  <si>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</si>
  <si>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</si>
  <si>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YYYY-MM-DD</t>
  </si>
  <si>
    <t>000840</t>
  </si>
  <si>
    <t>AccreditationAwardDate</t>
  </si>
  <si>
    <t>Accreditation Expiration Date</t>
  </si>
  <si>
    <t>The year, month and day when an accreditation expires.</t>
  </si>
  <si>
    <t>000841</t>
  </si>
  <si>
    <t>AccreditationExpirationDate</t>
  </si>
  <si>
    <t>Achievement Award Issuer Name</t>
  </si>
  <si>
    <t>The name of the agent issuing the award.</t>
  </si>
  <si>
    <t>Alphanumeric - 128 characters maximum</t>
  </si>
  <si>
    <t>000898</t>
  </si>
  <si>
    <t>AchievementAwardIssuerName</t>
  </si>
  <si>
    <t>Achievement Award Issuer Origin URL</t>
  </si>
  <si>
    <t>The Uniform Resource Locator (URL) from which the award was issued.</t>
  </si>
  <si>
    <t>Used only if an award is issued electronically for the achievement.</t>
  </si>
  <si>
    <t>000900</t>
  </si>
  <si>
    <t>AchievementAwardIssuerOriginURL</t>
  </si>
  <si>
    <t>Achievement Category System</t>
  </si>
  <si>
    <t>The system that defines the categories by which an achievement is attributed to the learner.</t>
  </si>
  <si>
    <t>Alphanumeric - 30 characters maximum</t>
  </si>
  <si>
    <t>This element recognizes formal adoption of categories for the Achievement Category Type to aid in comparability of data when a formally adopted vocabulary is used.</t>
  </si>
  <si>
    <t>001245</t>
  </si>
  <si>
    <t>AchievementCategorySystem</t>
  </si>
  <si>
    <t>Achievement Category Type</t>
  </si>
  <si>
    <t>The category of achievement attributed to the learner.</t>
  </si>
  <si>
    <t>Updated</t>
  </si>
  <si>
    <t>Alphanumeric - 60 characters maximum</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</si>
  <si>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</si>
  <si>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000892</t>
  </si>
  <si>
    <t>AchievementCategoryType</t>
  </si>
  <si>
    <t>Achievement Criteria</t>
  </si>
  <si>
    <t>The criteria for competency-based completion of the achievement/award.</t>
  </si>
  <si>
    <t>000896</t>
  </si>
  <si>
    <t>AchievementCriteria</t>
  </si>
  <si>
    <t>Achievement Criteria URL</t>
  </si>
  <si>
    <t>The Uniform Resource Locator (URL) for the unique address of a web page describing the competency-based completion criteria for the achievement/award.</t>
  </si>
  <si>
    <t>001153</t>
  </si>
  <si>
    <t>AchievementCriteriaURL</t>
  </si>
  <si>
    <t>Achievement Description</t>
  </si>
  <si>
    <t>A description of the achievement.</t>
  </si>
  <si>
    <t>000895</t>
  </si>
  <si>
    <t>AchievementDescription</t>
  </si>
  <si>
    <t>Achievement End Date</t>
  </si>
  <si>
    <t>The date, if any, on which the award or achievement expires or requires renewal.</t>
  </si>
  <si>
    <t>001164</t>
  </si>
  <si>
    <t>AchievementEndDate</t>
  </si>
  <si>
    <t>Achievement Evidence Statement</t>
  </si>
  <si>
    <t>A statement or reference describing the evidence that the learner met the criteria for attainment of the achievement.</t>
  </si>
  <si>
    <t>000901</t>
  </si>
  <si>
    <t>AchievementEvidenceStatement</t>
  </si>
  <si>
    <t>Achievement Image URL</t>
  </si>
  <si>
    <t>The Uniform Resource Locator (URL) for the unique address of an image representing an award or badge associated with the achievement.</t>
  </si>
  <si>
    <t>Typical use is for online display of a badge image.</t>
  </si>
  <si>
    <t>000894</t>
  </si>
  <si>
    <t>AchievementImageURL</t>
  </si>
  <si>
    <t>Achievement Start Date</t>
  </si>
  <si>
    <t>The date on which the achievement was conferred.</t>
  </si>
  <si>
    <t>001163</t>
  </si>
  <si>
    <t>AchievementStartDate</t>
  </si>
  <si>
    <t>Achievement Title</t>
  </si>
  <si>
    <t>The title assigned to the achievement.</t>
  </si>
  <si>
    <t>000893</t>
  </si>
  <si>
    <t>AchievementTitle</t>
  </si>
  <si>
    <t>Activity Description</t>
  </si>
  <si>
    <t>A description of the events and procedures that take place under the purview of an organized activity, such as a co-curricular or extra-curricular activity that is offered at an education institution.</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</si>
  <si>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</si>
  <si>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</si>
  <si>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</si>
  <si>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</si>
  <si>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</si>
  <si>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</si>
  <si>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An Identifier MAY be a Universally Unique Identifier (UUID) / Globally Unique Identifier (GUID), i.e.128-bit unique identifiers generated according to the algorithms and encoding standards of RFC 4122.</t>
  </si>
  <si>
    <t>000006</t>
  </si>
  <si>
    <t>ActivityIdentifier</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</si>
  <si>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</si>
  <si>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</si>
  <si>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</si>
  <si>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</si>
  <si>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</si>
  <si>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</si>
  <si>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</si>
  <si>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</si>
  <si>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</si>
  <si>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</si>
  <si>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</si>
  <si>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</si>
  <si>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</si>
  <si>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</si>
  <si>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</si>
  <si>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t>001528</t>
  </si>
  <si>
    <t>ActivityTimeMeasurementType</t>
  </si>
  <si>
    <t>Activity Title</t>
  </si>
  <si>
    <t>The title for a particular activity, such as a co-curricular or extra-curricular activity.</t>
  </si>
  <si>
    <t>000009</t>
  </si>
  <si>
    <t>ActivityTitle</t>
  </si>
  <si>
    <t>Additional Credit Type</t>
  </si>
  <si>
    <t>The type of credits or units of value available for the completion of a course in addition to Carnegie Units.</t>
  </si>
  <si>
    <t>000596</t>
  </si>
  <si>
    <t>AdditionalCreditType</t>
  </si>
  <si>
    <t>Address Apartment Room or Suite Number</t>
  </si>
  <si>
    <t>The apartment, room, or suite number of an address.</t>
  </si>
  <si>
    <t>000019</t>
  </si>
  <si>
    <t>AddressApartmentRoomOrSuiteNumber</t>
  </si>
  <si>
    <t>Address City</t>
  </si>
  <si>
    <t>The name of the city in which an address is located.</t>
  </si>
  <si>
    <t>000040</t>
  </si>
  <si>
    <t>AddressCity</t>
  </si>
  <si>
    <t>Address County Name</t>
  </si>
  <si>
    <t>The name of the county, parish, borough, or comparable unit (within a state) in which an address is located.</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</si>
  <si>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</si>
  <si>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</si>
  <si>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</si>
  <si>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</si>
  <si>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</si>
  <si>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</si>
  <si>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</si>
  <si>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</si>
  <si>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</si>
  <si>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000269</t>
  </si>
  <si>
    <t>AddressStreetNumberAndName</t>
  </si>
  <si>
    <t>Address Type for Learner or Family</t>
  </si>
  <si>
    <t>The type of address listed for a learner or a parent, guardian, family member or related person.</t>
  </si>
  <si>
    <t>000010</t>
  </si>
  <si>
    <t>AddressTypeForLearnerOrFamily</t>
  </si>
  <si>
    <t>Address Type for Organization</t>
  </si>
  <si>
    <t>The type of address listed for an organization.</t>
  </si>
  <si>
    <t>001066</t>
  </si>
  <si>
    <t>AddressTypeForOrganization</t>
  </si>
  <si>
    <t>Address Type for Staff</t>
  </si>
  <si>
    <t>The address type for a staff member.</t>
  </si>
  <si>
    <t>000722</t>
  </si>
  <si>
    <t>AddressTypeForStaff</t>
  </si>
  <si>
    <t>Early Learning -&gt; Staff Quality</t>
  </si>
  <si>
    <t>Adequate Yearly Progress Appeal Changed Designation</t>
  </si>
  <si>
    <t>An indication that the appeal resulted in a change in a school or district's AYP designation.</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</si>
  <si>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</si>
  <si>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</si>
  <si>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</si>
  <si>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</si>
  <si>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</si>
  <si>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</si>
  <si>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</si>
  <si>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</si>
  <si>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</si>
  <si>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</si>
  <si>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</si>
  <si>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t>000011</t>
  </si>
  <si>
    <t>AYP Status</t>
  </si>
  <si>
    <t>AYPStatus</t>
  </si>
  <si>
    <t>K-12 -&gt; EDFacts</t>
  </si>
  <si>
    <t>Administrative Funding Control</t>
  </si>
  <si>
    <t>The type of education institution as classified by its funding source.</t>
  </si>
  <si>
    <t>K12 -&gt; K12 School -&gt; Directory</t>
  </si>
  <si>
    <t>000012</t>
  </si>
  <si>
    <t>AdministrativeFundingControl</t>
  </si>
  <si>
    <t>Administrative Policy Type</t>
  </si>
  <si>
    <t>A type of administrative policy used by a program.</t>
  </si>
  <si>
    <t>Early Learning -&gt; EL Organization -&gt; Policies</t>
  </si>
  <si>
    <t>More than one Administrative Policy Type may apply.</t>
  </si>
  <si>
    <t>000983</t>
  </si>
  <si>
    <t>AdministrativePolicyType</t>
  </si>
  <si>
    <t>Admission Consideration Level</t>
  </si>
  <si>
    <t>The level of consideration given a type of admission criteria used at an institution during the selection process.</t>
  </si>
  <si>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</si>
  <si>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</si>
  <si>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</si>
  <si>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</si>
  <si>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</si>
  <si>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</si>
  <si>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t>001580</t>
  </si>
  <si>
    <t>AdmissionConsiderationType</t>
  </si>
  <si>
    <t>Admitted Student</t>
  </si>
  <si>
    <t>Applicant who has been granted an official offer to enroll in a postsecondary institution. Admitted applicants should include wait-listed students who were subsequently offered admission.</t>
  </si>
  <si>
    <t>Postsecondary -&gt; PS Applicant</t>
  </si>
  <si>
    <t>First sentence from IPEDS, not CDS; Second sentence from CDS instructions. All options except "No" should be able to be collapsed into "Yes" for IPEDS reporting.</t>
  </si>
  <si>
    <t>000756</t>
  </si>
  <si>
    <t>AdmittedStudent</t>
  </si>
  <si>
    <t>Postsecondary Education -&gt; Common Data Set</t>
  </si>
  <si>
    <t>Adult Education Certification Type</t>
  </si>
  <si>
    <t>An indication of the category of certification a person holds.</t>
  </si>
  <si>
    <t>Adult Education -&gt; AE Staff -&gt; Certification</t>
  </si>
  <si>
    <t>001085</t>
  </si>
  <si>
    <t>AdultEducationCertificationType</t>
  </si>
  <si>
    <t>Adult Education Instructional Program Type</t>
  </si>
  <si>
    <t>The type of instructional program in which an adult is enrolled.</t>
  </si>
  <si>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</si>
  <si>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</si>
  <si>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</si>
  <si>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</si>
  <si>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</si>
  <si>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</si>
  <si>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</si>
  <si>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</si>
  <si>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</si>
  <si>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</si>
  <si>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</si>
  <si>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</si>
  <si>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</si>
  <si>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</si>
  <si>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</si>
  <si>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</si>
  <si>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</si>
  <si>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</si>
  <si>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</si>
  <si>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</si>
  <si>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</si>
  <si>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</si>
  <si>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</si>
  <si>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</si>
  <si>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</si>
  <si>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</si>
  <si>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t>Also see Adult Education Instructional Program Type</t>
  </si>
  <si>
    <t>000782</t>
  </si>
  <si>
    <t>AdultEducationSpecialProgramType</t>
  </si>
  <si>
    <t>Adult Education Staff Classification</t>
  </si>
  <si>
    <t>The titles of employment, official status, or rank of adult education staff.</t>
  </si>
  <si>
    <t>Adult Education -&gt; AE Staff -&gt; Employment</t>
  </si>
  <si>
    <t>000786</t>
  </si>
  <si>
    <t>AdultEducationStaffClassification</t>
  </si>
  <si>
    <t>Adult Education Staff Employment Status</t>
  </si>
  <si>
    <t>The condition under which a person has agreed to serve as an employee.</t>
  </si>
  <si>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</si>
  <si>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</si>
  <si>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</si>
  <si>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</si>
  <si>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</si>
  <si>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</si>
  <si>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</si>
  <si>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</si>
  <si>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</si>
  <si>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</si>
  <si>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</si>
  <si>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Course areas for advanced placement or credit. For a list of codes see http://apcentral.collegeboard.com/apc/public/courses/teachers_corner/index.html .</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</si>
  <si>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</si>
  <si>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</si>
  <si>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</si>
  <si>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</si>
  <si>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</si>
  <si>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</si>
  <si>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</si>
  <si>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</si>
  <si>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</si>
  <si>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The number of credits awarded a student by the postsecondary institution based on successful completion of advanced placement courses and/or advanced placement tests.</t>
  </si>
  <si>
    <t>Postsecondary -&gt; PS Student -&gt; Academic Record</t>
  </si>
  <si>
    <t>Numeric - integer greater than or equal to 0</t>
  </si>
  <si>
    <t>000018</t>
  </si>
  <si>
    <t>AP Credits Awarded</t>
  </si>
  <si>
    <t>APCreditsAwarded</t>
  </si>
  <si>
    <t>Agency Course Identifier</t>
  </si>
  <si>
    <t>The course identifier as it may be recorded at the regional or state level to conform to a standardized course classification system.</t>
  </si>
  <si>
    <t>001280</t>
  </si>
  <si>
    <t>AgencyCourseIdentifier</t>
  </si>
  <si>
    <t>Allergy Reaction Description</t>
  </si>
  <si>
    <t>Describes symptoms know to be associated with a person's reaction to an allergen.</t>
  </si>
  <si>
    <t>Alphanumeric</t>
  </si>
  <si>
    <t>001281</t>
  </si>
  <si>
    <t>AllergyReactionDescription</t>
  </si>
  <si>
    <t>Allergy Severity</t>
  </si>
  <si>
    <t>The level of severity of a person's reaction to an allergen.</t>
  </si>
  <si>
    <t>001282</t>
  </si>
  <si>
    <t>AllergySeverity</t>
  </si>
  <si>
    <t>Allergy Type</t>
  </si>
  <si>
    <t>Type of allergy condition attributed to a person as defined by the SNOWMED Clinical Terms(r) vocabulary.</t>
  </si>
  <si>
    <t>This material includes SNOMED Clinical Terms® (SNOMED CT®) which is used by permission of the International Health Terminology Standards Development Organisation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</si>
  <si>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</si>
  <si>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</si>
  <si>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</si>
  <si>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</si>
  <si>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</si>
  <si>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</si>
  <si>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</si>
  <si>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</si>
  <si>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</si>
  <si>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</si>
  <si>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</si>
  <si>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</si>
  <si>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</si>
  <si>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</si>
  <si>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</si>
  <si>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</si>
  <si>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</si>
  <si>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</si>
  <si>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</si>
  <si>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</si>
  <si>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</si>
  <si>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</si>
  <si>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</si>
  <si>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</si>
  <si>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t>K12: Use cases support Yes and No as options.</t>
  </si>
  <si>
    <t>Postsecondary:</t>
  </si>
  <si>
    <t>- Use cases support Yes and Not Selected as options</t>
  </si>
  <si>
    <t>- As defined in IPEDS</t>
  </si>
  <si>
    <t>000016</t>
  </si>
  <si>
    <t>AmericanIndianOrAlaskaNative</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</si>
  <si>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</si>
  <si>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</si>
  <si>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</si>
  <si>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</si>
  <si>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</si>
  <si>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</si>
  <si>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</si>
  <si>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</si>
  <si>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</si>
  <si>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</si>
  <si>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</si>
  <si>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</si>
  <si>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</si>
  <si>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</si>
  <si>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</si>
  <si>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</si>
  <si>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</si>
  <si>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</si>
  <si>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</si>
  <si>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</si>
  <si>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</si>
  <si>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</si>
  <si>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</si>
  <si>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</si>
  <si>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</si>
  <si>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</si>
  <si>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</si>
  <si>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</si>
  <si>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</si>
  <si>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</si>
  <si>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</si>
  <si>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The year, month and day on which an individual application is received by the organization.</t>
  </si>
  <si>
    <t>000323</t>
  </si>
  <si>
    <t>ApplicationDate</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</si>
  <si>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</si>
  <si>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</si>
  <si>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</si>
  <si>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Assessment Academic Subject</t>
  </si>
  <si>
    <t>The description of the academic content or subject area (e.g., arts, mathematics, reading, or a foreign language) being evaluated.</t>
  </si>
  <si>
    <t>000021</t>
  </si>
  <si>
    <t>AssessmentAcademicSubject</t>
  </si>
  <si>
    <t>Assessment Accommodation Category</t>
  </si>
  <si>
    <t>A category of accommodations needed for a given assessment.</t>
  </si>
  <si>
    <t>000383</t>
  </si>
  <si>
    <t>AssessmentAccommodationCategory</t>
  </si>
  <si>
    <t>Assessment Accommodation Other Description</t>
  </si>
  <si>
    <t>The description of the accommodation when 'Assessment Accommodation Type' is set to 'Other'.</t>
  </si>
  <si>
    <t>001157</t>
  </si>
  <si>
    <t>AssessmentAccommodationOtherDescription</t>
  </si>
  <si>
    <t>Assessment Accommodation Type</t>
  </si>
  <si>
    <t>The specific accommodation necessary for the administration of the assessment.</t>
  </si>
  <si>
    <t>Assessments -&gt; Assessment Participant Session</t>
  </si>
  <si>
    <t>000385</t>
  </si>
  <si>
    <t>AssessmentAccommodationType</t>
  </si>
  <si>
    <t>Assessment Administration Assessment Family</t>
  </si>
  <si>
    <t>The title of the assessment family to be administered.</t>
  </si>
  <si>
    <t>Assessments -&gt; Assessment Administration</t>
  </si>
  <si>
    <t>A typical scenario for an assessment administration is a state-wide administration of an accountability test. For example, in Florida "Florida Comprehensive Assessment Test".</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</si>
  <si>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</si>
  <si>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</si>
  <si>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</si>
  <si>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</si>
  <si>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</si>
  <si>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</si>
  <si>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</si>
  <si>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</si>
  <si>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</si>
  <si>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</si>
  <si>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</si>
  <si>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</si>
  <si>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</si>
  <si>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</si>
  <si>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</si>
  <si>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</si>
  <si>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</si>
  <si>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</si>
  <si>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</si>
  <si>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</si>
  <si>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</si>
  <si>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</si>
  <si>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</si>
  <si>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</si>
  <si>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</si>
  <si>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</si>
  <si>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</si>
  <si>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</si>
  <si>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</si>
  <si>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</si>
  <si>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</si>
  <si>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</si>
  <si>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</si>
  <si>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</si>
  <si>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</si>
  <si>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</si>
  <si>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</si>
  <si>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</si>
  <si>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</si>
  <si>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</si>
  <si>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</si>
  <si>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</si>
  <si>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</si>
  <si>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</si>
  <si>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</si>
  <si>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</si>
  <si>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</si>
  <si>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</si>
  <si>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</si>
  <si>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</si>
  <si>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</si>
  <si>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</si>
  <si>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</si>
  <si>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</si>
  <si>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</si>
  <si>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</si>
  <si>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</si>
  <si>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</si>
  <si>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</si>
  <si>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</si>
  <si>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</si>
  <si>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</si>
  <si>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</si>
  <si>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</si>
  <si>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</si>
  <si>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</si>
  <si>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</si>
  <si>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</si>
  <si>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</si>
  <si>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</si>
  <si>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t>The standard option set may be extended based on local and implementation-specific requirements. Commonly used options may be submitted for inclusion in future versions of CEDS.</t>
  </si>
  <si>
    <t>001196</t>
  </si>
  <si>
    <t>AssessmentAssetType</t>
  </si>
  <si>
    <t>Assessment Asset Version</t>
  </si>
  <si>
    <t>A version number or label defined by the publisher.</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</si>
  <si>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</si>
  <si>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001195</t>
  </si>
  <si>
    <t>AssessmentAssetVersion</t>
  </si>
  <si>
    <t>Assessment Content Standard Type</t>
  </si>
  <si>
    <t>An indication as to whether an assessment conforms to a standard.</t>
  </si>
  <si>
    <t>Assessments -&gt; Assessment Subtest</t>
  </si>
  <si>
    <t>000605</t>
  </si>
  <si>
    <t>AssessmentContentStandardType</t>
  </si>
  <si>
    <t>Assessment Early Learning Developmental Domain</t>
  </si>
  <si>
    <t>Developmental domains related to early learning and used for assessing a child's kindergarten readiness.</t>
  </si>
  <si>
    <t>Used by states in reporting Kindergarten Entry Assessment (KEA) results as defined for some federal grant programs.</t>
  </si>
  <si>
    <t>For each domain used by the state, the state would provide:</t>
  </si>
  <si>
    <t>- The total number of children who participated in the KEA for each domain</t>
  </si>
  <si>
    <t>- The number of children who participated in the KEA for each domain AND was at or above what the state defines as “ready” for kindergarten for that domain.</t>
  </si>
  <si>
    <t>The counts may be calculated using unit-level data defined for Assessment Subtest (scoring method and what is being measured, e.g. the Domain), related Assessment Performance Levels (e.g. "Ready"), related to each student Assessment Result.</t>
  </si>
  <si>
    <t>001000</t>
  </si>
  <si>
    <t>AssessmentEarlyLearningDevelopmentalDomain</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</si>
  <si>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</si>
  <si>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</si>
  <si>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</si>
  <si>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</si>
  <si>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</si>
  <si>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</si>
  <si>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</si>
  <si>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</si>
  <si>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</si>
  <si>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</si>
  <si>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</si>
  <si>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</si>
  <si>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</si>
  <si>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</si>
  <si>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</si>
  <si>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</si>
  <si>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</si>
  <si>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</si>
  <si>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</si>
  <si>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</si>
  <si>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</si>
  <si>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</si>
  <si>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</si>
  <si>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</si>
  <si>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</si>
  <si>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</si>
  <si>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</si>
  <si>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</si>
  <si>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</si>
  <si>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</si>
  <si>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CEDS "GUID" elements are defined as RFC 4122 compliant 32-character hexadecimal strings (36 characters with dashes). For example, 21EC2020-3AEA-1069-A2DD-08002B30309D.</t>
  </si>
  <si>
    <t>Values MAY be encoded using a hash function such as HMAC-MD5 or HMAC-SHA1, resulting in a string up to 40 characters.</t>
  </si>
  <si>
    <t>001535</t>
  </si>
  <si>
    <t>AssessmentFormGUID</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</si>
  <si>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</si>
  <si>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</si>
  <si>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</si>
  <si>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</si>
  <si>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</si>
  <si>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</si>
  <si>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</si>
  <si>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</si>
  <si>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Assessment Form Number</t>
  </si>
  <si>
    <t>The number of a given assessment form.</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</si>
  <si>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</si>
  <si>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</si>
  <si>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</si>
  <si>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</si>
  <si>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</si>
  <si>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</si>
  <si>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</si>
  <si>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</si>
  <si>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</si>
  <si>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</si>
  <si>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</si>
  <si>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</si>
  <si>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</si>
  <si>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</si>
  <si>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</si>
  <si>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</si>
  <si>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</si>
  <si>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</si>
  <si>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</si>
  <si>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</si>
  <si>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</si>
  <si>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</si>
  <si>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</si>
  <si>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</si>
  <si>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</si>
  <si>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</si>
  <si>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</si>
  <si>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</si>
  <si>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</si>
  <si>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</si>
  <si>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</si>
  <si>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</si>
  <si>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</si>
  <si>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</si>
  <si>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</si>
  <si>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</si>
  <si>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</si>
  <si>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</si>
  <si>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</si>
  <si>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</si>
  <si>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</si>
  <si>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</si>
  <si>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</si>
  <si>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</si>
  <si>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</si>
  <si>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</si>
  <si>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</si>
  <si>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</si>
  <si>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</si>
  <si>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</si>
  <si>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</si>
  <si>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</si>
  <si>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</si>
  <si>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</si>
  <si>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</si>
  <si>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</si>
  <si>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</si>
  <si>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</si>
  <si>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In a hierarchy of subtests, this element represents the level of the sub test in the hierarchy. The top tier and default is zero.</t>
  </si>
  <si>
    <t>Integer</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</si>
  <si>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</si>
  <si>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</si>
  <si>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</si>
  <si>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</si>
  <si>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</si>
  <si>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</si>
  <si>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</si>
  <si>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</si>
  <si>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</si>
  <si>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</si>
  <si>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</si>
  <si>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</si>
  <si>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t>000365</t>
  </si>
  <si>
    <t>AssessmentIdentificationSystem</t>
  </si>
  <si>
    <t>Assessment Identifier</t>
  </si>
  <si>
    <t>A unique number or alphanumeric code assigned to an assessment by a school, school system, a state, or other agency or entity. This may be the publisher identifier.</t>
  </si>
  <si>
    <t>001067</t>
  </si>
  <si>
    <t>AssessmentIdentifier</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</si>
  <si>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</si>
  <si>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</si>
  <si>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</si>
  <si>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</si>
  <si>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</si>
  <si>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</si>
  <si>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</si>
  <si>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</si>
  <si>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</si>
  <si>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</si>
  <si>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</si>
  <si>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</si>
  <si>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</si>
  <si>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</si>
  <si>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</si>
  <si>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</si>
  <si>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</si>
  <si>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</si>
  <si>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</si>
  <si>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Outcome variables are declared by outcome declarations. Their value is set either from a default given in the declaration itself or by a responseRule during response processing. The XML from the IMS Global APIP Specification would be included.</t>
  </si>
  <si>
    <t>001134</t>
  </si>
  <si>
    <t>AssessmentItemAPIPOutcomeDeclarationXML</t>
  </si>
  <si>
    <t>Assessment Item APIP Response Declaration XML</t>
  </si>
  <si>
    <t>Response declarations state what the response variables include. The response declaration may assign an optional correct response. The XML from the IMS Global APIP Specification would be included.</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</si>
  <si>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</si>
  <si>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</si>
  <si>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</si>
  <si>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</si>
  <si>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</si>
  <si>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</si>
  <si>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</si>
  <si>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</si>
  <si>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</si>
  <si>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</si>
  <si>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</si>
  <si>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</si>
  <si>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</si>
  <si>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</si>
  <si>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</si>
  <si>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</si>
  <si>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</si>
  <si>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</si>
  <si>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</si>
  <si>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</si>
  <si>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</si>
  <si>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</si>
  <si>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</si>
  <si>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</si>
  <si>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</si>
  <si>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</si>
  <si>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</si>
  <si>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</si>
  <si>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</si>
  <si>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</si>
  <si>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</si>
  <si>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</si>
  <si>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</si>
  <si>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</si>
  <si>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</si>
  <si>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The custom interaction provides an opportunity for extensibility of this specification to include support for interactions not currently documented. The XML from the IMS Global APIP Specification would be included.</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</si>
  <si>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</si>
  <si>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</si>
  <si>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</si>
  <si>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</si>
  <si>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</si>
  <si>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</si>
  <si>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</si>
  <si>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</si>
  <si>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</si>
  <si>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</si>
  <si>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</si>
  <si>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</si>
  <si>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</si>
  <si>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</si>
  <si>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</si>
  <si>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</si>
  <si>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</si>
  <si>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</si>
  <si>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</si>
  <si>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</si>
  <si>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</si>
  <si>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</si>
  <si>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</si>
  <si>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</si>
  <si>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</si>
  <si>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</si>
  <si>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</si>
  <si>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</si>
  <si>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</si>
  <si>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</si>
  <si>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</si>
  <si>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</si>
  <si>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</si>
  <si>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</si>
  <si>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</si>
  <si>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</si>
  <si>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</si>
  <si>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</si>
  <si>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</si>
  <si>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</si>
  <si>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</si>
  <si>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</si>
  <si>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</si>
  <si>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</si>
  <si>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</si>
  <si>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</si>
  <si>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</si>
  <si>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</si>
  <si>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</si>
  <si>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</si>
  <si>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</si>
  <si>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</si>
  <si>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</si>
  <si>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</si>
  <si>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</si>
  <si>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</si>
  <si>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</si>
  <si>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</si>
  <si>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</si>
  <si>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</si>
  <si>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</si>
  <si>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</si>
  <si>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</si>
  <si>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</si>
  <si>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</si>
  <si>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</si>
  <si>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</si>
  <si>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</si>
  <si>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</si>
  <si>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</si>
  <si>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</si>
  <si>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</si>
  <si>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</si>
  <si>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</si>
  <si>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</si>
  <si>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</si>
  <si>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</si>
  <si>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</si>
  <si>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</si>
  <si>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</si>
  <si>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</si>
  <si>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</si>
  <si>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</si>
  <si>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</si>
  <si>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</si>
  <si>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</si>
  <si>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</si>
  <si>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</si>
  <si>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</si>
  <si>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</si>
  <si>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</si>
  <si>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</si>
  <si>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</si>
  <si>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</si>
  <si>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</si>
  <si>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</si>
  <si>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</si>
  <si>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</si>
  <si>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</si>
  <si>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</si>
  <si>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</si>
  <si>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</si>
  <si>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</si>
  <si>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</si>
  <si>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</si>
  <si>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</si>
  <si>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</si>
  <si>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</si>
  <si>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</si>
  <si>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</si>
  <si>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</si>
  <si>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</si>
  <si>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</si>
  <si>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</si>
  <si>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</si>
  <si>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</si>
  <si>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</si>
  <si>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</si>
  <si>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</si>
  <si>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</si>
  <si>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</si>
  <si>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</si>
  <si>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</si>
  <si>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</si>
  <si>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</si>
  <si>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</si>
  <si>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</si>
  <si>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</si>
  <si>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</si>
  <si>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</si>
  <si>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</si>
  <si>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</si>
  <si>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</si>
  <si>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</si>
  <si>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</si>
  <si>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</si>
  <si>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</si>
  <si>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</si>
  <si>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</si>
  <si>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</si>
  <si>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</si>
  <si>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</si>
  <si>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</si>
  <si>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</si>
  <si>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</si>
  <si>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</si>
  <si>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</si>
  <si>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</si>
  <si>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</si>
  <si>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</si>
  <si>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</si>
  <si>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</si>
  <si>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</si>
  <si>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</si>
  <si>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</si>
  <si>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</si>
  <si>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</si>
  <si>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</si>
  <si>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</si>
  <si>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</si>
  <si>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</si>
  <si>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</si>
  <si>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</si>
  <si>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</si>
  <si>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</si>
  <si>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The total amount of time in seconds or milliseconds that a person spent responding to a given assessment item.</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</si>
  <si>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</si>
  <si>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</si>
  <si>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</si>
  <si>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</si>
  <si>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</si>
  <si>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</si>
  <si>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000957</t>
  </si>
  <si>
    <t>AssessmentItemResponseFirstAttemptDuration</t>
  </si>
  <si>
    <t>Assessment Item Response Hint Count</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</si>
  <si>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</si>
  <si>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000955</t>
  </si>
  <si>
    <t>AssessmentItemResponseHintCount</t>
  </si>
  <si>
    <t>Assessment Item Response Hint Included Answer</t>
  </si>
  <si>
    <t>Indicates that one of the hints presented included the correct answer.</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</si>
  <si>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</si>
  <si>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000956</t>
  </si>
  <si>
    <t>AssessmentItemResponseHintIncludedAnswer</t>
  </si>
  <si>
    <t>Assessment Item Response Scaffolding Item Flag</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</si>
  <si>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</si>
  <si>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000954</t>
  </si>
  <si>
    <t>AssessmentItemResponseScaffoldingItemFlag</t>
  </si>
  <si>
    <t>Assessment Item Response Score Status</t>
  </si>
  <si>
    <t>The status of scoring a person's response to an assessment item.</t>
  </si>
  <si>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</si>
  <si>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</si>
  <si>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</si>
  <si>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</si>
  <si>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</si>
  <si>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</si>
  <si>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</si>
  <si>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</si>
  <si>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</si>
  <si>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</si>
  <si>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</si>
  <si>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</si>
  <si>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</si>
  <si>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</si>
  <si>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</si>
  <si>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</si>
  <si>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</si>
  <si>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</si>
  <si>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</si>
  <si>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</si>
  <si>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</si>
  <si>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t>000405</t>
  </si>
  <si>
    <t>AssessmentItemResponseStatus</t>
  </si>
  <si>
    <t>Assessment Item Response Theory DIF Value</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</si>
  <si>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</si>
  <si>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Assessments -&gt; Assessment Item -&gt; Assessment Item Response Theory</t>
  </si>
  <si>
    <t>001264</t>
  </si>
  <si>
    <t>AssessmentItemResponseTheoryDIFValue</t>
  </si>
  <si>
    <t>Assessment Item Response Theory Kappa Algorithm</t>
  </si>
  <si>
    <t>The algorithm used to derive the Assessment Item Kappa Value</t>
  </si>
  <si>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</si>
  <si>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</si>
  <si>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</si>
  <si>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</si>
  <si>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</si>
  <si>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</si>
  <si>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</si>
  <si>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</si>
  <si>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</si>
  <si>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</si>
  <si>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</si>
  <si>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The Item Response Theory value representing the difficulty of the item. It is the Theta value for the location of the inflection point of the item characteristic curve.</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</si>
  <si>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</si>
  <si>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</si>
  <si>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</si>
  <si>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 to negative infinity on the horizontal axis. You can think of c as the probability that a chicken would get the item right.</t>
  </si>
  <si>
    <t>001254</t>
  </si>
  <si>
    <t>AssessmentItemResponseTheoryParameterC</t>
  </si>
  <si>
    <t>Assessment Item Response Theory Parameter D1</t>
  </si>
  <si>
    <t>For polytomous assessment items with more than two possible responses, this is the item response theory value representing the threshold between the first and second item characteristic functions.</t>
  </si>
  <si>
    <t>001255</t>
  </si>
  <si>
    <t>AssessmentItemResponseTheoryParameterD1</t>
  </si>
  <si>
    <t>Assessment Item Response Theory Parameter D2</t>
  </si>
  <si>
    <t>For polytomous assessment items with more than two possible responses, this is the item response theory value representing the threshold between the second and third item characteristic functions.</t>
  </si>
  <si>
    <t>001256</t>
  </si>
  <si>
    <t>AssessmentItemResponseTheoryParameterD2</t>
  </si>
  <si>
    <t>Assessment Item Response Theory Parameter D3</t>
  </si>
  <si>
    <t>For polytomous assessment items with more than three possible responses, this is the item response theory value representing the threshold between the third and fourth item characteristic functions.</t>
  </si>
  <si>
    <t>001257</t>
  </si>
  <si>
    <t>AssessmentItemResponseTheoryParameterD3</t>
  </si>
  <si>
    <t>Assessment Item Response Theory Parameter D4</t>
  </si>
  <si>
    <t>For polytomous assessment items with more than four possible responses, this is the item response theory value representing the threshold between the fourth and fifth item characteristic functions.</t>
  </si>
  <si>
    <t>001258</t>
  </si>
  <si>
    <t>AssessmentItemResponseTheoryParameterD4</t>
  </si>
  <si>
    <t>Assessment Item Response Theory Parameter D5</t>
  </si>
  <si>
    <t>For polytomous assessment items with more than five possible responses, this is the item response theory value representing the threshold between the fifth and sixth item characteristic functions.</t>
  </si>
  <si>
    <t>001259</t>
  </si>
  <si>
    <t>AssessmentItemResponseTheoryParameterD5</t>
  </si>
  <si>
    <t>Assessment Item Response Theory Parameter D6</t>
  </si>
  <si>
    <t>For polytomous assessment items with more than six possible responses, this is the item response theory value representing the threshold between the sixth and seventh item characteristic functions.</t>
  </si>
  <si>
    <t>001260</t>
  </si>
  <si>
    <t>AssessmentItemResponseTheoryParameterD6</t>
  </si>
  <si>
    <t>Assessment Item Response Theory Parameter Difficulty Category</t>
  </si>
  <si>
    <t>A category for the difficulty of the item based on the Item Response Theory value.</t>
  </si>
  <si>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</si>
  <si>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</si>
  <si>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</si>
  <si>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</si>
  <si>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</si>
  <si>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</si>
  <si>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</si>
  <si>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</si>
  <si>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</si>
  <si>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</si>
  <si>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</si>
  <si>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The assessment item result formatted according to the IMS Global QTI Specification.</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</si>
  <si>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</si>
  <si>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</si>
  <si>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</si>
  <si>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</si>
  <si>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</si>
  <si>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</si>
  <si>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</si>
  <si>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</si>
  <si>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The text, source (e.g., video clip), and/or graphic about which the assessment item is written. The stimulus provides the context of the item/task to which the student must respond.</t>
  </si>
  <si>
    <t>001268</t>
  </si>
  <si>
    <t>AssessmentItemStimulus</t>
  </si>
  <si>
    <t>Assessment Item Text Complexity System</t>
  </si>
  <si>
    <t>The scaling system used to specify the text complexity of an assessment item.</t>
  </si>
  <si>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</si>
  <si>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</si>
  <si>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</si>
  <si>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</si>
  <si>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</si>
  <si>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</si>
  <si>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</si>
  <si>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</si>
  <si>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t>000390</t>
  </si>
  <si>
    <t>AssessmentItemType</t>
  </si>
  <si>
    <t>Assessment Language</t>
  </si>
  <si>
    <t>The language in which the assessment form is designed to be delivered.</t>
  </si>
  <si>
    <t>See http://ceds.ed.gov/iso639-2LanguageCode.aspx</t>
  </si>
  <si>
    <t>The CEDS ISO 639-2 Language Code option set comes from the ISO 639-2 standard, the character encoding in ISO 8859-1 download. Discontinued codes from the ISO standard are not included in the CEDS list.</t>
  </si>
  <si>
    <t>001089</t>
  </si>
  <si>
    <t>AssessmentLanguage</t>
  </si>
  <si>
    <t>Assessment Level for Which Designed</t>
  </si>
  <si>
    <t>The typical grade or combination of grade-levels, developmental levels, or age-levels for which an assessment is designed.</t>
  </si>
  <si>
    <t>000177</t>
  </si>
  <si>
    <t>AssessmentLevelForWhichDesigned</t>
  </si>
  <si>
    <t>Assessment Need Alternative Representation Type</t>
  </si>
  <si>
    <t>Defines as part of an Assessment Personal Needs Profile the default presentation mode of the associated Alternative Representations accessibility.</t>
  </si>
  <si>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</si>
  <si>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</si>
  <si>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</si>
  <si>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</si>
  <si>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</si>
  <si>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</si>
  <si>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</si>
  <si>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</si>
  <si>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</si>
  <si>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</si>
  <si>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</si>
  <si>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</si>
  <si>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four digits after decimal point</t>
  </si>
  <si>
    <t>001036</t>
  </si>
  <si>
    <t>AssessmentNeedBrailleDotPressure</t>
  </si>
  <si>
    <t>Assessment Need Braille Grade Type</t>
  </si>
  <si>
    <t>Defines as part of an Assessment Personal Needs Profile the grade of Braille to use when using a Braille display.</t>
  </si>
  <si>
    <t>001032</t>
  </si>
  <si>
    <t>AssessmentNeedBrailleGradeType</t>
  </si>
  <si>
    <t>Assessment Need Braille Mark Type</t>
  </si>
  <si>
    <t>Defines as part of an Assessment Personal Needs Profile what textual properties to mark when using a Braille display.</t>
  </si>
  <si>
    <t>001035</t>
  </si>
  <si>
    <t>AssessmentNeedBrailleMarkType</t>
  </si>
  <si>
    <t>Assessment Need Braille Status Cell Type</t>
  </si>
  <si>
    <t>Defines as part of an Assessment Personal Needs Profile the preferred presence or location of a Braille display status cell.</t>
  </si>
  <si>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</si>
  <si>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</si>
  <si>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</si>
  <si>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</si>
  <si>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</si>
  <si>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</si>
  <si>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</si>
  <si>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</si>
  <si>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</si>
  <si>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</si>
  <si>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</si>
  <si>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</si>
  <si>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t>001024</t>
  </si>
  <si>
    <t>AssessmentNeedHazardType</t>
  </si>
  <si>
    <t>Assessment Need Increased Whitespacing Type</t>
  </si>
  <si>
    <t>Defines the user preferences for white spacing in lines, words and characters as part of an Assessment Personal Needs Profile.</t>
  </si>
  <si>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</si>
  <si>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</si>
  <si>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</si>
  <si>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</si>
  <si>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</si>
  <si>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</si>
  <si>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</si>
  <si>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</si>
  <si>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</si>
  <si>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</si>
  <si>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</si>
  <si>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</si>
  <si>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</si>
  <si>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</si>
  <si>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</si>
  <si>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</si>
  <si>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</si>
  <si>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</si>
  <si>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</si>
  <si>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</si>
  <si>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</si>
  <si>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</si>
  <si>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</si>
  <si>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</si>
  <si>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</si>
  <si>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</si>
  <si>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</si>
  <si>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</si>
  <si>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</si>
  <si>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</si>
  <si>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</si>
  <si>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</si>
  <si>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Specifies as part of an Assessment Personal Needs Profile the type of masks the user is able to create to cover portions of the question until needed.</t>
  </si>
  <si>
    <t>001046</t>
  </si>
  <si>
    <t>AssessmentNeedMaskingType</t>
  </si>
  <si>
    <t>Assessment Need Number of Braille Cells</t>
  </si>
  <si>
    <t>Defines as part of an Assessment Personal Needs Profile the number of active Braille cells in a Braille display.</t>
  </si>
  <si>
    <t>Numeric - integer greater than or equal to zero</t>
  </si>
  <si>
    <t>001034</t>
  </si>
  <si>
    <t>AssessmentNeedNumberOfBrailleCells</t>
  </si>
  <si>
    <t>Assessment Need Number of Braille Dots Type</t>
  </si>
  <si>
    <t>Defines as part of an Assessment Personal Needs Profile the number of dots in a Braille cell.</t>
  </si>
  <si>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</si>
  <si>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</si>
  <si>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</si>
  <si>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</si>
  <si>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</si>
  <si>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</si>
  <si>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</si>
  <si>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</si>
  <si>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</si>
  <si>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</si>
  <si>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</si>
  <si>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</si>
  <si>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</si>
  <si>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</si>
  <si>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</si>
  <si>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</si>
  <si>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</si>
  <si>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</si>
  <si>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</si>
  <si>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</si>
  <si>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</si>
  <si>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</si>
  <si>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</si>
  <si>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</si>
  <si>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</si>
  <si>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</si>
  <si>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</si>
  <si>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</si>
  <si>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t>001042</t>
  </si>
  <si>
    <t>AssessmentNeedSpokenSourcePreferenceType</t>
  </si>
  <si>
    <t>Assessment Need Support Tool Type</t>
  </si>
  <si>
    <t>Defines as part of an Assessment Personal Needs Profile the electronic tool associated with a resource.</t>
  </si>
  <si>
    <t>001025</t>
  </si>
  <si>
    <t>AssessmentNeedSupportToolType</t>
  </si>
  <si>
    <t>Assessment Need Text Messaging String</t>
  </si>
  <si>
    <t>The text string that is to be displayed to the user as an expression of encouragement when Masking is specified as part of an Assessment Personal Needs Profile. It is left to the system to determine when to display this string.</t>
  </si>
  <si>
    <t>001047</t>
  </si>
  <si>
    <t>AssessmentNeedTextMessagingString</t>
  </si>
  <si>
    <t>Assessment Need Time Multiplier</t>
  </si>
  <si>
    <t>Defines the multiplier to be applied to the time limit to determine the total testing time allowed when Additional Testing Time is specified as part of an Assessment Personal Needs Profile. If the value is ‘unlimited’ then there is no time limit for the test.</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</si>
  <si>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</si>
  <si>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</si>
  <si>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</si>
  <si>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</si>
  <si>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</si>
  <si>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</si>
  <si>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</si>
  <si>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</si>
  <si>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</si>
  <si>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</si>
  <si>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t>001026</t>
  </si>
  <si>
    <t>AssessmentNeedUsageType</t>
  </si>
  <si>
    <t>Assessment Need User Spoken Preference Type</t>
  </si>
  <si>
    <t>Used as part of an Assessment Personal Needs Profile to define the type of material that should be rendered using the read aloud alternative content.</t>
  </si>
  <si>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</si>
  <si>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</si>
  <si>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</si>
  <si>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</si>
  <si>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</si>
  <si>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</si>
  <si>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</si>
  <si>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</si>
  <si>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</si>
  <si>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</si>
  <si>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</si>
  <si>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</si>
  <si>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</si>
  <si>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</si>
  <si>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</si>
  <si>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</si>
  <si>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</si>
  <si>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</si>
  <si>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</si>
  <si>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</si>
  <si>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</si>
  <si>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</si>
  <si>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</si>
  <si>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</si>
  <si>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</si>
  <si>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</si>
  <si>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</si>
  <si>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</si>
  <si>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</si>
  <si>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t>000386</t>
  </si>
  <si>
    <t>AssessmentParticipantSessionPlatformType</t>
  </si>
  <si>
    <t>Assessment Participant Session Platform User Agent</t>
  </si>
  <si>
    <t>A list of product tokens (keywords) with optional comments that identifies the client hardware and software with which the assessment was delivered to the student during the assessment session.</t>
  </si>
  <si>
    <t>Alphanumeric - 512 characters maximum</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</si>
  <si>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</si>
  <si>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</si>
  <si>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</si>
  <si>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</si>
  <si>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</si>
  <si>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</si>
  <si>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</si>
  <si>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</si>
  <si>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The overall time a learner actually spent during the assessment session.</t>
  </si>
  <si>
    <t>000407</t>
  </si>
  <si>
    <t>AssessmentParticipantSessionTimeAssessed</t>
  </si>
  <si>
    <t>Assessment Performance Level Descriptive Feedback</t>
  </si>
  <si>
    <t>A feedback message designed to be reported with the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</si>
  <si>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</si>
  <si>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</si>
  <si>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</si>
  <si>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</si>
  <si>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</si>
  <si>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</si>
  <si>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</si>
  <si>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</si>
  <si>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</si>
  <si>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</si>
  <si>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</si>
  <si>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</si>
  <si>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</si>
  <si>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</si>
  <si>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</si>
  <si>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</si>
  <si>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</si>
  <si>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</si>
  <si>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</si>
  <si>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</si>
  <si>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</si>
  <si>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</si>
  <si>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</si>
  <si>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</si>
  <si>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</si>
  <si>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</si>
  <si>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</si>
  <si>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</si>
  <si>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</si>
  <si>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</si>
  <si>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</si>
  <si>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</si>
  <si>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</si>
  <si>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</si>
  <si>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</si>
  <si>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</si>
  <si>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</si>
  <si>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</si>
  <si>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</si>
  <si>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</si>
  <si>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</si>
  <si>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</si>
  <si>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</si>
  <si>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</si>
  <si>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</si>
  <si>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For example, the unique identifier of a classroom teacher or school principal.</t>
  </si>
  <si>
    <t>000889</t>
  </si>
  <si>
    <t>AssessmentRegistrationAssignorIdentifier</t>
  </si>
  <si>
    <t>Assessment Registration Completion Status</t>
  </si>
  <si>
    <t>The completion and scoring status for an instance of a person taking an assessment.</t>
  </si>
  <si>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</si>
  <si>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</si>
  <si>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</si>
  <si>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</si>
  <si>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</si>
  <si>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</si>
  <si>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</si>
  <si>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</si>
  <si>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</si>
  <si>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</si>
  <si>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</si>
  <si>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</si>
  <si>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Numeric - integer greater than or equal to zero.</t>
  </si>
  <si>
    <t>001015</t>
  </si>
  <si>
    <t>AssessmentRegistrationDaysOfInstruction</t>
  </si>
  <si>
    <t>Assessment Registration Grade Level To Be Assessed</t>
  </si>
  <si>
    <t>The grade or level at which the learner is to be assessed.</t>
  </si>
  <si>
    <t>Informs selection of the assessment form appropriate for the grade level to be tested.</t>
  </si>
  <si>
    <t>001057</t>
  </si>
  <si>
    <t>AssessmentRegistrationGradeLevelToBeAssessed</t>
  </si>
  <si>
    <t>Assessment Registration Participation Indicator</t>
  </si>
  <si>
    <t>An indication of whether a student participated in an assessment.</t>
  </si>
  <si>
    <t>000025</t>
  </si>
  <si>
    <t>AssessmentRegistrationParticipationIndicator</t>
  </si>
  <si>
    <t>Assessment Registration Reason Not Completing</t>
  </si>
  <si>
    <t>The primary reason a participant did not complete an assessment.</t>
  </si>
  <si>
    <t>This may apply to any learner, but is used particularly for reporting based on children with disabilities (IDEA).</t>
  </si>
  <si>
    <t>000540</t>
  </si>
  <si>
    <t>AssessmentRegistrationReasonNotCompleting</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</si>
  <si>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</si>
  <si>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</si>
  <si>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</si>
  <si>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</si>
  <si>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</si>
  <si>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</si>
  <si>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001056</t>
  </si>
  <si>
    <t>AssessmentRegistrationScorePublishDate</t>
  </si>
  <si>
    <t>Assessment Registration Test Attempt Identifier</t>
  </si>
  <si>
    <t>A unique identifier for the test attempt assigned by the delivery system.</t>
  </si>
  <si>
    <t>For paper-based tests this is typically a batch/stack/serial number and for online tests it is likely a unique internal identifier. Used to locate the original attempt.</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</si>
  <si>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</si>
  <si>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</si>
  <si>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</si>
  <si>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</si>
  <si>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</si>
  <si>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</si>
  <si>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</si>
  <si>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</si>
  <si>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The data type of the assessment result score value.</t>
  </si>
  <si>
    <t>Assessments -&gt; Assessment Result</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</si>
  <si>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</si>
  <si>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001543</t>
  </si>
  <si>
    <t>AssessmentResultDataType</t>
  </si>
  <si>
    <t>Assessment Result Date Created</t>
  </si>
  <si>
    <t>The date on which the assessment result was generated.</t>
  </si>
  <si>
    <t>000971</t>
  </si>
  <si>
    <t>AssessmentResultDateCreated</t>
  </si>
  <si>
    <t>Assessment Result Date Updated</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</si>
  <si>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</si>
  <si>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</si>
  <si>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</si>
  <si>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</si>
  <si>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</si>
  <si>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</si>
  <si>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</si>
  <si>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</si>
  <si>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</si>
  <si>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</si>
  <si>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</si>
  <si>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</si>
  <si>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</si>
  <si>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</si>
  <si>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</si>
  <si>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</si>
  <si>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</si>
  <si>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A statement intended for use by education professionals, using professional terminology, to interpret learner needs based on the scored/evaluated portion of an assessment. This statement may inform Descriptive Feedback given to the learner.</t>
  </si>
  <si>
    <t>001219</t>
  </si>
  <si>
    <t>AssessmentResultDiagnosticStatement</t>
  </si>
  <si>
    <t>Assessment Result Included in Adequate Yearly Progress Calculation</t>
  </si>
  <si>
    <t>An indication of whether a proficiency score on the state assessment was included in the state’s calculation of adequate yearly progress (AYP).</t>
  </si>
  <si>
    <t>000576</t>
  </si>
  <si>
    <t>Assessment Result Included in AYP Calculation</t>
  </si>
  <si>
    <t>AssessmentResultIncludeIinAYPCalculation</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</si>
  <si>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</si>
  <si>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</si>
  <si>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</si>
  <si>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</si>
  <si>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</si>
  <si>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If this score is preliminary, then this attribute value should be set. Preliminary scores may be provided for early use by the assessment program or user while final scoring is occurring.</t>
  </si>
  <si>
    <t>001007</t>
  </si>
  <si>
    <t>AssessmentResultPreliminaryIndicator</t>
  </si>
  <si>
    <t>Assessment Result Pretest Outcome</t>
  </si>
  <si>
    <t>The results of a pre-test in academic subjects.</t>
  </si>
  <si>
    <t>000572</t>
  </si>
  <si>
    <t>AssessmentResultPretestOutcome</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</si>
  <si>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</si>
  <si>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</si>
  <si>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</si>
  <si>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</si>
  <si>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</si>
  <si>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</si>
  <si>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</si>
  <si>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</si>
  <si>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</si>
  <si>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</si>
  <si>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</si>
  <si>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</si>
  <si>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</si>
  <si>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000245</t>
  </si>
  <si>
    <t>AssessmentResultScoreValue</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</si>
  <si>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</si>
  <si>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</si>
  <si>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</si>
  <si>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</si>
  <si>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</si>
  <si>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</si>
  <si>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000369</t>
  </si>
  <si>
    <t>AssessmentScoreMetricType</t>
  </si>
  <si>
    <t>Assessment Secure Indicator</t>
  </si>
  <si>
    <t>Indicates whether or not the assessment is a secure assessment.</t>
  </si>
  <si>
    <t>000384</t>
  </si>
  <si>
    <t>AssessmentSecureIndicator</t>
  </si>
  <si>
    <t>Assessment Session Actual End Date Time</t>
  </si>
  <si>
    <t>Date and time the assessment actually ended.</t>
  </si>
  <si>
    <t>When associated to an assessment session this is the actual end date and time. When associated to an individual taking an assessment, this is the actual date and time when the individual finished.</t>
  </si>
  <si>
    <t>001022</t>
  </si>
  <si>
    <t>AssessmentSessionActualEndDateTime</t>
  </si>
  <si>
    <t>Assessment Session Actual Start Date Time</t>
  </si>
  <si>
    <t>Date and time the assessment actually began.</t>
  </si>
  <si>
    <t>When associated to an assessment session this is the actual start date and time. When associated to an individual taking an assessment, this is the actual date and time when the individual started.</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</si>
  <si>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</si>
  <si>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</si>
  <si>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</si>
  <si>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</si>
  <si>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</si>
  <si>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</si>
  <si>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</si>
  <si>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</si>
  <si>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</si>
  <si>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</si>
  <si>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</si>
  <si>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</si>
  <si>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The description of the place where an assessment is administered.</t>
  </si>
  <si>
    <t>Alphanumeric - 45 characters maximum</t>
  </si>
  <si>
    <t>000597</t>
  </si>
  <si>
    <t>AssessmentSessionLocation</t>
  </si>
  <si>
    <t>Assessment Session Proctor Identifier</t>
  </si>
  <si>
    <t>The unique identifier of the person overseeing the assessment session in the setting.</t>
  </si>
  <si>
    <t>This could be the identifier for a teacher, a paraprofessional or individual at a testing site.</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</si>
  <si>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</si>
  <si>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</si>
  <si>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</si>
  <si>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</si>
  <si>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</si>
  <si>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</si>
  <si>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</si>
  <si>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</si>
  <si>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</si>
  <si>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</si>
  <si>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</si>
  <si>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</si>
  <si>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</si>
  <si>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</si>
  <si>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</si>
  <si>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</si>
  <si>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</si>
  <si>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</si>
  <si>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</si>
  <si>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</si>
  <si>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</si>
  <si>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</si>
  <si>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</si>
  <si>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</si>
  <si>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t>001212</t>
  </si>
  <si>
    <t>AssessmentSessionStaffRoleType</t>
  </si>
  <si>
    <t>Assessment Session Type</t>
  </si>
  <si>
    <t>The type of session that is scheduled.</t>
  </si>
  <si>
    <t>001018</t>
  </si>
  <si>
    <t>AssessmentSessionType</t>
  </si>
  <si>
    <t>Assessment Shared With Parents</t>
  </si>
  <si>
    <t>An indication of whether assessment results are shared with parents.</t>
  </si>
  <si>
    <t>Early Learning -&gt; EL Organization -&gt; Parental/Family Involvement</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</si>
  <si>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</si>
  <si>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</si>
  <si>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</si>
  <si>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</si>
  <si>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</si>
  <si>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</si>
  <si>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</si>
  <si>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</si>
  <si>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</si>
  <si>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</si>
  <si>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</si>
  <si>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</si>
  <si>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</si>
  <si>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</si>
  <si>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</si>
  <si>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</si>
  <si>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</si>
  <si>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</si>
  <si>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</si>
  <si>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</si>
  <si>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</si>
  <si>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</si>
  <si>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</si>
  <si>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</si>
  <si>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</si>
  <si>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</si>
  <si>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</si>
  <si>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</si>
  <si>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</si>
  <si>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</si>
  <si>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</si>
  <si>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</si>
  <si>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</si>
  <si>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</si>
  <si>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</si>
  <si>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</si>
  <si>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</si>
  <si>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</si>
  <si>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</si>
  <si>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</si>
  <si>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</si>
  <si>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</si>
  <si>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</si>
  <si>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</si>
  <si>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</si>
  <si>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</si>
  <si>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</si>
  <si>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Assessment Subtest Version</t>
  </si>
  <si>
    <t>The version of the subtest that is included for the assessment.</t>
  </si>
  <si>
    <t>000388</t>
  </si>
  <si>
    <t>AssessmentSubtestVersion</t>
  </si>
  <si>
    <t>Assessment Title</t>
  </si>
  <si>
    <t>The title or name of the assessment.</t>
  </si>
  <si>
    <t>000028</t>
  </si>
  <si>
    <t>AssessmentTitle</t>
  </si>
  <si>
    <t>Assessment Type</t>
  </si>
  <si>
    <t>The category of an assessment based on format and content.</t>
  </si>
  <si>
    <t>000029</t>
  </si>
  <si>
    <t>AssessmentType</t>
  </si>
  <si>
    <t>Assessment Type Administered to Children With Disabilities</t>
  </si>
  <si>
    <t>The types of assessments administered to children with disabilities.</t>
  </si>
  <si>
    <t>000415</t>
  </si>
  <si>
    <t>AssessmentTypeAdministeredToChildrenWithDisabilities</t>
  </si>
  <si>
    <t>Assignment End Date</t>
  </si>
  <si>
    <t>The last year, month and day on which the assignment is valid.</t>
  </si>
  <si>
    <t>000527</t>
  </si>
  <si>
    <t>AssignmentEndDate</t>
  </si>
  <si>
    <t>Assignment Start Date</t>
  </si>
  <si>
    <t>The year, month and day from which the assignment is valid.</t>
  </si>
  <si>
    <t>000526</t>
  </si>
  <si>
    <t>AssignmentStartDate</t>
  </si>
  <si>
    <t>Attendance Event Date</t>
  </si>
  <si>
    <t>The date on which an attendance event takes place.</t>
  </si>
  <si>
    <t>New</t>
  </si>
  <si>
    <t>001649</t>
  </si>
  <si>
    <t>AttendanceEventDate</t>
  </si>
  <si>
    <t>Attendance Event Type</t>
  </si>
  <si>
    <t>The type of attendance event.</t>
  </si>
  <si>
    <t>000601</t>
  </si>
  <si>
    <t>AttendanceEventType</t>
  </si>
  <si>
    <t>Attendance Status</t>
  </si>
  <si>
    <t>The status of a person's attendance associated with an Attendance Event Type and Attendance Event Date in an organization-person-role context.</t>
  </si>
  <si>
    <t>000076</t>
  </si>
  <si>
    <t>AttendanceStatus</t>
  </si>
  <si>
    <t>Authentication Identity Provider End Date</t>
  </si>
  <si>
    <t>The date after which the an associated person is no longer allowed to use the specified Authentication Identity Provider to authenticate identity.</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</si>
  <si>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</si>
  <si>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</si>
  <si>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</si>
  <si>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</si>
  <si>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</si>
  <si>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</si>
  <si>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</si>
  <si>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</si>
  <si>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</si>
  <si>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</si>
  <si>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</si>
  <si>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</si>
  <si>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The date on which the an associated person may begin to use the specified Authentication Identity Provider to authenticate identity.</t>
  </si>
  <si>
    <t>001171</t>
  </si>
  <si>
    <t>AuthenticationIdentityProviderStartDate</t>
  </si>
  <si>
    <t>Authentication Identity Provider URI</t>
  </si>
  <si>
    <t>The Uniform Resource Identifier (URI) of the Authentication Identity Provider.</t>
  </si>
  <si>
    <t>001169</t>
  </si>
  <si>
    <t>AuthenticationIdentityProviderURI</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</si>
  <si>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</si>
  <si>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</si>
  <si>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</si>
  <si>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</si>
  <si>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</si>
  <si>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</si>
  <si>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</si>
  <si>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</si>
  <si>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</si>
  <si>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</si>
  <si>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</si>
  <si>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</si>
  <si>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</si>
  <si>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</si>
  <si>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End Date</t>
  </si>
  <si>
    <t>The date after which the an associated person is no longer allowed to use the application with the specified role.</t>
  </si>
  <si>
    <t>001177</t>
  </si>
  <si>
    <t>AuthorizationEndDate</t>
  </si>
  <si>
    <t>Authorization Start Date</t>
  </si>
  <si>
    <t>The date on which the an associated person is authorized to start using the application with the specified role.</t>
  </si>
  <si>
    <t>001176</t>
  </si>
  <si>
    <t>AuthorizationStartDate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</si>
  <si>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</si>
  <si>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</si>
  <si>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Numeric - up to 2 digits after decimal place</t>
  </si>
  <si>
    <t>000030</t>
  </si>
  <si>
    <t>AvailableCarnegieUnitCredit</t>
  </si>
  <si>
    <t>Awaiting Initial IDEA Evaluation Status</t>
  </si>
  <si>
    <t>Awaiting initial evaluation for special education programs and related services under the Individuals with Disabilities Education Act (IDEA).</t>
  </si>
  <si>
    <t>000031</t>
  </si>
  <si>
    <t>AwaitingInitialIDEAEvaluationStatus</t>
  </si>
  <si>
    <t>Barrier to Educating Homeless</t>
  </si>
  <si>
    <t>Barriers to the enrollment and success of homeless children and youths.</t>
  </si>
  <si>
    <t>K12 -&gt; LEA -&gt; Program Specific Federal Reporting</t>
  </si>
  <si>
    <t>000449</t>
  </si>
  <si>
    <t>BarrierToEducatingHomeless</t>
  </si>
  <si>
    <t>Billable Basis Type</t>
  </si>
  <si>
    <t>The event/action that results in a billable action.</t>
  </si>
  <si>
    <t>Early Learning -&gt; Early Learning Program</t>
  </si>
  <si>
    <t>001582</t>
  </si>
  <si>
    <t>BillableBasisType</t>
  </si>
  <si>
    <t>Birthdate</t>
  </si>
  <si>
    <t>The year, month and day on which a person was born.</t>
  </si>
  <si>
    <t>000033</t>
  </si>
  <si>
    <t>Birthdate Verification</t>
  </si>
  <si>
    <t>The evidence by which a child's date of birth is confirmed.</t>
  </si>
  <si>
    <t>000428</t>
  </si>
  <si>
    <t>BirthdateVerification</t>
  </si>
  <si>
    <t>K-12 -&gt; Migrant Student Data Exchange</t>
  </si>
  <si>
    <t>Black or African American</t>
  </si>
  <si>
    <t>A person having origins in any of the black racial groups of Africa.</t>
  </si>
  <si>
    <t>000034</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</si>
  <si>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</si>
  <si>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</si>
  <si>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</si>
  <si>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t>This may be an attribute of a Course (as designed) or a Class Section (as delivered). It also may be attributed to a school, institution, or program for "whole-school" blended models.</t>
  </si>
  <si>
    <t>Options and definition adapted from: http://www.christenseninstitute.org/blended-learning-model-definitions/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</si>
  <si>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</si>
  <si>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</si>
  <si>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</si>
  <si>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</si>
  <si>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</si>
  <si>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</si>
  <si>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</si>
  <si>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</si>
  <si>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</si>
  <si>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</si>
  <si>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</si>
  <si>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Site Number</t>
  </si>
  <si>
    <t>The number of the building on the site, if more than one building shares the same address.</t>
  </si>
  <si>
    <t>000602</t>
  </si>
  <si>
    <t>BuildingSiteNumber</t>
  </si>
  <si>
    <t>Building Use Type</t>
  </si>
  <si>
    <t>How a building is principally used, regardless of its original design.</t>
  </si>
  <si>
    <t>K12 -&gt; Facility</t>
  </si>
  <si>
    <t>001206</t>
  </si>
  <si>
    <t>BuildingUseType</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</si>
  <si>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</si>
  <si>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</si>
  <si>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</si>
  <si>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</si>
  <si>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</si>
  <si>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</si>
  <si>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</si>
  <si>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</si>
  <si>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</si>
  <si>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</si>
  <si>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</si>
  <si>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</si>
  <si>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</si>
  <si>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</si>
  <si>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</si>
  <si>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</si>
  <si>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</si>
  <si>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</si>
  <si>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The type of scheduled or unscheduled event that causes interruption in direct instruction.</t>
  </si>
  <si>
    <t>000603</t>
  </si>
  <si>
    <t>CalendarEventType</t>
  </si>
  <si>
    <t>Campus Residency Type</t>
  </si>
  <si>
    <t>A person's residency arrangement as defined in the Free Application for Federal Student Aid (FAFSA).</t>
  </si>
  <si>
    <t>Postsecondary -&gt; PS Student -&gt; Demographic</t>
  </si>
  <si>
    <t>000035</t>
  </si>
  <si>
    <t>CampusResidencyType</t>
  </si>
  <si>
    <t>Cardiopulmonary Resuscitation Certification Expiration Date</t>
  </si>
  <si>
    <t>The date an individual's cardiopulmonary resuscitation (CPR) training certification expires.</t>
  </si>
  <si>
    <t>Early Learning -&gt; EL Staff -&gt; Professional Development</t>
  </si>
  <si>
    <t>001059</t>
  </si>
  <si>
    <t>CPR Certification Expiration Date</t>
  </si>
  <si>
    <t>CPRCertificationExpirationDate</t>
  </si>
  <si>
    <t>Career and Technical Education Completer</t>
  </si>
  <si>
    <t>An indication of a student who reached a state-defined threshold of a career and technical education program/pathway.</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</si>
  <si>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</si>
  <si>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</si>
  <si>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</si>
  <si>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</si>
  <si>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</si>
  <si>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000037</t>
  </si>
  <si>
    <t>CTE Concentrator</t>
  </si>
  <si>
    <t>CTEConcentrator</t>
  </si>
  <si>
    <t>Career and Technical Education Graduation Rate Inclusion</t>
  </si>
  <si>
    <t>An indication of how CTE concentrators are included in the state's computation of its graduation rate.</t>
  </si>
  <si>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</si>
  <si>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</si>
  <si>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</si>
  <si>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</si>
  <si>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</si>
  <si>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</si>
  <si>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</si>
  <si>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</si>
  <si>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</si>
  <si>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</si>
  <si>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</si>
  <si>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</si>
  <si>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</si>
  <si>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</si>
  <si>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</si>
  <si>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</si>
  <si>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</si>
  <si>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</si>
  <si>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</si>
  <si>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</si>
  <si>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</si>
  <si>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</si>
  <si>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001288</t>
  </si>
  <si>
    <t>CareerCluster</t>
  </si>
  <si>
    <t>Career Education Plan Date</t>
  </si>
  <si>
    <t>The date on which an individual's professional development career plan was last updated.</t>
  </si>
  <si>
    <t>001289</t>
  </si>
  <si>
    <t>CareerEducationPlanDate</t>
  </si>
  <si>
    <t>Career Education Plan Type</t>
  </si>
  <si>
    <t>An indicator of whether a student completed an individualized guidance and counseling plan.</t>
  </si>
  <si>
    <t>001290</t>
  </si>
  <si>
    <t>CareerEducationPlanType</t>
  </si>
  <si>
    <t>Career Pathways Program Participation Exit Date</t>
  </si>
  <si>
    <t>The year, month and day on which the person ceased to participate in a program.</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</si>
  <si>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</si>
  <si>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</si>
  <si>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</si>
  <si>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</si>
  <si>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</si>
  <si>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</si>
  <si>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</si>
  <si>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</si>
  <si>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YYYY- MM-DD</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</si>
  <si>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</si>
  <si>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</si>
  <si>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</si>
  <si>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</si>
  <si>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t>000588</t>
  </si>
  <si>
    <t>CTE Nontraditional Gender Status</t>
  </si>
  <si>
    <t>CTENontraditionalGenderStatus</t>
  </si>
  <si>
    <t>Career-Technical-Adult Education Displaced Homemaker Indicator</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</si>
  <si>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</si>
  <si>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</si>
  <si>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</si>
  <si>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</si>
  <si>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</si>
  <si>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</si>
  <si>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t>Postsecondary -&gt; PS Institution -&gt; Directory</t>
  </si>
  <si>
    <t>000038</t>
  </si>
  <si>
    <t>CarnegieBasicClassification</t>
  </si>
  <si>
    <t>Charter School Approval Agency Type</t>
  </si>
  <si>
    <t>The type of agency that approved the establishment or continuation of a charter school.</t>
  </si>
  <si>
    <t>K12 -&gt; K12 School -&gt; Directory -&gt; Charter School Authorizer (added)</t>
  </si>
  <si>
    <t>001292</t>
  </si>
  <si>
    <t>CharterSchoolApprovalAgencyType</t>
  </si>
  <si>
    <t>Charter School Approval Year</t>
  </si>
  <si>
    <t>The school year in which a charter school was initially approved.</t>
  </si>
  <si>
    <t>001293</t>
  </si>
  <si>
    <t>CharterSchoolApprovalYear</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</si>
  <si>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</si>
  <si>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</si>
  <si>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</si>
  <si>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</si>
  <si>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</si>
  <si>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</si>
  <si>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</si>
  <si>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</si>
  <si>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</si>
  <si>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</si>
  <si>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</si>
  <si>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</si>
  <si>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</si>
  <si>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</si>
  <si>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</si>
  <si>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</si>
  <si>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</si>
  <si>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</si>
  <si>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</si>
  <si>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</si>
  <si>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</si>
  <si>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</si>
  <si>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</si>
  <si>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</si>
  <si>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</si>
  <si>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</si>
  <si>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t>000710</t>
  </si>
  <si>
    <t>CharterSchoolType</t>
  </si>
  <si>
    <t>Child Development Associate Type</t>
  </si>
  <si>
    <t>Type of Child Development Associate credential as defined by options.</t>
  </si>
  <si>
    <t>Early Learning -&gt; EL Staff -&gt; Credential or License</t>
  </si>
  <si>
    <t>000806</t>
  </si>
  <si>
    <t>CDA Type</t>
  </si>
  <si>
    <t>ChildDevelopmentAssociateType</t>
  </si>
  <si>
    <t>Child Developmental Screening Status</t>
  </si>
  <si>
    <t>The result of a brief standardized screening tool aiding in the identification of children at risk of a developmental delay/disorder.</t>
  </si>
  <si>
    <t>Early Learning -&gt; EL Child -&gt; Developmental Assessments</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</si>
  <si>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</si>
  <si>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</si>
  <si>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</si>
  <si>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</si>
  <si>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</si>
  <si>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t>000785</t>
  </si>
  <si>
    <t>ChildIdentificationSystem</t>
  </si>
  <si>
    <t>Child Identifier</t>
  </si>
  <si>
    <t>A unique number or alphanumeric code assigned to a child by a school, school system, a state, or other agency or entity.</t>
  </si>
  <si>
    <t>001080</t>
  </si>
  <si>
    <t>ChildIdentifier</t>
  </si>
  <si>
    <t>Child Outcomes Summary Progress A Indicator</t>
  </si>
  <si>
    <t>Indicates that the child demonstrates progress in positive social-emotional skills (including social relationships).</t>
  </si>
  <si>
    <t>Early Learning -&gt; EL Child -&gt; Child Outcome Summary</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</si>
  <si>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</si>
  <si>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</si>
  <si>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</si>
  <si>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</si>
  <si>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</si>
  <si>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</si>
  <si>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</si>
  <si>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</si>
  <si>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</si>
  <si>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</si>
  <si>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</si>
  <si>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</si>
  <si>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</si>
  <si>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</si>
  <si>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</si>
  <si>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</si>
  <si>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</si>
  <si>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</si>
  <si>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</si>
  <si>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</si>
  <si>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</si>
  <si>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</si>
  <si>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</si>
  <si>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</si>
  <si>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</si>
  <si>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</si>
  <si>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</si>
  <si>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</si>
  <si>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</si>
  <si>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The name of the city in which a person was born.</t>
  </si>
  <si>
    <t>K12 -&gt; K12 Student -&gt; Demographic</t>
  </si>
  <si>
    <t>000426</t>
  </si>
  <si>
    <t>CityOfBirth</t>
  </si>
  <si>
    <t>Class Beginning Time</t>
  </si>
  <si>
    <t>An indication of the time of day the class begins.</t>
  </si>
  <si>
    <t>000519</t>
  </si>
  <si>
    <t>ClassBeginningTime</t>
  </si>
  <si>
    <t>Class Ending Time</t>
  </si>
  <si>
    <t>An indication of the time of day the class ends.</t>
  </si>
  <si>
    <t>HH:MM:Ss</t>
  </si>
  <si>
    <t>000520</t>
  </si>
  <si>
    <t>ClassEndingTime</t>
  </si>
  <si>
    <t>Class Meeting Days</t>
  </si>
  <si>
    <t>The day(s) of the week (e.g., Monday, Wednesday) that the class meets or an indication that a class meets "out-of-school" or "self-paced".</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</si>
  <si>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</si>
  <si>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</si>
  <si>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</si>
  <si>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</si>
  <si>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</si>
  <si>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</si>
  <si>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</si>
  <si>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</si>
  <si>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</si>
  <si>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</si>
  <si>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</si>
  <si>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</si>
  <si>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</si>
  <si>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CIP codes are available at: http://nces.ed.gov/ipeds/cipcode/browse.aspx?y=55</t>
  </si>
  <si>
    <t>000043</t>
  </si>
  <si>
    <t>CIP Code</t>
  </si>
  <si>
    <t>CIPCode</t>
  </si>
  <si>
    <t>Classification of Instructional Program Use</t>
  </si>
  <si>
    <t>An indicator of whether the CIP Code is referencing an enrollment program or an award program.</t>
  </si>
  <si>
    <t>000044</t>
  </si>
  <si>
    <t>CIP Use</t>
  </si>
  <si>
    <t>CIPUse</t>
  </si>
  <si>
    <t>Classification of Instructional Program Version</t>
  </si>
  <si>
    <t>The version of CIP being reported.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</si>
  <si>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</si>
  <si>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</si>
  <si>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</si>
  <si>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</si>
  <si>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</si>
  <si>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</si>
  <si>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</si>
  <si>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</si>
  <si>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</si>
  <si>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</si>
  <si>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</si>
  <si>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</si>
  <si>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</si>
  <si>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</si>
  <si>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</si>
  <si>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</si>
  <si>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</si>
  <si>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t>Postsecondary -&gt; PS Student -&gt; Institution Enrollment</t>
  </si>
  <si>
    <t>000106</t>
  </si>
  <si>
    <t>CohortExclusion</t>
  </si>
  <si>
    <t>Cohort Graduation Year</t>
  </si>
  <si>
    <t>The year the cohort graduated with a regular high school diploma.</t>
  </si>
  <si>
    <t>YYYY</t>
  </si>
  <si>
    <t>000584</t>
  </si>
  <si>
    <t>CohortGraduationYear</t>
  </si>
  <si>
    <t>Cohort Year</t>
  </si>
  <si>
    <t>The school year in which the student entered the baseline group used for computing completion rates (e.g., high school, program).</t>
  </si>
  <si>
    <t>000046</t>
  </si>
  <si>
    <t>CohortYear</t>
  </si>
  <si>
    <t>Community-based Type</t>
  </si>
  <si>
    <t>Non domestic residence in which the early learning setting is located.</t>
  </si>
  <si>
    <t>001633</t>
  </si>
  <si>
    <t>CommunityBasedType</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</si>
  <si>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</si>
  <si>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</si>
  <si>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</si>
  <si>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</si>
  <si>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</si>
  <si>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</si>
  <si>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</si>
  <si>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Used to define the completion criteria when Competency Set Completion Criteria is "At Least". Not used when Competency Set Completion Criteria is "All".</t>
  </si>
  <si>
    <t>000878</t>
  </si>
  <si>
    <t>CompetencySetCompletionCriteriaThreshold</t>
  </si>
  <si>
    <t>Comprehensive Fee</t>
  </si>
  <si>
    <t>A single fixed amount of money charged by an institution that covers tuition, required fees, room, and board. For some institutions, this amount may also cover books and supplies.</t>
  </si>
  <si>
    <t>000754</t>
  </si>
  <si>
    <t>ComprehensiveFee</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</si>
  <si>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</si>
  <si>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</si>
  <si>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</si>
  <si>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</si>
  <si>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</si>
  <si>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</si>
  <si>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</si>
  <si>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</si>
  <si>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t>K12 -&gt; K12 Student -&gt; Migrant</t>
  </si>
  <si>
    <t>000429</t>
  </si>
  <si>
    <t>ContinuationOfServicesReason</t>
  </si>
  <si>
    <t>Continuing License Date</t>
  </si>
  <si>
    <t>The year, month and day on which a program or center received its continuing license.</t>
  </si>
  <si>
    <t>Early Learning -&gt; EL Organization -&gt; Licensing</t>
  </si>
  <si>
    <t>000349</t>
  </si>
  <si>
    <t>ContinuingLicenseDate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</si>
  <si>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</si>
  <si>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</si>
  <si>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</si>
  <si>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</si>
  <si>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</si>
  <si>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</si>
  <si>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</si>
  <si>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</si>
  <si>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t>Option set defined in IPEDS</t>
  </si>
  <si>
    <t>000737</t>
  </si>
  <si>
    <t>ContractType</t>
  </si>
  <si>
    <t>Control of Institution</t>
  </si>
  <si>
    <t>A classification of whether a postsecondary institution is operated by publicly elected or appointed officials (public control) or by privately elected or appointed officials and derives its major source of funds from private sources (private control).</t>
  </si>
  <si>
    <t>000048</t>
  </si>
  <si>
    <t>ControlOfInstitution</t>
  </si>
  <si>
    <t>Core Academic Course</t>
  </si>
  <si>
    <t>The course meets the state definition of a core academic course.</t>
  </si>
  <si>
    <t>000518</t>
  </si>
  <si>
    <t>CoreAcademicCourse</t>
  </si>
  <si>
    <t>Correctional Education Facility Type</t>
  </si>
  <si>
    <t>The type of facility in which an inmate receives correctional education services.</t>
  </si>
  <si>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</si>
  <si>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</si>
  <si>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</si>
  <si>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</si>
  <si>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</si>
  <si>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</si>
  <si>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</si>
  <si>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</si>
  <si>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t>K12 -&gt; K12 School -&gt; Accountability</t>
  </si>
  <si>
    <t>000049</t>
  </si>
  <si>
    <t>CorrectiveActionType</t>
  </si>
  <si>
    <t>Country Code</t>
  </si>
  <si>
    <t>The unique two character International Organization for Standardization (ISO) code for the country in which an address is located.</t>
  </si>
  <si>
    <t>The CEDS Country Code option set comes from the ISO 3166 standard, the short name for Officially assigned codes. Discontinued codes from the ISO standard are not included in the CEDS list.</t>
  </si>
  <si>
    <t>000050</t>
  </si>
  <si>
    <t>CountryCode</t>
  </si>
  <si>
    <t>Country of Birth Code</t>
  </si>
  <si>
    <t>The unique two digit International Organization for Standardization (ISO) code for the country in which a person is born.</t>
  </si>
  <si>
    <t>000051</t>
  </si>
  <si>
    <t>CountryOfBirthCode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</si>
  <si>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</si>
  <si>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http://www.census.gov/geo/reference/codes/cou.html .</t>
  </si>
  <si>
    <t>Numeric - 5 digits with leading zeros</t>
  </si>
  <si>
    <t>001209</t>
  </si>
  <si>
    <t>CountyANSICode</t>
  </si>
  <si>
    <t>Course Academic Grade</t>
  </si>
  <si>
    <t>The final grade awarded for participation in the course.</t>
  </si>
  <si>
    <t>Alphanumeric - 15 characters maximum</t>
  </si>
  <si>
    <t>000053</t>
  </si>
  <si>
    <t>CourseAcademicGrade</t>
  </si>
  <si>
    <t>Course Academic Grade Scale Code</t>
  </si>
  <si>
    <t>The grading scale used by an academic educational institution for an academic course.</t>
  </si>
  <si>
    <t>##</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</si>
  <si>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</si>
  <si>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</si>
  <si>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</si>
  <si>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</si>
  <si>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</si>
  <si>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</si>
  <si>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</si>
  <si>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</si>
  <si>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</si>
  <si>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</si>
  <si>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</si>
  <si>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</si>
  <si>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</si>
  <si>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</si>
  <si>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</si>
  <si>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</si>
  <si>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</si>
  <si>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</si>
  <si>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</si>
  <si>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</si>
  <si>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</si>
  <si>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</si>
  <si>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</si>
  <si>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</si>
  <si>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</si>
  <si>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</si>
  <si>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</si>
  <si>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</si>
  <si>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</si>
  <si>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</si>
  <si>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t>000056</t>
  </si>
  <si>
    <t>CourseCodeSystem</t>
  </si>
  <si>
    <t>Course Credit Basis Type</t>
  </si>
  <si>
    <t>The type of enrollment associated with the credit hours for the course.</t>
  </si>
  <si>
    <t>001303</t>
  </si>
  <si>
    <t>CourseCreditBasisType</t>
  </si>
  <si>
    <t>Course Credit Level Type</t>
  </si>
  <si>
    <t>The level of credit associated with the credit hours earned for the course.</t>
  </si>
  <si>
    <t>001304</t>
  </si>
  <si>
    <t>CourseCreditLevelType</t>
  </si>
  <si>
    <t>Course Credit Units</t>
  </si>
  <si>
    <t>The type of credit (unit, semester, or quarter) associated with the credit hours earned for the course.</t>
  </si>
  <si>
    <t>000057</t>
  </si>
  <si>
    <t>CourseCreditUnits</t>
  </si>
  <si>
    <t>Course Credit Value</t>
  </si>
  <si>
    <t>Measured in Carnegie units, the amount of credit available to a student who successfully meets the objectives of the course.</t>
  </si>
  <si>
    <t>For K-12 a course meeting every day for one period of the school day over the span of a school year typically offers one Carnegie unit. In this case a Carnegie unit is a measure of "seat time" rather than a measure of attainment of the course objectives.</t>
  </si>
  <si>
    <t>000058</t>
  </si>
  <si>
    <t>CourseCreditValue</t>
  </si>
  <si>
    <t>Course Department Name</t>
  </si>
  <si>
    <t>Department with jurisdiction over this course.</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</si>
  <si>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</si>
  <si>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</si>
  <si>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</si>
  <si>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</si>
  <si>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</si>
  <si>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</si>
  <si>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</si>
  <si>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</si>
  <si>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</si>
  <si>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</si>
  <si>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</si>
  <si>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</si>
  <si>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</si>
  <si>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</si>
  <si>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</si>
  <si>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</si>
  <si>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</si>
  <si>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</si>
  <si>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</si>
  <si>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</si>
  <si>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</si>
  <si>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</si>
  <si>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t>000060</t>
  </si>
  <si>
    <t>Course GPA Applicability</t>
  </si>
  <si>
    <t>CourseGPAApplicability</t>
  </si>
  <si>
    <t>Course Honors Type</t>
  </si>
  <si>
    <t>An indication that the course is or can be counted as an honors course.</t>
  </si>
  <si>
    <t>001307</t>
  </si>
  <si>
    <t>CourseHonorsType</t>
  </si>
  <si>
    <t>Course Identifier</t>
  </si>
  <si>
    <t>The actual code that identifies the organization of subject matter and related learning experiences provided for the instruction of students.</t>
  </si>
  <si>
    <t>000055</t>
  </si>
  <si>
    <t>CourseIdentifier</t>
  </si>
  <si>
    <t>Course Instruction Method</t>
  </si>
  <si>
    <t>The primary method of instruction used for the course.</t>
  </si>
  <si>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</si>
  <si>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</si>
  <si>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</si>
  <si>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</si>
  <si>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</si>
  <si>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</si>
  <si>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</si>
  <si>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</si>
  <si>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t>001310</t>
  </si>
  <si>
    <t>CourseInstructionSiteType</t>
  </si>
  <si>
    <t>Course Interaction Mode</t>
  </si>
  <si>
    <t>The primary type of interaction, synchronous or asynchronous, defined for the course.</t>
  </si>
  <si>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</si>
  <si>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</si>
  <si>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</si>
  <si>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</si>
  <si>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</si>
  <si>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t>000061</t>
  </si>
  <si>
    <t>CourseLevelCharacteristic</t>
  </si>
  <si>
    <t>Course Level Type</t>
  </si>
  <si>
    <t>The level of work which is reflected in the credits associated with the academic course being described or the level of the typical individual taking the academic course.</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</si>
  <si>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</si>
  <si>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</si>
  <si>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</si>
  <si>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</si>
  <si>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</si>
  <si>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</si>
  <si>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</si>
  <si>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The official reference number portion of a course identifier. This number normally designates the level of the course as well as the level of the individual expected to enroll in the course.</t>
  </si>
  <si>
    <t>001314</t>
  </si>
  <si>
    <t>CourseNumber</t>
  </si>
  <si>
    <t>Course Override School</t>
  </si>
  <si>
    <t>The school where the credit was earned if different from the institution reporting.</t>
  </si>
  <si>
    <t>000063</t>
  </si>
  <si>
    <t>CourseOverrideSchool</t>
  </si>
  <si>
    <t>Course Quality Points Earned</t>
  </si>
  <si>
    <t>The numerical value assigned to a letter grade to provide a basis of quantitative determination of an average.</t>
  </si>
  <si>
    <t>000064</t>
  </si>
  <si>
    <t>CourseQualityPointsEarned</t>
  </si>
  <si>
    <t>Course Repeat Code</t>
  </si>
  <si>
    <t>Indicates that an academic course has been repeated by a student and how that repeat is to be computed in the student's academic grade average.</t>
  </si>
  <si>
    <t>000065</t>
  </si>
  <si>
    <t>CourseRepeatCode</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</si>
  <si>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</si>
  <si>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</si>
  <si>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000027</t>
  </si>
  <si>
    <t>CourseSectionAssessmentReportingMethod</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</si>
  <si>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</si>
  <si>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</si>
  <si>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</si>
  <si>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</si>
  <si>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000975</t>
  </si>
  <si>
    <t>CourseSectionEnrollmentStatusEndDate</t>
  </si>
  <si>
    <t>Course Section Enrollment Status Start Date</t>
  </si>
  <si>
    <t>The date on which the enrollment status began related to a student enrolled in an instance of a course.</t>
  </si>
  <si>
    <t>000974</t>
  </si>
  <si>
    <t>CourseSectionEnrollmentStatusStartDate</t>
  </si>
  <si>
    <t>Course Section Enrollment Status Type</t>
  </si>
  <si>
    <t>The status related to a student enrollment in an instance of a course.</t>
  </si>
  <si>
    <t>000976</t>
  </si>
  <si>
    <t>CourseSectionEnrollmentStatusType</t>
  </si>
  <si>
    <t>Course Section Entry Type</t>
  </si>
  <si>
    <t>The process by which a student enters a school (Course Section) during a given academic session.</t>
  </si>
  <si>
    <t>000650</t>
  </si>
  <si>
    <t>CourseSectionEntryType</t>
  </si>
  <si>
    <t>K-12 -&gt; Teacher-Student Data Link -&gt; Enrollment</t>
  </si>
  <si>
    <t>Course Section Exit Type</t>
  </si>
  <si>
    <t>The circumstances under which the student exited from membership in a course section.</t>
  </si>
  <si>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</si>
  <si>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</si>
  <si>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</si>
  <si>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</si>
  <si>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</si>
  <si>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</si>
  <si>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</si>
  <si>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</si>
  <si>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</si>
  <si>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</si>
  <si>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</si>
  <si>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</si>
  <si>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</si>
  <si>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</si>
  <si>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</si>
  <si>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</si>
  <si>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</si>
  <si>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</si>
  <si>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</si>
  <si>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</si>
  <si>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</si>
  <si>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</si>
  <si>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</si>
  <si>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</si>
  <si>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t>000258</t>
  </si>
  <si>
    <t>CourseSectionSingleSexClassStatus</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</si>
  <si>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</si>
  <si>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</si>
  <si>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</si>
  <si>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</si>
  <si>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</si>
  <si>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</si>
  <si>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The alphabetic abbreviation of the academic department or discipline offering the course. It is one part of the total course identifier number.</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</si>
  <si>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</si>
  <si>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</si>
  <si>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</si>
  <si>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</si>
  <si>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</si>
  <si>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</si>
  <si>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</si>
  <si>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</si>
  <si>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</si>
  <si>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</si>
  <si>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</si>
  <si>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Expiration Date</t>
  </si>
  <si>
    <t>The year, month and day on which an active credential held by a person will expire.</t>
  </si>
  <si>
    <t>000069</t>
  </si>
  <si>
    <t>CredentialExpirationDate</t>
  </si>
  <si>
    <t>Credential Issuance Date</t>
  </si>
  <si>
    <t>The year, month and day on which an active credential was issued to a person.</t>
  </si>
  <si>
    <t>000070</t>
  </si>
  <si>
    <t>CredentialIssuanceDate</t>
  </si>
  <si>
    <t>Credential or License Award Entity</t>
  </si>
  <si>
    <t>The name of the organization awarding the individual's credential or license.</t>
  </si>
  <si>
    <t>001587</t>
  </si>
  <si>
    <t>CredentialOrLicenseAwardEntity</t>
  </si>
  <si>
    <t>Credential Type</t>
  </si>
  <si>
    <t>An indication of the category of credential a person holds.</t>
  </si>
  <si>
    <t>000071</t>
  </si>
  <si>
    <t>CredentialType</t>
  </si>
  <si>
    <t>Credit Hours Applied Other Program</t>
  </si>
  <si>
    <t>Codes identifying the set of credit hours taken in other programs or degrees that were applied to the individual's degree.</t>
  </si>
  <si>
    <t>001317</t>
  </si>
  <si>
    <t>CreditHoursAppliedOtherProgram</t>
  </si>
  <si>
    <t>Credit Type Earned</t>
  </si>
  <si>
    <t>The type of credits or units of value awarded for the completion of a course.</t>
  </si>
  <si>
    <t>000072</t>
  </si>
  <si>
    <t>CreditTypeEarned</t>
  </si>
  <si>
    <t>Credits Attempted Cumulative</t>
  </si>
  <si>
    <t>The cumulative number of credits a person attempts to earn by taking courses during his or her enrollment in the current school as well as those credits transferred from schools in which the person had been previously enrolled.</t>
  </si>
  <si>
    <t>000073</t>
  </si>
  <si>
    <t>CreditsAttemptedCumulative</t>
  </si>
  <si>
    <t>Credits Earned Cumulative</t>
  </si>
  <si>
    <t>The cumulative number of credits a person earns by completing courses or examinations during his or her enrollment in the current school as well as those credits transferred from schools in which the person had been previously enrolled.</t>
  </si>
  <si>
    <t>000074</t>
  </si>
  <si>
    <t>CreditsEarnedCumulative</t>
  </si>
  <si>
    <t>Credits Required</t>
  </si>
  <si>
    <t>The total number of credits required for a student to graduate from the school of enrollment or complete a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</si>
  <si>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</si>
  <si>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</si>
  <si>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</si>
  <si>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</si>
  <si>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</si>
  <si>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</si>
  <si>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</si>
  <si>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</si>
  <si>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</si>
  <si>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</si>
  <si>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</si>
  <si>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</si>
  <si>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</si>
  <si>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</si>
  <si>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</si>
  <si>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</si>
  <si>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</si>
  <si>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</si>
  <si>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</si>
  <si>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</si>
  <si>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</si>
  <si>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</si>
  <si>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</si>
  <si>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</si>
  <si>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</si>
  <si>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</si>
  <si>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</si>
  <si>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</si>
  <si>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</si>
  <si>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</si>
  <si>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</si>
  <si>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</si>
  <si>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</si>
  <si>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Curriculum Framework Type</t>
  </si>
  <si>
    <t>An indication of the standard curriculum used for this course.</t>
  </si>
  <si>
    <t>000712</t>
  </si>
  <si>
    <t>CurriculumFrameworkType</t>
  </si>
  <si>
    <t>Custodial Parent or Guardian Indicator</t>
  </si>
  <si>
    <t>An indication that a person has legal custody of a child.</t>
  </si>
  <si>
    <t>Early Learning -&gt; Parent/Guardian -&gt; Relationship</t>
  </si>
  <si>
    <t>000329</t>
  </si>
  <si>
    <t>CustodialParentOrGuardianIndicator</t>
  </si>
  <si>
    <t>Date of Transition Plan</t>
  </si>
  <si>
    <t>The date transition steps and services were added to the individualized service plan.</t>
  </si>
  <si>
    <t>Early Learning -&gt; EL Child -&gt; Individualized Program -&gt; Individualized Transition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</si>
  <si>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</si>
  <si>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</si>
  <si>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</si>
  <si>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</si>
  <si>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</si>
  <si>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</si>
  <si>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</si>
  <si>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</si>
  <si>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</si>
  <si>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</si>
  <si>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</si>
  <si>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</si>
  <si>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</si>
  <si>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000355</t>
  </si>
  <si>
    <t>DaysAvailablePerWeek</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</si>
  <si>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</si>
  <si>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</si>
  <si>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</si>
  <si>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</si>
  <si>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</si>
  <si>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Degree Applicability</t>
  </si>
  <si>
    <t>An indication that the course is a part of a degree program.</t>
  </si>
  <si>
    <t>000077</t>
  </si>
  <si>
    <t>DegreeApplicability</t>
  </si>
  <si>
    <t>Degree or Certificate Conferring Date</t>
  </si>
  <si>
    <t>The year, month and day on which a person received a degree or certificate.</t>
  </si>
  <si>
    <t>000344</t>
  </si>
  <si>
    <t>DegreeOrCertificateConferringDate</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</si>
  <si>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</si>
  <si>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</si>
  <si>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</si>
  <si>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</si>
  <si>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</si>
  <si>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</si>
  <si>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</si>
  <si>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</si>
  <si>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</si>
  <si>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</si>
  <si>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t>000343</t>
  </si>
  <si>
    <t>DegreeOrCertificateType</t>
  </si>
  <si>
    <t>Demographic Race Two or More Races</t>
  </si>
  <si>
    <t>A person having origins in any of more than one of the racial groups.</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</si>
  <si>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</si>
  <si>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</si>
  <si>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</si>
  <si>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</si>
  <si>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</si>
  <si>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t>Use cases may utilize subsets of the option set. For example, the option set for Parent/Guardian may not include the "Children's health insurance program" option.</t>
  </si>
  <si>
    <t>000336</t>
  </si>
  <si>
    <t>DentalInsuranceCoverageType</t>
  </si>
  <si>
    <t>Early Learning -&gt; Program Entry</t>
  </si>
  <si>
    <t>Dental Screening Date</t>
  </si>
  <si>
    <t>The year, month and day of a dental screening</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</si>
  <si>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</si>
  <si>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</si>
  <si>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</si>
  <si>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</si>
  <si>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t>000310</t>
  </si>
  <si>
    <t>DentalScreeningStatus</t>
  </si>
  <si>
    <t>Dependency Status</t>
  </si>
  <si>
    <t>A person's classification as dependent or independent with regards to eligibility for Title IV Federal Student aid.</t>
  </si>
  <si>
    <t>000079</t>
  </si>
  <si>
    <t>DependencyStatus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</si>
  <si>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</si>
  <si>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</si>
  <si>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</si>
  <si>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</si>
  <si>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</si>
  <si>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</si>
  <si>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</si>
  <si>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</si>
  <si>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</si>
  <si>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The status of a student's referral to or placement into developmental education.</t>
  </si>
  <si>
    <t>001588</t>
  </si>
  <si>
    <t>DevelopmentalEducationReferralStatus</t>
  </si>
  <si>
    <t>Postsecondary Education -&gt; Voluntary Framework of Accountability</t>
  </si>
  <si>
    <t>Developmental Education Type</t>
  </si>
  <si>
    <t>An indicator of the category of developmental education.</t>
  </si>
  <si>
    <t>001589</t>
  </si>
  <si>
    <t>DevelopmentalEducationType</t>
  </si>
  <si>
    <t>Developmental Evaluation Finding</t>
  </si>
  <si>
    <t>Child developmental delay/disability determined by procedure used by appropriate qualified personnel.</t>
  </si>
  <si>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</si>
  <si>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</si>
  <si>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</si>
  <si>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</si>
  <si>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</si>
  <si>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</si>
  <si>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</si>
  <si>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</si>
  <si>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Early Learning -&gt; EL Organization -&gt; Organization Information</t>
  </si>
  <si>
    <t>000868</t>
  </si>
  <si>
    <t>DifferentialShiftPayIndicator</t>
  </si>
  <si>
    <t>Diploma or Credential Award Date</t>
  </si>
  <si>
    <t>The month and year on which the diploma/credential is awarded to a student in recognition of his/her completion of the curricular requirements.</t>
  </si>
  <si>
    <t>YYYY-MM</t>
  </si>
  <si>
    <t>000081</t>
  </si>
  <si>
    <t>DiplomaOrCredentialAwardDate</t>
  </si>
  <si>
    <t>Directory Information Block Status</t>
  </si>
  <si>
    <t>An indication of whether a individual requested a Family Education Rights and Privacy Act (FERPA) block to withhold the release of the person's directory information.</t>
  </si>
  <si>
    <t>001590</t>
  </si>
  <si>
    <t>DirectoryInformationBlockStatus</t>
  </si>
  <si>
    <t>Disability Condition Status Type</t>
  </si>
  <si>
    <t>A code indicating the disability condition status.</t>
  </si>
  <si>
    <t>001319</t>
  </si>
  <si>
    <t>Disability Condition Status Code</t>
  </si>
  <si>
    <t>DisabilityConditionStatusCode</t>
  </si>
  <si>
    <t>Disability Condition Type</t>
  </si>
  <si>
    <t>Codes identifying the set of disability conditions.</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</si>
  <si>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</si>
  <si>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</si>
  <si>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</si>
  <si>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</si>
  <si>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</si>
  <si>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t>001321</t>
  </si>
  <si>
    <t>DisabilityDeterminationSourceType</t>
  </si>
  <si>
    <t>Disability Status</t>
  </si>
  <si>
    <t>An indication of whether a person is classified as disabled under the American's with Disability Act (ADA).</t>
  </si>
  <si>
    <t>000577</t>
  </si>
  <si>
    <t>DisabilityStatus</t>
  </si>
  <si>
    <t>Disciplinary Action End Date</t>
  </si>
  <si>
    <t>The year, month and day on which a discipline action ends.</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</si>
  <si>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</si>
  <si>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</si>
  <si>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</si>
  <si>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</si>
  <si>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</si>
  <si>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</si>
  <si>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</si>
  <si>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</si>
  <si>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</si>
  <si>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</si>
  <si>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</si>
  <si>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</si>
  <si>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</si>
  <si>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t>000488</t>
  </si>
  <si>
    <t>DisciplinaryActionTaken</t>
  </si>
  <si>
    <t>Discipline Action Length Difference Reason</t>
  </si>
  <si>
    <t>The reason for the difference, if any, between the official and actual lengths of a student’s disciplinary assignment.</t>
  </si>
  <si>
    <t>000609</t>
  </si>
  <si>
    <t>DisciplineActionLengthDifferenceReason</t>
  </si>
  <si>
    <t>Discipline Method for Firearms Incidents</t>
  </si>
  <si>
    <t>The method used to discipline students who are not children with disabilities (IDEA) involved in firearms and other outcomes of firearms incidents.</t>
  </si>
  <si>
    <t>K12 -&gt; K12 Student -&gt; Discipline (added)</t>
  </si>
  <si>
    <t>000555</t>
  </si>
  <si>
    <t>DisciplineMethodForFirearmsIncidents</t>
  </si>
  <si>
    <t>Discipline Method of Children with Disabilities</t>
  </si>
  <si>
    <t>The type of suspension or expulsion used for the discipline of children with disabilities.</t>
  </si>
  <si>
    <t>000538</t>
  </si>
  <si>
    <t>DisciplineMethodOfChildrenWithDisabilities</t>
  </si>
  <si>
    <t>Discipline Reason</t>
  </si>
  <si>
    <t>The reason why the student was disciplined.</t>
  </si>
  <si>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</si>
  <si>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</si>
  <si>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</si>
  <si>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</si>
  <si>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</si>
  <si>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</si>
  <si>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</si>
  <si>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</si>
  <si>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</si>
  <si>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</si>
  <si>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</si>
  <si>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</si>
  <si>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</si>
  <si>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</si>
  <si>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</si>
  <si>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</si>
  <si>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</si>
  <si>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</si>
  <si>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</si>
  <si>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</si>
  <si>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</si>
  <si>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001323</t>
  </si>
  <si>
    <t>DistanceEducationProgramEnrollmentIndicator</t>
  </si>
  <si>
    <t>Doctoral Candidacy Admit Indicator</t>
  </si>
  <si>
    <t>The individual's status in being admitted as a doctoral candidate.</t>
  </si>
  <si>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</si>
  <si>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</si>
  <si>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</si>
  <si>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</si>
  <si>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</si>
  <si>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</si>
  <si>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</si>
  <si>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</si>
  <si>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</si>
  <si>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</si>
  <si>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</si>
  <si>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</si>
  <si>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</si>
  <si>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</si>
  <si>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</si>
  <si>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</si>
  <si>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</si>
  <si>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t>Based on the Degree Qualifications Profile.</t>
  </si>
  <si>
    <t>001641</t>
  </si>
  <si>
    <t>DQPCategoriesOfLearning</t>
  </si>
  <si>
    <t>Dual Credit Dual Enrollment Credits Awarded</t>
  </si>
  <si>
    <t>The number of credits awarded a student by the postsecondary institution based on successful completion of dual credit/dual enrollment courses.</t>
  </si>
  <si>
    <t>000085</t>
  </si>
  <si>
    <t>DualCreditDualEnrollmentCreditsAwarded</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</si>
  <si>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</si>
  <si>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</si>
  <si>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</si>
  <si>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</si>
  <si>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</si>
  <si>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</si>
  <si>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t>000345</t>
  </si>
  <si>
    <t>EarlyChildhoodCredential</t>
  </si>
  <si>
    <t>Early Childhood Degree or Certificate Holder</t>
  </si>
  <si>
    <t>Staff has a degree in early childhood regardless of level.</t>
  </si>
  <si>
    <t>Early Learning -&gt; EL Staff -&gt; Education</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</si>
  <si>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</si>
  <si>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</si>
  <si>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</si>
  <si>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</si>
  <si>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Early Learning -&gt; EL Child -&gt; Services</t>
  </si>
  <si>
    <t>001591</t>
  </si>
  <si>
    <t>EarlyChildhoodEducationAndAssistanceProgramEligibility</t>
  </si>
  <si>
    <t>Early Childhood Program Enrollment Type</t>
  </si>
  <si>
    <t>The system outlining activities and procedures based on a set of required services and standards in which the child is enrolled.</t>
  </si>
  <si>
    <t>000829</t>
  </si>
  <si>
    <t>EarlyChildhoodProgramEnrollmentType</t>
  </si>
  <si>
    <t>Early Childhood Services Offered</t>
  </si>
  <si>
    <t>A type of service offered by an organization that adapts the curriculum, materials, or instruction for students identified as needing additional resources.</t>
  </si>
  <si>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</si>
  <si>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</si>
  <si>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</si>
  <si>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</si>
  <si>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</si>
  <si>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</si>
  <si>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</si>
  <si>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The site or setting in which early childhood care, education, and/or services are provided.</t>
  </si>
  <si>
    <t>000356</t>
  </si>
  <si>
    <t>EarlyChildhoodSetting</t>
  </si>
  <si>
    <t>Early Learning Application Identifier</t>
  </si>
  <si>
    <t>Identifier for the application for enrollment or direct services filled out on behalf of a child</t>
  </si>
  <si>
    <t>Early Learning -&gt; EL Child -&gt; Services -&gt; Application</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</si>
  <si>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</si>
  <si>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</si>
  <si>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</si>
  <si>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</si>
  <si>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</si>
  <si>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</si>
  <si>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</si>
  <si>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</si>
  <si>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t>Early Learning -&gt; EL Class/Group (added)</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</si>
  <si>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</si>
  <si>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</si>
  <si>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</si>
  <si>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</si>
  <si>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</si>
  <si>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</si>
  <si>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</si>
  <si>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</si>
  <si>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</si>
  <si>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</si>
  <si>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</si>
  <si>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</si>
  <si>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t>000813</t>
  </si>
  <si>
    <t>EarlyLearningCoreKnowledgeArea</t>
  </si>
  <si>
    <t>Early Learning Education Staff Classification</t>
  </si>
  <si>
    <t>The title/role of employment, official status, or rank of education staff</t>
  </si>
  <si>
    <t>Early Learning -&gt; EL Staff -&gt; Employment</t>
  </si>
  <si>
    <t>001602</t>
  </si>
  <si>
    <t>EarlyLearningEducationStaffClassification</t>
  </si>
  <si>
    <t>Early Learning Employment Separation Reason</t>
  </si>
  <si>
    <t>The primary reason for the termination of the employment relationship.</t>
  </si>
  <si>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</si>
  <si>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</si>
  <si>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</si>
  <si>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</si>
  <si>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</si>
  <si>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</si>
  <si>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</si>
  <si>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</si>
  <si>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</si>
  <si>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</si>
  <si>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</si>
  <si>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</si>
  <si>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</si>
  <si>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</si>
  <si>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</si>
  <si>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</si>
  <si>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</si>
  <si>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</si>
  <si>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</si>
  <si>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</si>
  <si>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</si>
  <si>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</si>
  <si>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</si>
  <si>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</si>
  <si>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</si>
  <si>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</si>
  <si>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</si>
  <si>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</si>
  <si>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</si>
  <si>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</si>
  <si>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</si>
  <si>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</si>
  <si>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t>000824</t>
  </si>
  <si>
    <t>EarlyLearningGroupSizeStandardsMet</t>
  </si>
  <si>
    <t>Early Learning Local Revenue Source</t>
  </si>
  <si>
    <t>Funds that originate at the local level, and not from the state or federal level, that contribute to EL program.</t>
  </si>
  <si>
    <t>001603</t>
  </si>
  <si>
    <t>EarlyLearningLocalRevenueSource</t>
  </si>
  <si>
    <t>Early Learning Oldest Age Authorized to Serve</t>
  </si>
  <si>
    <t>The oldest age of children a class/group is authorized or licensed to serve. (Age is specified in months)</t>
  </si>
  <si>
    <t>001225</t>
  </si>
  <si>
    <t>EarlyLearningOIdestAgeAuthorizedToServe</t>
  </si>
  <si>
    <t>Early Learning Other Federal Funding Sources</t>
  </si>
  <si>
    <t>The other contributing funding sources.</t>
  </si>
  <si>
    <t>001335</t>
  </si>
  <si>
    <t>EarlyLearningOtherFederalFundingSources</t>
  </si>
  <si>
    <t>Early Learning Outcome Measurement Level</t>
  </si>
  <si>
    <t>Use for outcome measures in early learning.</t>
  </si>
  <si>
    <t>Early Learning -&gt; EL Child -&gt; Child Outcome Summary (added)</t>
  </si>
  <si>
    <t>001336</t>
  </si>
  <si>
    <t>EarlyLearningOutcomeMeasurementLevel</t>
  </si>
  <si>
    <t>Early Learning Outcome Time Point</t>
  </si>
  <si>
    <t>The point in time for which the result is used for an outcome measure.</t>
  </si>
  <si>
    <t>001503</t>
  </si>
  <si>
    <t>EarlyLearningOutcomeTimePoint</t>
  </si>
  <si>
    <t>Early Learning Professional Development Topic Area</t>
  </si>
  <si>
    <t>The topical area of competence needed for Staff professional development.</t>
  </si>
  <si>
    <t>001337</t>
  </si>
  <si>
    <t>EarlyLearningProfessionalDevelopmentTopicArea</t>
  </si>
  <si>
    <t>Early Learning Program Annual Operating Weeks</t>
  </si>
  <si>
    <t>The number of operating weeks per year for an early learning program.</t>
  </si>
  <si>
    <t>Integer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</si>
  <si>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</si>
  <si>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</si>
  <si>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</si>
  <si>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</si>
  <si>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Early Learning -&gt; EL Organization -&gt; Health Promotion</t>
  </si>
  <si>
    <t>000848</t>
  </si>
  <si>
    <t>EarlyLearningProgramDevelopmentalScreeningStatus</t>
  </si>
  <si>
    <t>Early Learning Program Eligibility Category</t>
  </si>
  <si>
    <t>Category under which the person is eligible for an early childhood program or service.</t>
  </si>
  <si>
    <t>Early Learning -&gt; EL Child -&gt; Eligibility</t>
  </si>
  <si>
    <t>000304</t>
  </si>
  <si>
    <t>EarlyLearningProgramEligibilityCategory</t>
  </si>
  <si>
    <t>Early Learning Program Eligibility Expiration Date</t>
  </si>
  <si>
    <t>The year, month, and day on which the child is no longer eligible for the Program.</t>
  </si>
  <si>
    <t>001338</t>
  </si>
  <si>
    <t>EarlyLearningProgramEligibilityExpirationDate</t>
  </si>
  <si>
    <t>Early Learning Program Eligibility Status</t>
  </si>
  <si>
    <t>The status of eligibility for the child.</t>
  </si>
  <si>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</si>
  <si>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</si>
  <si>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</si>
  <si>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</si>
  <si>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</si>
  <si>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</si>
  <si>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</si>
  <si>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</si>
  <si>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</si>
  <si>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</si>
  <si>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</si>
  <si>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</si>
  <si>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</si>
  <si>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</si>
  <si>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</si>
  <si>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</si>
  <si>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</si>
  <si>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</si>
  <si>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</si>
  <si>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</si>
  <si>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</si>
  <si>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</si>
  <si>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</si>
  <si>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</si>
  <si>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t>001636</t>
  </si>
  <si>
    <t>EarlyLearningServiceProfessionalStaffClassification</t>
  </si>
  <si>
    <t>Early Learning Service Type</t>
  </si>
  <si>
    <t>A type of service provided to a child.</t>
  </si>
  <si>
    <t>001604</t>
  </si>
  <si>
    <t>EarlyLearningServiceType</t>
  </si>
  <si>
    <t>Early Learning Staff Total College Credits Earned</t>
  </si>
  <si>
    <t>Total number of college credits earned, including all credits within a degree and outside a degree, regardless of whether they all are early childhood credits.</t>
  </si>
  <si>
    <t>Numeric - up to 2 digits after decimal place.</t>
  </si>
  <si>
    <t>000792</t>
  </si>
  <si>
    <t>EarlyLearningStaffTotalCollegeCreditsEarned</t>
  </si>
  <si>
    <t>Early Learning State Revenue Source</t>
  </si>
  <si>
    <t>Funds that originate at the State, and not from a federal or local source, that contribute to EL program.</t>
  </si>
  <si>
    <t>001605</t>
  </si>
  <si>
    <t>EarlyLearningStateRevenueSource</t>
  </si>
  <si>
    <t>Early Learning Trainer Core Knowledge Area</t>
  </si>
  <si>
    <t>A description of the core knowledge expertise of a trainer of a professional development experience.</t>
  </si>
  <si>
    <t>001606</t>
  </si>
  <si>
    <t>EarlyLearningTrainerCoreKnowledgeArea</t>
  </si>
  <si>
    <t>Early Learning Youngest Age Authorized to Serve</t>
  </si>
  <si>
    <t>The youngest age of children a class/group is authorized or licensed to serve. (Age is specified in months)</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</si>
  <si>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</si>
  <si>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</si>
  <si>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</si>
  <si>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</si>
  <si>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</si>
  <si>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</si>
  <si>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</si>
  <si>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</si>
  <si>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</si>
  <si>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t>Early Learning -&gt; EL Organization -&gt; Directory</t>
  </si>
  <si>
    <t>000862</t>
  </si>
  <si>
    <t>ERS Rural-Urban Continuum Code</t>
  </si>
  <si>
    <t>ERSRuralUrbanContinuumCode</t>
  </si>
  <si>
    <t>Education Verification Method</t>
  </si>
  <si>
    <t>The method by which the formal education is verified.</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</si>
  <si>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</si>
  <si>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</si>
  <si>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</si>
  <si>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</si>
  <si>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</si>
  <si>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</si>
  <si>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</si>
  <si>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</si>
  <si>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Alphanumeric - 7 characters minimum, 128 characters maximum</t>
  </si>
  <si>
    <t>000088</t>
  </si>
  <si>
    <t>Email Address</t>
  </si>
  <si>
    <t>ElectronicMailAddress</t>
  </si>
  <si>
    <t>Electronic Mail Address Type</t>
  </si>
  <si>
    <t>The type of electronic mail (e-mail) address listed for a person or organization.</t>
  </si>
  <si>
    <t>000089</t>
  </si>
  <si>
    <t>Email Address Type</t>
  </si>
  <si>
    <t>ElectronicMailAddressType</t>
  </si>
  <si>
    <t>Elementary-Middle Additional Indicator Status</t>
  </si>
  <si>
    <t>An indication of whether the school or district met the Elementary/Middle Additional Indicator requirement in accordance with state definition for the purpose of determining Adequate Yearly Progress (AYP).</t>
  </si>
  <si>
    <t>000091</t>
  </si>
  <si>
    <t>ElementaryMiddleAdditionalIndicatorStatus</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</si>
  <si>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</si>
  <si>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</si>
  <si>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</si>
  <si>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</si>
  <si>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</si>
  <si>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</si>
  <si>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t>000092</t>
  </si>
  <si>
    <t>EligibilityStatusForSchoolFoodServicePrograms</t>
  </si>
  <si>
    <t>Emergency Contact Indicator</t>
  </si>
  <si>
    <t>Indicates whether or not the person is a designated emergency contact for the learner.</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</si>
  <si>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</si>
  <si>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</si>
  <si>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</si>
  <si>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</si>
  <si>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</si>
  <si>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</si>
  <si>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</si>
  <si>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</si>
  <si>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</si>
  <si>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</si>
  <si>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</si>
  <si>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</si>
  <si>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</si>
  <si>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</si>
  <si>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</si>
  <si>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</si>
  <si>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</si>
  <si>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</si>
  <si>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</si>
  <si>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</si>
  <si>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</si>
  <si>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000795</t>
  </si>
  <si>
    <t>EmploymentEndDate</t>
  </si>
  <si>
    <t>Employment Location</t>
  </si>
  <si>
    <t>The state or other location in which an individual is found employed.</t>
  </si>
  <si>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</si>
  <si>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</si>
  <si>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</si>
  <si>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</si>
  <si>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</si>
  <si>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See http://www.census.gov/eos/www/naics/</t>
  </si>
  <si>
    <t>######</t>
  </si>
  <si>
    <t>001064</t>
  </si>
  <si>
    <t>EmploymentNAICSCode</t>
  </si>
  <si>
    <t>Employment Record Administrative Data Source</t>
  </si>
  <si>
    <t>Administrative data source of information used to collect employment and earnings-related data.</t>
  </si>
  <si>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</si>
  <si>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</si>
  <si>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</si>
  <si>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</si>
  <si>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</si>
  <si>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</si>
  <si>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</si>
  <si>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</si>
  <si>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</si>
  <si>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</si>
  <si>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000992</t>
  </si>
  <si>
    <t>EmploymentRecordReferencePeriodStartDate</t>
  </si>
  <si>
    <t>Employment Separation Reason</t>
  </si>
  <si>
    <t>000620</t>
  </si>
  <si>
    <t>EmploymentSeparationReason</t>
  </si>
  <si>
    <t>Employment Separation Type</t>
  </si>
  <si>
    <t>A designation of the type of separation occurring between a person and the organization.</t>
  </si>
  <si>
    <t>000621</t>
  </si>
  <si>
    <t>EmploymentSeparationType</t>
  </si>
  <si>
    <t>Employment Start Date</t>
  </si>
  <si>
    <t>The year, month and day on which a person began self-employment or employment with an organization or institution.</t>
  </si>
  <si>
    <t>000346</t>
  </si>
  <si>
    <t>EmploymentStartDate</t>
  </si>
  <si>
    <t>Employment Status</t>
  </si>
  <si>
    <t>000347</t>
  </si>
  <si>
    <t>EmploymentStatus</t>
  </si>
  <si>
    <t>Employment Status While Enrolled</t>
  </si>
  <si>
    <t>An indication of the individual's employment status while enrolled.</t>
  </si>
  <si>
    <t>Postsecondary -&gt; PS Student -&gt; Employment</t>
  </si>
  <si>
    <t>001343</t>
  </si>
  <si>
    <t>EmploymentStatusWhileEnrolled</t>
  </si>
  <si>
    <t>End of Term Status</t>
  </si>
  <si>
    <t>The nature of the student's progress at the end of a given school term.</t>
  </si>
  <si>
    <t>000093</t>
  </si>
  <si>
    <t>EndOfTermStatus</t>
  </si>
  <si>
    <t>Enrollment Date</t>
  </si>
  <si>
    <t>The year, month and day on which a person is considered officially enrolled in the program.</t>
  </si>
  <si>
    <t>000324</t>
  </si>
  <si>
    <t>EnrollmentDate</t>
  </si>
  <si>
    <t>Enrollment Entry Date</t>
  </si>
  <si>
    <t>The month, day, and year on which a person enters and begins to receive instructional services in a school, institution, program, or class-section during a given session.</t>
  </si>
  <si>
    <t>000097</t>
  </si>
  <si>
    <t>EnrollmentEntryDate</t>
  </si>
  <si>
    <t>Enrollment Exit Date</t>
  </si>
  <si>
    <t>The year, month and day on which the student officially withdrew or graduated, i.e. the date on which the student's enrollment ended.</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</si>
  <si>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</si>
  <si>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</si>
  <si>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</si>
  <si>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</si>
  <si>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</si>
  <si>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</si>
  <si>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</si>
  <si>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</si>
  <si>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</si>
  <si>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t>000094</t>
  </si>
  <si>
    <t>EnrollmentStatus</t>
  </si>
  <si>
    <t>Entry Date into Postsecondary</t>
  </si>
  <si>
    <t>The year, month and day on which a person entered and began to receive instructional services at a postsecondary institution for the first time after completing high school (or its equivalent).</t>
  </si>
  <si>
    <t>000098</t>
  </si>
  <si>
    <t>EntryDateIntoPostsecondary</t>
  </si>
  <si>
    <t>Entry Grade Level</t>
  </si>
  <si>
    <t>The grade level or primary instructional level at which a student enters and receives services in a school or an educational institution during a given academic session.</t>
  </si>
  <si>
    <t>000100</t>
  </si>
  <si>
    <t>EntryGradeLevel</t>
  </si>
  <si>
    <t>Entry Type</t>
  </si>
  <si>
    <t>The process by which a student enters a school during a given academic session.</t>
  </si>
  <si>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</si>
  <si>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</si>
  <si>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</si>
  <si>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</si>
  <si>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</si>
  <si>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</si>
  <si>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</si>
  <si>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</si>
  <si>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t>000108</t>
  </si>
  <si>
    <t>ExitOrWithdrawalStatus</t>
  </si>
  <si>
    <t>Exit or Withdrawal Type</t>
  </si>
  <si>
    <t>The circumstances under which the student exited from membership in an educational institution.</t>
  </si>
  <si>
    <t>000110</t>
  </si>
  <si>
    <t>ExitOrWithdrawalType</t>
  </si>
  <si>
    <t>Exit Reason</t>
  </si>
  <si>
    <t>The documented or assumed reason a student is no longer being served by a special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</si>
  <si>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</si>
  <si>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</si>
  <si>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</si>
  <si>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</si>
  <si>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000504</t>
  </si>
  <si>
    <t>FacilitiesIdentifier</t>
  </si>
  <si>
    <t>Facility Building Name</t>
  </si>
  <si>
    <t>The full, legally accepted or popularly accepted name of a building.</t>
  </si>
  <si>
    <t>001205</t>
  </si>
  <si>
    <t>FacilityBuildingName</t>
  </si>
  <si>
    <t>Facility Licensing Status</t>
  </si>
  <si>
    <t>The status of the facility license.</t>
  </si>
  <si>
    <t>000984</t>
  </si>
  <si>
    <t>FacilityLicensingStatus</t>
  </si>
  <si>
    <t>Facility Profit Status</t>
  </si>
  <si>
    <t>An indication of the for-profit status of a facility.</t>
  </si>
  <si>
    <t>Early Learning -&gt; EL Organization -&gt; Facility</t>
  </si>
  <si>
    <t>000834</t>
  </si>
  <si>
    <t>FacilityProfitStatus</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</si>
  <si>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</si>
  <si>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</si>
  <si>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</si>
  <si>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</si>
  <si>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</si>
  <si>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</si>
  <si>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t>001208</t>
  </si>
  <si>
    <t>FacilitySpaceUseType</t>
  </si>
  <si>
    <t>Faculty and Administration Performance Level</t>
  </si>
  <si>
    <t>The levels used in district evaluation systems for assigning teacher or principal performance ratings.</t>
  </si>
  <si>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</si>
  <si>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</si>
  <si>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</si>
  <si>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</si>
  <si>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</si>
  <si>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</si>
  <si>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</si>
  <si>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</si>
  <si>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</si>
  <si>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</si>
  <si>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</si>
  <si>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</si>
  <si>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</si>
  <si>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</si>
  <si>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Early Learning -&gt; EL Family -&gt; Identification (added)</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</si>
  <si>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</si>
  <si>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</si>
  <si>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</si>
  <si>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</si>
  <si>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Early Learning -&gt; EL Family -&gt; Family/Household Information</t>
  </si>
  <si>
    <t>Family Income is calculated based on the method specified by “Income Calculation Method.”</t>
  </si>
  <si>
    <t>000332</t>
  </si>
  <si>
    <t>FamilyIncome</t>
  </si>
  <si>
    <t>Federal Program Code</t>
  </si>
  <si>
    <t>The unique five-digit number assigned to each federal program as listed in the Catalog of Federal Domestic Assistance (CFDA) Programs. See http://www.cfda.gov/.</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</si>
  <si>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</si>
  <si>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</si>
  <si>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</si>
  <si>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</si>
  <si>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000549</t>
  </si>
  <si>
    <t>FederalProgramsFundingAllocation</t>
  </si>
  <si>
    <t>Federal Programs Funding Allocation Type</t>
  </si>
  <si>
    <t>The type of federal program funding allocation or distribution made.</t>
  </si>
  <si>
    <t>000548</t>
  </si>
  <si>
    <t>FederalProgramsFundingAllocationType</t>
  </si>
  <si>
    <t>Federal School Code</t>
  </si>
  <si>
    <t>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</si>
  <si>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See http://www.ifap.ed.gov/fedschcodelist/attachments/1112FedSchoolCodeList.xls</t>
  </si>
  <si>
    <t>000111</t>
  </si>
  <si>
    <t>FederalSchoolCode</t>
  </si>
  <si>
    <t>Financial Account Balance Sheet Code</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</si>
  <si>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</si>
  <si>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Based on codes specified in the NCES Handbook "Financial Accounting for Local and State School Systems: 2014 Edition".</t>
  </si>
  <si>
    <t>001353</t>
  </si>
  <si>
    <t>FinancialAccountBalanceSheetCode</t>
  </si>
  <si>
    <t>Financial Account Category</t>
  </si>
  <si>
    <t>A label for a grouping of financial accounts, based on type and purpose.</t>
  </si>
  <si>
    <t>001345</t>
  </si>
  <si>
    <t>FinancialAccountCategory</t>
  </si>
  <si>
    <t>Financial Account Description</t>
  </si>
  <si>
    <t>The description for the financial account in an educational institution’s accounting system.</t>
  </si>
  <si>
    <t>001346</t>
  </si>
  <si>
    <t>FinancialAccountDescription</t>
  </si>
  <si>
    <t>Financial Account Fund Classification</t>
  </si>
  <si>
    <t>A fund is a separate fiscal and accounting entity with a self-balancing set of accounts recording cash and other financial resources, together with all related liabilities and residual equities or balances or changes therein.</t>
  </si>
  <si>
    <t>001347</t>
  </si>
  <si>
    <t>FinancialAccountFundClassification</t>
  </si>
  <si>
    <t>Financial Account Name</t>
  </si>
  <si>
    <t>The name given to the financial account in an educational institution’s accounting system.</t>
  </si>
  <si>
    <t>001348</t>
  </si>
  <si>
    <t>FinancialAccountName</t>
  </si>
  <si>
    <t>Financial Account Number</t>
  </si>
  <si>
    <t>A number given to a financial account within a local source accounting system. The number may be a concatenation of a standard prefix for the type of account with digits added that have specific meaning within the local system.</t>
  </si>
  <si>
    <t>001554</t>
  </si>
  <si>
    <t>FinancialAccountNumber</t>
  </si>
  <si>
    <t>Financial Account Program Code</t>
  </si>
  <si>
    <t>A program is a plan of activities and procedures designed to accomplish a predetermined objective or set of objectives. The program classification provides the school district with a framework to classify instructional and other expenditures by program to determine cost.</t>
  </si>
  <si>
    <t>001349</t>
  </si>
  <si>
    <t>FinancialAccountProgramCode</t>
  </si>
  <si>
    <t>Financial Account Program Name</t>
  </si>
  <si>
    <t>The name given to the program area in an educational institution's accounting system.</t>
  </si>
  <si>
    <t>001645</t>
  </si>
  <si>
    <t>FinancialAccountProgramName</t>
  </si>
  <si>
    <t>Financial Account Program Number</t>
  </si>
  <si>
    <t>A number given to a program area within an educational institution's accounting system.</t>
  </si>
  <si>
    <t>001646</t>
  </si>
  <si>
    <t>FinancialAccountProgramNumber</t>
  </si>
  <si>
    <t>Financial Account Revenue Code</t>
  </si>
  <si>
    <t>These codes are for recording revenue and other receivables by source. Major revenue categories have codes ending in 00 and are further subdivided.</t>
  </si>
  <si>
    <t>Early Learning: If related to an "in kind" contribution use codes 1920 or 100.</t>
  </si>
  <si>
    <t>001468</t>
  </si>
  <si>
    <t>FinancialAccountRevenueCode</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</si>
  <si>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</si>
  <si>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</si>
  <si>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</si>
  <si>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</si>
  <si>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</si>
  <si>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</si>
  <si>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</si>
  <si>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</si>
  <si>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</si>
  <si>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</si>
  <si>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</si>
  <si>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</si>
  <si>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</si>
  <si>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</si>
  <si>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</si>
  <si>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</si>
  <si>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</si>
  <si>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</si>
  <si>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</si>
  <si>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</si>
  <si>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</si>
  <si>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</si>
  <si>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</si>
  <si>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Any applicant who submits any one of the institutionally required financial aid applications/forms, such as the Free Application for Federal Student Aid (FAFSA).</t>
  </si>
  <si>
    <t>Postsecondary -&gt; PS Student -&gt; Financial Aid</t>
  </si>
  <si>
    <t>Common Data Set definition.</t>
  </si>
  <si>
    <t>Element should be used in combination with Financial Aid Applicant Type.</t>
  </si>
  <si>
    <t>000763</t>
  </si>
  <si>
    <t>FinancialAidApplicant</t>
  </si>
  <si>
    <t>Financial Aid Application Type</t>
  </si>
  <si>
    <t>The type of financial application completed by an individual.</t>
  </si>
  <si>
    <t>Common Data Set definition. This element may be repeated multiple times.</t>
  </si>
  <si>
    <t>001223</t>
  </si>
  <si>
    <t>FinancialAidApplicationType</t>
  </si>
  <si>
    <t>Financial Aid Award Amount</t>
  </si>
  <si>
    <t>The amount of financial aid awarded to a person for the term/year.</t>
  </si>
  <si>
    <t>Linked to financial aid award type.</t>
  </si>
  <si>
    <t>Note: For any given individual this cluster of fields may be repeated multiple times.</t>
  </si>
  <si>
    <t>000112</t>
  </si>
  <si>
    <t>FinancialAidAwardAmount</t>
  </si>
  <si>
    <t>Financial Aid Award Status</t>
  </si>
  <si>
    <t>An indication of whether the financial aid type being reported is aid that has been awarded, accepted or dispersed.</t>
  </si>
  <si>
    <t>Linked to financial aid type, financial aid amount.</t>
  </si>
  <si>
    <t>Note: For any given individual this field may be repeated multiple times.</t>
  </si>
  <si>
    <t>000363</t>
  </si>
  <si>
    <t>FinancialAidAwardStatus</t>
  </si>
  <si>
    <t>Financial Aid Award Type</t>
  </si>
  <si>
    <t>The classification of financial aid awarded to a person for the academic term/year.</t>
  </si>
  <si>
    <t>Linked to financial aid type.</t>
  </si>
  <si>
    <t>000113</t>
  </si>
  <si>
    <t>FinancialAidAwardType</t>
  </si>
  <si>
    <t>Financial Aid Income Level</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</si>
  <si>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</si>
  <si>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001352</t>
  </si>
  <si>
    <t>FinancialAidIncomeLevel</t>
  </si>
  <si>
    <t>Financial Aid Veteran’s Benefit Status</t>
  </si>
  <si>
    <t>An indication of whether a person is receiving Veteran's benefits.</t>
  </si>
  <si>
    <t>001609</t>
  </si>
  <si>
    <t>FinancialAidVeteransBenefitStatus</t>
  </si>
  <si>
    <t>Financial Aid Veteran’s Benefit Type</t>
  </si>
  <si>
    <t>The type of Veteran's benefits a person is receiving.</t>
  </si>
  <si>
    <t>001610</t>
  </si>
  <si>
    <t>FinancialAidVeteransBenefitType</t>
  </si>
  <si>
    <t>Financial Aid Year Designator</t>
  </si>
  <si>
    <t>The school year for which the student's financial aid application and award data apply. Generally, this is the 12-month period from July 1 to June 30.</t>
  </si>
  <si>
    <t>001611</t>
  </si>
  <si>
    <t>FinancialAidYearDesignator</t>
  </si>
  <si>
    <t>Financial Expenditure Function Code</t>
  </si>
  <si>
    <t>The function describes the activity for which a service or material object is acquired. The functions of a school district are classified into five broad areas: instruction, support services, operation of noninstructional services, facilities acquisition and construction, and debt service. Functions are further classified into sub functions.</t>
  </si>
  <si>
    <t>001354</t>
  </si>
  <si>
    <t>FinancialExpenditureFunctionCode</t>
  </si>
  <si>
    <t>Financial Expenditure Level of Instruction Code</t>
  </si>
  <si>
    <t>This classification permits expenditures to be segregated by instructional level.</t>
  </si>
  <si>
    <t>001555</t>
  </si>
  <si>
    <t>FinancialExpenditureLevelOfInstructionCode</t>
  </si>
  <si>
    <t>Financial Expenditure Object Code</t>
  </si>
  <si>
    <t>This classification is used to describe the service or commodity obtained as the result of a specific expenditure. Nine major object categories have codes ending in 00 and are further subdivided.</t>
  </si>
  <si>
    <t>001355</t>
  </si>
  <si>
    <t>FinancialExpenditureObjectCode</t>
  </si>
  <si>
    <t>Financial Expenditure Project Reporting Code</t>
  </si>
  <si>
    <t>The project/reporting code permits school districts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</si>
  <si>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"Financial Accounting for Local and State School Systems: 2014 Edition":</t>
  </si>
  <si>
    <t>010 to 190 Local Projects. Expenditures that require specialized reporting and are funded from local sources.</t>
  </si>
  <si>
    <t>200 to 390 State Projects. Expenditures that require specialized reporting for categorically funded state programs.</t>
  </si>
  <si>
    <t>400 to 990 Federal Projects. Expenditures that require specialized reporting to the federal government directly or through the state.</t>
  </si>
  <si>
    <t>1000 Noncategorical. Expenditures that do not require specialized reporting.</t>
  </si>
  <si>
    <t>001556</t>
  </si>
  <si>
    <t>FinancialExpenditureProjectReportingCode</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</si>
  <si>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</si>
  <si>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</si>
  <si>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</si>
  <si>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</si>
  <si>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</si>
  <si>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</si>
  <si>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</si>
  <si>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t>Element should be used in combination with Financial Need.</t>
  </si>
  <si>
    <t>001224</t>
  </si>
  <si>
    <t>FinancialNeedDeterminationMethodology</t>
  </si>
  <si>
    <t>Firearm Type</t>
  </si>
  <si>
    <t>The type of firearm.</t>
  </si>
  <si>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</si>
  <si>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</si>
  <si>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</si>
  <si>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</si>
  <si>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</si>
  <si>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</si>
  <si>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</si>
  <si>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</si>
  <si>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</si>
  <si>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</si>
  <si>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</si>
  <si>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</si>
  <si>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</si>
  <si>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</si>
  <si>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</si>
  <si>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</si>
  <si>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</si>
  <si>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</si>
  <si>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Workforce Note: To collect data on workforce program participation, a data match will have to be negotiated between state agencies. The data match makes use of name, social security number, gender and ethnicity data.</t>
  </si>
  <si>
    <t>000115</t>
  </si>
  <si>
    <t>FirstName</t>
  </si>
  <si>
    <t>First Time Postsecondary Student</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</si>
  <si>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</si>
  <si>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</si>
  <si>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</si>
  <si>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</si>
  <si>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</si>
  <si>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</si>
  <si>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</si>
  <si>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</si>
  <si>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</si>
  <si>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</si>
  <si>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</si>
  <si>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</si>
  <si>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The year a school uses for budgeting, accounting, and reporting financials.</t>
  </si>
  <si>
    <t>001639</t>
  </si>
  <si>
    <t>FiscalYear</t>
  </si>
  <si>
    <t>Foster Care End Date</t>
  </si>
  <si>
    <t>The date a child or youth exited foster care.</t>
  </si>
  <si>
    <t>Early Learning -&gt; EL Child -&gt; Demographic</t>
  </si>
  <si>
    <t>001522</t>
  </si>
  <si>
    <t>FosterCareEndDate</t>
  </si>
  <si>
    <t>Foster Care Start Date</t>
  </si>
  <si>
    <t>The date a child or youth entered into foster care.</t>
  </si>
  <si>
    <t>001523</t>
  </si>
  <si>
    <t>FosterCareStartDate</t>
  </si>
  <si>
    <t>Fraternity Participation Status</t>
  </si>
  <si>
    <t>Student is in membership of a chiefly social organization of men students at a college or university, usually designated by Greek letters.</t>
  </si>
  <si>
    <t>000761</t>
  </si>
  <si>
    <t>FraternityParticipationStatus</t>
  </si>
  <si>
    <t>Frequency of Service</t>
  </si>
  <si>
    <t>The frequency at which a service is planned to occur.</t>
  </si>
  <si>
    <t>001356</t>
  </si>
  <si>
    <t>FrequencyOfService</t>
  </si>
  <si>
    <t>Full Year Expulsion</t>
  </si>
  <si>
    <t>An expulsion with or without services for a period of one full year (i.e., 365 days).</t>
  </si>
  <si>
    <t>000513</t>
  </si>
  <si>
    <t>FullYearExpulsion</t>
  </si>
  <si>
    <t>Full-Time Employee Benefits</t>
  </si>
  <si>
    <t>The benefits offered by a program/facility/employer for full-time staff.</t>
  </si>
  <si>
    <t>000866</t>
  </si>
  <si>
    <t>FullTimeEmployeeBenefits</t>
  </si>
  <si>
    <t>Full-time Status</t>
  </si>
  <si>
    <t>An indication of whether an individual is employed for a standard number of hours (as determined by civil or organizational policies) in a week, month, or other period of time.</t>
  </si>
  <si>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</si>
  <si>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000736</t>
  </si>
  <si>
    <t>FullTimeStatus</t>
  </si>
  <si>
    <t>Funds Transfer Amount</t>
  </si>
  <si>
    <t>The total amount of FY appropriated funds transferred from and to each eligible program.</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</si>
  <si>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</si>
  <si>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</si>
  <si>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</si>
  <si>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</si>
  <si>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</si>
  <si>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</si>
  <si>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</si>
  <si>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</si>
  <si>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Workforce</t>
  </si>
  <si>
    <t>Note: To collect data on workforce program participation, a data match will have to be negotiated between state agencies. The data match makes use of name, social security number, gender and ethnicity data.</t>
  </si>
  <si>
    <t>000121</t>
  </si>
  <si>
    <t>GenerationCodeOrSuffix</t>
  </si>
  <si>
    <t>Gifted and Talented Indicator</t>
  </si>
  <si>
    <t>An indication that the student is participating in and served by a Gifted/Talented program.</t>
  </si>
  <si>
    <t>000122</t>
  </si>
  <si>
    <t>GiftedAndTalentedIndicator</t>
  </si>
  <si>
    <t>Goals for Attending Adult Education</t>
  </si>
  <si>
    <t>A person's reasons for attending an adult education class or program.</t>
  </si>
  <si>
    <t>001079</t>
  </si>
  <si>
    <t>GoalsForAttendingAdultEducation</t>
  </si>
  <si>
    <t>Grade Level When Assessed</t>
  </si>
  <si>
    <t>The grade or developmental level of a student when assessed.</t>
  </si>
  <si>
    <t>000126</t>
  </si>
  <si>
    <t>GradeLevelWhenAssessed</t>
  </si>
  <si>
    <t>Grade Level When Course Taken</t>
  </si>
  <si>
    <t>Student's grade level at time of course.</t>
  </si>
  <si>
    <t>000125</t>
  </si>
  <si>
    <t>GradeLevelWhenCourseTaken</t>
  </si>
  <si>
    <t>Grade Point Average</t>
  </si>
  <si>
    <t>The value of the total quality points divided by the Credit Hours for Grade Point Average.</t>
  </si>
  <si>
    <t>Numeric - up to 4 digits after decimal place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</si>
  <si>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</si>
  <si>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</si>
  <si>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</si>
  <si>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</si>
  <si>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Related Connection; linked to Grade Point Average Weighted Indicator, High School Percentile, High School Rank, and Size of High School Graduating Class</t>
  </si>
  <si>
    <t>000128</t>
  </si>
  <si>
    <t>GPA - Cumulative</t>
  </si>
  <si>
    <t>GPACumulative</t>
  </si>
  <si>
    <t>Grade Point Average Domain</t>
  </si>
  <si>
    <t>The domain to which the Grade Point Average is referencing.</t>
  </si>
  <si>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</si>
  <si>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</si>
  <si>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</si>
  <si>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</si>
  <si>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</si>
  <si>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</si>
  <si>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</si>
  <si>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</si>
  <si>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</si>
  <si>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</si>
  <si>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GPA is weighted or unweighted.</t>
  </si>
  <si>
    <t>000123</t>
  </si>
  <si>
    <t>GPA Weighted Indicator</t>
  </si>
  <si>
    <t>GPAWeightedIndicator</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</si>
  <si>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</si>
  <si>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</si>
  <si>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</si>
  <si>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</si>
  <si>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</si>
  <si>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</si>
  <si>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</si>
  <si>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</si>
  <si>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</si>
  <si>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</si>
  <si>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</si>
  <si>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t>000131</t>
  </si>
  <si>
    <t>GradesOffered</t>
  </si>
  <si>
    <t>Graduate Assistant IPEDS Occupation Category</t>
  </si>
  <si>
    <t>The Integrated Postsecondary Education Data System (IPEDS) occupational categories used to report graduate assistants.</t>
  </si>
  <si>
    <t>000743</t>
  </si>
  <si>
    <t>GraduateAssistantIPEDSOccupationCategory</t>
  </si>
  <si>
    <t>Graduate Assistant Status</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</si>
  <si>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</si>
  <si>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000742</t>
  </si>
  <si>
    <t>GraduateAssistantStatus</t>
  </si>
  <si>
    <t>Graduate or Doctoral Exam Results Status</t>
  </si>
  <si>
    <t>The individual's status in completing exams required for graduate or doctoral degree programs.</t>
  </si>
  <si>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</si>
  <si>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</si>
  <si>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</si>
  <si>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</si>
  <si>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</si>
  <si>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</si>
  <si>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</si>
  <si>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</si>
  <si>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</si>
  <si>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</si>
  <si>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</si>
  <si>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</si>
  <si>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</si>
  <si>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</si>
  <si>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</si>
  <si>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</si>
  <si>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</si>
  <si>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</si>
  <si>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</si>
  <si>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Health Screening Equipment Used</t>
  </si>
  <si>
    <t>The screening equipment used for the hearing screening or the method used for the vision screening</t>
  </si>
  <si>
    <t>001358</t>
  </si>
  <si>
    <t>HealthScreeningEquipmentUsed</t>
  </si>
  <si>
    <t>Health Screening Follow-up Recommendation</t>
  </si>
  <si>
    <t>Recommended frequency for screener or for specific child- add something to assessment design or administration</t>
  </si>
  <si>
    <t>001359</t>
  </si>
  <si>
    <t>HealthScreeningFollowUpRecommendation</t>
  </si>
  <si>
    <t>Hearing Screening Date</t>
  </si>
  <si>
    <t>The year, month and day of a hearing screening.</t>
  </si>
  <si>
    <t>000705</t>
  </si>
  <si>
    <t>HearingScreeningDate</t>
  </si>
  <si>
    <t>Hearing Screening Status</t>
  </si>
  <si>
    <t>Status of an examination used to measure a person's ability to perceive sounds.</t>
  </si>
  <si>
    <t>000309</t>
  </si>
  <si>
    <t>HearingScreeningStatus</t>
  </si>
  <si>
    <t>High School Course Requirement</t>
  </si>
  <si>
    <t>An indication that this course credit is required for a high school diploma.</t>
  </si>
  <si>
    <t>000137</t>
  </si>
  <si>
    <t>HighSchoolCourseRequirement</t>
  </si>
  <si>
    <t>High School Diploma Distinction Type</t>
  </si>
  <si>
    <t>The distinction of the diploma or credential that is awarded to a student in recognition of their completion of the curricular requirements.</t>
  </si>
  <si>
    <t>000713</t>
  </si>
  <si>
    <t>HighSchoolDiplomaDistinctionType</t>
  </si>
  <si>
    <t>High School Diploma Type</t>
  </si>
  <si>
    <t>The type of diploma/credential that is awarded to a person in recognition of his/her completion of the curricular requirements.</t>
  </si>
  <si>
    <t>000138</t>
  </si>
  <si>
    <t>HighSchoolDiplomaType</t>
  </si>
  <si>
    <t>High School Graduation Rate Indicator Status</t>
  </si>
  <si>
    <t>An indication of whether the school or district met the High School Graduation Rate requirement in accordance with state definition for the purposes of determining AYP.</t>
  </si>
  <si>
    <t>000140</t>
  </si>
  <si>
    <t>HighSchoolGraduationRateIndicatorStatus</t>
  </si>
  <si>
    <t>High School Percentile</t>
  </si>
  <si>
    <t>The High School Rank divided by the Size of High School Graduating Class expressed as a percentage.</t>
  </si>
  <si>
    <t>Related Connection; linked to High School Grade Point Average Cumulative, Grade Point Average Weighted Indicator, High School Rank, and Size of High School Graduating Class</t>
  </si>
  <si>
    <t>0% to 99% (where 99% corresponds to the valedictorian, 0% to the bottom rank in the class)</t>
  </si>
  <si>
    <t>000759</t>
  </si>
  <si>
    <t>HighSchoolPercentile</t>
  </si>
  <si>
    <t>High School Student Class Rank</t>
  </si>
  <si>
    <t>The academic rank of a student in relation to his or her high school graduating class (e.g., 1, 2, 3) based on high school GPA.</t>
  </si>
  <si>
    <t>000041</t>
  </si>
  <si>
    <t>HighSchoolStudentClassRank</t>
  </si>
  <si>
    <t>Higher Education Institution Accreditation Status</t>
  </si>
  <si>
    <t>An indication of the accreditation status of a higher education institution.</t>
  </si>
  <si>
    <t>000818</t>
  </si>
  <si>
    <t>HigherEducationInstitutionAccredidationStatus</t>
  </si>
  <si>
    <t>Highest Level of Education Completed</t>
  </si>
  <si>
    <t>The extent of formal instruction a person has received (e.g., the highest grade in school completed or its equivalent or the highest degree received).</t>
  </si>
  <si>
    <t>000141</t>
  </si>
  <si>
    <t>HighestLevelOfEducationCompleted</t>
  </si>
  <si>
    <t>Highly Qualified Teacher Indicator</t>
  </si>
  <si>
    <t>An indication that the teacher has been classified as highly qualified based on assignment.</t>
  </si>
  <si>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</si>
  <si>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</si>
  <si>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</si>
  <si>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</si>
  <si>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</si>
  <si>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</si>
  <si>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000143</t>
  </si>
  <si>
    <t>HireDate</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</si>
  <si>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</si>
  <si>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</si>
  <si>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</si>
  <si>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</si>
  <si>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</si>
  <si>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students at the time the students are identified as homeless.</t>
  </si>
  <si>
    <t>K12 -&gt; K12 Student -&gt; Homeless</t>
  </si>
  <si>
    <t>000146</t>
  </si>
  <si>
    <t>HomelessPrimaryNighttimeResidence</t>
  </si>
  <si>
    <t>Homeless Serviced Indicator</t>
  </si>
  <si>
    <t>An indication of whether homeless children and youth were served by a McKinney-Vento program in the state.</t>
  </si>
  <si>
    <t>000147</t>
  </si>
  <si>
    <t>HomelessServicedIndicator</t>
  </si>
  <si>
    <t>Homeless Unaccompanied Youth Status</t>
  </si>
  <si>
    <t>An indication that homeless youths were unaccompanied by parents or legal guardians.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</si>
  <si>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</si>
  <si>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</si>
  <si>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</si>
  <si>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</si>
  <si>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000149</t>
  </si>
  <si>
    <t>HomelessnessStatus</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</si>
  <si>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</si>
  <si>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</si>
  <si>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</si>
  <si>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</si>
  <si>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</si>
  <si>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</si>
  <si>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</si>
  <si>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</si>
  <si>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</si>
  <si>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</si>
  <si>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</si>
  <si>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</si>
  <si>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</si>
  <si>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</si>
  <si>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</si>
  <si>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</si>
  <si>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Discipline Method for Firearms Incidents</t>
  </si>
  <si>
    <t>The methods used to discipline students who are children with disabilities (IDEA) involved in firearms and other outcomes of firearms incidents.</t>
  </si>
  <si>
    <t>000556</t>
  </si>
  <si>
    <t>IDEADisciplineMethodForFirearmsIncidents</t>
  </si>
  <si>
    <t>IDEA Educational Environment for Early Childhood</t>
  </si>
  <si>
    <t>The program in which children ages 3 through 5 attend and in which these children receive special education and related services.</t>
  </si>
  <si>
    <t>000559</t>
  </si>
  <si>
    <t>IDEAEducationalEnvironmentForEarlyChildhood</t>
  </si>
  <si>
    <t>IDEA Educational Environment for School Age</t>
  </si>
  <si>
    <t>The setting in which children ages 6 through 21, receive special education and related services.</t>
  </si>
  <si>
    <t>000535</t>
  </si>
  <si>
    <t>IDEAEducationalEnvironmentForSchoolAge</t>
  </si>
  <si>
    <t>IDEA IEP Status</t>
  </si>
  <si>
    <t>The status of an individualized services plan for a specified reporting period or on a specified date.</t>
  </si>
  <si>
    <t>Early Learning -&gt; EL Child -&gt; Individualized Program</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</si>
  <si>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</si>
  <si>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</si>
  <si>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</si>
  <si>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</si>
  <si>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</si>
  <si>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</si>
  <si>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IDEA Interim Removal</t>
  </si>
  <si>
    <t>The type of interim removal from current educational setting experienced by children with disabilities (IDEA).</t>
  </si>
  <si>
    <t>000541</t>
  </si>
  <si>
    <t>IDEAInterimRemoval</t>
  </si>
  <si>
    <t>IDEA Interim Removal Reason</t>
  </si>
  <si>
    <t>The reasons why children with disabilities were unilaterally removed from their current educational placement to an interim alternative educational setting.</t>
  </si>
  <si>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</si>
  <si>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</si>
  <si>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</si>
  <si>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</si>
  <si>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</si>
  <si>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</si>
  <si>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</si>
  <si>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</si>
  <si>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t>http://idea.ed.gov/part-c/statutes</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</si>
  <si>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</si>
  <si>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</si>
  <si>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</si>
  <si>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</si>
  <si>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</si>
  <si>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</si>
  <si>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</si>
  <si>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</si>
  <si>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</si>
  <si>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</si>
  <si>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</si>
  <si>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eligibel for Part B preschool services have opted out of the impending notification to the local education agency.</t>
  </si>
  <si>
    <t>001363</t>
  </si>
  <si>
    <t>IDEAPartCToPartBNotificationOptOutIndicator</t>
  </si>
  <si>
    <t>Identification System for Assessment Form Section</t>
  </si>
  <si>
    <t>A coding scheme that is used for identification of an Assessment Form Section.</t>
  </si>
  <si>
    <t>001190</t>
  </si>
  <si>
    <t>IdentificationSystemForAssessmentFormSection</t>
  </si>
  <si>
    <t>Immunization Date</t>
  </si>
  <si>
    <t>The year, month and day of an immunization.</t>
  </si>
  <si>
    <t>000306</t>
  </si>
  <si>
    <t>ImmunizationDate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</si>
  <si>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</si>
  <si>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</si>
  <si>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</si>
  <si>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</si>
  <si>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</si>
  <si>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</si>
  <si>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</si>
  <si>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</si>
  <si>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</si>
  <si>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</si>
  <si>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001248</t>
  </si>
  <si>
    <t>ImmunizationType</t>
  </si>
  <si>
    <t>Incident Behavior</t>
  </si>
  <si>
    <t>Categories of behavior coded for use in describing an incident.</t>
  </si>
  <si>
    <t>000509</t>
  </si>
  <si>
    <t>IncidentBehavior</t>
  </si>
  <si>
    <t>Incident Cost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</si>
  <si>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</si>
  <si>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</si>
  <si>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</si>
  <si>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</si>
  <si>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</si>
  <si>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</si>
  <si>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</si>
  <si>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</si>
  <si>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</si>
  <si>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</si>
  <si>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</si>
  <si>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</si>
  <si>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</si>
  <si>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</si>
  <si>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</si>
  <si>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</si>
  <si>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</si>
  <si>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t>Incident Injury Type can be linked to any person involved in the incident.</t>
  </si>
  <si>
    <t>000510</t>
  </si>
  <si>
    <t>IncidentInjuryType</t>
  </si>
  <si>
    <t>Incident Location</t>
  </si>
  <si>
    <t>Identifies where the incident occurred and whether or not it occurred on campus.</t>
  </si>
  <si>
    <t>000617</t>
  </si>
  <si>
    <t>IncidentLocation</t>
  </si>
  <si>
    <t>Incident Multiple Offense Type</t>
  </si>
  <si>
    <t>An indication of whether the offense was primary or secondary in nature when a single incident included more than one type of offense.</t>
  </si>
  <si>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</si>
  <si>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</si>
  <si>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</si>
  <si>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</si>
  <si>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</si>
  <si>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</si>
  <si>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</si>
  <si>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</si>
  <si>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</si>
  <si>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</si>
  <si>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</si>
  <si>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</si>
  <si>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t>001372</t>
  </si>
  <si>
    <t>IncidentPerpetratorType</t>
  </si>
  <si>
    <t>Incident Person Role Type</t>
  </si>
  <si>
    <t>The role or type of participation of a person in a discipline incident.</t>
  </si>
  <si>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</si>
  <si>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</si>
  <si>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</si>
  <si>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</si>
  <si>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</si>
  <si>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</si>
  <si>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</si>
  <si>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</si>
  <si>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</si>
  <si>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</si>
  <si>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</si>
  <si>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</si>
  <si>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</si>
  <si>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</si>
  <si>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</si>
  <si>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</si>
  <si>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</si>
  <si>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</si>
  <si>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</si>
  <si>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</si>
  <si>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</si>
  <si>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</si>
  <si>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</si>
  <si>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</si>
  <si>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</si>
  <si>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</si>
  <si>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</si>
  <si>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</si>
  <si>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</si>
  <si>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</si>
  <si>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</si>
  <si>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</si>
  <si>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</si>
  <si>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</si>
  <si>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</si>
  <si>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</si>
  <si>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</si>
  <si>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</si>
  <si>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</si>
  <si>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</si>
  <si>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</si>
  <si>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</si>
  <si>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</si>
  <si>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</si>
  <si>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</si>
  <si>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001612</t>
  </si>
  <si>
    <t>IncludedInCountedFamilySize</t>
  </si>
  <si>
    <t>Inclusive Setting Indicator</t>
  </si>
  <si>
    <t>A place where children of all abilities learn together.</t>
  </si>
  <si>
    <t>001634</t>
  </si>
  <si>
    <t>InclusiveSettingIndicator</t>
  </si>
  <si>
    <t>Income Calculation Method</t>
  </si>
  <si>
    <t>The calculation method used by a program to determine total family income.</t>
  </si>
  <si>
    <t>000334</t>
  </si>
  <si>
    <t>IncomeCalculationMethod</t>
  </si>
  <si>
    <t>Increased Learning Time Type</t>
  </si>
  <si>
    <t>The types of increased learning time provided.</t>
  </si>
  <si>
    <t>000164</t>
  </si>
  <si>
    <t>IncreasedLearningTimeType</t>
  </si>
  <si>
    <t>Individualized Program Date</t>
  </si>
  <si>
    <t>The year, month and day on which the status of an individualized program for a student is significantly altered.</t>
  </si>
  <si>
    <t>001232</t>
  </si>
  <si>
    <t>IndividualizedProgramDate</t>
  </si>
  <si>
    <t>Individualized Program Date Type</t>
  </si>
  <si>
    <t>An indication of the significance of a date to an individualized program.</t>
  </si>
  <si>
    <t>001231</t>
  </si>
  <si>
    <t>IndividualizedProgramDateType</t>
  </si>
  <si>
    <t>Individualized Program Inclusion Minutes Per Week</t>
  </si>
  <si>
    <t>The number of minutes per week that a student with disabilities is served in a special education setting separate from his or her non-disabled peers.</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</si>
  <si>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</si>
  <si>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</si>
  <si>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</si>
  <si>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</si>
  <si>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</si>
  <si>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</si>
  <si>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</si>
  <si>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</si>
  <si>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</si>
  <si>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</si>
  <si>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</si>
  <si>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</si>
  <si>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</si>
  <si>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</si>
  <si>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</si>
  <si>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</si>
  <si>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</si>
  <si>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</si>
  <si>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</si>
  <si>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</si>
  <si>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</si>
  <si>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t>001383</t>
  </si>
  <si>
    <t>IndividualizedProgramPlannedServiceType</t>
  </si>
  <si>
    <t>Individualized Program Service Plan Date</t>
  </si>
  <si>
    <t>The year, month and day on which the status of the service plan for a child is established or significantly altered.</t>
  </si>
  <si>
    <t>001236</t>
  </si>
  <si>
    <t>IndividualizedProgramServicePlanDate</t>
  </si>
  <si>
    <t>Individualized Program Service Plan Meeting Location</t>
  </si>
  <si>
    <t>The place in which a child's service plan meeting is held.</t>
  </si>
  <si>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</si>
  <si>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</si>
  <si>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</si>
  <si>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</si>
  <si>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</si>
  <si>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</si>
  <si>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</si>
  <si>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</si>
  <si>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</si>
  <si>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</si>
  <si>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</si>
  <si>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</si>
  <si>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</si>
  <si>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</si>
  <si>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</si>
  <si>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</si>
  <si>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</si>
  <si>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</si>
  <si>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</si>
  <si>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</si>
  <si>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t>001235</t>
  </si>
  <si>
    <t>IndividualizedProgramTransitionPlanType</t>
  </si>
  <si>
    <t>Individualized Program Type</t>
  </si>
  <si>
    <t>A designation of the type of program developed for a student.</t>
  </si>
  <si>
    <t>000320</t>
  </si>
  <si>
    <t>IndividualizedProgramType</t>
  </si>
  <si>
    <t>Initial Enrollment Term</t>
  </si>
  <si>
    <t>The first registration term of a person enrolling in credit-granting courses at a postsecondary institution after completing high school (or its equivalent).</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</si>
  <si>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</si>
  <si>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</si>
  <si>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</si>
  <si>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</si>
  <si>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</si>
  <si>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</si>
  <si>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</si>
  <si>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</si>
  <si>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</si>
  <si>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</si>
  <si>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</si>
  <si>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</si>
  <si>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</si>
  <si>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</si>
  <si>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</si>
  <si>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</si>
  <si>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</si>
  <si>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</si>
  <si>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Institution IPEDS UnitID</t>
  </si>
  <si>
    <t>Unique identification number assigned to postsecondary institutions surveyed through the Integrated Postsecondary Education Data System (IPEDS). Also referred to as UNITID or IPEDS ID.</t>
  </si>
  <si>
    <t>Six digits - no decimal place</t>
  </si>
  <si>
    <t>000166</t>
  </si>
  <si>
    <t>IPEDS Identifier</t>
  </si>
  <si>
    <t>IPEDSIdentifier</t>
  </si>
  <si>
    <t>Institution Telephone Number Type</t>
  </si>
  <si>
    <t>The type of communication number listed for an organization.</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</si>
  <si>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</si>
  <si>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</si>
  <si>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</si>
  <si>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</si>
  <si>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</si>
  <si>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</si>
  <si>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</si>
  <si>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A designation of the type(s) of instruction being delivered by staff whose primary responsibility is instruction. Instruction that is for "credit" can be applied toward the requirements for a postsecondary degree, diploma, certificate or other formal award.</t>
  </si>
  <si>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</si>
  <si>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</si>
  <si>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</si>
  <si>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</si>
  <si>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</si>
  <si>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</si>
  <si>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</si>
  <si>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</si>
  <si>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</si>
  <si>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</si>
  <si>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</si>
  <si>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</si>
  <si>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</si>
  <si>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000362</t>
  </si>
  <si>
    <t>InstructionalActivityHoursCompleted</t>
  </si>
  <si>
    <t>Postsecondary Education -&gt; Complete College America</t>
  </si>
  <si>
    <t>Instructional Activity Hours Type</t>
  </si>
  <si>
    <t>The unit of measure of student instructional activity.</t>
  </si>
  <si>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</si>
  <si>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</si>
  <si>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</si>
  <si>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</si>
  <si>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</si>
  <si>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</si>
  <si>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</si>
  <si>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</si>
  <si>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</si>
  <si>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</si>
  <si>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</si>
  <si>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</si>
  <si>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</si>
  <si>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</si>
  <si>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</si>
  <si>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</si>
  <si>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</si>
  <si>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t>000739</t>
  </si>
  <si>
    <t>InstructionalStaffFacultyTenureStatus</t>
  </si>
  <si>
    <t>Instructional Staff Status</t>
  </si>
  <si>
    <t>Staff whose primary function/occupational activity is primarily instruction or instruction combined with research and/or public service. Does not include medical school staff.</t>
  </si>
  <si>
    <t>000732</t>
  </si>
  <si>
    <t>InstructionalStaffStatus</t>
  </si>
  <si>
    <t>Insurance Coverage</t>
  </si>
  <si>
    <t>The nature of insurance covering an person's hospitalization and other health or medical care.</t>
  </si>
  <si>
    <t>000335</t>
  </si>
  <si>
    <t>InsuranceCoverage</t>
  </si>
  <si>
    <t>Integrated Technology Status</t>
  </si>
  <si>
    <t>An indication of the extent to which the district has effectively and fully integrated technology, as defined by the state.</t>
  </si>
  <si>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</si>
  <si>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</si>
  <si>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</si>
  <si>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</si>
  <si>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</si>
  <si>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</si>
  <si>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</si>
  <si>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</si>
  <si>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t>000587</t>
  </si>
  <si>
    <t>InternetAccess</t>
  </si>
  <si>
    <t>Interscholastic Sport Participants - Female Only</t>
  </si>
  <si>
    <t>The number of female students who participated on an interscholastic team. A student should be counted once for each team she was on.</t>
  </si>
  <si>
    <t>000658</t>
  </si>
  <si>
    <t>InterscholasticSportParticipantsFemaleOnly</t>
  </si>
  <si>
    <t>Interscholastic Sport Participants - Male Only</t>
  </si>
  <si>
    <t>The number of male students who participated on an interscholastic team. A student should be counted once for each team he was on.</t>
  </si>
  <si>
    <t>000657</t>
  </si>
  <si>
    <t>InterscholasticSportParticipantsMaleOnly</t>
  </si>
  <si>
    <t>Interscholastic Sports - Female Only</t>
  </si>
  <si>
    <t>The number of interscholastic sports in which only female students participate. Sports include distinct sports such as football, basketball, soccer but not intramural sports or cheerleading.</t>
  </si>
  <si>
    <t>000654</t>
  </si>
  <si>
    <t>InterscholasticSportsFemaleOnly</t>
  </si>
  <si>
    <t>Interscholastic Sports - Male Only</t>
  </si>
  <si>
    <t>The number of interscholastic sports in which only male students participate. Sports include distinct sports such as football, basketball, soccer but not intramural sports or cheerleading.</t>
  </si>
  <si>
    <t>000653</t>
  </si>
  <si>
    <t>InterscholasticSportsMaleOnly</t>
  </si>
  <si>
    <t>Interscholastic Teams - Female Only</t>
  </si>
  <si>
    <t>The number of interscholastic teams in which only female students participate. Teams include each competitive level team in each sport, such as freshman team, junior varsity team, and varsity team but not intramural sports or cheerleading.</t>
  </si>
  <si>
    <t>000656</t>
  </si>
  <si>
    <t>InterscholasticTeamsFemaleOnly</t>
  </si>
  <si>
    <t>Interscholastic Teams - Male Only</t>
  </si>
  <si>
    <t>The number of interscholastic teams in which only male students participate. Teams include each competitive level team in each sport, such as freshman team, junior varsity team, and varsity team but not intramural sports or cheerleading.</t>
  </si>
  <si>
    <t>000655</t>
  </si>
  <si>
    <t>InterscholasticTeamsMaleOnly</t>
  </si>
  <si>
    <t>IPEDS Collection Year Designator</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</si>
  <si>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</si>
  <si>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001613</t>
  </si>
  <si>
    <t>IPEDSCollectionYearDesignator</t>
  </si>
  <si>
    <t>IPEDS Occupational Category</t>
  </si>
  <si>
    <t>The Integrated Postsecondary Education Data System (IPEDS) occupational categories used to report employees.</t>
  </si>
  <si>
    <t>IPEDS reporting categories beginning with the 2012 IPEDS survey year.</t>
  </si>
  <si>
    <t>000731</t>
  </si>
  <si>
    <t>IPEDSOccupationalCategory</t>
  </si>
  <si>
    <t>ISO 639-2 Language Code</t>
  </si>
  <si>
    <t>The code for the specific language or dialect that a person uses to communicate.</t>
  </si>
  <si>
    <t>000317</t>
  </si>
  <si>
    <t>ISO6392LanguageCode</t>
  </si>
  <si>
    <t>ISO 639-3 Language Code</t>
  </si>
  <si>
    <t>See http://ceds.ed.gov/iso639-3LanguageCode.aspx</t>
  </si>
  <si>
    <t>The CEDS ISO 639-3 Language Code option set comes from the ISO 639-3 standard, the Latin-1 download. Only living language code types from the ISO standard are included in the CEDS list. Special scope and discontinued codes are excluded.</t>
  </si>
  <si>
    <t>001637</t>
  </si>
  <si>
    <t>ISO6393LanguageCode</t>
  </si>
  <si>
    <t>ISO 639-5 Language Family</t>
  </si>
  <si>
    <t>A code for a specific language family, which supplements the language groups and families in the ISO 639-2 Language Code.</t>
  </si>
  <si>
    <t>The CEDS ISO 639-5 Language Family option set comes from the ISO 639-5 standard.</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</si>
  <si>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</si>
  <si>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</si>
  <si>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</si>
  <si>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</si>
  <si>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</si>
  <si>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</si>
  <si>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</si>
  <si>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</si>
  <si>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</si>
  <si>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</si>
  <si>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</si>
  <si>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</si>
  <si>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</si>
  <si>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t>K12 -&gt; K12 Course</t>
  </si>
  <si>
    <t>001386</t>
  </si>
  <si>
    <t>K12EndOfCourseRequirement</t>
  </si>
  <si>
    <t>K12 Staff Classification</t>
  </si>
  <si>
    <t>The titles of employment, official status, or rank of education staff.</t>
  </si>
  <si>
    <t>000087</t>
  </si>
  <si>
    <t>K12StaffClassification</t>
  </si>
  <si>
    <t>Kindergarten Daily Length</t>
  </si>
  <si>
    <t>The portion of a day that a kindergarten program is provided to the students it serves.</t>
  </si>
  <si>
    <t>K12 -&gt; LEA -&gt; Programs and Services</t>
  </si>
  <si>
    <t>000491</t>
  </si>
  <si>
    <t>KindergartenDailyLength</t>
  </si>
  <si>
    <t>Kindergarten Program Participation Type</t>
  </si>
  <si>
    <t>The type of Kindergarten program the student is enrolled in.</t>
  </si>
  <si>
    <t>000714</t>
  </si>
  <si>
    <t>KindergartenProgramParticipationType</t>
  </si>
  <si>
    <t>Language Translation Policy</t>
  </si>
  <si>
    <t>Indicates that the organization or class/group has translation services available .</t>
  </si>
  <si>
    <t>001226</t>
  </si>
  <si>
    <t>LanguageTranslationPolicy</t>
  </si>
  <si>
    <t>Language Type</t>
  </si>
  <si>
    <t>An indication of the function and context in which a person uses a language to communicate.</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</si>
  <si>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</si>
  <si>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</si>
  <si>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</si>
  <si>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</si>
  <si>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</si>
  <si>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</si>
  <si>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</si>
  <si>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</si>
  <si>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</si>
  <si>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</si>
  <si>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</si>
  <si>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</si>
  <si>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</si>
  <si>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</si>
  <si>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</si>
  <si>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</si>
  <si>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</si>
  <si>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000606</t>
  </si>
  <si>
    <t>Learner Action Actor Identifier</t>
  </si>
  <si>
    <t>A unique identifier for the person performing the learner action. The identifier should be encrypted when integrating learning experience data across systems to secure the privacy of the learner.</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</si>
  <si>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</si>
  <si>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</si>
  <si>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</si>
  <si>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</si>
  <si>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</si>
  <si>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</si>
  <si>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</si>
  <si>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</si>
  <si>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</si>
  <si>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</si>
  <si>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</si>
  <si>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</si>
  <si>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</si>
  <si>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</si>
  <si>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</si>
  <si>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</si>
  <si>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</si>
  <si>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</si>
  <si>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</si>
  <si>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</si>
  <si>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t>The CEDS Learner Action Type option set comes from the ADL Controlled Vocabulary, xAPI specification.</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</si>
  <si>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</si>
  <si>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</si>
  <si>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</si>
  <si>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</si>
  <si>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</si>
  <si>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</si>
  <si>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</si>
  <si>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</si>
  <si>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</si>
  <si>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</si>
  <si>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</si>
  <si>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</si>
  <si>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</si>
  <si>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</si>
  <si>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</si>
  <si>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</si>
  <si>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The description and context for the assignment described in a way that the learner can understand.</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</si>
  <si>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</si>
  <si>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</si>
  <si>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</si>
  <si>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</si>
  <si>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</si>
  <si>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</si>
  <si>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</si>
  <si>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</si>
  <si>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</si>
  <si>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</si>
  <si>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</si>
  <si>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</si>
  <si>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</si>
  <si>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</si>
  <si>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</si>
  <si>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</si>
  <si>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</si>
  <si>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</si>
  <si>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</si>
  <si>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</si>
  <si>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</si>
  <si>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</si>
  <si>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</si>
  <si>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</si>
  <si>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</si>
  <si>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t>000945</t>
  </si>
  <si>
    <t>LearnerActivityMaximumTimeAllowedUnit</t>
  </si>
  <si>
    <t>Learner Activity Possible Points</t>
  </si>
  <si>
    <t>The number of possible points for an assignment.</t>
  </si>
  <si>
    <t>Numeric - up to two digits after decimal place</t>
  </si>
  <si>
    <t>000952</t>
  </si>
  <si>
    <t>LearnerActivityPossiblePoints</t>
  </si>
  <si>
    <t>Learner Activity Prerequisite</t>
  </si>
  <si>
    <t>The description of the skills or competencies the student must have to engage in assignment.</t>
  </si>
  <si>
    <t>Note: Prerequisites may also be referenced via an associated Learning Goal and Competency Set (prerequisites for individual competencies). For some applications enumeration of the detailed prerequisites will have greater utility than a single descriptive field.</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</si>
  <si>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</si>
  <si>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</si>
  <si>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</si>
  <si>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</si>
  <si>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</si>
  <si>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</si>
  <si>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</si>
  <si>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</si>
  <si>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</si>
  <si>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</si>
  <si>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</si>
  <si>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</si>
  <si>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</si>
  <si>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</si>
  <si>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</si>
  <si>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</si>
  <si>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t>000942</t>
  </si>
  <si>
    <t>LearnerActivityType</t>
  </si>
  <si>
    <t>Learner Activity Weight</t>
  </si>
  <si>
    <t>The percentage weight of the assignment during the particular course or term.</t>
  </si>
  <si>
    <t>000951</t>
  </si>
  <si>
    <t>LearnerActivityWeight</t>
  </si>
  <si>
    <t>Learning Goal Description</t>
  </si>
  <si>
    <t>A statement that specifies the learning that is intended in a way that both the educators and learners can understand.</t>
  </si>
  <si>
    <t>000903</t>
  </si>
  <si>
    <t>LearningGoalDescription</t>
  </si>
  <si>
    <t>Learning Goal End Date</t>
  </si>
  <si>
    <t>The date on which the Learning Goal expires or has been achieved.</t>
  </si>
  <si>
    <t>For federal reporting use case some codes are required to be reported and others are not.</t>
  </si>
  <si>
    <t>001166</t>
  </si>
  <si>
    <t>LearningGoalEndDate</t>
  </si>
  <si>
    <t>Learning Goal Start Date</t>
  </si>
  <si>
    <t>The date on which the Learning Goal becomes active.</t>
  </si>
  <si>
    <t>001165</t>
  </si>
  <si>
    <t>LearningGoalStartDate</t>
  </si>
  <si>
    <t>Learning Goal Success Criteria</t>
  </si>
  <si>
    <t>One or more statements that describes the criteria used by teachers and students to check for attainment of a leaning goal. This criteria gives clear indications as to the degree to which learning is moving through the Zone or Proximal Development toward independent achievement of the learning goal.</t>
  </si>
  <si>
    <t>000902</t>
  </si>
  <si>
    <t>LearningGoalSuccessCriteria</t>
  </si>
  <si>
    <t>Learning Resource Access API Type</t>
  </si>
  <si>
    <t>Indicates that the learning resource is compatible with the referenced accessibility application programming interface (API).</t>
  </si>
  <si>
    <t>Options derive primarily from IMS Global's Access for All (AfA) specification, specifically: apiInteroperable.</t>
  </si>
  <si>
    <t>001389</t>
  </si>
  <si>
    <t>LearningResourceAccessAPIType</t>
  </si>
  <si>
    <t>Learning Resource Access Hazard Type</t>
  </si>
  <si>
    <t>A characteristic of the described learning resource that is physiologically dangerous to some users.</t>
  </si>
  <si>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</si>
  <si>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</si>
  <si>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</si>
  <si>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</si>
  <si>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</si>
  <si>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</si>
  <si>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</si>
  <si>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</si>
  <si>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</si>
  <si>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t>Learning Resources -&gt; Learning Resource</t>
  </si>
  <si>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</si>
  <si>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</si>
  <si>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</si>
  <si>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</si>
  <si>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</si>
  <si>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</si>
  <si>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</si>
  <si>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</si>
  <si>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</si>
  <si>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</si>
  <si>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</si>
  <si>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</si>
  <si>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</si>
  <si>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</si>
  <si>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</si>
  <si>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</si>
  <si>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</si>
  <si>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</si>
  <si>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</si>
  <si>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</si>
  <si>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</si>
  <si>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</si>
  <si>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</si>
  <si>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</si>
  <si>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</si>
  <si>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</si>
  <si>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</si>
  <si>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</si>
  <si>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</si>
  <si>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</si>
  <si>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</si>
  <si>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</si>
  <si>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</si>
  <si>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Specifies the format for a learning resource that is a book. Other options may be considered for inclusion in the option set.</t>
  </si>
  <si>
    <t>001394</t>
  </si>
  <si>
    <t>LearningResourceBookFormatType</t>
  </si>
  <si>
    <t>Learning Resource Competency Alignment Type</t>
  </si>
  <si>
    <t>The alignment relationship between the resource and the competency.</t>
  </si>
  <si>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</si>
  <si>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</si>
  <si>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</si>
  <si>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</si>
  <si>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</si>
  <si>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</si>
  <si>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</si>
  <si>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</si>
  <si>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</si>
  <si>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</si>
  <si>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</si>
  <si>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</si>
  <si>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</si>
  <si>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</si>
  <si>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</si>
  <si>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</si>
  <si>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</si>
  <si>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</si>
  <si>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</si>
  <si>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</si>
  <si>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</si>
  <si>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</si>
  <si>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</si>
  <si>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</si>
  <si>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</si>
  <si>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</si>
  <si>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</si>
  <si>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</si>
  <si>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</si>
  <si>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</si>
  <si>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</si>
  <si>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</si>
  <si>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A short description of the Learning Resource.</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</si>
  <si>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</si>
  <si>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</si>
  <si>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</si>
  <si>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</si>
  <si>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</si>
  <si>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</si>
  <si>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</si>
  <si>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</si>
  <si>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</si>
  <si>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</si>
  <si>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</si>
  <si>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</si>
  <si>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</si>
  <si>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</si>
  <si>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</si>
  <si>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</si>
  <si>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</si>
  <si>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t>001002</t>
  </si>
  <si>
    <t>LearningResourceEducationalUse</t>
  </si>
  <si>
    <t>Learning Resource Intended End User Role</t>
  </si>
  <si>
    <t>The individual or group for which the resource was produced.</t>
  </si>
  <si>
    <t>000923</t>
  </si>
  <si>
    <t>LearningResourceIntendedEndUserRole</t>
  </si>
  <si>
    <t>Learning Resource Interaction Mode</t>
  </si>
  <si>
    <t>The primary type of interaction, synchronous or asynchronous, defined for the learning resource.</t>
  </si>
  <si>
    <t>001565</t>
  </si>
  <si>
    <t>LearningResourceInteractionMode</t>
  </si>
  <si>
    <t>Learning Resource Interactivity Type</t>
  </si>
  <si>
    <t>The predominate mode of learning supported by the learning resource. Acceptable values are active, expositive, or mixed.</t>
  </si>
  <si>
    <t>000927</t>
  </si>
  <si>
    <t>LearningResourceInteractivityType</t>
  </si>
  <si>
    <t>Learning Resource Language</t>
  </si>
  <si>
    <t>The primary language of the resource.</t>
  </si>
  <si>
    <t>Note: For accessible resources LRMI uses language codes from the IETF BCP 47 standard which also refers to ISO 639. (Equivalent of the AfA languageOfAdaptation property.)</t>
  </si>
  <si>
    <t>000919</t>
  </si>
  <si>
    <t>LearningResourceLanguage</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</si>
  <si>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</si>
  <si>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</si>
  <si>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</si>
  <si>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</si>
  <si>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</si>
  <si>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</si>
  <si>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</si>
  <si>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</si>
  <si>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</si>
  <si>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</si>
  <si>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</si>
  <si>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</si>
  <si>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</si>
  <si>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</si>
  <si>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</si>
  <si>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</si>
  <si>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</si>
  <si>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</si>
  <si>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</si>
  <si>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</si>
  <si>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</si>
  <si>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</si>
  <si>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</si>
  <si>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</si>
  <si>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</si>
  <si>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</si>
  <si>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</si>
  <si>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</si>
  <si>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</si>
  <si>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</si>
  <si>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</si>
  <si>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</si>
  <si>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</si>
  <si>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</si>
  <si>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</si>
  <si>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</si>
  <si>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</si>
  <si>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</si>
  <si>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</si>
  <si>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</si>
  <si>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</si>
  <si>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000914</t>
  </si>
  <si>
    <t>LearningResourceSubjectCode</t>
  </si>
  <si>
    <t>Learning Resource Subject Code System</t>
  </si>
  <si>
    <t>The system that is used to identify the organization of subject matter and related learning experiences addressed by the learning resource.</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</si>
  <si>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</si>
  <si>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</si>
  <si>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</si>
  <si>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</si>
  <si>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</si>
  <si>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</si>
  <si>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</si>
  <si>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</si>
  <si>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</si>
  <si>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</si>
  <si>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</si>
  <si>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</si>
  <si>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</si>
  <si>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</si>
  <si>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</si>
  <si>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</si>
  <si>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</si>
  <si>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Hours and Minutes (HH:MM)</t>
  </si>
  <si>
    <t>000924</t>
  </si>
  <si>
    <t>LearningResourceTimeRequired</t>
  </si>
  <si>
    <t>Learning Resource Title</t>
  </si>
  <si>
    <t>The title of the resource.</t>
  </si>
  <si>
    <t>000912</t>
  </si>
  <si>
    <t>LearningResourceTitle</t>
  </si>
  <si>
    <t>Learning Resource Type</t>
  </si>
  <si>
    <t>The predominate type or kind characterizing the learning resource.</t>
  </si>
  <si>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</si>
  <si>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</si>
  <si>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</si>
  <si>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</si>
  <si>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</si>
  <si>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</si>
  <si>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</si>
  <si>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</si>
  <si>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</si>
  <si>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</si>
  <si>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</si>
  <si>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</si>
  <si>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</si>
  <si>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</si>
  <si>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</si>
  <si>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</si>
  <si>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</si>
  <si>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</si>
  <si>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</si>
  <si>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Learning Standard Document Creator</t>
  </si>
  <si>
    <t>The person or organization chiefly responsible for the intellectual content of the standards document.</t>
  </si>
  <si>
    <t>Implementations may choose to model this element as a repeatable field to support the case of multiple authors. Others may just use a comma delimited string for multiple authors.</t>
  </si>
  <si>
    <t>000696</t>
  </si>
  <si>
    <t>LearningStandardDocumentCreator</t>
  </si>
  <si>
    <t>Learning Standard Document Description</t>
  </si>
  <si>
    <t>A textual description of the scope and contents of the Learning Standards Document.</t>
  </si>
  <si>
    <t>000697</t>
  </si>
  <si>
    <t>LearningStandardDocumentDescription</t>
  </si>
  <si>
    <t>Learning Standard Document Identifier URI</t>
  </si>
  <si>
    <t>An unambiguous reference to the standards document using a network-resolvable URI.</t>
  </si>
  <si>
    <t>000693</t>
  </si>
  <si>
    <t>LearningStandardDocumentIdentifierURI</t>
  </si>
  <si>
    <t>Learning Standard Document Jurisdiction</t>
  </si>
  <si>
    <t>A legal, quasi-legal, organizational or institutional domain of the entity mandating the use of the statement--e.g., California.</t>
  </si>
  <si>
    <t>000699</t>
  </si>
  <si>
    <t>LearningStandardDocumentJurisdiction</t>
  </si>
  <si>
    <t>Learning Standard Document Language</t>
  </si>
  <si>
    <t>The default language of the text used for the content in the learning standard document.</t>
  </si>
  <si>
    <t>000880</t>
  </si>
  <si>
    <t>LearningStandardDocumentLanguage</t>
  </si>
  <si>
    <t>Learning Standard Document License</t>
  </si>
  <si>
    <t>A legal document giving official permission to do something with the standards document.</t>
  </si>
  <si>
    <t>000882</t>
  </si>
  <si>
    <t>LearningStandardDocumentLicense</t>
  </si>
  <si>
    <t>Learning Standard Document Publication Date</t>
  </si>
  <si>
    <t>The date on which this content was first published.</t>
  </si>
  <si>
    <t>Learning Standards -&gt; Learning Standard Document</t>
  </si>
  <si>
    <t>This may or may not be different from the Learning Standard Document Valid Start Date.</t>
  </si>
  <si>
    <t>001569</t>
  </si>
  <si>
    <t>LearningStandardDocumentPublicationDate</t>
  </si>
  <si>
    <t>Learning Standard Document Publication Status</t>
  </si>
  <si>
    <t>The publication status of the document.</t>
  </si>
  <si>
    <t>000698</t>
  </si>
  <si>
    <t>LearningStandardDocumentPublicationStatus</t>
  </si>
  <si>
    <t>Learning Standard Document Publisher</t>
  </si>
  <si>
    <t>The entity responsible for making the learning standards document available.</t>
  </si>
  <si>
    <t>000884</t>
  </si>
  <si>
    <t>LearningStandardDocumentPublisher</t>
  </si>
  <si>
    <t>Learning Standard Document Rights</t>
  </si>
  <si>
    <t>The information about rights held in and over the resource.</t>
  </si>
  <si>
    <t>000885</t>
  </si>
  <si>
    <t>LearningStandardDocumentRights</t>
  </si>
  <si>
    <t>Learning Standard Document Rights Holder</t>
  </si>
  <si>
    <t>The person or organization owning or managing rights over the learning standards document.</t>
  </si>
  <si>
    <t>000886</t>
  </si>
  <si>
    <t>LearningStandardDocumentRightsHolder</t>
  </si>
  <si>
    <t>Learning Standard Document Subject</t>
  </si>
  <si>
    <t>The topic or academic subject of the Learning Standard Document.</t>
  </si>
  <si>
    <t>000702</t>
  </si>
  <si>
    <t>LearningStandardDocumentSubject</t>
  </si>
  <si>
    <t>Learning Standard Document Title</t>
  </si>
  <si>
    <t>The name of the standards document.</t>
  </si>
  <si>
    <t>000694</t>
  </si>
  <si>
    <t>LearningStandardDocumentTitle</t>
  </si>
  <si>
    <t>Learning Standard Document Valid End Date</t>
  </si>
  <si>
    <t>The year, month and day the standards document was deprecated/replaced by the jurisdiction in which it was intended to apply.</t>
  </si>
  <si>
    <t>000701</t>
  </si>
  <si>
    <t>LearningStandardDocumentValidEndDate</t>
  </si>
  <si>
    <t>Learning Standard Document Valid Start Date</t>
  </si>
  <si>
    <t>The year, month and day the standards document was adopted by the jurisdiction in which it was intended to apply.</t>
  </si>
  <si>
    <t>000700</t>
  </si>
  <si>
    <t>LearningStandardDocumentValidStartDate</t>
  </si>
  <si>
    <t>Learning Standard Document Version</t>
  </si>
  <si>
    <t>Defines the revision of the document as a version number or date.</t>
  </si>
  <si>
    <t>000695</t>
  </si>
  <si>
    <t>LearningStandardDocumentVersion</t>
  </si>
  <si>
    <t>Learning Standard Item Association Connection Citation</t>
  </si>
  <si>
    <t>Any citation appropriate to evidence the connection between nodes</t>
  </si>
  <si>
    <t>Learning Standards -&gt; Learning Standard Item -&gt; Learning Standard Item Association</t>
  </si>
  <si>
    <t>001402</t>
  </si>
  <si>
    <t>LearningStandardItemAssociationConnectionCitation</t>
  </si>
  <si>
    <t>Learning Standard Item Association Destination Node Name</t>
  </si>
  <si>
    <t>Name of the destination node when the Learning Standard Item Association is used as a connector in a learning map.</t>
  </si>
  <si>
    <t>001403</t>
  </si>
  <si>
    <t>LearningStandardItemAssociationDestinationNodeName</t>
  </si>
  <si>
    <t>Learning Standard Item Association Destination Node URI</t>
  </si>
  <si>
    <t>URI of the destination node when the Learning Standard Item Association is used as a connector in a learning map.</t>
  </si>
  <si>
    <t>001404</t>
  </si>
  <si>
    <t>LearningStandardItemAssociationDestinationNodeURI</t>
  </si>
  <si>
    <t>Learning Standard Item Association Identifier URI</t>
  </si>
  <si>
    <t>A URI that establishes uniqueness of an association between a learning standard and another learning standard or other objects such as learning resources.</t>
  </si>
  <si>
    <t>000871</t>
  </si>
  <si>
    <t>LearningStandardItemAssociationIdentifierURI</t>
  </si>
  <si>
    <t>Learning Standard Item Association Origin Node Name</t>
  </si>
  <si>
    <t>Name of the origin node when the Learning Standard Item Association is used as a connector in a learning map.</t>
  </si>
  <si>
    <t>001405</t>
  </si>
  <si>
    <t>LearningStandardItemAssociationOriginNodeName</t>
  </si>
  <si>
    <t>Learning Standard Item Association Origin Node URI</t>
  </si>
  <si>
    <t>URI of the origin node when the Learning Standard Item Association is used as a connector in a learning map.</t>
  </si>
  <si>
    <t>001406</t>
  </si>
  <si>
    <t>LearningStandardItemAssociationOriginNodeURI</t>
  </si>
  <si>
    <t>Learning Standard Item Association Type</t>
  </si>
  <si>
    <t>Defines the nature of the association between a Learning Standard Item and an associated data object such as a Learning Resource, an Assessment Item, or even another Learning Standard Item.</t>
  </si>
  <si>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t>
  </si>
  <si>
    <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</si>
  <si>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000869</t>
  </si>
  <si>
    <t>LearningStandardItemAssociationType</t>
  </si>
  <si>
    <t>Learning Standard Item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</si>
  <si>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</si>
  <si>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</si>
  <si>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</si>
  <si>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</si>
  <si>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LearningStandardItemAssociationWeight</t>
  </si>
  <si>
    <t>Learning Standard Item Blooms Taxonomy Domain</t>
  </si>
  <si>
    <t>Classification of the Learning Standard Item using Bloom's Taxonomy Domains. </t>
  </si>
  <si>
    <t>000875</t>
  </si>
  <si>
    <t>LearningStandardItemBloomsTaxonomyDomain</t>
  </si>
  <si>
    <t>Learning Standard Item Code</t>
  </si>
  <si>
    <t>A human-referenceable code designated by the publisher to identify the item in the hierarchy of learning standard items.</t>
  </si>
  <si>
    <t>For example: "M.1.N.3" The code is usually not globally unique and usually has embedded meaning such as a number that represents a grade/level and letters that represent content strands.</t>
  </si>
  <si>
    <t>000692</t>
  </si>
  <si>
    <t>Competency Item Code</t>
  </si>
  <si>
    <t>LearningStandardItemCode</t>
  </si>
  <si>
    <t>Learning Standard Item Concept Keyword</t>
  </si>
  <si>
    <t>The significant topicality of the learning standard using free-text keywords and phrases.</t>
  </si>
  <si>
    <t>000887</t>
  </si>
  <si>
    <t>LearningStandardItemConceptKeyword</t>
  </si>
  <si>
    <t>Learning Standard Item Concept Term</t>
  </si>
  <si>
    <t>The topicality of the achievement standard, e.g. "Pythagorean Theorem" "Trigonometric functions" "Forces and energy" "Scientific method" "Oral history" etc.</t>
  </si>
  <si>
    <t>000888</t>
  </si>
  <si>
    <t>LearningStandardItemConceptTerm</t>
  </si>
  <si>
    <t>Learning Standard Item Current Version Indicator</t>
  </si>
  <si>
    <t>Indicates that this is the most current version of the Learning Standard Item.</t>
  </si>
  <si>
    <t>This element supports version histories at the statement level. If corrections have been made to individual items/statements that are not part of a new Learning Standard Document, the elements 'Learning Standard Item Previous Version Identifier' and 'Learning Standard Item Current Version Indicator' provide a reference to historical versions of the current statement. In such uses the 'Learning Standard Item Code' could be the same for multiple versions of a statement and Learning Standard Item URL could resolve to the most current version of the statement.</t>
  </si>
  <si>
    <t>001525</t>
  </si>
  <si>
    <t>LearningStandardItemCurrentVersionIndicator</t>
  </si>
  <si>
    <t>Learning Standard Item Education Level</t>
  </si>
  <si>
    <t>The education level, grade level or primary instructional level at which a Learning Standard Item is intended.</t>
  </si>
  <si>
    <t>More than one Learning Standard Grade Level may be associated with one Learning Standard Item.</t>
  </si>
  <si>
    <t>000725</t>
  </si>
  <si>
    <t>LearningStandardItemEducationLevel</t>
  </si>
  <si>
    <t>Learning Standard Item Identifier</t>
  </si>
  <si>
    <t>The globally unique identifier (GUID) issued by the publisher of the competency framework that uniquely identifies the item in the hierarchy of learning standard items using a RFC 4122 compliant 32-character hexadecimal string, such as 21EC2020-3AEA-1069-A2DD-08002B30309D.</t>
  </si>
  <si>
    <t>000689</t>
  </si>
  <si>
    <t>Competency Item Identifier</t>
  </si>
  <si>
    <t>LearningStandardItemIdentifier</t>
  </si>
  <si>
    <t>Learning Standard Item Language</t>
  </si>
  <si>
    <t>The default language of the text used for the content in the learning standard statement.</t>
  </si>
  <si>
    <t>000881</t>
  </si>
  <si>
    <t>LearningStandardItemLanguage</t>
  </si>
  <si>
    <t>Learning Standard Item License</t>
  </si>
  <si>
    <t>The full text or URL reference to a legal document giving official permission to do something with the standards statement.</t>
  </si>
  <si>
    <t>000883</t>
  </si>
  <si>
    <t>LearningStandardItemLicense</t>
  </si>
  <si>
    <t>Learning Standard Item Multiple Intelligence</t>
  </si>
  <si>
    <t>Classification of the Learning Standard Item using intelligences defined for Howard Earl Gardner's Theory of Multiple Intelligences.</t>
  </si>
  <si>
    <t>000876</t>
  </si>
  <si>
    <t>LearningStandardItemMultipleIntelligence</t>
  </si>
  <si>
    <t>Learning Standard Item Node Accessibility Profile</t>
  </si>
  <si>
    <t>When the Learning Standard Item is used as a node in a learning map, this element supports alternative pathways based on a learner's accessibility profile. The type selected indicates which accessibility profile the node is designed to address.</t>
  </si>
  <si>
    <t>Learning Standards -&gt; Learning Standard Item</t>
  </si>
  <si>
    <t>001408</t>
  </si>
  <si>
    <t>LearningStandardItemNodeAccessibilityProfile</t>
  </si>
  <si>
    <t>Learning Standard Item Node Name</t>
  </si>
  <si>
    <t>The name or label displayed on the node when this learning standard item is used in a learning map.</t>
  </si>
  <si>
    <t>001409</t>
  </si>
  <si>
    <t>LearningStandardItemNodeName</t>
  </si>
  <si>
    <t>Learning Standard Item Notes</t>
  </si>
  <si>
    <t>Information about the derivation of a Learning Standard Item Statement.</t>
  </si>
  <si>
    <t>001249</t>
  </si>
  <si>
    <t>LearningStandardItemNotes</t>
  </si>
  <si>
    <t>Learning Standard Item Parent Code</t>
  </si>
  <si>
    <t>A human-referenceable code designated by the publisher to identify the parent item in the hierarchy of learning standard items.</t>
  </si>
  <si>
    <t>000873</t>
  </si>
  <si>
    <t>LearningStandardItemParentCode</t>
  </si>
  <si>
    <t>Learning Standard Item Parent Identifier</t>
  </si>
  <si>
    <t>The globally unique identifier (GUID) issued by the publisher of the competency framework that uniquely identifies the parent item in the hierarchy of learning standard items using a RFC 4122 compliant 32-character hexadecimal string, such as 21EC2020-3AEA-1069-A2DD-08002B30309D.</t>
  </si>
  <si>
    <t>000872</t>
  </si>
  <si>
    <t>LearningStandardItemParentIdentifier</t>
  </si>
  <si>
    <t>Learning Standard Item Parent URL</t>
  </si>
  <si>
    <t>A network-resolvable Uniform Resource Locator (URL) pointing to the authoritative reference for the hierarchal parent of the learning standard item.</t>
  </si>
  <si>
    <t>001094</t>
  </si>
  <si>
    <t>LearningStandardItemParentURL</t>
  </si>
  <si>
    <t>Learning Standard Item Prerequisite Identifier</t>
  </si>
  <si>
    <t>The unique identifier of an immediate prerequisite Learning Standard Item, a competency needed prior to learning this one. (Some items may have no prerequisites others may have one or more prerequisites. This should only be used to represent the immediate predecessors in a competency-based pathway, i.e. not prerequisites of prerequisites.)</t>
  </si>
  <si>
    <t>The recommended approach is to uUse the entity Learning Standard Item Association instead of this data element. Learning Standard Item Association also supports associating other entities, such as Learning Resources, to learning standard items.</t>
  </si>
  <si>
    <t>000715</t>
  </si>
  <si>
    <t>LearningStandardItemPrerequisiteIdentifier</t>
  </si>
  <si>
    <t>Learning Standard Item Previous Version Identifier</t>
  </si>
  <si>
    <t>The unique identifier of the previous version of the Learning Standard Item if the statement was modified.</t>
  </si>
  <si>
    <t>001524</t>
  </si>
  <si>
    <t>LearningStandardItemPreviousVersionIdentifier</t>
  </si>
  <si>
    <t>Learning Standard Item Sequence</t>
  </si>
  <si>
    <t>A set of one or more alphanumeric characters and/or symbols denoting the positioning of the statement being described in a sequential listing of statements.</t>
  </si>
  <si>
    <t>Assessments -&gt; Learning Standards -&gt; Learning Standard Item</t>
  </si>
  <si>
    <t>Based on ASN's ListID. (add reference URL)</t>
  </si>
  <si>
    <t>001570</t>
  </si>
  <si>
    <t>LearningStandardItemSequence</t>
  </si>
  <si>
    <t>Learning Standard Item Statement</t>
  </si>
  <si>
    <t>The text of the statement. The textual content that either describes a specific competency or describes a less granular group of competencies within the taxonomy of the standards document.</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</si>
  <si>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</si>
  <si>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000690</t>
  </si>
  <si>
    <t>Competency Item Statement</t>
  </si>
  <si>
    <t>LearningStandardItemStatement</t>
  </si>
  <si>
    <t>Learning Standard Item Testability Type</t>
  </si>
  <si>
    <t>Indicates if the competency described in the Learning Standard Item Statement can be tested using one or more assessment items.</t>
  </si>
  <si>
    <t>001411</t>
  </si>
  <si>
    <t>LearningStandardItemTestabilityType</t>
  </si>
  <si>
    <t>Learning Standard Item Text Complexity Maximum Value</t>
  </si>
  <si>
    <t>The maximum value in the range of text complexity applicable to a language learning standard using the scaling system defined by Text Complexity System, e.g. Lexile(tm).</t>
  </si>
  <si>
    <t>001155</t>
  </si>
  <si>
    <t>LearningStandardItemTextComplexityMaximumValue</t>
  </si>
  <si>
    <t>Learning Standard Item Text Complexity Minimum Value</t>
  </si>
  <si>
    <t>The minimum value in the range of text complexity applicable to a language learning standard using the scaling system defined by Text Complexity System, e.g. Lexile(tm).</t>
  </si>
  <si>
    <t>001154</t>
  </si>
  <si>
    <t>LearningStandardItemTextComplexityMinimumValue</t>
  </si>
  <si>
    <t>Learning Standard Item Text Complexity System</t>
  </si>
  <si>
    <t>The scaling system used to specify the text complexity of an learning standard item.</t>
  </si>
  <si>
    <t>000910</t>
  </si>
  <si>
    <t>LearningStandardItemTextComplexitySystem</t>
  </si>
  <si>
    <t>Learning Standard Item Type</t>
  </si>
  <si>
    <t>The textual label identifying the class of the statement as designated by the promulgating body—e.g., "Standard," "Benchmark," "Strand," or "Topic." or "Level 1, Level 2,..."</t>
  </si>
  <si>
    <t>000691</t>
  </si>
  <si>
    <t>Competency Item Type</t>
  </si>
  <si>
    <t>LearningStandardItemType</t>
  </si>
  <si>
    <t>Learning Standard Item Typical Age Range</t>
  </si>
  <si>
    <t>The typical range of ages for the content’s intended end user.</t>
  </si>
  <si>
    <t>E.g. "7-9"</t>
  </si>
  <si>
    <t>000870</t>
  </si>
  <si>
    <t>LearningStandardItemTypicalAgeRange</t>
  </si>
  <si>
    <t>Learning Standard Item URL</t>
  </si>
  <si>
    <t>A network-resolvable Uniform Resource Locator (URL) pointing to the authoritative reference for the learning standard item.</t>
  </si>
  <si>
    <t>000874</t>
  </si>
  <si>
    <t>LearningStandardItemUrl</t>
  </si>
  <si>
    <t>Learning Standard Item Valid End Date</t>
  </si>
  <si>
    <t>The year, month and day the standards item was deprecated/replaced by the jurisdiction in which it was intended to apply.</t>
  </si>
  <si>
    <t>Assessments -&gt; Learning Standards -&gt; Learning Standard Document</t>
  </si>
  <si>
    <t>When not specified the entity is assumed contain the most current version of the specified learnig standard item.</t>
  </si>
  <si>
    <t>001511</t>
  </si>
  <si>
    <t>LearningStandardItemValidEndDate</t>
  </si>
  <si>
    <t>Learning Standard Item Valid Start Date</t>
  </si>
  <si>
    <t>The year, month and day the standards item was adopted by the jurisdiction in which it was intended to apply.</t>
  </si>
  <si>
    <t>001512</t>
  </si>
  <si>
    <t>LearningStandardItemValidStartDate</t>
  </si>
  <si>
    <t>Learning Standard Item Version</t>
  </si>
  <si>
    <t>A label assigned by the publisher indicating the version of the learning standard statement.</t>
  </si>
  <si>
    <t>001250</t>
  </si>
  <si>
    <t>LearningStandardItemVersion</t>
  </si>
  <si>
    <t>Leave Event Type</t>
  </si>
  <si>
    <t>The type of the leave event.</t>
  </si>
  <si>
    <t>K12 -&gt; K12 Staff -&gt; Attendance</t>
  </si>
  <si>
    <t>000624</t>
  </si>
  <si>
    <t>LeaveEventType</t>
  </si>
  <si>
    <t>Level of Institution</t>
  </si>
  <si>
    <t>A classification of whether a postsecondary institution's highest level of offering is a program of 4-years or higher (4 year), 2-but-less-than 4-years (2 year), or less than 2-years.</t>
  </si>
  <si>
    <t>000178</t>
  </si>
  <si>
    <t>LevelOfInstitution</t>
  </si>
  <si>
    <t>Level of Specialization in Early Learning</t>
  </si>
  <si>
    <t>The extent to which a person concentrates upon a particular subject matter area during his or her period of study at an educational institution.</t>
  </si>
  <si>
    <t>000341</t>
  </si>
  <si>
    <t>LevelOfSpecializationInEarlyLearning</t>
  </si>
  <si>
    <t>License Exempt</t>
  </si>
  <si>
    <t>The program or center is legally exempt from licensing.</t>
  </si>
  <si>
    <t>000350</t>
  </si>
  <si>
    <t>LicenseExempt</t>
  </si>
  <si>
    <t>Limited English Proficiency - Postsecondary</t>
  </si>
  <si>
    <t>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t>
  </si>
  <si>
    <t>000179</t>
  </si>
  <si>
    <t>LEP - Postsecondary</t>
  </si>
  <si>
    <t>LEPPostsecondary</t>
  </si>
  <si>
    <t>Limited English Proficiency Entry Date</t>
  </si>
  <si>
    <t>The year, month and day a student classified as limited English proficient entered the LEP program.</t>
  </si>
  <si>
    <t>K12 -&gt; K12 Student -&gt; Limited English Proficiency</t>
  </si>
  <si>
    <t>001247</t>
  </si>
  <si>
    <t>LEP Entry Date</t>
  </si>
  <si>
    <t>LimitedEnglishProficiencyEntryDate</t>
  </si>
  <si>
    <t>Limited English Proficiency Exit Date</t>
  </si>
  <si>
    <t>The year, month and day a student classified as limited English proficient exited the LEP program.</t>
  </si>
  <si>
    <t>000570</t>
  </si>
  <si>
    <t>LEP Exit Date</t>
  </si>
  <si>
    <t>LEPExitDate</t>
  </si>
  <si>
    <t>Limited English Proficiency Status</t>
  </si>
  <si>
    <t>Used to indicate persons (A) who are ages 3 through 21; (B) who are enrolled or preparing to enroll in an elementary school or a secondary school; (C ) (who are I, ii, or iii) (i) who were not born in the United States or whose native languages are languages other than English; (ii) (who are I and II) (I) who are a Native American or Alaska Native, or a native resident of the outlying areas; and (II) who come from an environment where languages other than English have a significant impact on their level of language proficiency; or (iii) who are migratory, whose native languages are languages other than English, and who come from an environment where languages other than English are dominant; and (D) whose difficulties in speaking, reading, writing, or understanding the English language may be sufficient to deny the individuals (who are denied I or ii or iii) (i) the ability to meet the state's proficient level of achievement on state assessments described in section 1111(b)(3); (ii) the ability to successfully achieve in classrooms where the language of instruction is English; or (iii) the opportunity to participate fully in society.</t>
  </si>
  <si>
    <t>000180</t>
  </si>
  <si>
    <t>LEP Status</t>
  </si>
  <si>
    <t>LEPStatus</t>
  </si>
  <si>
    <t>Literacy Assessment Administered Type</t>
  </si>
  <si>
    <t>The type of literacy test administered.</t>
  </si>
  <si>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</si>
  <si>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</si>
  <si>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</si>
  <si>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</si>
  <si>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</si>
  <si>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</si>
  <si>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</si>
  <si>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</si>
  <si>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</si>
  <si>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</si>
  <si>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</si>
  <si>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</si>
  <si>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</si>
  <si>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</si>
  <si>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</si>
  <si>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</si>
  <si>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</si>
  <si>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</si>
  <si>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</si>
  <si>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</si>
  <si>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</si>
  <si>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</si>
  <si>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t>001072</t>
  </si>
  <si>
    <t>LEA Identification System</t>
  </si>
  <si>
    <t>LEAIdentificationSystem</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</si>
  <si>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</si>
  <si>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</si>
  <si>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</si>
  <si>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</si>
  <si>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</si>
  <si>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</si>
  <si>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</si>
  <si>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t>000173</t>
  </si>
  <si>
    <t>LEA Improvement Status</t>
  </si>
  <si>
    <t>LEAImprovementStatus</t>
  </si>
  <si>
    <t>Local Education Agency Operational Status</t>
  </si>
  <si>
    <t>The classification of the operational condition of a local education agency (LEA) at the start of the school year.</t>
  </si>
  <si>
    <t>K12 -&gt; LEA -&gt; Directory</t>
  </si>
  <si>
    <t>000174</t>
  </si>
  <si>
    <t>LEA Operational Status</t>
  </si>
  <si>
    <t>LEAOperationalStatus</t>
  </si>
  <si>
    <t>Local Education Agency Supervisory Union Identification Number</t>
  </si>
  <si>
    <t>The three-digit unique identifier assigned to the supervisory union by the state.</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</si>
  <si>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</si>
  <si>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</si>
  <si>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</si>
  <si>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</si>
  <si>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</si>
  <si>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</si>
  <si>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</si>
  <si>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</si>
  <si>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</si>
  <si>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</si>
  <si>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The classification of education agencies within the geographic boundaries of a state according to the level of administrative and operational control.</t>
  </si>
  <si>
    <t>Option definitions from EDFacts documents</t>
  </si>
  <si>
    <t>EDFacts Data Set for School Years 2016-17, 2017-18, and 2018-19 -- Attachment B-2 (February 2016).</t>
  </si>
  <si>
    <t>000537</t>
  </si>
  <si>
    <t>LocalEducationAgencyType</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</si>
  <si>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</si>
  <si>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</si>
  <si>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</si>
  <si>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</si>
  <si>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</si>
  <si>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</si>
  <si>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</si>
  <si>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</si>
  <si>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</si>
  <si>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t>000181</t>
  </si>
  <si>
    <t>MagnetOrSpecialProgramEmphasisSchool</t>
  </si>
  <si>
    <t>Marking Period Name</t>
  </si>
  <si>
    <t>The name or description of the marking period (e.g., fall, first marking period).</t>
  </si>
  <si>
    <t>000182</t>
  </si>
  <si>
    <t>MarkingPeriodName</t>
  </si>
  <si>
    <t>Maternal Guardian Education</t>
  </si>
  <si>
    <t>The highest level of education attained by a person's mother or maternal guardian</t>
  </si>
  <si>
    <t>001229</t>
  </si>
  <si>
    <t>MaternalGuardianEducation</t>
  </si>
  <si>
    <t>Medical Alert Indicator</t>
  </si>
  <si>
    <t>Alert indicator for a medical/health condition.</t>
  </si>
  <si>
    <t>000439</t>
  </si>
  <si>
    <t>MedicalAlertIndicator</t>
  </si>
  <si>
    <t>Medical School Staff Status</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</si>
  <si>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</si>
  <si>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000733</t>
  </si>
  <si>
    <t>MedicalSchoolStaffStatus</t>
  </si>
  <si>
    <t>Memorandum of Understanding End Date</t>
  </si>
  <si>
    <t>The date that a Memorandum of Understanding between the Early Learning Organization and the Service Partner is determined to expire.</t>
  </si>
  <si>
    <t>Early Learning -&gt; EL Organization -&gt; Service Partners</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</si>
  <si>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</si>
  <si>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</si>
  <si>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</si>
  <si>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</si>
  <si>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</si>
  <si>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</si>
  <si>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</si>
  <si>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</si>
  <si>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</si>
  <si>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</si>
  <si>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</si>
  <si>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</si>
  <si>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</si>
  <si>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</si>
  <si>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</si>
  <si>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</si>
  <si>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</si>
  <si>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</si>
  <si>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</si>
  <si>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</si>
  <si>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</si>
  <si>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</si>
  <si>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</si>
  <si>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</si>
  <si>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</si>
  <si>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</si>
  <si>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</si>
  <si>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</si>
  <si>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</si>
  <si>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</si>
  <si>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</si>
  <si>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</si>
  <si>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</si>
  <si>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</si>
  <si>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</si>
  <si>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</si>
  <si>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</si>
  <si>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</si>
  <si>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</si>
  <si>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</si>
  <si>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</si>
  <si>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</si>
  <si>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</si>
  <si>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</si>
  <si>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</si>
  <si>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t>000440</t>
  </si>
  <si>
    <t>MEP Project Based</t>
  </si>
  <si>
    <t>MigrantEducationProgramProjectBased</t>
  </si>
  <si>
    <t>Migrant Education Program Project Type</t>
  </si>
  <si>
    <t>Type of project funded in whole or in part by MEP funds.</t>
  </si>
  <si>
    <t>000463</t>
  </si>
  <si>
    <t>MEP Project Type</t>
  </si>
  <si>
    <t>MigrantEducationProgramProjectType</t>
  </si>
  <si>
    <t>Migrant Education Program Services Type</t>
  </si>
  <si>
    <t>The type of services received by participating migrant students in the migrant education program (MEP).</t>
  </si>
  <si>
    <t>000186</t>
  </si>
  <si>
    <t>MEP Services Type</t>
  </si>
  <si>
    <t>MigrantEducationProgramServicesType</t>
  </si>
  <si>
    <t>Migrant Education Program Session Type</t>
  </si>
  <si>
    <t>The time of year that a Migrant Education Program operates.</t>
  </si>
  <si>
    <t>000187</t>
  </si>
  <si>
    <t>MEP Session Type</t>
  </si>
  <si>
    <t>MigrantEducationProgramSessionType</t>
  </si>
  <si>
    <t>Migrant Education Program Staff Category</t>
  </si>
  <si>
    <t>Titles of employment, official status, or rank of staff working in the Migrant Education Program (MEP).</t>
  </si>
  <si>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</si>
  <si>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</si>
  <si>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</si>
  <si>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</si>
  <si>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</si>
  <si>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</si>
  <si>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</si>
  <si>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</si>
  <si>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</si>
  <si>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</si>
  <si>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000189</t>
  </si>
  <si>
    <t>MigrantStatus</t>
  </si>
  <si>
    <t>Migrant Student Qualifying Arrival Date</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</si>
  <si>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</si>
  <si>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000432</t>
  </si>
  <si>
    <t>MigrantStudentQualifyingArrivalDate</t>
  </si>
  <si>
    <t>Military Active Student Indicator</t>
  </si>
  <si>
    <t>An indication that the student is currently serving on Active Duty, in the National Guard, or in the Reserve components of the United States military services</t>
  </si>
  <si>
    <t>001577</t>
  </si>
  <si>
    <t>MilitaryActiveStudentIndicator</t>
  </si>
  <si>
    <t>Military Branch</t>
  </si>
  <si>
    <t>A branch of the U.S. Military applicable for specifying more details when using Military Connected Student Indicator, Military Active Student Indicator, Military Veteran Student Indicator, and Military Enlistment After Exit elements.</t>
  </si>
  <si>
    <t>001640</t>
  </si>
  <si>
    <t>MilitaryBranch</t>
  </si>
  <si>
    <t>Military Connected Student Indicator</t>
  </si>
  <si>
    <t>An indication that the student’s parent or guardian is on Active Duty, in the National Guard, or in the Reserve components of the United States military services</t>
  </si>
  <si>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</si>
  <si>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</si>
  <si>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</si>
  <si>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</si>
  <si>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</si>
  <si>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001412</t>
  </si>
  <si>
    <t>MilitaryEnlistmentAfterExit</t>
  </si>
  <si>
    <t>Military Veteran Student Indicator</t>
  </si>
  <si>
    <t>An indication that the student is a veteran who served on Active Duty, in the National Guard, or in the Reserve components of the United States military services</t>
  </si>
  <si>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</si>
  <si>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</si>
  <si>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</si>
  <si>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</si>
  <si>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</si>
  <si>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</si>
  <si>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</si>
  <si>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</si>
  <si>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Early Learning -&gt; EL Organization -&gt; Monitoring</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</si>
  <si>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</si>
  <si>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</si>
  <si>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</si>
  <si>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</si>
  <si>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</si>
  <si>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</si>
  <si>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</si>
  <si>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</si>
  <si>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</si>
  <si>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</si>
  <si>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</si>
  <si>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</si>
  <si>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t>001122</t>
  </si>
  <si>
    <t>NAEPAspectsOfReading</t>
  </si>
  <si>
    <t>NAEP Mathematical Complexity Level</t>
  </si>
  <si>
    <t>Complexity levels defined by the National Assessment of Educational Progress (NAEP 2005a Framework).</t>
  </si>
  <si>
    <t>001088</t>
  </si>
  <si>
    <t>NAEPMathematicalComplexityLevel</t>
  </si>
  <si>
    <t>Name of Institution</t>
  </si>
  <si>
    <t>The full legally accepted name of the institution.</t>
  </si>
  <si>
    <t>000191</t>
  </si>
  <si>
    <t>NameOfInstitution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</si>
  <si>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</si>
  <si>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</si>
  <si>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</si>
  <si>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</si>
  <si>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</si>
  <si>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</si>
  <si>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</si>
  <si>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</si>
  <si>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</si>
  <si>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</si>
  <si>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</si>
  <si>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</si>
  <si>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</si>
  <si>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</si>
  <si>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Native Hawaiian or Other Pacific Islander</t>
  </si>
  <si>
    <t>A person having origins in any of the original peoples of Hawaii, Guam, Samoa, or other Pacific Islands.</t>
  </si>
  <si>
    <t>000192</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</si>
  <si>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</si>
  <si>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</si>
  <si>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</si>
  <si>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</si>
  <si>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</si>
  <si>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</si>
  <si>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</si>
  <si>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</si>
  <si>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</si>
  <si>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The elements "Neglected or Delinquent Academic Achievement Indicator " and "Neglected or Delinquent Academic Outcome Indicator" are different, although similarly worded.</t>
  </si>
  <si>
    <t>EDFacts guidance: The Neglected or Delinquent Academic Achievement indicator should only be used for Subpart 1; the Neglected or Delinquent Academic Outcome Indicator Academic Outcome Indicator should be used for subpart 2.</t>
  </si>
  <si>
    <t>000635</t>
  </si>
  <si>
    <t>NeglectedOrDelinquentAcademicAchievementIndicator</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</si>
  <si>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</si>
  <si>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</si>
  <si>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</si>
  <si>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</si>
  <si>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</si>
  <si>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</si>
  <si>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</si>
  <si>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</si>
  <si>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</si>
  <si>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</si>
  <si>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t>000194</t>
  </si>
  <si>
    <t>NeglectedOrDelinquentProgramType</t>
  </si>
  <si>
    <t>Neglected or Delinquent Status</t>
  </si>
  <si>
    <t>An indication that the student is participating in programs for neglected or delinquent students (N or D) under Title I, Part D, Subpart 1 (state agencies) of ESEA as amended by NCLB.</t>
  </si>
  <si>
    <t>000193</t>
  </si>
  <si>
    <t>NeglectedOrDelinquentStatus</t>
  </si>
  <si>
    <t>Nonpromotion Reason</t>
  </si>
  <si>
    <t>The primary reason as to why a staff member determined that a student should not be promoted (or be demoted).</t>
  </si>
  <si>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</si>
  <si>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</si>
  <si>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</si>
  <si>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</si>
  <si>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</si>
  <si>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</si>
  <si>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</si>
  <si>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</si>
  <si>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</si>
  <si>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</si>
  <si>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</si>
  <si>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</si>
  <si>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</si>
  <si>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</si>
  <si>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</si>
  <si>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</si>
  <si>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000199</t>
  </si>
  <si>
    <t>NumberOfCreditsAttempted</t>
  </si>
  <si>
    <t>Number of Credits Earned</t>
  </si>
  <si>
    <t>The number of credits an individual earns by the successful completion of a course.</t>
  </si>
  <si>
    <t>000200</t>
  </si>
  <si>
    <t>NumberOfCreditsEarned</t>
  </si>
  <si>
    <t>Number of Days Absent</t>
  </si>
  <si>
    <t>The number of days a person is absent when school is in session during a given reporting period.</t>
  </si>
  <si>
    <t>000201</t>
  </si>
  <si>
    <t>NumberOfDaysAbsent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</si>
  <si>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</si>
  <si>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</si>
  <si>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</si>
  <si>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</si>
  <si>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</si>
  <si>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</si>
  <si>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</si>
  <si>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000202</t>
  </si>
  <si>
    <t>NumberOfDaysInAttendance</t>
  </si>
  <si>
    <t>Number of Dependents</t>
  </si>
  <si>
    <t>The number of children or other dependents who live with the student and receive more than half their support from them.</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</si>
  <si>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</si>
  <si>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</si>
  <si>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</si>
  <si>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</si>
  <si>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</si>
  <si>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</si>
  <si>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</si>
  <si>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</si>
  <si>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</si>
  <si>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</si>
  <si>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Early Learning Program Monitoring Visits</t>
  </si>
  <si>
    <t>Total number of monitoring visits the program received in the past year.</t>
  </si>
  <si>
    <t>000839</t>
  </si>
  <si>
    <t>NumberOfEarlyLearningProgramMonitoringVisits</t>
  </si>
  <si>
    <t>Number of Immigrant Program Subgrants</t>
  </si>
  <si>
    <t>The number of immigrant program [3114(d)(1)] subgrants.</t>
  </si>
  <si>
    <t>000470</t>
  </si>
  <si>
    <t>NumberOfImmigrantProgramSubgrants</t>
  </si>
  <si>
    <t>Number of People in Family</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</si>
  <si>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</si>
  <si>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</si>
  <si>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</si>
  <si>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</si>
  <si>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</si>
  <si>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</si>
  <si>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</si>
  <si>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</si>
  <si>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</si>
  <si>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Early Learning -&gt; EL Organization -&gt; QRIS Rating</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</si>
  <si>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</si>
  <si>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</si>
  <si>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</si>
  <si>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</si>
  <si>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</si>
  <si>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</si>
  <si>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</si>
  <si>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</si>
  <si>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</si>
  <si>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Eight digits - no decimal place</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</si>
  <si>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</si>
  <si>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</si>
  <si>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</si>
  <si>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</si>
  <si>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</si>
  <si>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</si>
  <si>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</si>
  <si>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</si>
  <si>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</si>
  <si>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</si>
  <si>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</si>
  <si>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</si>
  <si>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</si>
  <si>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</si>
  <si>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</si>
  <si>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</si>
  <si>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</si>
  <si>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</si>
  <si>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</si>
  <si>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</si>
  <si>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</si>
  <si>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</si>
  <si>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</si>
  <si>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</si>
  <si>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t>000827</t>
  </si>
  <si>
    <t>OrganizationIdentificationSystem</t>
  </si>
  <si>
    <t>Organization Identifier</t>
  </si>
  <si>
    <t>A unique number or alphanumeric code assigned to an organization by a school, school system, a state, or other agency or entity.</t>
  </si>
  <si>
    <t>000826</t>
  </si>
  <si>
    <t>OrganizationIdentifier</t>
  </si>
  <si>
    <t>Organization Monitoring Notifications</t>
  </si>
  <si>
    <t>Whether the organization received notification about monitoring</t>
  </si>
  <si>
    <t>001330</t>
  </si>
  <si>
    <t>OrganizationMonitoringNotifications</t>
  </si>
  <si>
    <t>Organization Name</t>
  </si>
  <si>
    <t>The name of a non-person entity such as an organization, institution, agency or business.</t>
  </si>
  <si>
    <t>000204</t>
  </si>
  <si>
    <t>OrganizationName</t>
  </si>
  <si>
    <t>Organization Operational Status</t>
  </si>
  <si>
    <t>The current status of the organization's operations, exclusive of scheduled breaks, holidays, or other temporary interruptions.</t>
  </si>
  <si>
    <t>001418</t>
  </si>
  <si>
    <t>OrganizationOperationalStatus</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</si>
  <si>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</si>
  <si>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</si>
  <si>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</si>
  <si>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</si>
  <si>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</si>
  <si>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</si>
  <si>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</si>
  <si>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</si>
  <si>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</si>
  <si>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</si>
  <si>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</si>
  <si>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</si>
  <si>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</si>
  <si>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</si>
  <si>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</si>
  <si>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</si>
  <si>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</si>
  <si>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</si>
  <si>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</si>
  <si>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</si>
  <si>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</si>
  <si>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</si>
  <si>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</si>
  <si>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</si>
  <si>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</si>
  <si>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</si>
  <si>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</si>
  <si>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</si>
  <si>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</si>
  <si>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</si>
  <si>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</si>
  <si>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</si>
  <si>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</si>
  <si>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</si>
  <si>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</si>
  <si>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</si>
  <si>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</si>
  <si>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</si>
  <si>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t>000634</t>
  </si>
  <si>
    <t>OtherNameType</t>
  </si>
  <si>
    <t>Other Race Indicator</t>
  </si>
  <si>
    <t>Race other than American Indian, Black, Asian, White, Native Pacific Islander</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</si>
  <si>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</si>
  <si>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</si>
  <si>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</si>
  <si>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</si>
  <si>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</si>
  <si>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</si>
  <si>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</si>
  <si>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</si>
  <si>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</si>
  <si>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</si>
  <si>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</si>
  <si>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</si>
  <si>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</si>
  <si>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t>000207</t>
  </si>
  <si>
    <t>ParaprofessionalQualificationStatus</t>
  </si>
  <si>
    <t>Parent Communication Method</t>
  </si>
  <si>
    <t>The types of communication methods with parents.</t>
  </si>
  <si>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</si>
  <si>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</si>
  <si>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</si>
  <si>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</si>
  <si>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</si>
  <si>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</si>
  <si>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</si>
  <si>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</si>
  <si>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</si>
  <si>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</si>
  <si>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</si>
  <si>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</si>
  <si>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</si>
  <si>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</si>
  <si>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</si>
  <si>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</si>
  <si>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</si>
  <si>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</si>
  <si>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</si>
  <si>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</si>
  <si>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</si>
  <si>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</si>
  <si>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</si>
  <si>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</si>
  <si>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</si>
  <si>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</si>
  <si>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</si>
  <si>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The maximum value allowed by the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</si>
  <si>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</si>
  <si>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</si>
  <si>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</si>
  <si>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</si>
  <si>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</si>
  <si>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</si>
  <si>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</si>
  <si>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</si>
  <si>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</si>
  <si>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</si>
  <si>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</si>
  <si>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The optimum value allowed by the Peer Rating System. The optimum or best rating may be the maximum value, the minimum value, or something in between.</t>
  </si>
  <si>
    <t>001151</t>
  </si>
  <si>
    <t>PeerRatingSystemOptimumValue</t>
  </si>
  <si>
    <t>Perkins Limited English Proficiency Status</t>
  </si>
  <si>
    <t>An indication that students have Limited English Proficiency according to the definition in the Carl D. Perkins Career and Technical Education Act of 2006, which is "a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</si>
  <si>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000581</t>
  </si>
  <si>
    <t>Perkins LEP Status</t>
  </si>
  <si>
    <t>PerkinsLEPStatus</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</si>
  <si>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</si>
  <si>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</si>
  <si>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</si>
  <si>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</si>
  <si>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</si>
  <si>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</si>
  <si>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</si>
  <si>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</si>
  <si>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</si>
  <si>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</si>
  <si>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</si>
  <si>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</si>
  <si>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</si>
  <si>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</si>
  <si>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</si>
  <si>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</si>
  <si>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</si>
  <si>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</si>
  <si>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</si>
  <si>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</si>
  <si>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</si>
  <si>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</si>
  <si>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</si>
  <si>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</si>
  <si>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</si>
  <si>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</si>
  <si>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</si>
  <si>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</si>
  <si>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</si>
  <si>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</si>
  <si>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</si>
  <si>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</si>
  <si>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</si>
  <si>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to Learner Type</t>
  </si>
  <si>
    <t>The nature of the person's relationship to a learner. The learner may be an Early Learning Child, K12 Student, Postsecondary Student, or an adult learner in a workforce education program.</t>
  </si>
  <si>
    <t>000425</t>
  </si>
  <si>
    <t>PersonRelationshipToLearnerType</t>
  </si>
  <si>
    <t>Personal Information Verification</t>
  </si>
  <si>
    <t>The evidence by which a persons name, address, date of birth, etc. is confirmed.</t>
  </si>
  <si>
    <t>000618</t>
  </si>
  <si>
    <t>PersonalInformationVerification</t>
  </si>
  <si>
    <t>Personal Title or Prefix</t>
  </si>
  <si>
    <t>An appellation, if any, used to denote rank, placement, or status (e.g., Mr., Ms., Reverend, Sister, Dr., Colonel).</t>
  </si>
  <si>
    <t>000212</t>
  </si>
  <si>
    <t>Prefix</t>
  </si>
  <si>
    <t>PersonalTitleOrPrefix</t>
  </si>
  <si>
    <t>Personnel Policy Type</t>
  </si>
  <si>
    <t>Policies related to personnel in the organization.</t>
  </si>
  <si>
    <t>000842</t>
  </si>
  <si>
    <t>PersonnelPolicyType</t>
  </si>
  <si>
    <t>Position Title</t>
  </si>
  <si>
    <t>The descriptive name of a person's position.</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</si>
  <si>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</si>
  <si>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</si>
  <si>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</si>
  <si>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</si>
  <si>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</si>
  <si>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</si>
  <si>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</si>
  <si>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</si>
  <si>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</si>
  <si>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</si>
  <si>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</si>
  <si>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</si>
  <si>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</si>
  <si>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</si>
  <si>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</si>
  <si>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</si>
  <si>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</si>
  <si>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t>Either use option 02 or one of the options, 04 or 05, for less than full-time but at least half-time.</t>
  </si>
  <si>
    <t>000096</t>
  </si>
  <si>
    <t>PostsecondaryEnrollmentStatus</t>
  </si>
  <si>
    <t>Postsecondary Enrollment Type</t>
  </si>
  <si>
    <t>An indicator of the enrollment type associated with the enrollment award level of a person at the beginning of a term.</t>
  </si>
  <si>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</si>
  <si>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</si>
  <si>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</si>
  <si>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</si>
  <si>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</si>
  <si>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</si>
  <si>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</si>
  <si>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</si>
  <si>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</si>
  <si>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The circumstances under which the student exited from enrollment in a postsecondary institution.</t>
  </si>
  <si>
    <t>001617</t>
  </si>
  <si>
    <t>PostsecondaryExitOrWithdrawalType</t>
  </si>
  <si>
    <t>Postsecondary Program Level</t>
  </si>
  <si>
    <t>The level describing the concentration of study for a postsecondary program.</t>
  </si>
  <si>
    <t>001616</t>
  </si>
  <si>
    <t>PostsecondaryProgram Level</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</si>
  <si>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</si>
  <si>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</si>
  <si>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</si>
  <si>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</si>
  <si>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</si>
  <si>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</si>
  <si>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</si>
  <si>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</si>
  <si>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</si>
  <si>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</si>
  <si>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</si>
  <si>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t>000571</t>
  </si>
  <si>
    <t>PreAndPostTestIndicator</t>
  </si>
  <si>
    <t>Predominant Calendar System</t>
  </si>
  <si>
    <t>The method by which an institution structures most of its courses for the academic year.</t>
  </si>
  <si>
    <t>Definition and code set in IPEDS</t>
  </si>
  <si>
    <t>000729</t>
  </si>
  <si>
    <t>PredominantCalendarSystem</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</si>
  <si>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</si>
  <si>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</si>
  <si>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</si>
  <si>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</si>
  <si>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</si>
  <si>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</si>
  <si>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t>000216</t>
  </si>
  <si>
    <t>PrekindergartenEligibility</t>
  </si>
  <si>
    <t>Prekindergarten Eligible Ages for Non-IDEA Students</t>
  </si>
  <si>
    <t>The ages of children not served under IDEA to whom the LEA's pre-kindergarten services are available.</t>
  </si>
  <si>
    <t>000217</t>
  </si>
  <si>
    <t>PrekindergartenEligibleAgesForNonIDEAStudents</t>
  </si>
  <si>
    <t>Present Attendance Category</t>
  </si>
  <si>
    <t>The category that describes how the student spends his or her time when attending an instructional program approved by the state and/or school.</t>
  </si>
  <si>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</si>
  <si>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</si>
  <si>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</si>
  <si>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</si>
  <si>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</si>
  <si>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</si>
  <si>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</si>
  <si>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An indication of whether the assignment is this the staff member's primary assignment.</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</si>
  <si>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</si>
  <si>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</si>
  <si>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</si>
  <si>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</si>
  <si>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001428</t>
  </si>
  <si>
    <t>PrimaryContactIndicator</t>
  </si>
  <si>
    <t>Primary Disability Type</t>
  </si>
  <si>
    <t>The major or overriding disability condition that best describes a person's impairment.</t>
  </si>
  <si>
    <t>000218</t>
  </si>
  <si>
    <t>PrimaryDisabilityType</t>
  </si>
  <si>
    <t>Primary Telephone Number Indicator</t>
  </si>
  <si>
    <t>An indication that the telephone number should be used as the principal number for a person or organization.</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</si>
  <si>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</si>
  <si>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</si>
  <si>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</si>
  <si>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</si>
  <si>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</si>
  <si>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</si>
  <si>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</si>
  <si>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</si>
  <si>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</si>
  <si>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</si>
  <si>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</si>
  <si>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</si>
  <si>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Early Learning -&gt; EL Staff -&gt; Credential or License (added)</t>
  </si>
  <si>
    <t>001429</t>
  </si>
  <si>
    <t>ProfessionalCertificateOrLicenseNumber</t>
  </si>
  <si>
    <t>Professional Development Activity Approval Code</t>
  </si>
  <si>
    <t>A code given to an activity by an approval organization to designate it as an approved activity.</t>
  </si>
  <si>
    <t>001432</t>
  </si>
  <si>
    <t>ProfessionalDevelopmentActivityApprovalCode</t>
  </si>
  <si>
    <t>Professional Development Activity Approved Purpose</t>
  </si>
  <si>
    <t>The purposes for which an activity is approved.</t>
  </si>
  <si>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</si>
  <si>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</si>
  <si>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</si>
  <si>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</si>
  <si>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</si>
  <si>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</si>
  <si>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</si>
  <si>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</si>
  <si>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</si>
  <si>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</si>
  <si>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</si>
  <si>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</si>
  <si>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</si>
  <si>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</si>
  <si>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</si>
  <si>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</si>
  <si>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</si>
  <si>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</si>
  <si>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</si>
  <si>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</si>
  <si>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</si>
  <si>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</si>
  <si>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</si>
  <si>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</si>
  <si>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</si>
  <si>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</si>
  <si>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</si>
  <si>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</si>
  <si>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</si>
  <si>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</si>
  <si>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</si>
  <si>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</si>
  <si>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</si>
  <si>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</si>
  <si>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</si>
  <si>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</si>
  <si>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</si>
  <si>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</si>
  <si>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</si>
  <si>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</si>
  <si>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</si>
  <si>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</si>
  <si>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</si>
  <si>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</si>
  <si>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</si>
  <si>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Early Learning -&gt; EL Staff -&gt; Professional Development Activity</t>
  </si>
  <si>
    <t>001619</t>
  </si>
  <si>
    <t>ProfessionalDevelopmentActivityStateApprovedStatus</t>
  </si>
  <si>
    <t>Professional Development Activity Target Audience</t>
  </si>
  <si>
    <t>A categorization of the audience for which the professional development activity is intended.</t>
  </si>
  <si>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</si>
  <si>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</si>
  <si>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</si>
  <si>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</si>
  <si>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</si>
  <si>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</si>
  <si>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</si>
  <si>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</si>
  <si>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</si>
  <si>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</si>
  <si>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</si>
  <si>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</si>
  <si>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</si>
  <si>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</si>
  <si>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</si>
  <si>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</si>
  <si>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</si>
  <si>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t>001431</t>
  </si>
  <si>
    <t>ProfessionalDevelopmentDeliveryMethod</t>
  </si>
  <si>
    <t>Professional Development Financial Support Type</t>
  </si>
  <si>
    <t>The type of financial assistance received in support of non-credit professional development activities.</t>
  </si>
  <si>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</si>
  <si>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</si>
  <si>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</si>
  <si>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</si>
  <si>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</si>
  <si>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</si>
  <si>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</si>
  <si>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</si>
  <si>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</si>
  <si>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</si>
  <si>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</si>
  <si>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</si>
  <si>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</si>
  <si>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</si>
  <si>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</si>
  <si>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</si>
  <si>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</si>
  <si>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</si>
  <si>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</si>
  <si>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</si>
  <si>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</si>
  <si>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</si>
  <si>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</si>
  <si>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</si>
  <si>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</si>
  <si>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</si>
  <si>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</si>
  <si>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</si>
  <si>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</si>
  <si>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</si>
  <si>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</si>
  <si>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</si>
  <si>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</si>
  <si>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</si>
  <si>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</si>
  <si>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</si>
  <si>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</si>
  <si>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</si>
  <si>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</si>
  <si>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</si>
  <si>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HH:MM</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</si>
  <si>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</si>
  <si>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</si>
  <si>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</si>
  <si>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</si>
  <si>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</si>
  <si>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</si>
  <si>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</si>
  <si>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</si>
  <si>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</si>
  <si>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</si>
  <si>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</si>
  <si>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The unique, non-duplicated, identification number assigned by the registry data system for a session of a particular professional development activity.</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</si>
  <si>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</si>
  <si>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</si>
  <si>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</si>
  <si>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</si>
  <si>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</si>
  <si>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</si>
  <si>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</si>
  <si>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</si>
  <si>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</si>
  <si>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</si>
  <si>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</si>
  <si>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</si>
  <si>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</si>
  <si>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</si>
  <si>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</si>
  <si>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</si>
  <si>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</si>
  <si>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</si>
  <si>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</si>
  <si>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</si>
  <si>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</si>
  <si>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</si>
  <si>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</si>
  <si>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</si>
  <si>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</si>
  <si>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</si>
  <si>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</si>
  <si>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</si>
  <si>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t>000783</t>
  </si>
  <si>
    <t>ProfessionalOrTechnicalCredentialConferred</t>
  </si>
  <si>
    <t>Proficiency Status</t>
  </si>
  <si>
    <t>An indication of whether a student's scores were proficient.</t>
  </si>
  <si>
    <t>000573</t>
  </si>
  <si>
    <t>ProficiencyStatus</t>
  </si>
  <si>
    <t>Proficiency Target Status for Math</t>
  </si>
  <si>
    <t>An indication of whether the school or district met the math proficiency target in accordance with state definition for the purposes of determining AYP.</t>
  </si>
  <si>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</si>
  <si>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</si>
  <si>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</si>
  <si>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</si>
  <si>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</si>
  <si>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</si>
  <si>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</si>
  <si>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</si>
  <si>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</si>
  <si>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</si>
  <si>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Program Follows Salary Scale</t>
  </si>
  <si>
    <t>An indication of whether a program has a salary scale that is followed for practitioners</t>
  </si>
  <si>
    <t>Early Learning -&gt; EL Organization -&gt; Compensation</t>
  </si>
  <si>
    <t>000863</t>
  </si>
  <si>
    <t>ProgramFollowsSalaryScale</t>
  </si>
  <si>
    <t>Program Gifted Eligibility Criteria</t>
  </si>
  <si>
    <t>State/local code used to determine a student's eligibility for Gifted/Talented program.</t>
  </si>
  <si>
    <t>001244</t>
  </si>
  <si>
    <t>ProgramGiftedEligibilityCriteria</t>
  </si>
  <si>
    <t>Program Heath Safety Checklist Use Status</t>
  </si>
  <si>
    <t>An indication of whether a program uses a health or safety checklist or documentation.</t>
  </si>
  <si>
    <t>K12 -&gt; K12 Student -&gt; CTE</t>
  </si>
  <si>
    <t>000851</t>
  </si>
  <si>
    <t>ProgramHeathSafetyChecklistUseStatus</t>
  </si>
  <si>
    <t>Program Identifier</t>
  </si>
  <si>
    <t>A unique number or alphanumeric code assigned to a program by a school, school system, a state, or other agency or entity.</t>
  </si>
  <si>
    <t>000625</t>
  </si>
  <si>
    <t>ProgramIdentifier</t>
  </si>
  <si>
    <t>Program in Multiple Purpose Facility</t>
  </si>
  <si>
    <t>An institution/facility/program that serves more than one programming purpose. For example, the same facility may run both a juvenile correction program and a juvenile detention program.</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</si>
  <si>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</si>
  <si>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</si>
  <si>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</si>
  <si>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</si>
  <si>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</si>
  <si>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</si>
  <si>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</si>
  <si>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</si>
  <si>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</si>
  <si>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</si>
  <si>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</si>
  <si>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</si>
  <si>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000626</t>
  </si>
  <si>
    <t>ProgramName</t>
  </si>
  <si>
    <t>Program Participation Exit Date</t>
  </si>
  <si>
    <t>000591</t>
  </si>
  <si>
    <t>ProgramParticipationExitDate</t>
  </si>
  <si>
    <t>Program Participation Start Date</t>
  </si>
  <si>
    <t>The year, month and day on which the person began to participate in a program.</t>
  </si>
  <si>
    <t>000590</t>
  </si>
  <si>
    <t>ProgramParticipationStartDate</t>
  </si>
  <si>
    <t>Program Participation Status</t>
  </si>
  <si>
    <t>The current status of the student's program participation.</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</si>
  <si>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</si>
  <si>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</si>
  <si>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</si>
  <si>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</si>
  <si>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</si>
  <si>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</si>
  <si>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</si>
  <si>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</si>
  <si>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</si>
  <si>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</si>
  <si>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</si>
  <si>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</si>
  <si>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Early Learning -&gt; EL Organization -&gt; Cultural and Linguistic Diversity</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</si>
  <si>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</si>
  <si>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</si>
  <si>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</si>
  <si>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</si>
  <si>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</si>
  <si>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</si>
  <si>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</si>
  <si>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</si>
  <si>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</si>
  <si>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</si>
  <si>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</si>
  <si>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</si>
  <si>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</si>
  <si>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</si>
  <si>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</si>
  <si>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</si>
  <si>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t>000225</t>
  </si>
  <si>
    <t>ProgramType</t>
  </si>
  <si>
    <t>Progress Level</t>
  </si>
  <si>
    <t>The amount of progress shown in academic subjects.</t>
  </si>
  <si>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</si>
  <si>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</si>
  <si>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</si>
  <si>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</si>
  <si>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</si>
  <si>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</si>
  <si>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</si>
  <si>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</si>
  <si>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t>000530</t>
  </si>
  <si>
    <t>PromotionReason</t>
  </si>
  <si>
    <t>Proof of Residency Type</t>
  </si>
  <si>
    <t>An accepted form of proof of residency in the district/county/other locality.</t>
  </si>
  <si>
    <t>000305</t>
  </si>
  <si>
    <t>ProofOfResidencyType</t>
  </si>
  <si>
    <t>Proxy Contact Hours</t>
  </si>
  <si>
    <t>The number of instructional hours completed by an adult enrolled in a distance learning program.</t>
  </si>
  <si>
    <t>Numeric - up to 1 digit after decimal place</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</si>
  <si>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</si>
  <si>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</si>
  <si>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</si>
  <si>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</si>
  <si>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</si>
  <si>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</si>
  <si>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</si>
  <si>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</si>
  <si>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</si>
  <si>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</si>
  <si>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</si>
  <si>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</si>
  <si>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t>000227</t>
  </si>
  <si>
    <t>PublicSchoolChoiceImplementationStatus</t>
  </si>
  <si>
    <t>Public School Residence Status</t>
  </si>
  <si>
    <t>An indication of the location of a persons legal residence relative to (within or outside) the boundaries of the public school attended and its administrative unit.</t>
  </si>
  <si>
    <t>000532</t>
  </si>
  <si>
    <t>PublicSchoolResidenceStatus</t>
  </si>
  <si>
    <t>Purpose of Monitoring Visit</t>
  </si>
  <si>
    <t>The purpose for the monitoring visit.</t>
  </si>
  <si>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</si>
  <si>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</si>
  <si>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</si>
  <si>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</si>
  <si>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</si>
  <si>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</si>
  <si>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</si>
  <si>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</si>
  <si>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</si>
  <si>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</si>
  <si>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</si>
  <si>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</si>
  <si>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t>000435</t>
  </si>
  <si>
    <t>QualifyingMoveFromState</t>
  </si>
  <si>
    <t>Quality Initiative Maximum Score</t>
  </si>
  <si>
    <t>The maximum score option for the QRIS or other quality initiative.</t>
  </si>
  <si>
    <t>Early Learning -&gt; EL Organization -&gt; Quality</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</si>
  <si>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</si>
  <si>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</si>
  <si>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</si>
  <si>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</si>
  <si>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</si>
  <si>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</si>
  <si>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</si>
  <si>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</si>
  <si>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</si>
  <si>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</si>
  <si>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</si>
  <si>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</si>
  <si>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</si>
  <si>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</si>
  <si>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</si>
  <si>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</si>
  <si>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</si>
  <si>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</si>
  <si>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</si>
  <si>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</si>
  <si>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</si>
  <si>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</si>
  <si>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</si>
  <si>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</si>
  <si>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</si>
  <si>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</si>
  <si>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</si>
  <si>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</si>
  <si>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</si>
  <si>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</si>
  <si>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</si>
  <si>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</si>
  <si>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</si>
  <si>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</si>
  <si>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</si>
  <si>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</si>
  <si>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</si>
  <si>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</si>
  <si>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</si>
  <si>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</si>
  <si>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</si>
  <si>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</si>
  <si>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</si>
  <si>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</si>
  <si>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</si>
  <si>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</si>
  <si>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</si>
  <si>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</si>
  <si>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</si>
  <si>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</si>
  <si>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001488</t>
  </si>
  <si>
    <t>ReasonForDeclinedServices</t>
  </si>
  <si>
    <t>Reason for Delay of Transition Conference</t>
  </si>
  <si>
    <t>The reasons for the delay of a transition conference.</t>
  </si>
  <si>
    <t>001521</t>
  </si>
  <si>
    <t>ReasonForDelayOfTransitionConference</t>
  </si>
  <si>
    <t>Reason Not Tested</t>
  </si>
  <si>
    <t>The primary reason a student is not tested.</t>
  </si>
  <si>
    <t>000228</t>
  </si>
  <si>
    <t>ReasonNotTested</t>
  </si>
  <si>
    <t>Receiving Location of Instruction</t>
  </si>
  <si>
    <t>The type of location at which instruction or service takes place.</t>
  </si>
  <si>
    <t>000524</t>
  </si>
  <si>
    <t>ReceivingLocationOfInstruction</t>
  </si>
  <si>
    <t>Recognition for Participation or Performance in an Activity</t>
  </si>
  <si>
    <t>The nature of recognition given to the student for accomplishments in a co-curricular, or extra-curricular activity.</t>
  </si>
  <si>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</si>
  <si>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</si>
  <si>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</si>
  <si>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</si>
  <si>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t>000230</t>
  </si>
  <si>
    <t>ReconstitutedStatus</t>
  </si>
  <si>
    <t>Referral Date</t>
  </si>
  <si>
    <t>The date of referral.</t>
  </si>
  <si>
    <t>Early Learning -&gt; EL Child -&gt; Referral</t>
  </si>
  <si>
    <t>001481</t>
  </si>
  <si>
    <t>ReferralDate</t>
  </si>
  <si>
    <t>Referral Outcome</t>
  </si>
  <si>
    <t>The outcome of the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</si>
  <si>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</si>
  <si>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</si>
  <si>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</si>
  <si>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</si>
  <si>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</si>
  <si>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</si>
  <si>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</si>
  <si>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</si>
  <si>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</si>
  <si>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</si>
  <si>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</si>
  <si>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</si>
  <si>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</si>
  <si>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</si>
  <si>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</si>
  <si>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</si>
  <si>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</si>
  <si>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</si>
  <si>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</si>
  <si>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</si>
  <si>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</si>
  <si>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</si>
  <si>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</si>
  <si>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</si>
  <si>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t>001622</t>
  </si>
  <si>
    <t>ReimbursementType</t>
  </si>
  <si>
    <t>Related Learning Standards</t>
  </si>
  <si>
    <t>An indication of the state or local standard(s) addressed in the Class Section.</t>
  </si>
  <si>
    <t>000231</t>
  </si>
  <si>
    <t>RelatedLearningStandards</t>
  </si>
  <si>
    <t>Related to Zero Tolerance Policy</t>
  </si>
  <si>
    <t>An indication of whether or not any of the disciplinary actions taken against a student were imposed as a consequence of state or local zero tolerance policies.</t>
  </si>
  <si>
    <t>000512</t>
  </si>
  <si>
    <t>RelatedToZeroTolerancePolicy</t>
  </si>
  <si>
    <t>Reporter Identifier</t>
  </si>
  <si>
    <t>Identifies the reporter of the incident using a pre-existing unique student identifier or unique staff identifier, when the reporter is a student or staff member.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</si>
  <si>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</si>
  <si>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</si>
  <si>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</si>
  <si>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</si>
  <si>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</si>
  <si>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</si>
  <si>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</si>
  <si>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</si>
  <si>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</si>
  <si>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</si>
  <si>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</si>
  <si>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</si>
  <si>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</si>
  <si>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</si>
  <si>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</si>
  <si>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</si>
  <si>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</si>
  <si>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</si>
  <si>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</si>
  <si>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</si>
  <si>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t>000594</t>
  </si>
  <si>
    <t>ResponsibleDistrictType</t>
  </si>
  <si>
    <t>Responsible Organization Identifier</t>
  </si>
  <si>
    <t>Identifies an organization responsible for specific educational services and/or instruction based on a type of responsibility specified in the Responsible Organization Type.</t>
  </si>
  <si>
    <t>This may be used to specify responsibility when the organization is not a school (Responsible School) or school district (Responsible District).</t>
  </si>
  <si>
    <t>001466</t>
  </si>
  <si>
    <t>ResponsibleOrganizationIdentifier</t>
  </si>
  <si>
    <t>Responsible Organization Name</t>
  </si>
  <si>
    <t>The name of a non-person entity such as an organization, institution, agency or business responsible for the institution/site.</t>
  </si>
  <si>
    <t>Removed</t>
  </si>
  <si>
    <t>The Responsible Organization Name can be derived from the Organization Name and Responsible Organization Identifier CEDS elements.</t>
  </si>
  <si>
    <t>000631</t>
  </si>
  <si>
    <t>ResponsibleOrganizationName</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</si>
  <si>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</si>
  <si>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</si>
  <si>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</si>
  <si>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</si>
  <si>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</si>
  <si>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</si>
  <si>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</si>
  <si>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</si>
  <si>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</si>
  <si>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</si>
  <si>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</si>
  <si>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</si>
  <si>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</si>
  <si>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</si>
  <si>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</si>
  <si>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</si>
  <si>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</si>
  <si>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</si>
  <si>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</si>
  <si>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</si>
  <si>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</si>
  <si>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</si>
  <si>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</si>
  <si>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</si>
  <si>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</si>
  <si>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</si>
  <si>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</si>
  <si>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</si>
  <si>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</si>
  <si>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Text describing one or more benchmarks that must be met to achieve a degree of achievement on a product, process, or performance task.</t>
  </si>
  <si>
    <t>001471</t>
  </si>
  <si>
    <t>RubricCriterionLevelDescription</t>
  </si>
  <si>
    <t>Rubric Criterion Level Feedback</t>
  </si>
  <si>
    <t>Pre-defined feedback text to be relayed to the person or organization being evaluated. This may include guidance and suggestions for improvement or development.</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</si>
  <si>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</si>
  <si>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</si>
  <si>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</si>
  <si>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</si>
  <si>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</si>
  <si>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</si>
  <si>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</si>
  <si>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</si>
  <si>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</si>
  <si>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</si>
  <si>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</si>
  <si>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</si>
  <si>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</si>
  <si>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</si>
  <si>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</si>
  <si>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</si>
  <si>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</si>
  <si>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</si>
  <si>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</si>
  <si>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</si>
  <si>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</si>
  <si>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</si>
  <si>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</si>
  <si>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</si>
  <si>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</si>
  <si>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</si>
  <si>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</si>
  <si>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</si>
  <si>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</si>
  <si>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</si>
  <si>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</si>
  <si>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</si>
  <si>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</si>
  <si>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</si>
  <si>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</si>
  <si>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</si>
  <si>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</si>
  <si>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</si>
  <si>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</si>
  <si>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</si>
  <si>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</si>
  <si>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</si>
  <si>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</si>
  <si>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</si>
  <si>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</si>
  <si>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</si>
  <si>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</si>
  <si>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</si>
  <si>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</si>
  <si>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</si>
  <si>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</si>
  <si>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</si>
  <si>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</si>
  <si>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</si>
  <si>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</si>
  <si>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</si>
  <si>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</si>
  <si>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</si>
  <si>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</si>
  <si>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</si>
  <si>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</si>
  <si>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The frequency of data collection for performance indicator under the Safe and Drug-Free Schools and Communities Act.</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</si>
  <si>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</si>
  <si>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</si>
  <si>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</si>
  <si>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</si>
  <si>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</si>
  <si>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</si>
  <si>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</si>
  <si>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</si>
  <si>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</si>
  <si>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</si>
  <si>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</si>
  <si>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Actual performance for the given indicator of student behavior under the Safe and Drug-Free Schools and Communities Act</t>
  </si>
  <si>
    <t>000476</t>
  </si>
  <si>
    <t>SafeAndDrugFreePerformance</t>
  </si>
  <si>
    <t>Safe and Drug Free Target</t>
  </si>
  <si>
    <t>The targeted performance for the given indicator of student behavior under the Safe and Drug-Free Schools and Communities Act.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</si>
  <si>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</si>
  <si>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</si>
  <si>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</si>
  <si>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</si>
  <si>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</si>
  <si>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</si>
  <si>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</si>
  <si>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</si>
  <si>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</si>
  <si>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</si>
  <si>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</si>
  <si>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</si>
  <si>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t>Early Learning -&gt; EL Child -&gt; Health -&gt; Well Child Visits</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</si>
  <si>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</si>
  <si>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</si>
  <si>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</si>
  <si>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</si>
  <si>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</si>
  <si>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</si>
  <si>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</si>
  <si>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</si>
  <si>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</si>
  <si>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</si>
  <si>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</si>
  <si>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</si>
  <si>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</si>
  <si>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An indication of whether an eligible student transferred to the school under the provisions for public school choice in accordance with Title I, Part A, Section 1116 of ESEA as amended.</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</si>
  <si>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</si>
  <si>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</si>
  <si>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</si>
  <si>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</si>
  <si>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See http://ceds.ed.gov/ScedCourseCodes.aspx</t>
  </si>
  <si>
    <t>Alphanumeric - exactly five digits in length</t>
  </si>
  <si>
    <t>See http://www.nces.ed.gov/programs/handbook/elementinfo.asp?elementid=14106.</t>
  </si>
  <si>
    <t>001517</t>
  </si>
  <si>
    <t>SCED Course Code</t>
  </si>
  <si>
    <t>SCEDCourseCode</t>
  </si>
  <si>
    <t>School Courses for the Exchange of Data Course Level</t>
  </si>
  <si>
    <t>The course's level of rigor.</t>
  </si>
  <si>
    <t>Alphanumeric - exactly one character in length</t>
  </si>
  <si>
    <t>001516</t>
  </si>
  <si>
    <t>SCED Course Level</t>
  </si>
  <si>
    <t>SCEDCourseLevel</t>
  </si>
  <si>
    <t>School Courses for the Exchange of Data Course Subject Area</t>
  </si>
  <si>
    <t>The intended major subject area of the education course.</t>
  </si>
  <si>
    <t>Alphaumeric - exactly two digits in length</t>
  </si>
  <si>
    <t>This is a compilation of Secondary Course Subject Area and Prior to Secondary Course Subject Area. This version merges SCED and pSCED.</t>
  </si>
  <si>
    <t>001518</t>
  </si>
  <si>
    <t>SCED Course Subject Area</t>
  </si>
  <si>
    <t>SCEDCourseSubjectArea</t>
  </si>
  <si>
    <t>School Courses for the Exchange of Data Grade Span</t>
  </si>
  <si>
    <t>The grade span for which the course is appropriate.</t>
  </si>
  <si>
    <t>Alphanumeric - exactly four characters in length</t>
  </si>
  <si>
    <t>The span is represented by a four-character code with no decimals. Each grade level from 1 through 12 is represented by a two-digit code, ranging from 01 to 12; kindergarten is represented by the letters KG and prekindergarten by the letters PK.</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</si>
  <si>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</si>
  <si>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</si>
  <si>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</si>
  <si>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</si>
  <si>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</si>
  <si>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</si>
  <si>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</si>
  <si>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</si>
  <si>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</si>
  <si>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Identification System</t>
  </si>
  <si>
    <t>001073</t>
  </si>
  <si>
    <t>SchoolIdentificationSystem</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</si>
  <si>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</si>
  <si>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</si>
  <si>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</si>
  <si>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</si>
  <si>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</si>
  <si>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</si>
  <si>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</si>
  <si>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</si>
  <si>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</si>
  <si>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</si>
  <si>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</si>
  <si>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</si>
  <si>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</si>
  <si>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</si>
  <si>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</si>
  <si>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</si>
  <si>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</si>
  <si>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</si>
  <si>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</si>
  <si>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</si>
  <si>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</si>
  <si>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</si>
  <si>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</si>
  <si>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</si>
  <si>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</si>
  <si>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t>000240</t>
  </si>
  <si>
    <t>SchoolImprovementStatus</t>
  </si>
  <si>
    <t>School Level</t>
  </si>
  <si>
    <t>An indication of the level of the education institution.</t>
  </si>
  <si>
    <t>000241</t>
  </si>
  <si>
    <t>SchoolLevel</t>
  </si>
  <si>
    <t>School Operational Status</t>
  </si>
  <si>
    <t>The current status of the school operations, exclusive of scheduled breaks, holidays, or other temporary interruptions.</t>
  </si>
  <si>
    <t>000533</t>
  </si>
  <si>
    <t>SchoolOperationalStatus</t>
  </si>
  <si>
    <t>School Type</t>
  </si>
  <si>
    <t>The type of education institution as classified by its primary focus.</t>
  </si>
  <si>
    <t>000242</t>
  </si>
  <si>
    <t>SchoolType</t>
  </si>
  <si>
    <t>School Year</t>
  </si>
  <si>
    <t>The year for a reported school session.</t>
  </si>
  <si>
    <t>For academic years that span a calendar year this is the four digit year-end. E.g. 2013 for 2012-2013</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</si>
  <si>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</si>
  <si>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</si>
  <si>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</si>
  <si>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</si>
  <si>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</si>
  <si>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</si>
  <si>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</si>
  <si>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</si>
  <si>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t>000627</t>
  </si>
  <si>
    <t>SecondaryIncidentBehavior</t>
  </si>
  <si>
    <t>Section 504 Status</t>
  </si>
  <si>
    <t>Individuals with disabilities who are being provided with related aids and services under Section 504 of the Rehabilitation Act of 1973, as amended.</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</si>
  <si>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</si>
  <si>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</si>
  <si>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</si>
  <si>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</si>
  <si>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</si>
  <si>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</si>
  <si>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</si>
  <si>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</si>
  <si>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</si>
  <si>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</si>
  <si>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</si>
  <si>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</si>
  <si>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</si>
  <si>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</si>
  <si>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</si>
  <si>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</si>
  <si>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</si>
  <si>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</si>
  <si>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Option Variation</t>
  </si>
  <si>
    <t>Nature of early childhood program, class or group in which a person is enrolled.</t>
  </si>
  <si>
    <t>000353</t>
  </si>
  <si>
    <t>ServiceOptionVariation</t>
  </si>
  <si>
    <t>Service Partner Description</t>
  </si>
  <si>
    <t>A description of the type of services that the partner organization provides.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</si>
  <si>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</si>
  <si>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</si>
  <si>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</si>
  <si>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</si>
  <si>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</si>
  <si>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</si>
  <si>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Session Attendance Term Indicator</t>
  </si>
  <si>
    <t>Indicates that the session is an attendance term.</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</si>
  <si>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</si>
  <si>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</si>
  <si>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</si>
  <si>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</si>
  <si>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</si>
  <si>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</si>
  <si>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</si>
  <si>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</si>
  <si>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</si>
  <si>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</si>
  <si>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</si>
  <si>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</si>
  <si>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</si>
  <si>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</si>
  <si>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</si>
  <si>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</si>
  <si>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000252</t>
  </si>
  <si>
    <t>SessionDesignator</t>
  </si>
  <si>
    <t>Session End Date</t>
  </si>
  <si>
    <t>The year, month and day on which a session ends.</t>
  </si>
  <si>
    <t>000253</t>
  </si>
  <si>
    <t>SessionEndDate</t>
  </si>
  <si>
    <t>Session End Time</t>
  </si>
  <si>
    <t>The hour, minute and second on which a session ends.</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</si>
  <si>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</si>
  <si>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</si>
  <si>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</si>
  <si>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</si>
  <si>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</si>
  <si>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</si>
  <si>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</si>
  <si>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</si>
  <si>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</si>
  <si>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</si>
  <si>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</si>
  <si>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</si>
  <si>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</si>
  <si>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</si>
  <si>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</si>
  <si>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</si>
  <si>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t>000254</t>
  </si>
  <si>
    <t>SessionType</t>
  </si>
  <si>
    <t>Sex</t>
  </si>
  <si>
    <t>The concept describing the biological traits that distinguish the males and females of a species.</t>
  </si>
  <si>
    <t>Postsecondary: As defined in IPEDS</t>
  </si>
  <si>
    <t>000255</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</si>
  <si>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</si>
  <si>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</si>
  <si>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</si>
  <si>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</si>
  <si>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Short Name of Institution</t>
  </si>
  <si>
    <t>The name of the institution, which may be the abbreviated form of the full legally accepted name.</t>
  </si>
  <si>
    <t>An abbreviated name of an institution is commonly used, especially in reports and applications, e.g. a K12 school with the full legal name "Dr. Martin Luther King, Jr. Elementary School" may use "King Elementary".</t>
  </si>
  <si>
    <t>001487</t>
  </si>
  <si>
    <t>ShortNameOfInstitution</t>
  </si>
  <si>
    <t>Shortened Expulsion</t>
  </si>
  <si>
    <t>An expulsion with or without services that is shortened to a term of less than one year by the superintendent or chief administrator of a school district.</t>
  </si>
  <si>
    <t>000514</t>
  </si>
  <si>
    <t>ShortenedExpulsion</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</si>
  <si>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</si>
  <si>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</si>
  <si>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000580</t>
  </si>
  <si>
    <t>SingleParentOrSinglePregnantWomanStatus</t>
  </si>
  <si>
    <t>Site Name</t>
  </si>
  <si>
    <t>The full, legally accepted name of the institution at the site level.</t>
  </si>
  <si>
    <t>Early Learning -&gt; EL Organization -&gt; Site Level Characteristics</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</si>
  <si>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</si>
  <si>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</si>
  <si>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</si>
  <si>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</si>
  <si>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</si>
  <si>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</si>
  <si>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</si>
  <si>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</si>
  <si>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</si>
  <si>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</si>
  <si>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Social Security Number</t>
  </si>
  <si>
    <t>The nine-digit number of identification assigned to the person by the Social Security Administration.</t>
  </si>
  <si>
    <t>Alphanumeric - 9 digits</t>
  </si>
  <si>
    <t>Workforce Notes: The most complete data source and most often used is the Unemployment Insurance Wage Record system in states. Data contained in the wage record are built around quarterly employer payroll information from each person in their employ. The common element that identifies each employee is the person's social security number. Another identifier typically included is the first three digits of the person's last name. States that have attempted to use the latter have found it to be unreliable for matching purposes.</t>
  </si>
  <si>
    <t>Also, to collect data on workforce program participation, a data match will have to be negotiated between state agencies. The workforce data elements collected for workforce programs include many of the same elements defined for K12 students and postsecondary students, including gender and ethnicity. At a minimum, reliable matches can be obtained through the use of names and social security numbers.</t>
  </si>
  <si>
    <t>000259</t>
  </si>
  <si>
    <t>SSN</t>
  </si>
  <si>
    <t>SocialSecurityNumber</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</si>
  <si>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</si>
  <si>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</si>
  <si>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</si>
  <si>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</si>
  <si>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</si>
  <si>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</si>
  <si>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t>000333</t>
  </si>
  <si>
    <t>SourceOfFamilyIncome</t>
  </si>
  <si>
    <t>Special Circumstances Population Served</t>
  </si>
  <si>
    <t>Program provides services to meet the needs of children in special circumstances.</t>
  </si>
  <si>
    <t>000852</t>
  </si>
  <si>
    <t>SpecialCircumstancesPopulationServed</t>
  </si>
  <si>
    <t>Special Education Age Group Taught</t>
  </si>
  <si>
    <t>The age range of special education students taught.</t>
  </si>
  <si>
    <t>000564</t>
  </si>
  <si>
    <t>SpecialEducationAgeGroupTaught</t>
  </si>
  <si>
    <t>Special Education Exit Reason</t>
  </si>
  <si>
    <t>The reason children who were in special education at the start of the reporting period were not in special education at the end of the reporting period.</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</si>
  <si>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</si>
  <si>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</si>
  <si>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</si>
  <si>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</si>
  <si>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A decimal number between 0 and 1 with up to two digits after decimal place.</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</si>
  <si>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</si>
  <si>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</si>
  <si>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</si>
  <si>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</si>
  <si>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</si>
  <si>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</si>
  <si>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</si>
  <si>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</si>
  <si>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</si>
  <si>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</si>
  <si>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</si>
  <si>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</si>
  <si>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</si>
  <si>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</si>
  <si>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</si>
  <si>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</si>
  <si>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Staff Category</t>
  </si>
  <si>
    <t>Titles of personnel employed and contracted to provide related services for children with disabilities.</t>
  </si>
  <si>
    <t>000558</t>
  </si>
  <si>
    <t>SpecialEducationStaffCategory</t>
  </si>
  <si>
    <t>Special Education Teacher</t>
  </si>
  <si>
    <t>An indication of whether a teacher is employed or contracted to work with children with disabilities who are ages 3 through 21.</t>
  </si>
  <si>
    <t>000264</t>
  </si>
  <si>
    <t>SpecialEducationTeacher</t>
  </si>
  <si>
    <t>Special Needs Policy</t>
  </si>
  <si>
    <t>Program ensures that policies are in place for Individualized Education Programs (IEPs) or Individual Family Service Plans (IFSPs) to meet the child's unique needs.</t>
  </si>
  <si>
    <t>Early Learning -&gt; EL Organization -&gt; Inclusion</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</si>
  <si>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</si>
  <si>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</si>
  <si>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</si>
  <si>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</si>
  <si>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</si>
  <si>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</si>
  <si>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</si>
  <si>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</si>
  <si>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</si>
  <si>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</si>
  <si>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</si>
  <si>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</si>
  <si>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</si>
  <si>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</si>
  <si>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</si>
  <si>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</si>
  <si>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</si>
  <si>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</si>
  <si>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</si>
  <si>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</si>
  <si>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</si>
  <si>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</si>
  <si>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</si>
  <si>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</si>
  <si>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</si>
  <si>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</si>
  <si>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</si>
  <si>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</si>
  <si>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</si>
  <si>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</si>
  <si>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</si>
  <si>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</si>
  <si>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Total annualized salary of staff at the specific school/program indicated on the record in the school/program year specified on the record.</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</si>
  <si>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</si>
  <si>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</si>
  <si>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</si>
  <si>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</si>
  <si>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</si>
  <si>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</si>
  <si>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</si>
  <si>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</si>
  <si>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</si>
  <si>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</si>
  <si>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</si>
  <si>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</si>
  <si>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</si>
  <si>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</si>
  <si>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</si>
  <si>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The quantitative or qualitative range of possible scores/rating for a person's performance (e.g., 0 - 10; Poor, Fair, Average, Good, Excellent).</t>
  </si>
  <si>
    <t>000103</t>
  </si>
  <si>
    <t>StaffEvaluationScale</t>
  </si>
  <si>
    <t>Staff Evaluation Score or Rating</t>
  </si>
  <si>
    <t>The actual quantitative or qualitative assessment of a person's performance.</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</si>
  <si>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</si>
  <si>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</si>
  <si>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</si>
  <si>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</si>
  <si>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</si>
  <si>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</si>
  <si>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</si>
  <si>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</si>
  <si>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A decimal number between 0 and 1 with up to two digits after decimal place. For example, quarter time would be represented as 0.25</t>
  </si>
  <si>
    <t>000118</t>
  </si>
  <si>
    <t>Staff FTE</t>
  </si>
  <si>
    <t>StaffFullTimeEquivalency</t>
  </si>
  <si>
    <t>Staff Member Identification System</t>
  </si>
  <si>
    <t>A coding scheme that is used for identification and record-keeping purposes by schools, social services, registry, or other agencies to refer to a staff member.</t>
  </si>
  <si>
    <t>001074</t>
  </si>
  <si>
    <t>StaffMemberIdentificationSystem</t>
  </si>
  <si>
    <t>Staff Member Identifier</t>
  </si>
  <si>
    <t>A unique number or alphanumeric code assigned to a staff member by a school, school system, a state, registry, or other agency or entity.</t>
  </si>
  <si>
    <t>001070</t>
  </si>
  <si>
    <t>StaffMemberIdentifier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</si>
  <si>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</si>
  <si>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</si>
  <si>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</si>
  <si>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</si>
  <si>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</si>
  <si>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</si>
  <si>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</si>
  <si>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</si>
  <si>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</si>
  <si>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A Bureau of Labor Statistics coding system for classifying occupations by work performed and, in some cases, on the skills, education and training needed to perform the work at a competent level. See http://www.bls.gov/soc/soc_structure_2010.pdf.</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</si>
  <si>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</si>
  <si>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</si>
  <si>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</si>
  <si>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</si>
  <si>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</si>
  <si>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</si>
  <si>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</si>
  <si>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</si>
  <si>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</si>
  <si>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</si>
  <si>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t>000266</t>
  </si>
  <si>
    <t>StandardizedAdmissionTestType</t>
  </si>
  <si>
    <t>State Abbreviation</t>
  </si>
  <si>
    <t>The abbreviation for the state (within the United States) or outlying area in which an address is located.</t>
  </si>
  <si>
    <t>000267</t>
  </si>
  <si>
    <t>StateAbbreviation</t>
  </si>
  <si>
    <t>State Agency Identification System</t>
  </si>
  <si>
    <t>A coding scheme that is used for identification and record-keeping purposes by to refer to a state agency.</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</si>
  <si>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</si>
  <si>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</si>
  <si>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</si>
  <si>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</si>
  <si>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</si>
  <si>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</si>
  <si>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</si>
  <si>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</si>
  <si>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t>000424</t>
  </si>
  <si>
    <t>StateANSICode</t>
  </si>
  <si>
    <t>State Approved Technical Assistance Provider Status</t>
  </si>
  <si>
    <t>An indication of whether an individual has been approved as a technical assistance provider through a state process.</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</si>
  <si>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</si>
  <si>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</si>
  <si>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</si>
  <si>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</si>
  <si>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</si>
  <si>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</si>
  <si>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</si>
  <si>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</si>
  <si>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</si>
  <si>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</si>
  <si>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</si>
  <si>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</si>
  <si>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</si>
  <si>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</si>
  <si>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State Issuing Professional Credential or License</t>
  </si>
  <si>
    <t>State where the professional license/credential was issued.</t>
  </si>
  <si>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</si>
  <si>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</si>
  <si>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</si>
  <si>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</si>
  <si>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</si>
  <si>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</si>
  <si>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</si>
  <si>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</si>
  <si>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</si>
  <si>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</si>
  <si>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</si>
  <si>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</si>
  <si>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</si>
  <si>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</si>
  <si>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</si>
  <si>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</si>
  <si>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</si>
  <si>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</si>
  <si>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</si>
  <si>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</si>
  <si>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</si>
  <si>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</si>
  <si>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</si>
  <si>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</si>
  <si>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</si>
  <si>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</si>
  <si>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</si>
  <si>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</si>
  <si>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</si>
  <si>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</si>
  <si>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</si>
  <si>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</si>
  <si>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</si>
  <si>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- 0 to 1</t>
  </si>
  <si>
    <t>000271</t>
  </si>
  <si>
    <t>StudentAttendanceRate</t>
  </si>
  <si>
    <t>Student Course Section Grade Earned</t>
  </si>
  <si>
    <t>A final indicator of student performance in a course section as submitted by the instructor.</t>
  </si>
  <si>
    <t>000124</t>
  </si>
  <si>
    <t>StudentCourseSectionGradeEarned</t>
  </si>
  <si>
    <t>Student Course Section Grade Narrative</t>
  </si>
  <si>
    <t>The narrative of the student performance in a course section as submitted by the instructor.</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</si>
  <si>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</si>
  <si>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</si>
  <si>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</si>
  <si>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</si>
  <si>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</si>
  <si>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</si>
  <si>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Identification System</t>
  </si>
  <si>
    <t>A coding scheme that is used for identification and record-keeping purposes by schools, social services, or other agencies to refer to a student.</t>
  </si>
  <si>
    <t>001075</t>
  </si>
  <si>
    <t>StudentIdentificationSystem</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</si>
  <si>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</si>
  <si>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</si>
  <si>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</si>
  <si>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</si>
  <si>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</si>
  <si>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</si>
  <si>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t>000272</t>
  </si>
  <si>
    <t>StudentLevel</t>
  </si>
  <si>
    <t>Student Support Service Type</t>
  </si>
  <si>
    <t>Type of related or ancillary services provided to a person or a group of persons within the formal educational system or offered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</si>
  <si>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t>000273</t>
  </si>
  <si>
    <t>StudentSupportServiceType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</si>
  <si>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</si>
  <si>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</si>
  <si>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</si>
  <si>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</si>
  <si>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</si>
  <si>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An indication of the number of clock hours (minimum) a student is required to complete associated with a supervised clinical experience.</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</si>
  <si>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</si>
  <si>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</si>
  <si>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</si>
  <si>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</si>
  <si>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</si>
  <si>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</si>
  <si>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</si>
  <si>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</si>
  <si>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</si>
  <si>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</si>
  <si>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</si>
  <si>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</si>
  <si>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</si>
  <si>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</si>
  <si>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</si>
  <si>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</si>
  <si>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</si>
  <si>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Teacher Education Credential Exam Score Type</t>
  </si>
  <si>
    <t>An indication of the type of credential exam associated with a given exam score.</t>
  </si>
  <si>
    <t>Praxis I:</t>
  </si>
  <si>
    <t>Reading</t>
  </si>
  <si>
    <t>Mathematics</t>
  </si>
  <si>
    <t>Writing</t>
  </si>
  <si>
    <t>Praxis II:</t>
  </si>
  <si>
    <t>Codes at http://www.ets.org/praxis/about/praxisii/content</t>
  </si>
  <si>
    <t>ACTFL codes at http://www.languagetesting.com/</t>
  </si>
  <si>
    <t>000774</t>
  </si>
  <si>
    <t>TeacherEducationCredentialExamScoreType</t>
  </si>
  <si>
    <t>Teacher Education Credential Exam Type</t>
  </si>
  <si>
    <t>The type of examination used to assess teacher candidate's knowledge and skills.</t>
  </si>
  <si>
    <t>000773</t>
  </si>
  <si>
    <t>TeacherEducationCredentialExamType</t>
  </si>
  <si>
    <t>Teacher Education Test Company</t>
  </si>
  <si>
    <t>The name of the company that provides the examination used in the teacher education program.</t>
  </si>
  <si>
    <t>000766</t>
  </si>
  <si>
    <t>TeacherEducationTestCompany</t>
  </si>
  <si>
    <t>Teacher of Record</t>
  </si>
  <si>
    <t>Staff member who has a Teacher of Record responsibility for a Class Section based upon the state's definition of Teacher of Record.</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</si>
  <si>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</si>
  <si>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</si>
  <si>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</si>
  <si>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</si>
  <si>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</si>
  <si>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</si>
  <si>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000768</t>
  </si>
  <si>
    <t>TeacherPreparationProgramCompleterStatus</t>
  </si>
  <si>
    <t>Teacher Preparation Program Enrollment Status</t>
  </si>
  <si>
    <t>An indication of whether a person is pursuing certification as a teacher.</t>
  </si>
  <si>
    <t>000767</t>
  </si>
  <si>
    <t>TeacherPreparationProgramEnrollmentStatus</t>
  </si>
  <si>
    <t>Teacher Student Data Link Exclusion Flag</t>
  </si>
  <si>
    <t>Indicates that the student is excluded from calculation of value-added or growth attribution calculations used for teacher evaluation.</t>
  </si>
  <si>
    <t>K12 -&gt; Teacher Student Data Link Exclusion</t>
  </si>
  <si>
    <t>The context for this element is the intersection of a teacher assignment to a Class/Section and a student enrollment to a Class/Section. It may be represented in a data model as a separate entity such as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</si>
  <si>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</si>
  <si>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</si>
  <si>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</si>
  <si>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</si>
  <si>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</si>
  <si>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</si>
  <si>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</si>
  <si>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</si>
  <si>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000646</t>
  </si>
  <si>
    <t>TeachingAssignmentEndDate</t>
  </si>
  <si>
    <t>Teaching Assignment Role</t>
  </si>
  <si>
    <t>The role that the Staff Member has been assigned for a Class Section. (A teacher may have the lead responsibility for one section and serve a supporting role for another section of the same course.)</t>
  </si>
  <si>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</si>
  <si>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</si>
  <si>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</si>
  <si>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</si>
  <si>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</si>
  <si>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</si>
  <si>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</si>
  <si>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</si>
  <si>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t>000277</t>
  </si>
  <si>
    <t>TeachingCredentialBasis</t>
  </si>
  <si>
    <t>Teaching Credential Type</t>
  </si>
  <si>
    <t>An indication of the category of a legal document giving authorization to perform teaching assignment services.</t>
  </si>
  <si>
    <t>000278</t>
  </si>
  <si>
    <t>TeachingCredentialType</t>
  </si>
  <si>
    <t>Technical Assistance Approved Indicator</t>
  </si>
  <si>
    <t>Indicates whether or not the technical assistance was approved.</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</si>
  <si>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</si>
  <si>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</si>
  <si>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</si>
  <si>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</si>
  <si>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</si>
  <si>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</si>
  <si>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</si>
  <si>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</si>
  <si>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t>001495</t>
  </si>
  <si>
    <t>TechnicalAssistanceType</t>
  </si>
  <si>
    <t>Technology Literacy Status in 8th Grade</t>
  </si>
  <si>
    <t>An indication of the technology literacy of 8th graders.</t>
  </si>
  <si>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</si>
  <si>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</si>
  <si>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</si>
  <si>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</si>
  <si>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</si>
  <si>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</si>
  <si>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</si>
  <si>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</si>
  <si>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Alphanumeric - 24 characters maximum</t>
  </si>
  <si>
    <t>000279</t>
  </si>
  <si>
    <t>TelephoneNumber</t>
  </si>
  <si>
    <t>Telephone Number Type</t>
  </si>
  <si>
    <t>The type of communication number listed for a person.</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</si>
  <si>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</si>
  <si>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</si>
  <si>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</si>
  <si>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</si>
  <si>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</si>
  <si>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</si>
  <si>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</si>
  <si>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</si>
  <si>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</si>
  <si>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</si>
  <si>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</si>
  <si>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</si>
  <si>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</si>
  <si>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</si>
  <si>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</si>
  <si>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</si>
  <si>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</si>
  <si>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</si>
  <si>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</si>
  <si>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</si>
  <si>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t>000281</t>
  </si>
  <si>
    <t>TitleIIndicator</t>
  </si>
  <si>
    <t>Title I Instructional Services</t>
  </si>
  <si>
    <t>The type of instructional services provided to students in ESEA Title I programs.</t>
  </si>
  <si>
    <t>000282</t>
  </si>
  <si>
    <t>TitleIInstructionalServices</t>
  </si>
  <si>
    <t>Title I Program Staff Category</t>
  </si>
  <si>
    <t>Titles of employment, official status, or rank for staff working in a Title I program.</t>
  </si>
  <si>
    <t>000283</t>
  </si>
  <si>
    <t>TitleIProgramStaffCategory</t>
  </si>
  <si>
    <t>Title I Program Type</t>
  </si>
  <si>
    <t>The type of Title I program offered in the school or district.</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</si>
  <si>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</si>
  <si>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</si>
  <si>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</si>
  <si>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</si>
  <si>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</si>
  <si>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</si>
  <si>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</si>
  <si>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</si>
  <si>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</si>
  <si>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</si>
  <si>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</si>
  <si>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</si>
  <si>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</si>
  <si>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</si>
  <si>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</si>
  <si>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</si>
  <si>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</si>
  <si>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</si>
  <si>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</si>
  <si>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</si>
  <si>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</si>
  <si>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</si>
  <si>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</si>
  <si>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</si>
  <si>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</si>
  <si>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</si>
  <si>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</si>
  <si>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</si>
  <si>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</si>
  <si>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</si>
  <si>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</si>
  <si>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</si>
  <si>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</si>
  <si>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</si>
  <si>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</si>
  <si>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</si>
  <si>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t>000536</t>
  </si>
  <si>
    <t>TitleIIIAccountabilityProgressStatus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</si>
  <si>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</si>
  <si>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</si>
  <si>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</si>
  <si>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</si>
  <si>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</si>
  <si>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</si>
  <si>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</si>
  <si>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</si>
  <si>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</si>
  <si>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programs.</t>
  </si>
  <si>
    <t>000447</t>
  </si>
  <si>
    <t>TitleIIILanguageInstructionProgramType</t>
  </si>
  <si>
    <t>Title III Limited English Proficient Participation Status</t>
  </si>
  <si>
    <t>An indication that a limited English proficient (LEP) student is served by an English language instruction educational program supported with Title III of ESEA funds.</t>
  </si>
  <si>
    <t>000565</t>
  </si>
  <si>
    <t>Title III LEP Participation Status</t>
  </si>
  <si>
    <t>TitleIIILEPParticipationStatus</t>
  </si>
  <si>
    <t>Title III Professional Development Type</t>
  </si>
  <si>
    <t>The type of Title III professional development utilized.</t>
  </si>
  <si>
    <t>000487</t>
  </si>
  <si>
    <t>TitleIIIProfessionalDevelopmentType</t>
  </si>
  <si>
    <t>Title IV Participant and Recipient</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</si>
  <si>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</si>
  <si>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</si>
  <si>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</si>
  <si>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</si>
  <si>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</si>
  <si>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</si>
  <si>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</si>
  <si>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</si>
  <si>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</si>
  <si>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</si>
  <si>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</si>
  <si>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</si>
  <si>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</si>
  <si>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</si>
  <si>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</si>
  <si>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</si>
  <si>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</si>
  <si>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</si>
  <si>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</si>
  <si>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</si>
  <si>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</si>
  <si>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</si>
  <si>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</si>
  <si>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</si>
  <si>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</si>
  <si>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</si>
  <si>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</si>
  <si>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</si>
  <si>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</si>
  <si>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001657</t>
  </si>
  <si>
    <t>TribalAffiliation</t>
  </si>
  <si>
    <t>Trimester When Prenatal Care Began</t>
  </si>
  <si>
    <t>The trimester of pregnancy in which a child's mother began receiving prenatal health care.</t>
  </si>
  <si>
    <t>Early Learning -&gt; EL Child -&gt; Health -&gt; Birth/Prenatal</t>
  </si>
  <si>
    <t>001630</t>
  </si>
  <si>
    <t>TrimesterWhenPrenatalCareBegan</t>
  </si>
  <si>
    <t>Truant Status</t>
  </si>
  <si>
    <t>An indication that a student is identified as a truant as defined by state rules.</t>
  </si>
  <si>
    <t>000569</t>
  </si>
  <si>
    <t>TruantStatus</t>
  </si>
  <si>
    <t>Tuition - Published</t>
  </si>
  <si>
    <t>The published tuition for first time, full-time undergraduate students (lower of in-district or in-state for public institutions). Tuition may be charged per term, per course, per credit or per program.</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</si>
  <si>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</si>
  <si>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</si>
  <si>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</si>
  <si>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</si>
  <si>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</si>
  <si>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The initial use case is for professional development courses/programs, but could apply to student programs/courses as well.</t>
  </si>
  <si>
    <t>001575</t>
  </si>
  <si>
    <t>TuitionFunded</t>
  </si>
  <si>
    <t>Tuition Residency Type</t>
  </si>
  <si>
    <t>A person's residency status for tuition purposes.</t>
  </si>
  <si>
    <t>000297</t>
  </si>
  <si>
    <t>TuitionResidencyType</t>
  </si>
  <si>
    <t>Tuition Unit</t>
  </si>
  <si>
    <t>The component for which tuition is being charged. It might be a time period (term, quarter, year, etc.) or it might be an entity of education (course, credit hour, etc.).</t>
  </si>
  <si>
    <t>000746</t>
  </si>
  <si>
    <t>TuitionUnit</t>
  </si>
  <si>
    <t>Type of Use of the Rural Low-Income Schools Program</t>
  </si>
  <si>
    <t>The type of use of the Rural Low-Income Schools Program (RLIS) (Title VI, Part B, Subpart 2) Grant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</si>
  <si>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</si>
  <si>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</si>
  <si>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</si>
  <si>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</si>
  <si>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</si>
  <si>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</si>
  <si>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</si>
  <si>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</si>
  <si>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</si>
  <si>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</si>
  <si>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</si>
  <si>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</si>
  <si>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</si>
  <si>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t>000299</t>
  </si>
  <si>
    <t>UnitedStatesCitizenshipStatus</t>
  </si>
  <si>
    <t>Uses of Funds for Purposes other than Standards and Assessment Development</t>
  </si>
  <si>
    <t>Purposes that funds available under ESEA section 6111 (Grants for State Assessments and Related Activities) were used during the 2009-10 school year for purposes other than the costs of the development of the State assessments and standards required by section 1111(b).</t>
  </si>
  <si>
    <t>000459</t>
  </si>
  <si>
    <t>UsesOfFundsForPurposesOtherThanStandardsAndAssessmentDevelopment</t>
  </si>
  <si>
    <t>Virtual Indicator</t>
  </si>
  <si>
    <t>Indicates a school, institution, program, or course section focuses primarily on instruction in which students and teachers are separated by time and/or location and interact through the use of computers and/or telecommunications technologies.</t>
  </si>
  <si>
    <t>001160</t>
  </si>
  <si>
    <t>VirtualIndicator</t>
  </si>
  <si>
    <t>Visa Type</t>
  </si>
  <si>
    <t>An indicator of a non-US citizen's Visa type.</t>
  </si>
  <si>
    <t>000196</t>
  </si>
  <si>
    <t>VisaType</t>
  </si>
  <si>
    <t>Vision Screening Date</t>
  </si>
  <si>
    <t>The year, month and day of a vision screening.</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</si>
  <si>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</si>
  <si>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</si>
  <si>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</si>
  <si>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</si>
  <si>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</si>
  <si>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</si>
  <si>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</si>
  <si>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</si>
  <si>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t>000798</t>
  </si>
  <si>
    <t>WageCollectionCode</t>
  </si>
  <si>
    <t>Wage Verification Code</t>
  </si>
  <si>
    <t>An indication of whether the wage information has been verified.</t>
  </si>
  <si>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</si>
  <si>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</si>
  <si>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</si>
  <si>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</si>
  <si>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</si>
  <si>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</si>
  <si>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</si>
  <si>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</si>
  <si>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t>See Forum Guide to Crime, Violence, and Discipline Incident Data http://nces.ed.gov/pubs2011/2011806.pdf Forum Guide.</t>
  </si>
  <si>
    <t>001211</t>
  </si>
  <si>
    <t>WeaponType</t>
  </si>
  <si>
    <t>Web Site Address</t>
  </si>
  <si>
    <t>The Uniform Resource Locator (URL) for the unique address of a Web page.</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</si>
  <si>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</si>
  <si>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</si>
  <si>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</si>
  <si>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</si>
  <si>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</si>
  <si>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</si>
  <si>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</si>
  <si>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</si>
  <si>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</si>
  <si>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</si>
  <si>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</si>
  <si>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</si>
  <si>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</si>
  <si>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</si>
  <si>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</si>
  <si>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</si>
  <si>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</si>
  <si>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</si>
  <si>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</si>
  <si>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</si>
  <si>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</si>
  <si>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Work-based Learning Opportunity Type</t>
  </si>
  <si>
    <t>The type of work-based learning opportunity a student participated in.</t>
  </si>
  <si>
    <t>001499</t>
  </si>
  <si>
    <t>WorkBasedLearningOpportunityType</t>
  </si>
  <si>
    <t>Workforce Program Participation</t>
  </si>
  <si>
    <t>The type of workforce and employment development program that an individual is participating in.</t>
  </si>
  <si>
    <t>Workforce -&gt; Workforce Program Participant -&gt; Program Participation</t>
  </si>
  <si>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</si>
  <si>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000997</t>
  </si>
  <si>
    <t>WorkforceProgramParticipation</t>
  </si>
  <si>
    <t>Workforce Program Participation End Date</t>
  </si>
  <si>
    <t>The year, month, and day of the last day of the reference period during which data are matched between education and workforce data sources.</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</si>
  <si>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</si>
  <si>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</si>
  <si>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</si>
  <si>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</si>
  <si>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</si>
  <si>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</si>
  <si>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</si>
  <si>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Years of Prior Adult Education Teaching Experience</t>
  </si>
  <si>
    <t>The total number of years that a person has previously held a teaching position in one or more adult education programs.</t>
  </si>
  <si>
    <t>Adult Education -&gt; AE Staff -&gt; Experience</t>
  </si>
  <si>
    <t>000788</t>
  </si>
  <si>
    <t>YearsofPriorAETeachingExperience</t>
  </si>
  <si>
    <t>Years of Prior Teaching Experience</t>
  </si>
  <si>
    <t>The total number of years that a person has previously held a teaching position in one or more education institutions.</t>
  </si>
  <si>
    <t>000302</t>
  </si>
  <si>
    <t>YearsOfPriorTeachingExperience</t>
  </si>
  <si>
    <t xml:space="preserve">Yes
No
</t>
  </si>
  <si>
    <t>Adult Education -&gt; Course Section (added)
Career and Technical -&gt; Course Section (added)
K12 -&gt; Course Section
K12 -&gt; K12 Course
K12 -&gt; K12 School -&gt; Institution Characteristics</t>
  </si>
  <si>
    <t>Adult Education -&gt; AE Student -&gt; Academic Record -&gt; Academic Award (added)
Career and Technical -&gt; CTE Student -&gt; Academic Record -&gt; Academic Award (added)
K12 -&gt; K12 Student -&gt; Academic Record -&gt; Academic Award (added)
Postsecondary -&gt; PS Student -&gt; Academic Record -&gt; Academic Award
Postsecondary -&gt; PS Student -&gt; Institution Enrollment -&gt; Prior Academic Award
Workforce -&gt; Workforce Program Participant -&gt; Academic Record -&gt; Academic Award (added)</t>
  </si>
  <si>
    <t>Postsecondary Education -&gt; Complete College America
Postsecondary Education -&gt; IPEDS
Postsecondary Education -&gt; Transition</t>
  </si>
  <si>
    <t>K-12 -&gt; High School Feedback Report
Postsecondary Education -&gt; Complete College America
Postsecondary Education -&gt; IPEDS
Postsecondary Education -&gt; Transition</t>
  </si>
  <si>
    <t>K-12 -&gt; High School Generated Transcript
K-12 -&gt; LEA-to-LEA Student Record Exchange
K-12 -&gt; LEA-to-SEA Student Record Exchange</t>
  </si>
  <si>
    <t>Postsecondary -&gt; PS Student -&gt; Academic Record
Postsecondary -&gt; PS Student -&gt; Term Enrollment</t>
  </si>
  <si>
    <t>Postsecondary Education -&gt; Complete College America
Postsecondary Education -&gt; Student Achievement Measure</t>
  </si>
  <si>
    <t>Early Learning -&gt; EL Organization -&gt; Accreditation
K12 -&gt; K12 School -&gt; Institution Characteristics</t>
  </si>
  <si>
    <t>Assessments -&gt; Achievement
K12 -&gt; Achievement
K12 -&gt; K12 Student -&gt; Academic Record -&gt; Achievement</t>
  </si>
  <si>
    <t>K12 -&gt; K12 Student -&gt; Academic Record -&gt; Activity
K12 -&gt; K12 Student -&gt; Enrollment -&gt; Activity
Postsecondary -&gt; PS Student -&gt; Academic Record -&gt; Activity (added)</t>
  </si>
  <si>
    <t>Adult Education -&gt; Course Section (added)
Career and Technical -&gt; Course
Career and Technical -&gt; Course Section (added)
K12 -&gt; Course Section (added)
K12 -&gt; K12 Course</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</si>
  <si>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K12 -&gt; Facility
K12 -&gt; K12 School -&gt; Address
K12 -&gt; K12 Staff -&gt; Contact -&gt; Address
K12 -&gt; K12 Staff -&gt; Professional Development -&gt; Instructor (added)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(added)
Postsecondary -&gt; Organization -&gt; Contact -&gt; Address (added)
Postsecondary -&gt; Parent/Guardian -&gt; Contact -&gt; Address
Postsecondary -&gt; PS Institution -&gt; Address
Postsecondary -&gt; PS Staff -&gt; Contact -&gt; Address
Postsecondary -&gt; PS Student -&gt; Contact -&gt; Address
Workforce -&gt; Workforce Program Participant -&gt; Contact -&gt; Address</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</si>
  <si>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</si>
  <si>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K12 -&gt; Facility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(added)
Postsecondary -&gt; Organization -&gt; Contact -&gt; Address (added)
Postsecondary -&gt; Parent/Guardian -&gt; Contact -&gt; Address
Postsecondary -&gt; PS Institution -&gt; Address
Postsecondary -&gt; PS Staff -&gt; Contact -&gt; Address
Postsecondary -&gt; PS Student -&gt; Contact -&gt; Address
Workforce -&gt; Workforce Program Participant -&gt; Contact -&gt; Address</t>
  </si>
  <si>
    <t>Adult Education -&gt; AE Student -&gt; Contact -&gt; Address
Career and Technical -&gt; CTE Student -&gt; Contact -&gt; Address
Early Learning -&gt; EL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</si>
  <si>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Postsecondary Education -&gt; Complete College America
Postsecondary Education -&gt; IPEDS</t>
  </si>
  <si>
    <t>Early Learning -&gt; EL Organization -&gt; Address
Early Learning -&gt; EL Organization -&gt; Contact -&gt; Address
K12 -&gt; Facility
K12 -&gt; K12 School -&gt; Address
K12 -&gt; LEA -&gt; Address
K12 -&gt; Organization -&gt; Address
K12 -&gt; Organization -&gt; Contact -&gt; Address (added)
K12 -&gt; Program -&gt; Address
K12 -&gt; SEA -&gt; Address
Postsecondary -&gt; Organization -&gt; Address (added)
Postsecondary -&gt; Organization -&gt; Contact -&gt; Address (added)
Postsecondary -&gt; PS Institution -&gt; Address</t>
  </si>
  <si>
    <t>Adult Education -&gt; AE Staff -&gt; Contact -&gt; Address
Career and Technical -&gt; CTE Staff -&gt; Contact -&gt; Address
Early Learning -&gt; EL Staff -&gt; Contact -&gt; Address
Early Learning -&gt; EL Staff -&gt; Professional Development -&gt; Instructor
K12 -&gt; K12 Staff -&gt; Contact -&gt; Address
K12 -&gt; K12 Staff -&gt; Professional Development -&gt; Instructor (added)
K12 -&gt; SEA -&gt; Contact -&gt; Address
Postsecondary -&gt; PS Staff -&gt; Contact -&gt; Address</t>
  </si>
  <si>
    <t>K12 -&gt; K12 School -&gt; Accountability
K12 -&gt; LEA -&gt; Accountability</t>
  </si>
  <si>
    <t>K12 -&gt; K12 School -&gt; Accountability
K12 -&gt; LEA -&gt; Accountability
K12 -&gt; SEA -&gt; Accountability</t>
  </si>
  <si>
    <t>Adult Education -&gt; AE Provider
Adult Education -&gt; AE Staff -&gt; Assignment</t>
  </si>
  <si>
    <t>Adult Education -&gt; Course Section (added)
Career and Technical -&gt; Course Section (added)
K12 -&gt; Course Section (added)
K12 -&gt; K12 Course
Postsecondary -&gt; Course Section</t>
  </si>
  <si>
    <t>Adult Education -&gt; Course Section -&gt; Course (added)
Career and Technical -&gt; Course Section -&gt; Course (added)
Postsecondary -&gt; Course Section -&gt; Course</t>
  </si>
  <si>
    <t>Early Learning -&gt; EL Child -&gt; Health
K12 -&gt; K12 Student -&gt; Health</t>
  </si>
  <si>
    <t>Adult Education -&gt; AE Student -&gt; Demographic
Career and Technical -&gt; CTE Student -&gt; Demographic
Early Learning -&gt; EL Child -&gt; Demographic
Early Learning -&gt; EL Staff -&gt; Demographic
K12 -&gt; K12 Staff -&gt; Demographic
K12 -&gt; K12 Student -&gt; Demographic
Postsecondary -&gt; PS Staff -&gt; Demographic
Postsecondary -&gt; PS Student -&gt; Demographic
Workforce -&gt; Workforce Program Participant -&gt; Demographic</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</si>
  <si>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</si>
  <si>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K12 -&gt; LEA -&gt; Accountability
K12 -&gt; SEA -&gt; Accountability</t>
  </si>
  <si>
    <t>Early Learning -&gt; EL Child -&gt; Enrollment
Early Learning -&gt; EL Child -&gt; Services -&gt; Application</t>
  </si>
  <si>
    <t>Early Learning -&gt; Program Compliance
Early Learning -&gt; Program Entry</t>
  </si>
  <si>
    <t>Assessments -&gt; Assessment
Assessments -&gt; Assessment Asset
Assessments -&gt; Assessment Form
Assessments -&gt; Assessment Form -&gt; Assessment Form Section
Assessments -&gt; Assessment Item
Assessments -&gt; Assessment Subtest</t>
  </si>
  <si>
    <t>College Readiness
K-12 -&gt; EDFacts
K-12 -&gt; LEA Assessments
K-12 -&gt; SEA Assessments</t>
  </si>
  <si>
    <t>Assessments -&gt; Assessment Participant Session
Assessments -&gt; Assessment Registration
Postsecondary -&gt; PS Student -&gt; Assessment</t>
  </si>
  <si>
    <t>K-12 -&gt; LEA Assessments
K-12 -&gt; SEA Assessments
School Readiness</t>
  </si>
  <si>
    <t>Assessments -&gt; Assessment Participant Session
Assessments -&gt; Assessment Registration</t>
  </si>
  <si>
    <t>College Readiness
K-12 -&gt; LEA Assessments
K-12 -&gt; SEA Assessments
School Readiness</t>
  </si>
  <si>
    <t>Assessments -&gt; Assessment
Assessments -&gt; Assessment Subtest (added)
Early Learning -&gt; EL Child -&gt; Developmental Assessments</t>
  </si>
  <si>
    <t>K-12 -&gt; EDFacts (added)
School Readiness</t>
  </si>
  <si>
    <t>Assessments -&gt; Assessment Form
Assessments -&gt; Assessment Form -&gt; Assessment Form Section</t>
  </si>
  <si>
    <t>College Readiness
K-12 -&gt; High School Generated Transcript
K-12 -&gt; LEA Assessments
K-12 -&gt; LEA-to-LEA Student Record Exchange
K-12 -&gt; LEA-to-SEA Student Record Exchange
K-12 -&gt; SEA Assessments
School Readiness</t>
  </si>
  <si>
    <t>Assessments -&gt; Assessment Form
Assessments -&gt; Assessment Registration</t>
  </si>
  <si>
    <t>Assessments -&gt; Assessment
Assessments -&gt; Assessment Administration
Assessments -&gt; Assessment Registration</t>
  </si>
  <si>
    <t>K-12 -&gt; High School Feedback Report
K-12 -&gt; High School Generated Transcript
K-12 -&gt; LEA Assessments
K-12 -&gt; LEA-to-LEA Student Record Exchange
K-12 -&gt; LEA-to-SEA Student Record Exchange
K-12 -&gt; SEA Assessments</t>
  </si>
  <si>
    <t>Assessments -&gt; Assessment
Assessments -&gt; Assessment Administration</t>
  </si>
  <si>
    <t>College Readiness
K-12 -&gt; High School Feedback Report
K-12 -&gt; High School Generated Transcript
K-12 -&gt; LEA Assessments
K-12 -&gt; LEA-to-LEA Student Record Exchange
K-12 -&gt; LEA-to-SEA Student Record Exchange
K-12 -&gt; SEA Assessments
School Readiness</t>
  </si>
  <si>
    <t>K-12 -&gt; LEA Assessments
K-12 -&gt; SEA Assessments</t>
  </si>
  <si>
    <t>Assessments -&gt; Assessment
Assessments -&gt; Assessment Asset
Assessments -&gt; Assessment Form
Assessments -&gt; Assessment Item
Assessments -&gt; Assessment Subtest
Early Learning -&gt; EL Child -&gt; Developmental Assessments</t>
  </si>
  <si>
    <t>K-12 -&gt; High School Generated Transcript
K-12 -&gt; LEA Assessments
K-12 -&gt; LEA-to-LEA Student Record Exchange
K-12 -&gt; LEA-to-SEA Student Record Exchange
K-12 -&gt; SEA Assessments
School Readiness</t>
  </si>
  <si>
    <t>Assessments -&gt; Assessment
Assessments -&gt; Assessment Subtest</t>
  </si>
  <si>
    <t>K-12 -&gt; EDFacts
School Readiness</t>
  </si>
  <si>
    <t>K-12 -&gt; EDFacts
K-12 -&gt; LEA Assessments
K-12 -&gt; SEA Assessments
School Readiness</t>
  </si>
  <si>
    <t>Assessments -&gt; Assessment Item -&gt; Assessment Item Response
Assessments -&gt; Assessment Result</t>
  </si>
  <si>
    <t>K-12 -&gt; EDFacts
K-12 -&gt; LEA Assessments
K-12 -&gt; SEA Assessments</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</si>
  <si>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</si>
  <si>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Assessments -&gt; Assessment
Assessments -&gt; Assessment Result
Assessments -&gt; Assessment Subtest</t>
  </si>
  <si>
    <t>College Readiness
K-12 -&gt; SEA Assessments
School Readiness</t>
  </si>
  <si>
    <t>Assessments -&gt; Assessment Administration
Assessments -&gt; Assessment Form</t>
  </si>
  <si>
    <t>Assessments -&gt; Assessment Participant Session
Assessments -&gt; Assessment Session</t>
  </si>
  <si>
    <t>College Readiness
K-12 -&gt; SEA Assessments</t>
  </si>
  <si>
    <t>College Readiness
K-12 -&gt; High School Generated Transcript
K-12 -&gt; LEA Assessments
K-12 -&gt; LEA-to-LEA Student Record Exchange
K-12 -&gt; LEA-to-SEA Student Record Exchange
K-12 -&gt; SEA Assessments
Postsecondary Education -&gt; Transition
School Readiness</t>
  </si>
  <si>
    <t>Adult Education -&gt; Course Section -&gt; Staff (added)
Career and Technical -&gt; Course Section -&gt; Staff (added)
K12 -&gt; Course Section -&gt; Staff
K12 -&gt; K12 Staff -&gt; Assignment
Postsecondary -&gt; Course Section -&gt; Staff (added)</t>
  </si>
  <si>
    <t>Adult Education -&gt; Course Section -&gt; Attendance (added)
Career and Technical -&gt; Course Section -&gt; Attendance (added)
K12 -&gt; Course Section -&gt; Attendance (added)
K12 -&gt; K12 Staff -&gt; Attendance (added)
K12 -&gt; K12 Student -&gt; Attendance</t>
  </si>
  <si>
    <t>Adult Education -&gt; Course Section -&gt; Attendance (added)
Career and Technical -&gt; Course Section -&gt; Attendance (added)
K12 -&gt; Course Section -&gt; Attendance (added)
K12 -&gt; K12 Student -&gt; Attendance</t>
  </si>
  <si>
    <t>Adult Education -&gt; Course Section -&gt; Attendance (added)
Career and Technical -&gt; Course Section -&gt; Attendance (added)
K12 -&gt; Course Section -&gt; Attendance
K12 -&gt; K12 Staff -&gt; Attendance
K12 -&gt; K12 Student -&gt; Attendance</t>
  </si>
  <si>
    <t>Adult Education -&gt; Course Section -&gt; Course (added)
Career and Technical -&gt; Course
Career and Technical -&gt; Course Section -&gt; Course (added)
K12 -&gt; Course Section -&gt; Course
K12 -&gt; K12 Course</t>
  </si>
  <si>
    <t>K-12 -&gt; High School Generated Transcript
K-12 -&gt; LEA-to-LEA Student Record Exchange
K-12 -&gt; LEA-to-SEA Student Record Exchange
K-12 -&gt; Teacher-Student Data Link -&gt; Class Section</t>
  </si>
  <si>
    <t>Career and Technical -&gt; CTE Student -&gt; Disability (added)
Early Learning -&gt; EL Child -&gt; Disability (added)
K12 -&gt; K12 Student -&gt; Disability</t>
  </si>
  <si>
    <t>Adult Education -&gt; AE Student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(added)
Postsecondary -&gt; PS Staff -&gt; Demographic
Postsecondary -&gt; PS Student -&gt; Demographic
Workforce -&gt; Workforce Program Participant -&gt; Demographic</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</si>
  <si>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</si>
  <si>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K12 -&gt; K12 Student -&gt; Demographic
K12 -&gt; K12 Student -&gt; Migrant</t>
  </si>
  <si>
    <t>Adult Education -&gt; Course Section (added)
Career and Technical -&gt; Course Section (added)
K12 -&gt; Course Section (added)
K12 -&gt; K12 Course</t>
  </si>
  <si>
    <t>Early Learning -&gt; EL Organization -&gt; Address (added)
K12 -&gt; K12 School -&gt; Address
K12 -&gt; LEA -&gt; Address
K12 -&gt; Organization -&gt; Address
K12 -&gt; SEA -&gt; Address
Postsecondary -&gt; Organization -&gt; Address (added)</t>
  </si>
  <si>
    <t>Career and Technical -&gt; CTE Student -&gt; Academic Record
K12 -&gt; K12 Student -&gt; Academic Record
K12 -&gt; K12 Student -&gt; CTE</t>
  </si>
  <si>
    <t>Career and Technical -&gt; CTE Student -&gt; Program Participation
K12 -&gt; K12 Student -&gt; CTE
Postsecondary -&gt; PS Student -&gt; CTE</t>
  </si>
  <si>
    <t>K-12 -&gt; EDFacts
K-12 -&gt; High School Generated Transcript
K-12 -&gt; LEA-to-LEA Student Record Exchange
K-12 -&gt; LEA-to-SEA Student Record Exchange</t>
  </si>
  <si>
    <t>Career and Technical -&gt; CTE Staff -&gt; Credential or License
K12 -&gt; K12 Staff -&gt; Credential or License
Postsecondary -&gt; PS Staff -&gt; Credential or License</t>
  </si>
  <si>
    <t>Career and Technical -&gt; CTE Student -&gt; Academic Record
K12 -&gt; K12 Student -&gt; CTE
Postsecondary -&gt; PS Student -&gt; CTE</t>
  </si>
  <si>
    <t>Adult Education -&gt; AE Student -&gt; Program Participation
Adult Education -&gt; Course Section (added)
Adult Education -&gt; Program
Career and Technical -&gt; Course Section (added)
Career and Technical -&gt; CTE Student -&gt; Program Participation
Career and Technical -&gt; Program
K12 -&gt; Course Section (added)
K12 -&gt; K12 Course
Learning Resources -&gt; Learning Resource</t>
  </si>
  <si>
    <t>Career and Technical -&gt; CTE Student -&gt; Career Education Plan
Early Learning -&gt; EL Child -&gt; Individualized Program
Early Learning -&gt; EL Staff -&gt; Professional Development
K12 -&gt; K12 Staff -&gt; Professional Development
K12 -&gt; K12 Student -&gt; Academic Record
K12 -&gt; K12 Student -&gt; CTE
K12 -&gt; K12 Student -&gt; Individualized Program</t>
  </si>
  <si>
    <t>Adult Education -&gt; AE Student -&gt; Program Participation
Career and Technical -&gt; CTE Student -&gt; Program Participation
K12 -&gt; K12 Student -&gt; CTE
Postsecondary -&gt; PS Student -&gt; CTE
Workforce -&gt; Workforce Program Participant -&gt; Program Participation</t>
  </si>
  <si>
    <t>K12 -&gt; K12 Student -&gt; CTE (added)
Postsecondary -&gt; PS Student -&gt; CTE</t>
  </si>
  <si>
    <t>Adult Education -&gt; AE Student -&gt; Status
Career and Technical -&gt; CTE Student -&gt; Program Participation
K12 -&gt; K12 Student -&gt; CTE
Postsecondary -&gt; PS Student -&gt; CTE</t>
  </si>
  <si>
    <t>K-12 -&gt; High School Feedback Report
Postsecondary Education -&gt; Transition</t>
  </si>
  <si>
    <t>K12 -&gt; K12 School -&gt; Directory
K12 -&gt; LEA -&gt; Directory</t>
  </si>
  <si>
    <t>K12 -&gt; K12 School -&gt; Directory -&gt; Charter School Management Organization
K12 -&gt; Organization -&gt; Identification</t>
  </si>
  <si>
    <t>Early Learning -&gt; EL Child -&gt; Identity -&gt; Identification
Early Learning -&gt; Parent/Guardian -&gt; Relationship</t>
  </si>
  <si>
    <t>Early Learning -&gt; Access to Services
Early Learning -&gt; Program Quality
Early Learning -&gt; Staff Quality
School Readiness</t>
  </si>
  <si>
    <t>Early Learning -&gt; EL Child -&gt; Identity -&gt; Identification
K12 -&gt; Parent/Guardian -&gt; Relationship</t>
  </si>
  <si>
    <t>Adult Education -&gt; Course Section (added)
Career and Technical -&gt; Course Section
Early Learning -&gt; EL Class/Group (added)
K12 -&gt; Course Section (added)</t>
  </si>
  <si>
    <t>Early Learning -&gt; Access to Services
Early Learning -&gt; Program Quality</t>
  </si>
  <si>
    <t>Adult Education -&gt; Course Section (added)
Career and Technical -&gt; Course Section
K12 -&gt; Course Section (added)</t>
  </si>
  <si>
    <t>Adult Education -&gt; AE Student -&gt; Academic Record -&gt; Academic Award (added)
Adult Education -&gt; Course Section -&gt; Course (added)
Career and Technical -&gt; Course Section -&gt; Course (added)
Career and Technical -&gt; CTE Student -&gt; Academic Record -&gt; Academic Award (added)
Career and Technical -&gt; CTE Student -&gt; Program Participation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 (added)</t>
  </si>
  <si>
    <t>Adult Education -&gt; AE Student -&gt; Academic Record -&gt; Academic Award (added)
Career and Technical -&gt; CTE Student -&gt; Academic Record -&gt; Academic Award (added)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 (added)</t>
  </si>
  <si>
    <t>Adult Education -&gt; AE Student -&gt; Academic Record -&gt; Academic Award (added)
Adult Education -&gt; Course Section -&gt; Course (added)
Career and Technical -&gt; Course Section -&gt; Course (added)
Career and Technical -&gt; CTE Student -&gt; Academic Record -&gt; Academic Award (added)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 (added)</t>
  </si>
  <si>
    <t>Adult Education -&gt; Course Section (added)
Adult Education -&gt; Course Section -&gt; Staff (added)
Career and Technical -&gt; Course Section (added)
Career and Technical -&gt; Course Section -&gt; Staff (added)
K12 -&gt; Course Section
K12 -&gt; Course Section -&gt; Staff
K12 -&gt; K12 Staff -&gt; Assignment</t>
  </si>
  <si>
    <t>K12 -&gt; K12 Student -&gt; Enrollment
Postsecondary -&gt; PS Student -&gt; Demographic</t>
  </si>
  <si>
    <t>K-12 -&gt; EDFacts
Persistence and Attainment of Nontraditional Students</t>
  </si>
  <si>
    <t>K12 -&gt; K12 Student -&gt; Enrollment
Postsecondary -&gt; PS Student -&gt; K12 Transcript</t>
  </si>
  <si>
    <t>Early Learning -&gt; EL Child -&gt; Program
Early Learning -&gt; EL Organization -&gt; Organization Information</t>
  </si>
  <si>
    <t>Assessments -&gt; Learning Standards -&gt; Competency Set
Learning Standards -&gt; Competency Set</t>
  </si>
  <si>
    <t>Early Learning -&gt; Licensing
Early Learning -&gt; Program Compliance</t>
  </si>
  <si>
    <t>Career and Technical -&gt; Course
K12 -&gt; K12 Course</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</si>
  <si>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Contact -&gt; Address (added)
Early Learning -&gt; EL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(added)
Postsecondary -&gt; Parent/Guardian -&gt; Contact -&gt; Address
Postsecondary -&gt; PS Staff -&gt; Contact -&gt; Address
Postsecondary -&gt; PS Student -&gt; Contact -&gt; Address</t>
  </si>
  <si>
    <t>Early Learning -&gt; Program Entry
Early Learning -&gt; Staff Quality
Early Learning -&gt; Workforce Development
Postsecondary Education -&gt; Complete College America
Postsecondary Education -&gt; IPEDS</t>
  </si>
  <si>
    <t>K-12 -&gt; High School Generated Transcript
K-12 -&gt; LEA-to-LEA Student Record Exchange
K-12 -&gt; LEA-to-SEA Student Record Exchange
K-12 -&gt; Migrant Student Data Exchange</t>
  </si>
  <si>
    <t>Early Learning -&gt; EL Organization -&gt; Address
Early Learning -&gt; EL Organization -&gt; Contact -&gt; Address
K12 -&gt; K12 School -&gt; Address
K12 -&gt; LEA -&gt; Address
K12 -&gt; Organization -&gt; Address (added)
K12 -&gt; Organization -&gt; Contact -&gt; Address (added)
Postsecondary -&gt; Organization -&gt; Address (added)
Postsecondary -&gt; Organization -&gt; Contact -&gt; Address (added)
Postsecondary -&gt; PS Institution -&gt; Address
Postsecondary -&gt; PS Student -&gt; K12 Transcript</t>
  </si>
  <si>
    <t>Adult Education -&gt; Course Section -&gt; Enrollment (added)
Career and Technical -&gt; Course Section -&gt; Enrollment (added)
Postsecondary -&gt; Course Section -&gt; Enrollment</t>
  </si>
  <si>
    <t>Adult Education -&gt; Course Section (added)
Career and Technical -&gt; Course Section (added)
Postsecondary -&gt; Course Section</t>
  </si>
  <si>
    <t>Adult Education -&gt; Course Section -&gt; Enrollment -&gt; Student Course Section Mark (added)
Career and Technical -&gt; Course Section -&gt; Enrollment -&gt; Student Course Section Mark (added)
Postsecondary -&gt; Course Section -&gt; Enrollment -&gt; Student Course Section Mark</t>
  </si>
  <si>
    <t>Adult Education -&gt; Course Section (added)
Career and Technical -&gt; Course
Career and Technical -&gt; Course Section
K12 -&gt; Course Section (added)
K12 -&gt; K12 Course</t>
  </si>
  <si>
    <t>Adult Education -&gt; Course Section -&gt; Course (added)
Career and Technical -&gt; Course
Career and Technical -&gt; Course Section -&gt; Course (added)
K12 -&gt; Course Section -&gt; Course
K12 -&gt; K12 Course
K12 -&gt; K12 Student -&gt; Academic Record
K12 -&gt; K12 Student -&gt; Graduation Plan -&gt; Course</t>
  </si>
  <si>
    <t>Adult Education -&gt; Course Section -&gt; Course (added)
Career and Technical -&gt; Course
Career and Technical -&gt; Course Section -&gt; Course (added)
Early Learning -&gt; EL Staff -&gt; Professional Development
K12 -&gt; K12 Course
Postsecondary -&gt; Course Section -&gt; Course</t>
  </si>
  <si>
    <t>Adult Education -&gt; Course Section -&gt; Course (added)
Career and Technical -&gt; Course
Career and Technical -&gt; Course Section -&gt; Course (added)
K12 -&gt; K12 Course
K12 -&gt; K12 Student -&gt; Graduation Plan -&gt; Course
Postsecondary -&gt; Course Section -&gt; Course</t>
  </si>
  <si>
    <t>Adult Education -&gt; Course Section -&gt; Course (added)
Career and Technical -&gt; Course
Career and Technical -&gt; Course Section -&gt; Course (added)
K12 -&gt; Course Section -&gt; Course
K12 -&gt; K12 Course
K12 -&gt; K12 Student -&gt; Academic Record</t>
  </si>
  <si>
    <t>Adult Education -&gt; Course Section (added)
Career and Technical -&gt; Course
Career and Technical -&gt; Course Section
K12 -&gt; Course Section (added)
K12 -&gt; K12 Course
Postsecondary -&gt; Course Section</t>
  </si>
  <si>
    <t>K-12 -&gt; High School Generated Transcript
K-12 -&gt; LEA-to-LEA Student Record Exchange
K-12 -&gt; LEA-to-SEA Student Record Exchange
K-12 -&gt; Teacher-Student Data Link -&gt; Class Section
Postsecondary Education -&gt; Transition</t>
  </si>
  <si>
    <t>Adult Education -&gt; AE Student -&gt; Course
Adult Education -&gt; Course Section (added)
Career and Technical -&gt; Course Section (added)
Postsecondary -&gt; Course Section</t>
  </si>
  <si>
    <t>Adult Education -&gt; Course Section (added)
Career and Technical -&gt; Course Section (added)
K12 -&gt; K12 Student -&gt; Academic Record
Postsecondary -&gt; Course Section</t>
  </si>
  <si>
    <t>Adult Education -&gt; Course Section -&gt; Course (added)
Career and Technical -&gt; Course Section -&gt; Course (added)
K12 -&gt; Course Section -&gt; Course</t>
  </si>
  <si>
    <t>K-12 -&gt; High School Generated Transcript
School Readiness</t>
  </si>
  <si>
    <t>Adult Education -&gt; Course Section
Career and Technical -&gt; Course Section
K12 -&gt; Course Section
Postsecondary -&gt; Course Section</t>
  </si>
  <si>
    <t>K-12 -&gt; Civil Rights Data Collection
K-12 -&gt; Teacher-Student Data Link -&gt; Class Section</t>
  </si>
  <si>
    <t>Early Learning -&gt; EL Staff -&gt; Credential or License
K12 -&gt; K12 Staff -&gt; Credential or License</t>
  </si>
  <si>
    <t>Early Learning -&gt; EL Staff -&gt; Credential or License
K12 -&gt; K12 Staff -&gt; Credential or License (added)</t>
  </si>
  <si>
    <t>Career and Technical -&gt; CTE Staff -&gt; Credential or License
Early Learning -&gt; EL Staff -&gt; Credential or License (added)
K12 -&gt; K12 Staff -&gt; Credential or License
Postsecondary -&gt; PS Staff -&gt; Credential or License</t>
  </si>
  <si>
    <t>Adult Education -&gt; AE Student -&gt; Academic Record -&gt; Academic Award (added)
Career and Technical -&gt; CTE Student -&gt; Academic Record -&gt; Academic Award (added)
K12 -&gt; K12 Student -&gt; Academic Record -&gt; Academic Award (added)
Postsecondary -&gt; PS Student -&gt; Academic Record -&gt; Academic Award
Workforce -&gt; Workforce Program Participant -&gt; Academic Record -&gt; Academic Award (added)</t>
  </si>
  <si>
    <t>Adult Education -&gt; Course Section -&gt; Course (added)
Career and Technical -&gt; Course
Career and Technical -&gt; Course Section -&gt; Course (added)
K12 -&gt; Course Section -&gt; Course
K12 -&gt; K12 Student -&gt; Academic Record</t>
  </si>
  <si>
    <t>K12 -&gt; K12 Student -&gt; Graduation Plan
K12 -&gt; K12 Student -&gt; Graduation Plan -&gt; Subject Area
K12 -&gt; K12 Student -&gt; Program
K12 -&gt; Program</t>
  </si>
  <si>
    <t>Early Learning -&gt; EL Class/Group (added)
Early Learning -&gt; EL Organization -&gt; Directory</t>
  </si>
  <si>
    <t>Early Learning -&gt; Access to Services
Early Learning -&gt; Licensing
Early Learning -&gt; Program Compliance
Early Learning -&gt; Program Quality</t>
  </si>
  <si>
    <t>Adult Education -&gt; AE Staff -&gt; Education (added)
Career and Technical -&gt; CTE Student -&gt; Academic Record
Early Learning -&gt; EL Staff -&gt; Education
K12 -&gt; K12 Staff -&gt; Education (added)</t>
  </si>
  <si>
    <t>Early Learning -&gt; Program Compliance
Early Learning -&gt; Staff Quality
Early Learning -&gt; Workforce Development</t>
  </si>
  <si>
    <t>Early Learning -&gt; EL Child -&gt; Demographic
K12 -&gt; K12 Student -&gt; Demographic</t>
  </si>
  <si>
    <t>Early Learning -&gt; EL Child -&gt; Health -&gt; Insurance
Early Learning -&gt; Parent/Guardian -&gt; Insurance
K12 -&gt; K12 Student -&gt; Health -&gt; Insurance (added)</t>
  </si>
  <si>
    <t>Early Learning -&gt; EL Child -&gt; Health -&gt; Dental
K12 -&gt; K12 Student -&gt; Health -&gt; Dental (added)</t>
  </si>
  <si>
    <t>Persistence and Attainment of Nontraditional Students
Postsecondary Education -&gt; IPEDS</t>
  </si>
  <si>
    <t>Adult Education -&gt; Course Section (added)
Career and Technical -&gt; Course Section (added)
Postsecondary -&gt; Course Section
Postsecondary -&gt; PS Student -&gt; Institution Enrollment</t>
  </si>
  <si>
    <t>Adult Education -&gt; AE Student -&gt; Academic Record -&gt; Academic Award (added)
Career and Technical -&gt; CTE Student -&gt; Academic Record -&gt; Academic Award (added)
K12 -&gt; K12 Student -&gt; Academic Record -&gt; Academic Award (added)
Postsecondary -&gt; PS Student -&gt; Academic Record -&gt; Academic Award
Postsecondary -&gt; PS Student -&gt; Institution Enrollment -&gt; Prior Academic Award
Postsecondary -&gt; PS Student -&gt; K12 Transcript
Workforce -&gt; Workforce Program Participant -&gt; Academic Record -&gt; Academic Award (added)</t>
  </si>
  <si>
    <t>Early Learning -&gt; Staff Quality
K-12 -&gt; High School Feedback Report
K-12 -&gt; High School Generated Transcript
K-12 -&gt; LEA-to-LEA Student Record Exchange
K-12 -&gt; LEA-to-SEA Student Record Exchange
Postsecondary Education -&gt; Transition</t>
  </si>
  <si>
    <t>K12 -&gt; K12 Student -&gt; Enrollment
Postsecondary -&gt; PS Student -&gt; Term Enrollment</t>
  </si>
  <si>
    <t>Postsecondary Education -&gt; Student Achievement Measure
Postsecondary Education -&gt; Voluntary Framework of Accountability</t>
  </si>
  <si>
    <t>Career and Technical -&gt; CTE Student -&gt; Disability (added)
Early Learning -&gt; EL Child -&gt; Disability (added)
K12 -&gt; K12 Student -&gt; Disability
Postsecondary -&gt; PS Student -&gt; Disability (added)</t>
  </si>
  <si>
    <t>Adult Education -&gt; AE Student -&gt; Disability (added)
Career and Technical -&gt; CTE Student -&gt; Disability (added)
Early Learning -&gt; EL Child -&gt; Disability (added)
K12 -&gt; K12 Student -&gt; Disability
Postsecondary -&gt; PS Student -&gt; Disability (added)</t>
  </si>
  <si>
    <t>Adult Education -&gt; AE Student -&gt; Disability
Career and Technical -&gt; CTE Student -&gt; Disability (added)
Early Learning -&gt; EL Child -&gt; Disability (added)
K12 -&gt; K12 Student -&gt; Disability
Postsecondary -&gt; PS Student -&gt; Disability (added)</t>
  </si>
  <si>
    <t>K12 -&gt; Incident
K12 -&gt; K12 Student -&gt; Discipline</t>
  </si>
  <si>
    <t>Postsecondary -&gt; PS Institution -&gt; Program
Postsecondary -&gt; PS Student -&gt; Institution Enrollment -&gt; Program</t>
  </si>
  <si>
    <t>Adult Education -&gt; AE Student -&gt; Academic Record -&gt; Academic Award (added)
Career and Technical -&gt; CTE Student -&gt; Academic Record -&gt; Academic Award (added)
Postsecondary -&gt; PS Student -&gt; Academic Record -&gt; Academic Award
Postsecondary -&gt; PS Student -&gt; Institution Enrollment -&gt; Prior Academic Award
Workforce -&gt; Workforce Program Participant -&gt; Academic Record -&gt; Academic Award (added)</t>
  </si>
  <si>
    <t>Early Learning -&gt; EL Child -&gt; Finance
Early Learning -&gt; EL Organization -&gt; Finance</t>
  </si>
  <si>
    <t>Early Learning -&gt; Licensing
Early Learning -&gt; Program Compliance
Early Learning -&gt; Program Quality
School Readiness</t>
  </si>
  <si>
    <t>Early Learning -&gt; EL Class/Group (added)
Early Learning -&gt; EL Organization -&gt; Organization Information</t>
  </si>
  <si>
    <t>Early Learning -&gt; EL Staff -&gt; Professional Development -&gt; Instructor
Early Learning -&gt; EL Staff -&gt; Professional Development Activity -&gt; Session
K12 -&gt; K12 Staff -&gt; Professional Development -&gt; Instructor (added)</t>
  </si>
  <si>
    <t>Early Learning -&gt; Program Quality
Early Learning -&gt; Staff Quality</t>
  </si>
  <si>
    <t>Adult Education -&gt; AE Staff -&gt; Education (added)
Early Learning -&gt; EL Staff -&gt; Education
K12 -&gt; K12 Staff -&gt; Education (added)</t>
  </si>
  <si>
    <t>Adult Education -&gt; AE Staff -&gt; Contact -&gt; Email
Adult Education -&gt; AE Student -&gt; Contact -&gt; Email
Career and Technical -&gt; CTE Staff -&gt; Contact -&gt; Email
Career and Technical -&gt; CTE Student -&gt; Contact -&gt; Email
Early Learning -&gt; EL Organization -&gt; Contact -&gt; Email
Early Learning -&gt; EL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(added)
Postsecondary -&gt; Parent/Guardian -&gt; Contact -&gt; Email
Postsecondary -&gt; PS Student -&gt; Contact -&gt; Email
Workforce -&gt; Workforce Program Participant -&gt; Contact -&gt; Email</t>
  </si>
  <si>
    <t>Early Learning -&gt; Parent/Guardian -&gt; Relationship
K12 -&gt; Parent/Guardian -&gt; Relationship</t>
  </si>
  <si>
    <t xml:space="preserve">Yes
Unknown
</t>
  </si>
  <si>
    <t>Adult Education -&gt; AE Student -&gt; Employment
K12 -&gt; K12 Student -&gt; Employment
Postsecondary -&gt; PS Student -&gt; Employment
Workforce -&gt; Quarterly Employment Record
Workforce -&gt; Workforce Program Participant -&gt; Employment</t>
  </si>
  <si>
    <t>Adult Education -&gt; AE Staff -&gt; Employment
Adult Education -&gt; AE Student -&gt; Employment
Early Learning -&gt; EL Staff -&gt; Employment
K12 -&gt; K12 Staff -&gt; Employment
K12 -&gt; K12 Student -&gt; Employment
Postsecondary -&gt; PS Staff -&gt; Employment
Postsecondary -&gt; PS Student -&gt; Employment
Workforce -&gt; Workforce Program Participant -&gt; Employment</t>
  </si>
  <si>
    <t>Early Learning -&gt; EL Staff -&gt; Employment
K12 -&gt; K12 Staff -&gt; Employment</t>
  </si>
  <si>
    <t>Early Learning -&gt; Staff Quality
Early Learning -&gt; Workforce Development</t>
  </si>
  <si>
    <t>Adult Education -&gt; AE Student -&gt; Program Participation
Early Learning -&gt; EL Child -&gt; Enrollment</t>
  </si>
  <si>
    <t>Early Learning -&gt; EL Child -&gt; Enrollment
K12 -&gt; Course Section -&gt; Enrollment
K12 -&gt; K12 Student -&gt; Enrollment
Postsecondary -&gt; PS Student -&gt; Institution Enrollment</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</si>
  <si>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</si>
  <si>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Adult Education -&gt; AE Student -&gt; Program Participation
Early Learning -&gt; EL Child -&gt; Enrollment
K12 -&gt; K12 Student -&gt; Enrollment
Postsecondary -&gt; PS Student -&gt; Institution Enrollment</t>
  </si>
  <si>
    <t>Persistence and Attainment of Nontraditional Students
Postsecondary Education -&gt; IPEDS
Postsecondary Education -&gt; Transition</t>
  </si>
  <si>
    <t>Adult Education -&gt; AE Student -&gt; Program Participation
K12 -&gt; K12 Student -&gt; Enrollment</t>
  </si>
  <si>
    <t>K12 -&gt; Course Section -&gt; Enrollment
K12 -&gt; K12 Student -&gt; Enrollment</t>
  </si>
  <si>
    <t>K-12 -&gt; EDFacts
K-12 -&gt; LEA-to-LEA Student Record Exchange
K-12 -&gt; LEA-to-SEA Student Record Exchange</t>
  </si>
  <si>
    <t>Early Learning -&gt; EL Child -&gt; Enrollment
Early Learning -&gt; EL Child -&gt; Program (added)
K12 -&gt; K12 Student -&gt; Program</t>
  </si>
  <si>
    <t>K12 -&gt; Facility
K12 -&gt; LEA -&gt; Directory</t>
  </si>
  <si>
    <t>Early Learning -&gt; EL Child -&gt; Finance
Early Learning -&gt; EL Organization -&gt; Finance
K12 -&gt; K12 School -&gt; Federal Funds (added)
K12 -&gt; LEA -&gt; Federal Funds
K12 -&gt; SEA -&gt; Federal Funds</t>
  </si>
  <si>
    <t>Early Learning -&gt; Early Learning Program
K12 -&gt; K12 School -&gt; Federal Funds (added)
K12 -&gt; LEA -&gt; Federal Funds
K12 -&gt; SEA -&gt; Federal Funds</t>
  </si>
  <si>
    <t>K12 -&gt; K12 School -&gt; Finance
K12 -&gt; LEA -&gt; Finance
K12 -&gt; Program -&gt; Finance
K12 -&gt; SEA -&gt; Finance</t>
  </si>
  <si>
    <t>Early Learning -&gt; Early Learning Program
K12 -&gt; K12 School -&gt; Finance
K12 -&gt; LEA -&gt; Finance
K12 -&gt; Program -&gt; Finance
K12 -&gt; SEA -&gt; Finance</t>
  </si>
  <si>
    <t>Postsecondary Education -&gt; Common Data Set
Postsecondary Education -&gt; Complete College America
Postsecondary Education -&gt; IPEDS</t>
  </si>
  <si>
    <t>Adult Education -&gt; AE Staff -&gt; Identity -&gt; Name
Adult Education -&gt; AE Student -&gt; Identity -&gt; Name
Assessments -&gt; Assessment Result -&gt; Scorer
Career and Technical -&gt; CTE Staff -&gt; Identity -&gt; Name
Career and Technical -&gt; CTE Student -&gt; Identity -&gt; Name
Early Learning -&gt; EL Child -&gt; Identity -&gt; Name
Early Learning -&gt; EL Organization -&gt; Contact -&gt; Name (added)
Early Learning -&gt; EL Staff -&gt; Identity -&gt; Name
Early Learning -&gt; EL Staff -&gt; Professional Development -&gt; Instructor
Early Learning -&gt; Parent/Guardian -&gt; Identity -&gt; Name
K12 -&gt; K12 Staff -&gt; Identity -&gt; Name
K12 -&gt; K12 Staff -&gt; Professional Development -&gt; Instructor (added)
K12 -&gt; K12 Student -&gt; Identity -&gt; Name
K12 -&gt; Organization -&gt; Contact -&gt; Name
K12 -&gt; Parent/Guardian -&gt; Identity -&gt; Name
K12 -&gt; SEA -&gt; Contact -&gt; Name
Postsecondary -&gt; Organization -&gt; Contact -&gt; Name (added)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</si>
  <si>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</si>
  <si>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K12 -&gt; K12 School -&gt; Federal Funds (added)
K12 -&gt; LEA -&gt; Federal Funds</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</si>
  <si>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(added)
Early Learning -&gt; EL Staff -&gt; Identity -&gt; Name
Early Learning -&gt; EL Staff -&gt; Professional Development -&gt; Instructor
Early Learning -&gt; Parent/Guardian -&gt; Identity -&gt; Name
K12 -&gt; K12 Staff -&gt; Identity -&gt; Name
K12 -&gt; K12 Staff -&gt; Professional Development -&gt; Instructor (added)
K12 -&gt; K12 Student -&gt; Identity -&gt; Name
K12 -&gt; Organization -&gt; Contact -&gt; Name
K12 -&gt; Parent/Guardian -&gt; Identity -&gt; Name
K12 -&gt; SEA -&gt; Contact -&gt; Name
Postsecondary -&gt; Organization -&gt; Contact -&gt; Name (added)
Postsecondary -&gt; Parent/Guardian -&gt; Identity -&gt; Name
Postsecondary -&gt; PS Staff -&gt; Identity -&gt; Name
Postsecondary -&gt; PS Student -&gt; Identity -&gt; Name
Workforce -&gt; Workforce Program Participant -&gt; Identity -&gt; Name</t>
  </si>
  <si>
    <t>Early Learning -&gt; Staff Quality
K-12 -&gt; High School Generated Transcript
K-12 -&gt; LEA-to-LEA Student Record Exchange
K-12 -&gt; LEA-to-SEA Student Record Exchange
Postsecondary Education -&gt; Complete College America
Postsecondary Education -&gt; IPEDS</t>
  </si>
  <si>
    <t xml:space="preserve">Yes
No
Unknown
</t>
  </si>
  <si>
    <t>K-12 -&gt; High School Generated Transcript
K-12 -&gt; LEA Assessments
K-12 -&gt; LEA-to-LEA Student Record Exchange
K-12 -&gt; LEA-to-SEA Student Record Exchange
K-12 -&gt; SEA Assessments</t>
  </si>
  <si>
    <t>K12 -&gt; Course Section -&gt; Enrollment
K12 -&gt; K12 Student -&gt; Academic Record
K12 -&gt; K12 Student -&gt; Graduation Plan -&gt; Course</t>
  </si>
  <si>
    <t>K12 -&gt; K12 Student -&gt; Academic Record
Postsecondary -&gt; PS Applicant
Postsecondary -&gt; PS Student -&gt; Academic Record
Postsecondary -&gt; PS Student -&gt; K12 Transcript</t>
  </si>
  <si>
    <t>College Readiness
K-12 -&gt; High School Feedback Report
K-12 -&gt; High School Generated Transcript
K-12 -&gt; LEA-to-LEA Student Record Exchange
K-12 -&gt; LEA-to-SEA Student Record Exchange
Postsecondary Education -&gt; Common Data Set
Postsecondary Education -&gt; Transition</t>
  </si>
  <si>
    <t>Postsecondary -&gt; PS Applicant
Postsecondary -&gt; PS Student -&gt; K12 Transcript</t>
  </si>
  <si>
    <t>Postsecondary Education -&gt; Common Data Set
Postsecondary Education -&gt; Transition</t>
  </si>
  <si>
    <t>Adult Education -&gt; Course Section -&gt; Enrollment -&gt; Student Course Section Mark (added)
Career and Technical -&gt; Course Section -&gt; Enrollment -&gt; Student Course Section Mark (added)
K12 -&gt; Course Section -&gt; Enrollment -&gt; Student Course Section Mark
K12 -&gt; K12 Student -&gt; Academic Record
Postsecondary -&gt; Course Section -&gt; Enrollment -&gt; Student Course Section Mark (added)</t>
  </si>
  <si>
    <t>Early Learning -&gt; EL Child -&gt; Health
K12 -&gt; K12 Student -&gt; Health (added)</t>
  </si>
  <si>
    <t>Early Learning -&gt; EL Child -&gt; Health -&gt; Hearing
K12 -&gt; K12 Student -&gt; Health -&gt; Hearing (added)</t>
  </si>
  <si>
    <t>Adult Education -&gt; Course Section -&gt; Course (added)
Career and Technical -&gt; Course
Career and Technical -&gt; Course Section -&gt; Course (added)
K12 -&gt; Course Section -&gt; Course
K12 -&gt; K12 Course
K12 -&gt; K12 Student -&gt; Graduation Plan -&gt; Course</t>
  </si>
  <si>
    <t>Adult Education -&gt; AE Student -&gt; Academic Record -&gt; Academic Award (added)
Career and Technical -&gt; CTE Student -&gt; Academic Record -&gt; Academic Award (added)
K12 -&gt; K12 Student -&gt; Academic Record -&gt; Academic Award
Workforce -&gt; Workforce Program Participant -&gt; Academic Record -&gt; Academic Award (added)</t>
  </si>
  <si>
    <t>Adult Education -&gt; AE Student -&gt; Academic Record -&gt; Academic Award
Career and Technical -&gt; CTE Student -&gt; Academic Record -&gt; Academic Award (added)
K12 -&gt; K12 Student -&gt; Academic Record -&gt; Academic Award
Postsecondary -&gt; PS Student -&gt; K12 Transcript
Workforce -&gt; Workforce Program Participant -&gt; Academic Record -&gt; Academic Award (added)</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</si>
  <si>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</si>
  <si>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K12 -&gt; K12 Student -&gt; Academic Record
Postsecondary -&gt; PS Applicant</t>
  </si>
  <si>
    <t>K-12 -&gt; High School Generated Transcript
K-12 -&gt; LEA-to-LEA Student Record Exchange
K-12 -&gt; LEA-to-SEA Student Record Exchange
Postsecondary Education -&gt; Common Data Set</t>
  </si>
  <si>
    <t>Adult Education -&gt; AE Staff -&gt; Credential
Adult Education -&gt; AE Staff -&gt; Education (added)
Adult Education -&gt; AE Student -&gt; Academic Record
Early Learning -&gt; EL Staff -&gt; Education
Early Learning -&gt; Parent/Guardian -&gt; Education
K12 -&gt; K12 Staff -&gt; Credential or License
K12 -&gt; K12 Staff -&gt; Education (added)</t>
  </si>
  <si>
    <t>Early Learning -&gt; Program Compliance
Early Learning -&gt; Program Entry
Early Learning -&gt; Staff Quality
K-12 -&gt; Teacher Compensation Survey</t>
  </si>
  <si>
    <t>Adult Education -&gt; AE Staff -&gt; Employment
Early Learning -&gt; EL Staff -&gt; Employment
K12 -&gt; K12 Staff -&gt; Employment
Postsecondary -&gt; PS Staff -&gt; Employment</t>
  </si>
  <si>
    <t>Early Learning -&gt; Program Compliance
Early Learning -&gt; Staff Quality
Early Learning -&gt; Workforce Development
K-12 -&gt; Teacher Compensation Survey
Postsecondary Education -&gt; IPEDS -&gt; HR</t>
  </si>
  <si>
    <t>Early Learning -&gt; EL Child -&gt; Demographic
K12 -&gt; K12 Student -&gt; Homeless</t>
  </si>
  <si>
    <t>Early Learning -&gt; Program Compliance
Early Learning -&gt; Program Entry
K-12 -&gt; EDFacts
K-12 -&gt; High School Generated Transcript
K-12 -&gt; LEA-to-LEA Student Record Exchange
K-12 -&gt; LEA-to-SEA Student Record Exchange</t>
  </si>
  <si>
    <t>Early Learning -&gt; EL Child -&gt; Disability (added)
Early Learning -&gt; EL Child -&gt; Enrollment</t>
  </si>
  <si>
    <t>Career and Technical -&gt; CTE Student -&gt; Disability (added)
K12 -&gt; K12 Student -&gt; Disability</t>
  </si>
  <si>
    <t>K-12 -&gt; Civil Rights Data Collection
K-12 -&gt; EDFacts
K-12 -&gt; LEA-to-LEA Student Record Exchange
K-12 -&gt; LEA-to-SEA Student Record Exchange</t>
  </si>
  <si>
    <t>Early Learning -&gt; EL Child -&gt; Health -&gt; Immunization
K12 -&gt; K12 Student -&gt; Health -&gt; Immunization (added)</t>
  </si>
  <si>
    <t>Early Learning -&gt; Program Compliance
K-12 -&gt; LEA-to-LEA Student Record Exchange
K-12 -&gt; LEA-to-SEA Student Record Exchange</t>
  </si>
  <si>
    <t>Early Learning -&gt; EL Family -&gt; Family/Household Information
Early Learning -&gt; Parent/Guardian
Early Learning -&gt; Parent/Guardian -&gt; Relationship</t>
  </si>
  <si>
    <t>Early Learning -&gt; EL Child -&gt; Individualized Program
K12 -&gt; K12 Student -&gt; Individualized Program</t>
  </si>
  <si>
    <t>Early Learning -&gt; EL Child -&gt; Individualized Program
Early Learning -&gt; EL Child -&gt; Services
K12 -&gt; K12 Student -&gt; Individualized Program</t>
  </si>
  <si>
    <t>Early Learning -&gt; EL Organization -&gt; Telephone
K12 -&gt; K12 School -&gt; Telephone
K12 -&gt; LEA -&gt; Telephone
K12 -&gt; Organization -&gt; Telephone (added)
Postsecondary -&gt; Organization -&gt; Telephone (added)</t>
  </si>
  <si>
    <t>Adult Education -&gt; AE Student -&gt; Program Participation
Postsecondary -&gt; PS Student -&gt; Term Enrollment</t>
  </si>
  <si>
    <t>Assessments -&gt; Assessment
Assessments -&gt; Assessment Asset
Early Learning -&gt; EL Child -&gt; Language
Early Learning -&gt; EL Staff -&gt; Language
K12 -&gt; K12 Student -&gt; Language</t>
  </si>
  <si>
    <t>Early Learning -&gt; Program Compliance
Early Learning -&gt; Program Entry
Early Learning -&gt; Staff Quality
Early Learning -&gt; Workforce Development
K-12 -&gt; EDFacts</t>
  </si>
  <si>
    <t>Early Learning -&gt; Staff Quality
K-12 -&gt; LEA-to-LEA Student Record Exchange
K-12 -&gt; LEA-to-SEA Student Record Exchange</t>
  </si>
  <si>
    <t>Early Learning -&gt; EL Class/Group (added)
Early Learning -&gt; EL Organization -&gt; Cultural and Linguistic Diversity</t>
  </si>
  <si>
    <t>Early Learning -&gt; EL Child -&gt; Language
Early Learning -&gt; EL Staff -&gt; Language
K12 -&gt; K12 Student -&gt; Language</t>
  </si>
  <si>
    <t>Adult Education -&gt; AE Staff -&gt; Contact -&gt; Address (added)
Adult Education -&gt; AE Student -&gt; Contact -&gt; Address (added)
Career and Technical -&gt; CTE Staff -&gt; Contact -&gt; Address (added)
Career and Technical -&gt; CTE Student -&gt; Contact -&gt; Address (added)
Early Learning -&gt; EL Child -&gt; Contact -&gt; Address (added)
Early Learning -&gt; EL Organization -&gt; Address (added)
Early Learning -&gt; EL Organization -&gt; Contact -&gt; Address (added)
Early Learning -&gt; EL Staff -&gt; Contact -&gt; Address (added)
Early Learning -&gt; Parent/Guardian -&gt; Contact -&gt; Address (added)
K12 -&gt; Facility (added)
K12 -&gt; K12 School -&gt; Address
K12 -&gt; K12 Staff -&gt; Contact -&gt; Address (added)
K12 -&gt; K12 Student -&gt; Contact -&gt; Address (added)
K12 -&gt; LEA -&gt; Address (added)
K12 -&gt; Organization -&gt; Address (added)
K12 -&gt; Organization -&gt; Contact -&gt; Address (added)
K12 -&gt; Parent/Guardian -&gt; Contact -&gt; Address (added)
K12 -&gt; Program -&gt; Address (added)
K12 -&gt; SEA -&gt; Address (added)
K12 -&gt; SEA -&gt; Contact -&gt; Address (added)
Postsecondary -&gt; Organization -&gt; Address (added)
Postsecondary -&gt; Organization -&gt; Contact -&gt; Address (added)
Postsecondary -&gt; Parent/Guardian -&gt; Contact -&gt; Address (added)
Postsecondary -&gt; PS Institution -&gt; Address
Postsecondary -&gt; PS Staff -&gt; Contact -&gt; Address (added)
Postsecondary -&gt; PS Student -&gt; Contact -&gt; Address (added)
Workforce -&gt; Workforce Program Participant -&gt; Contact -&gt; Address (added)</t>
  </si>
  <si>
    <t>Assessments -&gt; Learner Action
K12 -&gt; K12 Student -&gt; Learner Action</t>
  </si>
  <si>
    <t>Assessments -&gt; Learning Goal
Early Learning -&gt; EL Child -&gt; Individualized Program -&gt; Learning Goal
K12 -&gt; K12 Student -&gt; Individualized Program -&gt; Learning Goal
K12 -&gt; Learning Goal
Postsecondary -&gt; Learning Goal</t>
  </si>
  <si>
    <t>Assessments -&gt; Learning Goal
K12 -&gt; Learning Goal
Postsecondary -&gt; Learning Goal</t>
  </si>
  <si>
    <t>Assessments -&gt; Learning Goal
Early Learning -&gt; EL Child -&gt; Individualized Program -&gt; Learning Goal
K12 -&gt; K12 Student -&gt; Individualized Program -&gt; Learning Goal</t>
  </si>
  <si>
    <t>K12 -&gt; Learning Resource
Learning Resources -&gt; Learning Resource
Postsecondary -&gt; Learning Resource</t>
  </si>
  <si>
    <t>Assessments -&gt; Learning Standards -&gt; Learning Resource Competency Alignment
Learning Resources -&gt; Learning Resource</t>
  </si>
  <si>
    <t>K12 -&gt; Learning Resource
Learning Resources -&gt; Learning Resource</t>
  </si>
  <si>
    <t>K12 -&gt; Learning Resource
Learning Resources -&gt; Learning Resource -&gt; Peer Rating
Postsecondary -&gt; Learning Resource</t>
  </si>
  <si>
    <t>Assessments -&gt; Learning Standards -&gt; Learning Standard Document
Learning Standards -&gt; Learning Standard Document</t>
  </si>
  <si>
    <t>Assessments -&gt; Learning Standards -&gt; Learning Standard Item -&gt; Learning Standard Item Association
Learning Resources -&gt; Learning Resource
Learning Standards -&gt; Learning Standard Item -&gt; Learning Standard Item Association</t>
  </si>
  <si>
    <t>Assessments -&gt; Learning Standards -&gt; Learning Standard Item
Learning Standards -&gt; Learning Standard Item</t>
  </si>
  <si>
    <t>Adult Education -&gt; AE Provider
Postsecondary -&gt; PS Institution -&gt; Directory</t>
  </si>
  <si>
    <t>Early Learning -&gt; EL Child -&gt; Disability (added)
K12 -&gt; K12 Student -&gt; Limited English Proficiency</t>
  </si>
  <si>
    <t>Assessments -&gt; Assessment Administration
Assessments -&gt; Assessment Registration
Assessments -&gt; Assessment Session
K12 -&gt; K12 Staff -&gt; Assignment
K12 -&gt; K12 Student -&gt; Enrollment
K12 -&gt; LEA -&gt; Identification
Postsecondary -&gt; PS Student -&gt; K12 Transcript</t>
  </si>
  <si>
    <t>K-12 -&gt; High School Feedback Report
K-12 -&gt; High School Generated Transcript
K-12 -&gt; LEA-to-LEA Student Record Exchange
K-12 -&gt; LEA-to-SEA Student Record Exchange
Postsecondary Education -&gt; Transition</t>
  </si>
  <si>
    <t>Adult Education -&gt; Course Section -&gt; Enrollment -&gt; Student Course Section Mark (added)
Career and Technical -&gt; Course Section -&gt; Enrollment -&gt; Student Course Section Mark (added)
K12 -&gt; Course Section -&gt; Enrollment -&gt; Student Course Section Mark
Postsecondary -&gt; Course Section -&gt; Enrollment -&gt; Student Course Section Mark (added)</t>
  </si>
  <si>
    <t>Early Learning -&gt; EL Child -&gt; Health (added)
K12 -&gt; K12 Student -&gt; Health</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</si>
  <si>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(added)
Early Learning -&gt; EL Staff -&gt; Identity -&gt; Name
Early Learning -&gt; EL Staff -&gt; Professional Development -&gt; Instructor
Early Learning -&gt; Parent/Guardian -&gt; Identity -&gt; Name
K12 -&gt; K12 Staff -&gt; Identity -&gt; Name
K12 -&gt; K12 Staff -&gt; Professional Development -&gt; Instructor (added)
K12 -&gt; K12 Student -&gt; Identity -&gt; Name
K12 -&gt; Organization -&gt; Contact -&gt; Name
K12 -&gt; Parent/Guardian -&gt; Identity -&gt; Name
K12 -&gt; SEA -&gt; Contact -&gt; Name
Postsecondary -&gt; Organization -&gt; Contact -&gt; Name (added)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</si>
  <si>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Early Learning -&gt; EL Child -&gt; Demographic
K12 -&gt; K12 Student -&gt; Migrant</t>
  </si>
  <si>
    <t>Adult Education -&gt; AE Student -&gt; Demographic
Postsecondary -&gt; PS Student -&gt; Demographic
Workforce -&gt; Workforce Program Participant -&gt; Demographic</t>
  </si>
  <si>
    <t>Adult Education -&gt; AE Student -&gt; Demographic
K12 -&gt; K12 Student -&gt; Demographic
Postsecondary -&gt; PS Student -&gt; Demographic
Workforce -&gt; Workforce Program Participant -&gt; Demographic</t>
  </si>
  <si>
    <t>Adult Education -&gt; AE Provider
Adult Education -&gt; AE Staff -&gt; Education (added)
Early Learning -&gt; EL Staff -&gt; Education
K12 -&gt; K12 School -&gt; Identification
K12 -&gt; K12 Staff -&gt; Education (added)
Postsecondary -&gt; PS Institution -&gt; Directory
Postsecondary -&gt; PS Student -&gt; Institution Enrollment -&gt; Prior Academic Award
Postsecondary -&gt; PS Student -&gt; K12 Transcript</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</si>
  <si>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</si>
  <si>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K12 -&gt; Course Section -&gt; Enrollment
K12 -&gt; K12 Student -&gt; Academic Record</t>
  </si>
  <si>
    <t>Adult Education -&gt; AE Student -&gt; Academic Record
Adult Education -&gt; Course Section -&gt; Enrollment (added)
Career and Technical -&gt; Course Section -&gt; Enrollment (added)
Career and Technical -&gt; CTE Student -&gt; Academic Record
Early Learning -&gt; EL Staff -&gt; Professional Development
K12 -&gt; Course Section -&gt; Enrollment
K12 -&gt; K12 Student -&gt; Academic Record
Postsecondary -&gt; Course Section -&gt; Enrollment
Workforce -&gt; Workforce Program Participant -&gt; Academic Record</t>
  </si>
  <si>
    <t>K12 -&gt; Course Section -&gt; Enrollment
K12 -&gt; K12 Student -&gt; Attendance</t>
  </si>
  <si>
    <t>K-12 -&gt; High School Generated Transcript
K-12 -&gt; LEA-to-LEA Student Record Exchange
K-12 -&gt; LEA-to-SEA Student Record Exchange
K-12 -&gt; Teacher-Student Data Link -&gt; Enrollment</t>
  </si>
  <si>
    <t>Early Learning -&gt; EL Child -&gt; Enrollment
K12 -&gt; Course Section -&gt; Enrollment
K12 -&gt; K12 Student -&gt; Attendance</t>
  </si>
  <si>
    <t>Early Learning -&gt; Program Compliance
K-12 -&gt; High School Generated Transcript
K-12 -&gt; LEA-to-LEA Student Record Exchange
K-12 -&gt; LEA-to-SEA Student Record Exchange
K-12 -&gt; Teacher-Student Data Link -&gt; Enrollment</t>
  </si>
  <si>
    <t>Postsecondary -&gt; PS Institution -&gt; Directory
Postsecondary -&gt; PS Student -&gt; Institution Enrollment -&gt; Prior Academic Award</t>
  </si>
  <si>
    <t>Early Learning -&gt; EL Child -&gt; Enrollment (added)
Early Learning -&gt; EL Child -&gt; Program (added)
Early Learning -&gt; EL Organization -&gt; Identification (added)
K12 -&gt; Facility
K12 -&gt; K12 School -&gt; Directory -&gt; Charter School Authorizer (added)
K12 -&gt; K12 School -&gt; Directory -&gt; Charter School Management Organization (added)
K12 -&gt; K12 Student -&gt; Enrollment (added)
K12 -&gt; Organization -&gt; Identification (added)
K12 -&gt; Program
Postsecondary -&gt; Organization -&gt; Identification (added)</t>
  </si>
  <si>
    <t>Early Learning -&gt; EL Organization -&gt; Identification (added)
K12 -&gt; Facility
K12 -&gt; K12 School -&gt; Directory -&gt; Charter School Authorizer (added)
K12 -&gt; K12 School -&gt; Directory -&gt; Charter School Management Organization (added)
K12 -&gt; Organization -&gt; Identification (added)
K12 -&gt; Program
Postsecondary -&gt; Organization -&gt; Identification (added)</t>
  </si>
  <si>
    <t>Early Learning -&gt; EL Organization -&gt; Identification (added)
Early Learning -&gt; EL Staff -&gt; Employment
K12 -&gt; Facility
K12 -&gt; LEA -&gt; Identification
K12 -&gt; Organization -&gt; Identification (added)
K12 -&gt; Program
K12 -&gt; SEA -&gt; Identification
Postsecondary -&gt; Organization -&gt; Identification (added)</t>
  </si>
  <si>
    <t>Early Learning -&gt; EL Organization (added)
K12 -&gt; Organization
K12 -&gt; Program
Postsecondary -&gt; Organization (added)</t>
  </si>
  <si>
    <t>Early Learning -&gt; EL Organization -&gt; Identification (added)
K12 -&gt; K12 School -&gt; Identification
K12 -&gt; LEA -&gt; Identification
K12 -&gt; Organization -&gt; Identification (added)
K12 -&gt; SEA -&gt; Identification
Postsecondary -&gt; Organization -&gt; Identification (added)</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</si>
  <si>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(added)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(added)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</si>
  <si>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(added)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(added)
Postsecondary -&gt; Parent/Guardian -&gt; Identity -&gt; Other Name
Postsecondary -&gt; PS Staff -&gt; Identity -&gt; Other Name
Postsecondary -&gt; PS Student -&gt; Identity -&gt; Other Name
Workforce -&gt; Workforce Program Participant -&gt; Identity -&gt; Other Name</t>
  </si>
  <si>
    <t>Early Learning -&gt; Staff Quality
Postsecondary Education -&gt; Complete College America
Postsecondary Education -&gt; IPEDS</t>
  </si>
  <si>
    <t>Early Learning -&gt; EL Child -&gt; Enrollment
K12 -&gt; K12 Student -&gt; Economically Disadvantaged</t>
  </si>
  <si>
    <t>K12 -&gt; Learning Resource -&gt; Peer Rating
Learning Resources -&gt; Learning Resource -&gt; Peer Rating
Postsecondary -&gt; Learning Resource -&gt; Peer Rating</t>
  </si>
  <si>
    <t>K12 -&gt; Learning Resource -&gt; Peer Rating System
Learning Resources -&gt; Peer Rating System
Postsecondary -&gt; Learning Resource -&gt; Peer Rating System</t>
  </si>
  <si>
    <t>Assessments -&gt; Assessment Result -&gt; Scorer
Early Learning -&gt; Parent/Guardian -&gt; Identity -&gt; Identification (added)
K12 -&gt; Parent/Guardian -&gt; Identity -&gt; Identification (added)
K12 -&gt; Parent/Guardian -&gt; Relationship
Postsecondary -&gt; Parent/Guardian -&gt; Identity -&gt; Identification (added)
Postsecondary -&gt; Parent/Guardian -&gt; Relationship</t>
  </si>
  <si>
    <t>Early Learning -&gt; Parent/Guardian -&gt; Relationship
K12 -&gt; Parent/Guardian -&gt; Relationship
Postsecondary -&gt; Parent/Guardian -&gt; Relationship</t>
  </si>
  <si>
    <t>Adult Education -&gt; AE Staff -&gt; Identity -&gt; Identification
Adult Education -&gt; AE Student -&gt; Identity -&gt; Identification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</si>
  <si>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Adult Education -&gt; AE Staff -&gt; Identity -&gt; Name
Adult Education -&gt; AE Student -&gt; Identity -&gt; Name
Career and Technical -&gt; CTE Staff -&gt; Identity -&gt; Name
Career and Technical -&gt; CTE Student -&gt; Identity -&gt; Name
Early Learning -&gt; EL Organization -&gt; Contact -&gt; Name (added)
Early Learning -&gt; EL Staff -&gt; Identity -&gt; Name
Early Learning -&gt; EL Staff -&gt; Professional Development -&gt; Instructor
Early Learning -&gt; Parent/Guardian -&gt; Identity -&gt; Name
K12 -&gt; K12 Staff -&gt; Identity -&gt; Name
K12 -&gt; K12 Staff -&gt; Professional Development -&gt; Instructor (added)
K12 -&gt; K12 Student -&gt; Identity -&gt; Name
K12 -&gt; Organization -&gt; Contact -&gt; Name
K12 -&gt; Parent/Guardian -&gt; Identity -&gt; Name
K12 -&gt; SEA -&gt; Contact -&gt; Name
Postsecondary -&gt; Organization -&gt; Contact -&gt; Name (added)
Postsecondary -&gt; Parent/Guardian -&gt; Identity -&gt; Name
Postsecondary -&gt; PS Staff -&gt; Identity -&gt; Name
Postsecondary -&gt; PS Student -&gt; Identity -&gt; Name
Workforce -&gt; Workforce Program Participant -&gt; Identity -&gt; Name</t>
  </si>
  <si>
    <t>Early Learning -&gt; Staff Quality
K-12 -&gt; High School Generated Transcript
K-12 -&gt; LEA-to-LEA Student Record Exchange
K-12 -&gt; LEA-to-SEA Student Record Exchange</t>
  </si>
  <si>
    <t>Early Learning -&gt; EL Organization -&gt; Contact (added)
Early Learning -&gt; EL Staff -&gt; Professional Development -&gt; Instructor
K12 -&gt; K12 Staff -&gt; Employment
K12 -&gt; K12 Staff -&gt; Professional Development -&gt; Instructor (added)
K12 -&gt; Organization -&gt; Contact
K12 -&gt; SEA -&gt; Contact
Postsecondary -&gt; Organization -&gt; Contact (added)</t>
  </si>
  <si>
    <t>Persistence and Attainment of Nontraditional Students
Postsecondary Education -&gt; Student Achievement Measure</t>
  </si>
  <si>
    <t>Postsecondary Education -&gt; IPEDS
Postsecondary Education -&gt; Student Achievement Measure</t>
  </si>
  <si>
    <t>Postsecondary Education -&gt; IPEDS -&gt; Graduation Rate
Postsecondary Education -&gt; IPEDS -&gt; Student Financial Aid</t>
  </si>
  <si>
    <t>Early Learning -&gt; EL Organization -&gt; Contact (added)
Early Learning -&gt; Parent/Guardian -&gt; Relationship
K12 -&gt; Organization -&gt; Contact
K12 -&gt; Parent/Guardian -&gt; Relationship
K12 -&gt; SEA -&gt; Contact
Postsecondary -&gt; Organization -&gt; Contact (added)</t>
  </si>
  <si>
    <t>Early Learning -&gt; Program Compliance
Early Learning -&gt; Program Entry
K-12 -&gt; EDFacts
K-12 -&gt; LEA-to-LEA Student Record Exchange
K-12 -&gt; LEA-to-SEA Student Record Exchange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</si>
  <si>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Parent/Guardian -&gt; Contact -&gt; Telephone
K12 -&gt; K12 School -&gt; Telephone
K12 -&gt; K12 Staff -&gt; Contact -&gt; Telephone
K12 -&gt; K12 Staff -&gt; Professional Development -&gt; Instructor (added)
K12 -&gt; K12 Student -&gt; Contact -&gt; Telephone
K12 -&gt; LEA -&gt; Telephone
K12 -&gt; Organization -&gt; Contact -&gt; Telephone
K12 -&gt; Organization -&gt; Telephone (added)
K12 -&gt; Parent/Guardian -&gt; Contact -&gt; Telephone
K12 -&gt; SEA -&gt; Contact -&gt; Telephone
Postsecondary -&gt; Organization -&gt; Contact -&gt; Telephone (added)
Postsecondary -&gt; Organization -&gt; Telephone (added)
Postsecondary -&gt; Parent/Guardian -&gt; Contact -&gt; Telephone
Postsecondary -&gt; PS Student -&gt; Contact -&gt; Telephone
Workforce -&gt; Workforce Program Participant -&gt; Contact -&gt; Telephone</t>
  </si>
  <si>
    <t>Early Learning -&gt; EL Staff -&gt; Professional Development Activity
K12 -&gt; K12 Staff -&gt; Professional Development Activity</t>
  </si>
  <si>
    <t>Early Learning -&gt; EL Staff -&gt; Professional Development Activity -&gt; Session
K12 -&gt; K12 Staff -&gt; Professional Development Activity -&gt; Session</t>
  </si>
  <si>
    <t>Early Learning -&gt; EL Staff -&gt; Professional Development Activity -&gt; Session - Location
K12 -&gt; K12 Staff -&gt; Professional Development Activity -&gt; Session - Location</t>
  </si>
  <si>
    <t>Adult Education -&gt; AE Student -&gt; Academic Record -&gt; Academic Award (added)
Career and Technical -&gt; CTE Student -&gt; Academic Record -&gt; Academic Award (added)
K12 -&gt; K12 Student -&gt; Academic Record -&gt; Academic Award (added)
Postsecondary -&gt; PS Student -&gt; Academic Record -&gt; Academic Award
Postsecondary -&gt; PS Student -&gt; Institution Enrollment -&gt; Prior Academic Award
Workforce -&gt; Workforce Program Participant -&gt; Academic Record -&gt; Academic Award (added)
Workforce -&gt; Workforce Program Participant -&gt; Training Record</t>
  </si>
  <si>
    <t>Assessments -&gt; Assessment Item -&gt; Assessment Item Response
K12 -&gt; K12 Student -&gt; Academic Record</t>
  </si>
  <si>
    <t>Early Learning -&gt; Program Quality
School Readiness</t>
  </si>
  <si>
    <t>K12 -&gt; K12 School -&gt; Institution Characteristics
K12 -&gt; K12 Student -&gt; Enrollment
K12 -&gt; LEA -&gt; Programs and Services</t>
  </si>
  <si>
    <t>Adult Education -&gt; AE Student -&gt; Academic Record -&gt; Academic Award (added)
Career and Technical -&gt; CTE Student -&gt; Academic Record -&gt; Academic Award (added)
Early Learning -&gt; EL Child -&gt; Program (added)
K12 -&gt; K12 Student -&gt; Academic Record -&gt; Academic Award (added)
K12 -&gt; K12 Student -&gt; Program
K12 -&gt; Program
Postsecondary -&gt; PS Institution -&gt; Program
Postsecondary -&gt; PS Student -&gt; Academic Record -&gt; Academic Award
Postsecondary -&gt; PS Student -&gt; Institution Enrollment -&gt; Program
Workforce -&gt; Workforce Program Participant -&gt; Academic Record -&gt; Academic Award (added)</t>
  </si>
  <si>
    <t>Career and Technical -&gt; Program
Early Learning -&gt; EL Child -&gt; Program (added)
K12 -&gt; K12 Student -&gt; Program
K12 -&gt; Program
Postsecondary -&gt; PS Institution -&gt; Program
Postsecondary -&gt; PS Student -&gt; Institution Enrollment -&gt; Program</t>
  </si>
  <si>
    <t>Career and Technical -&gt; CTE Student -&gt; Program Participation
Early Learning -&gt; EL Child -&gt; Program (added)
K12 -&gt; K12 Student -&gt; CTE
K12 -&gt; K12 Student -&gt; IDEA
K12 -&gt; K12 Student -&gt; Limited English Proficiency
K12 -&gt; K12 Student -&gt; Migrant
K12 -&gt; K12 Student -&gt; Neglected or Delinquent
K12 -&gt; K12 Student -&gt; Program
K12 -&gt; K12 Student -&gt; Title I
Postsecondary -&gt; PS Student -&gt; Institution Enrollment -&gt; Program</t>
  </si>
  <si>
    <t>K-12 -&gt; EDFacts
Postsecondary Education -&gt; Student Achievement Measure</t>
  </si>
  <si>
    <t>K-12 -&gt; EDFacts
Postsecondary Education -&gt; Student Achievement Measure
School Readiness</t>
  </si>
  <si>
    <t>Early Learning -&gt; EL Child -&gt; Program (added)
K12 -&gt; K12 Student -&gt; Program
Postsecondary -&gt; PS Student -&gt; Institution Enrollment -&gt; Program</t>
  </si>
  <si>
    <t>Career and Technical -&gt; Program
K12 -&gt; K12 Staff -&gt; Credential or License
K12 -&gt; Program</t>
  </si>
  <si>
    <t>Career and Technical -&gt; Program
Early Learning -&gt; EL Child -&gt; Program (added)
K12 -&gt; K12 School -&gt; Directory
K12 -&gt; K12 Student -&gt; Program</t>
  </si>
  <si>
    <t>Adult Education -&gt; Course Section (added)
Career and Technical -&gt; Course Section
K12 -&gt; Course Section (added)
Postsecondary -&gt; PS Student -&gt; Graduate Student -&gt; Thesis/Dissertation Advisor</t>
  </si>
  <si>
    <t>Early Learning -&gt; EL Child -&gt; Enrollment (added)
Early Learning -&gt; EL Child -&gt; Program (added)
K12 -&gt; K12 Student -&gt; Enrollment (added)</t>
  </si>
  <si>
    <t>Assessments -&gt; Assessment Item -&gt; Rubric
Assessments -&gt; Rubric</t>
  </si>
  <si>
    <t>Career and Technical -&gt; Course
K12 -&gt; K12 Course
K12 -&gt; K12 Student -&gt; Graduation Plan -&gt; Course</t>
  </si>
  <si>
    <t>Career and Technical -&gt; Course
K12 -&gt; K12 Course
K12 -&gt; K12 Student -&gt; Graduation Plan -&gt; Course
K12 -&gt; K12 Student -&gt; Graduation Plan -&gt; Subject Area</t>
  </si>
  <si>
    <t>K12 -&gt; K12 Course
K12 -&gt; K12 Student -&gt; Graduation Plan -&gt; Course</t>
  </si>
  <si>
    <t>Assessments -&gt; Assessment Administration
Assessments -&gt; Assessment Registration
Assessments -&gt; Assessment Session
K12 -&gt; K12 School -&gt; Identification
K12 -&gt; K12 Staff -&gt; Assignment
K12 -&gt; K12 Student -&gt; Enrollment
Postsecondary -&gt; PS Student -&gt; K12 Transcript</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</si>
  <si>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</si>
  <si>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K12 -&gt; Calendar -&gt; Session
K12 -&gt; K12 School -&gt; Accountability
K12 -&gt; K12 School -&gt; Session
K12 -&gt; LEA -&gt; Accountability
K12 -&gt; SEA -&gt; Accountability</t>
  </si>
  <si>
    <t>Early Learning -&gt; EL Child -&gt; Services -&gt; Service Partners
Early Learning -&gt; EL Organization -&gt; Service Partners</t>
  </si>
  <si>
    <t>Adult Education -&gt; Course Section (added)
Career and Technical -&gt; Course Section (added)
K12 -&gt; Calendar -&gt; Session
K12 -&gt; Course Section (added)
K12 -&gt; K12 School -&gt; Session</t>
  </si>
  <si>
    <t>Adult Education -&gt; Course Section (added)
Career and Technical -&gt; Course Section
K12 -&gt; Calendar -&gt; Session
K12 -&gt; Course Section (added)
K12 -&gt; K12 School -&gt; Session (added)</t>
  </si>
  <si>
    <t>Adult Education -&gt; Course Section (added)
Career and Technical -&gt; Course Section
K12 -&gt; Course Section (added)
K12 -&gt; K12 School -&gt; Session (added)
Postsecondary -&gt; PS Institution -&gt; Directory</t>
  </si>
  <si>
    <t>Early Learning -&gt; EL Organization -&gt; Organization Information
K12 -&gt; Calendar -&gt; Session</t>
  </si>
  <si>
    <t>Adult Education -&gt; Course Section (added)
Career and Technical -&gt; Course Section
K12 -&gt; Course Section (added)
K12 -&gt; K12 School -&gt; Session (added)</t>
  </si>
  <si>
    <t>Adult Education -&gt; AE Student -&gt; Demographic
Career and Technical -&gt; CTE Student -&gt; Demographic
Early Learning -&gt; EL Child -&gt; Demographic
Early Learning -&gt; EL Staff -&gt; Demographic
Early Learning -&gt; Parent/Guardian -&gt; Demographic (added)
K12 -&gt; K12 Staff -&gt; Demographic
K12 -&gt; K12 Student -&gt; Demographic
K12 -&gt; Parent/Guardian -&gt; Demographic
Postsecondary -&gt; PS Staff -&gt; Demographic
Postsecondary -&gt; PS Student -&gt; Demographic
Workforce -&gt; Workforce Program Participant -&gt; Demographic</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</si>
  <si>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</si>
  <si>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Adult Education -&gt; AE Provider
Adult Education -&gt; AE Staff -&gt; Education (added)
Early Learning -&gt; EL Staff -&gt; Education
K12 -&gt; K12 School -&gt; Identification
K12 -&gt; K12 Staff -&gt; Education (added)
Postsecondary -&gt; PS Institution -&gt; Directory
Postsecondary -&gt; PS Student -&gt; K12 Transcript</t>
  </si>
  <si>
    <t>Adult Education -&gt; AE Student -&gt; Status
Career and Technical -&gt; CTE Student -&gt; Program Participation
K12 -&gt; K12 Student -&gt; CTE
Postsecondary -&gt; PS Student -&gt; Demographic</t>
  </si>
  <si>
    <t>Adult Education -&gt; AE Staff -&gt; Identity -&gt; Identification
Adult Education -&gt; AE Student -&gt; Identity -&gt; Identification
Adult Education -&gt; Course Section -&gt; Enrollment (added)
Career and Technical -&gt; Course Section -&gt; Enrollment (added)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Course Section -&gt; Enrollment
Postsecondary -&gt; Parent/Guardian -&gt; Identity -&gt; Identification
Postsecondary -&gt; PS Staff -&gt; Identity -&gt; Identification
Postsecondary -&gt; PS Student -&gt; Identity -&gt; Identification
Workforce -&gt; Quarterly Employment Record
Workforce -&gt; Workforce Program Participant -&gt; Identity -&gt; Identification</t>
  </si>
  <si>
    <t>Postsecondary Education -&gt; Complete College America
Postsecondary Education -&gt; IPEDS
Postsecondary Education -&gt; IPEDS -&gt; HR</t>
  </si>
  <si>
    <t>Early Learning -&gt; EL Child -&gt; Services
K12 -&gt; K12 Student -&gt; IDEA</t>
  </si>
  <si>
    <t>Early Learning -&gt; EL Staff -&gt; Employment
K12 -&gt; K12 Staff -&gt; Assignment</t>
  </si>
  <si>
    <t>K-12 -&gt; Civil Rights Data Collection
K-12 -&gt; Teacher Compensation Survey</t>
  </si>
  <si>
    <t>Adult Education -&gt; AE Staff -&gt; Identity -&gt; Identification
Adult Education -&gt; Course Section -&gt; Staff (added)
Career and Technical -&gt; Course Section -&gt; Staff (added)
Career and Technical -&gt; CTE Staff -&gt; Identity -&gt; Identification
Early Learning -&gt; EL Staff -&gt; Identity -&gt; Identification (added)
Early Learning -&gt; EL Staff -&gt; Professional Development -&gt; Instructor
K12 -&gt; Course Section -&gt; Staff
K12 -&gt; K12 Staff -&gt; Identity -&gt; Identification
K12 -&gt; K12 Staff -&gt; Professional Development -&gt; Instructor (added)
Postsecondary -&gt; Course Section -&gt; Staff
Postsecondary -&gt; PS Staff -&gt; Identity -&gt; Identification</t>
  </si>
  <si>
    <t>Early Learning -&gt; Staff Quality
K-12 -&gt; LEA-to-LEA Student Record Exchange
K-12 -&gt; LEA-to-SEA Student Record Exchange
K-12 -&gt; Teacher Compensation Survey
K-12 -&gt; Teacher-Student Data Link -&gt; Staff Assignment</t>
  </si>
  <si>
    <t>Early Learning -&gt; Staff Quality
K-12 -&gt; LEA-to-LEA Student Record Exchange
K-12 -&gt; LEA-to-SEA Student Record Exchange
K-12 -&gt; Teacher Compensation Survey
K-12 -&gt; Teacher-Student Data Link -&gt; Staff Assignment
Postsecondary Education -&gt; IPEDS -&gt; HR</t>
  </si>
  <si>
    <t>Early Learning -&gt; Parent/Guardian -&gt; Demographic (added)
K12 -&gt; Parent/Guardian -&gt; Demographic
Postsecondary -&gt; PS Staff -&gt; Employment</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</si>
  <si>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</si>
  <si>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Assessments -&gt; Assessment Registration
K12 -&gt; SEA -&gt; Identification</t>
  </si>
  <si>
    <t>Early Learning -&gt; EL Organization -&gt; Identification (added)
K12 -&gt; LEA -&gt; Address (added)
K12 -&gt; SEA -&gt; Address</t>
  </si>
  <si>
    <t>Early Learning -&gt; Staff Quality
K-12 -&gt; EDFacts
K-12 -&gt; Teacher Compensation Survey</t>
  </si>
  <si>
    <t>K-12 -&gt; Consolidated State Performance Report
K-12 -&gt; EDFacts</t>
  </si>
  <si>
    <t>K12 -&gt; K12 Student -&gt; Economically Disadvantaged
K12 -&gt; K12 Student -&gt; Homeless
K12 -&gt; K12 Student -&gt; Immigrant</t>
  </si>
  <si>
    <t>Adult Education -&gt; Course Section -&gt; Enrollment (added)
Adult Education -&gt; Course Section -&gt; Enrollment -&gt; Student Course Section Mark (added)
Career and Technical -&gt; Course Section -&gt; Enrollment (added)
Career and Technical -&gt; Course Section -&gt; Enrollment -&gt; Student Course Section Mark (added)
K12 -&gt; Course Section -&gt; Enrollment
K12 -&gt; Course Section -&gt; Enrollment -&gt; Student Course Section Mark
K12 -&gt; K12 Student -&gt; Academic Record
Postsecondary -&gt; Course Section -&gt; Enrollment
Postsecondary -&gt; Course Section -&gt; Enrollment -&gt; Student Course Section Mark (added)</t>
  </si>
  <si>
    <t>Adult Education -&gt; Course Section -&gt; Enrollment (added)
Career and Technical -&gt; Course Section -&gt; Enrollment (added)
K12 -&gt; Course Section -&gt; Enrollment
K12 -&gt; K12 Student -&gt; Academic Record
Postsecondary -&gt; Course Section -&gt; Enrollment</t>
  </si>
  <si>
    <t>Adult Education -&gt; AE Student -&gt; Identity -&gt; Identification
Adult Education -&gt; Course Section -&gt; Enrollment (added)
Career and Technical -&gt; Course Section -&gt; Enrollment (added)
Career and Technical -&gt; CTE Student -&gt; Identity -&gt; Identification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</si>
  <si>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K-12 -&gt; High School Generated Transcript
K-12 -&gt; LEA-to-LEA Student Record Exchange
K-12 -&gt; LEA-to-SEA Student Record Exchange
K-12 -&gt; Teacher-Student Data Link -&gt; Enrollment
Postsecondary Education -&gt; Transition</t>
  </si>
  <si>
    <t>K12 -&gt; K12 School -&gt; Institution Characteristics
K12 -&gt; K12 Student -&gt; Individualized Program</t>
  </si>
  <si>
    <t>Adult Education -&gt; Course Section -&gt; Staff (added)
Career and Technical -&gt; Course Section -&gt; Staff (added)
K12 -&gt; Course Section -&gt; Staff</t>
  </si>
  <si>
    <t>Career and Technical -&gt; CTE Staff -&gt; Credential or License
K12 -&gt; K12 Staff -&gt; Credential or License
Postsecondary -&gt; PS Student -&gt; Teacher Education/Preparation</t>
  </si>
  <si>
    <t>K12 -&gt; K12 Staff -&gt; Credential or License
Postsecondary -&gt; PS Student -&gt; Teacher Education/Preparation</t>
  </si>
  <si>
    <t>Early Learning -&gt; EL Organization -&gt; Professional Development
K12 -&gt; K12 School -&gt; Technical Assistance
K12 -&gt; K12 Staff -&gt; Technical Assistance
K12 -&gt; LEA -&gt; Technical Assistance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</si>
  <si>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EL Staff -&gt; Professional Development Activity -&gt; Session - Location
Early Learning -&gt; Parent/Guardian -&gt; Contact -&gt; Telephone
K12 -&gt; K12 School -&gt; Telephone
K12 -&gt; K12 Staff -&gt; Contact -&gt; Telephone
K12 -&gt; K12 Staff -&gt; Professional Development -&gt; Instructor (added)
K12 -&gt; K12 Staff -&gt; Professional Development Activity -&gt; Session - Location
K12 -&gt; K12 Student -&gt; Contact -&gt; Telephone
K12 -&gt; LEA -&gt; Telephone
K12 -&gt; Organization -&gt; Contact -&gt; Telephone
K12 -&gt; Organization -&gt; Telephone (added)
K12 -&gt; Parent/Guardian -&gt; Contact -&gt; Telephone
K12 -&gt; SEA -&gt; Contact -&gt; Telephone
Postsecondary -&gt; Organization -&gt; Contact -&gt; Telephone (added)
Postsecondary -&gt; Organization -&gt; Telephone (added)
Postsecondary -&gt; Parent/Guardian -&gt; Contact -&gt; Telephone
Postsecondary -&gt; PS Student -&gt; Contact -&gt; Telephone
Workforce -&gt; Workforce Program Participant -&gt; Contact -&gt; Telephone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</si>
  <si>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(added)
Early Learning -&gt; EL Staff -&gt; Contact -&gt; Telephone
Early Learning -&gt; EL Staff -&gt; Professional Development -&gt; Instructor
Early Learning -&gt; Parent/Guardian -&gt; Contact -&gt; Telephone
K12 -&gt; K12 Staff -&gt; Contact -&gt; Telephone
K12 -&gt; K12 Staff -&gt; Professional Development -&gt; Instructor (added)
K12 -&gt; K12 Student -&gt; Contact -&gt; Telephone
K12 -&gt; Organization -&gt; Contact -&gt; Telephone
K12 -&gt; Parent/Guardian -&gt; Contact -&gt; Telephone
K12 -&gt; SEA -&gt; Contact -&gt; Telephone
Postsecondary -&gt; Organization -&gt; Contact -&gt; Telephone (added)
Postsecondary -&gt; Parent/Guardian -&gt; Contact -&gt; Telephone
Postsecondary -&gt; PS Student -&gt; Contact -&gt; Telephone
Workforce -&gt; Workforce Program Participant -&gt; Contact -&gt; Telephone</t>
  </si>
  <si>
    <t>K12 -&gt; K12 School -&gt; Institution Characteristics
K12 -&gt; LEA -&gt; Programs and Services</t>
  </si>
  <si>
    <t>Adult Education -&gt; Course Section (added)
Career and Technical -&gt; Course Section (added)
Early Learning -&gt; EL Staff -&gt; Professional Development
K12 -&gt; Course Section (added)
K12 -&gt; K12 Course
K12 -&gt; K12 Staff -&gt; Professional Development</t>
  </si>
  <si>
    <t>Postsecondary -&gt; PS Staff -&gt; Demographic
Postsecondary -&gt; PS Student -&gt; Demographic</t>
  </si>
  <si>
    <t>Postsecondary Education -&gt; IPEDS
Postsecondary Education -&gt; IPEDS -&gt; HR</t>
  </si>
  <si>
    <t>Adult Education -&gt; Course Section (added)
Career and Technical -&gt; Course Section
K12 -&gt; Course Section (added)
K12 -&gt; K12 School -&gt; Directory
Postsecondary -&gt; PS Institution -&gt; Directory</t>
  </si>
  <si>
    <t>Early Learning -&gt; EL Child -&gt; Health -&gt; Vision
K12 -&gt; K12 Student -&gt; Health -&gt; Vision (added)</t>
  </si>
  <si>
    <t>Early Learning -&gt; EL Organization -&gt; Contact
K12 -&gt; K12 School -&gt; Directory
K12 -&gt; LEA -&gt; Directory
K12 -&gt; Organization -&gt; Contact
K12 -&gt; SEA -&gt; Contact
Postsecondary -&gt; Organization -&gt; Contact (added)
Postsecondary -&gt; PS Institution -&gt; Directory</t>
  </si>
  <si>
    <t>Adult Education -&gt; Course Section (added)
Career and Technical -&gt; Course Section (added)
Career and Technical -&gt; CTE Student -&gt; Program Participation
K12 -&gt; K12 Course
K12 -&gt; K12 Student -&gt; Program
Postsecondary -&gt; Course Section
Postsecondary -&gt; PS Student -&gt; Program Participation</t>
  </si>
  <si>
    <t>Element Name</t>
  </si>
  <si>
    <t>Definition</t>
  </si>
  <si>
    <t>Option Set</t>
  </si>
  <si>
    <t>Domain -&gt; Entity -&gt; Category</t>
  </si>
  <si>
    <t>Status</t>
  </si>
  <si>
    <t>Format</t>
  </si>
  <si>
    <t>Change Notes</t>
  </si>
  <si>
    <t>Usage Notes</t>
  </si>
  <si>
    <t>Global ID</t>
  </si>
  <si>
    <t>Alternate Name</t>
  </si>
  <si>
    <t>Technical Name</t>
  </si>
  <si>
    <t>Use Case/Connection</t>
  </si>
  <si>
    <t>URL</t>
  </si>
  <si>
    <t>Submit a Comment</t>
  </si>
  <si>
    <r>
      <t>13297</t>
    </r>
    <r>
      <rPr>
        <sz val="11"/>
        <color theme="1"/>
        <rFont val="Calibri"/>
        <family val="2"/>
        <scheme val="minor"/>
      </rPr>
      <t xml:space="preserve"> - Absent - Disciplinary action, not receiving instruction
</t>
    </r>
    <r>
      <rPr>
        <b/>
        <sz val="11"/>
        <color theme="1"/>
        <rFont val="Calibri"/>
        <family val="2"/>
        <scheme val="minor"/>
      </rPr>
      <t>13299</t>
    </r>
    <r>
      <rPr>
        <sz val="11"/>
        <color theme="1"/>
        <rFont val="Calibri"/>
        <family val="2"/>
        <scheme val="minor"/>
      </rPr>
      <t xml:space="preserve"> - Absent - Family activity
</t>
    </r>
    <r>
      <rPr>
        <b/>
        <sz val="11"/>
        <color theme="1"/>
        <rFont val="Calibri"/>
        <family val="2"/>
        <scheme val="minor"/>
      </rPr>
      <t>13296</t>
    </r>
    <r>
      <rPr>
        <sz val="11"/>
        <color theme="1"/>
        <rFont val="Calibri"/>
        <family val="2"/>
        <scheme val="minor"/>
      </rPr>
      <t xml:space="preserve"> - Absent - Family emergency or bereavement
</t>
    </r>
    <r>
      <rPr>
        <b/>
        <sz val="11"/>
        <color theme="1"/>
        <rFont val="Calibri"/>
        <family val="2"/>
        <scheme val="minor"/>
      </rPr>
      <t>13295</t>
    </r>
    <r>
      <rPr>
        <sz val="11"/>
        <color theme="1"/>
        <rFont val="Calibri"/>
        <family val="2"/>
        <scheme val="minor"/>
      </rPr>
      <t xml:space="preserve"> - Absent - Illness, injury, health treatment, or examination
</t>
    </r>
    <r>
      <rPr>
        <b/>
        <sz val="11"/>
        <color theme="1"/>
        <rFont val="Calibri"/>
        <family val="2"/>
        <scheme val="minor"/>
      </rPr>
      <t>13298</t>
    </r>
    <r>
      <rPr>
        <sz val="11"/>
        <color theme="1"/>
        <rFont val="Calibri"/>
        <family val="2"/>
        <scheme val="minor"/>
      </rPr>
      <t xml:space="preserve"> - Absent - Legal or judicial requirement
</t>
    </r>
    <r>
      <rPr>
        <b/>
        <sz val="11"/>
        <color theme="1"/>
        <rFont val="Calibri"/>
        <family val="2"/>
        <scheme val="minor"/>
      </rPr>
      <t>13293</t>
    </r>
    <r>
      <rPr>
        <sz val="11"/>
        <color theme="1"/>
        <rFont val="Calibri"/>
        <family val="2"/>
        <scheme val="minor"/>
      </rPr>
      <t xml:space="preserve"> - Absent - Noninstructional activity recognized by state or school
</t>
    </r>
    <r>
      <rPr>
        <b/>
        <sz val="11"/>
        <color theme="1"/>
        <rFont val="Calibri"/>
        <family val="2"/>
        <scheme val="minor"/>
      </rPr>
      <t>13294</t>
    </r>
    <r>
      <rPr>
        <sz val="11"/>
        <color theme="1"/>
        <rFont val="Calibri"/>
        <family val="2"/>
        <scheme val="minor"/>
      </rPr>
      <t xml:space="preserve"> - Absent - Religious observation
</t>
    </r>
    <r>
      <rPr>
        <b/>
        <sz val="11"/>
        <color theme="1"/>
        <rFont val="Calibri"/>
        <family val="2"/>
        <scheme val="minor"/>
      </rPr>
      <t>13303</t>
    </r>
    <r>
      <rPr>
        <sz val="11"/>
        <color theme="1"/>
        <rFont val="Calibri"/>
        <family val="2"/>
        <scheme val="minor"/>
      </rPr>
      <t xml:space="preserve"> - Absent - Situation unknown
</t>
    </r>
    <r>
      <rPr>
        <b/>
        <sz val="11"/>
        <color theme="1"/>
        <rFont val="Calibri"/>
        <family val="2"/>
        <scheme val="minor"/>
      </rPr>
      <t>13300</t>
    </r>
    <r>
      <rPr>
        <sz val="11"/>
        <color theme="1"/>
        <rFont val="Calibri"/>
        <family val="2"/>
        <scheme val="minor"/>
      </rPr>
      <t xml:space="preserve"> - Absent - Student employment
</t>
    </r>
    <r>
      <rPr>
        <b/>
        <sz val="11"/>
        <color theme="1"/>
        <rFont val="Calibri"/>
        <family val="2"/>
        <scheme val="minor"/>
      </rPr>
      <t>13302</t>
    </r>
    <r>
      <rPr>
        <sz val="11"/>
        <color theme="1"/>
        <rFont val="Calibri"/>
        <family val="2"/>
        <scheme val="minor"/>
      </rPr>
      <t xml:space="preserve"> - Absent - Student is skipping school
</t>
    </r>
    <r>
      <rPr>
        <b/>
        <sz val="11"/>
        <color theme="1"/>
        <rFont val="Calibri"/>
        <family val="2"/>
        <scheme val="minor"/>
      </rPr>
      <t>13301</t>
    </r>
    <r>
      <rPr>
        <sz val="11"/>
        <color theme="1"/>
        <rFont val="Calibri"/>
        <family val="2"/>
        <scheme val="minor"/>
      </rPr>
      <t xml:space="preserve"> - Absent - Transportation not available
</t>
    </r>
  </si>
  <si>
    <r>
      <t>01</t>
    </r>
    <r>
      <rPr>
        <sz val="11"/>
        <color theme="1"/>
        <rFont val="Calibri"/>
        <family val="2"/>
        <scheme val="minor"/>
      </rPr>
      <t xml:space="preserve"> - Postsecondary award, certificate, or diploma of less than 1 academic year
</t>
    </r>
    <r>
      <rPr>
        <b/>
        <sz val="11"/>
        <color theme="1"/>
        <rFont val="Calibri"/>
        <family val="2"/>
        <scheme val="minor"/>
      </rPr>
      <t>02</t>
    </r>
    <r>
      <rPr>
        <sz val="11"/>
        <color theme="1"/>
        <rFont val="Calibri"/>
        <family val="2"/>
        <scheme val="minor"/>
      </rPr>
      <t xml:space="preserve"> - Postsecondary award, certificate, or diploma of at least 1 but less than 2 academic years
</t>
    </r>
    <r>
      <rPr>
        <b/>
        <sz val="11"/>
        <color theme="1"/>
        <rFont val="Calibri"/>
        <family val="2"/>
        <scheme val="minor"/>
      </rPr>
      <t>03</t>
    </r>
    <r>
      <rPr>
        <sz val="11"/>
        <color theme="1"/>
        <rFont val="Calibri"/>
        <family val="2"/>
        <scheme val="minor"/>
      </rPr>
      <t xml:space="preserve"> - Associate's Degree
</t>
    </r>
    <r>
      <rPr>
        <b/>
        <sz val="11"/>
        <color theme="1"/>
        <rFont val="Calibri"/>
        <family val="2"/>
        <scheme val="minor"/>
      </rPr>
      <t>04</t>
    </r>
    <r>
      <rPr>
        <sz val="11"/>
        <color theme="1"/>
        <rFont val="Calibri"/>
        <family val="2"/>
        <scheme val="minor"/>
      </rPr>
      <t xml:space="preserve"> - Postsecondary award, certificate, or diploma of at least 2 but less than 4 academic years
</t>
    </r>
    <r>
      <rPr>
        <b/>
        <sz val="11"/>
        <color theme="1"/>
        <rFont val="Calibri"/>
        <family val="2"/>
        <scheme val="minor"/>
      </rPr>
      <t>05</t>
    </r>
    <r>
      <rPr>
        <sz val="11"/>
        <color theme="1"/>
        <rFont val="Calibri"/>
        <family val="2"/>
        <scheme val="minor"/>
      </rPr>
      <t xml:space="preserve"> - Bachelor's Degree
</t>
    </r>
    <r>
      <rPr>
        <b/>
        <sz val="11"/>
        <color theme="1"/>
        <rFont val="Calibri"/>
        <family val="2"/>
        <scheme val="minor"/>
      </rPr>
      <t>06</t>
    </r>
    <r>
      <rPr>
        <sz val="11"/>
        <color theme="1"/>
        <rFont val="Calibri"/>
        <family val="2"/>
        <scheme val="minor"/>
      </rPr>
      <t xml:space="preserve"> - Postbaccalaureate Certificate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Post-Master's Certificate
</t>
    </r>
    <r>
      <rPr>
        <b/>
        <sz val="11"/>
        <color theme="1"/>
        <rFont val="Calibri"/>
        <family val="2"/>
        <scheme val="minor"/>
      </rPr>
      <t>17</t>
    </r>
    <r>
      <rPr>
        <sz val="11"/>
        <color theme="1"/>
        <rFont val="Calibri"/>
        <family val="2"/>
        <scheme val="minor"/>
      </rPr>
      <t xml:space="preserve"> - Doctor's Degree-Research/Scholarship
</t>
    </r>
    <r>
      <rPr>
        <b/>
        <sz val="11"/>
        <color theme="1"/>
        <rFont val="Calibri"/>
        <family val="2"/>
        <scheme val="minor"/>
      </rPr>
      <t>18</t>
    </r>
    <r>
      <rPr>
        <sz val="11"/>
        <color theme="1"/>
        <rFont val="Calibri"/>
        <family val="2"/>
        <scheme val="minor"/>
      </rPr>
      <t xml:space="preserve"> - Doctor's Degree-Professional Practice
</t>
    </r>
    <r>
      <rPr>
        <b/>
        <sz val="11"/>
        <color theme="1"/>
        <rFont val="Calibri"/>
        <family val="2"/>
        <scheme val="minor"/>
      </rPr>
      <t>19</t>
    </r>
    <r>
      <rPr>
        <sz val="11"/>
        <color theme="1"/>
        <rFont val="Calibri"/>
        <family val="2"/>
        <scheme val="minor"/>
      </rPr>
      <t xml:space="preserve"> - Doctor's Degree-Other
</t>
    </r>
  </si>
  <si>
    <r>
      <t>01985</t>
    </r>
    <r>
      <rPr>
        <sz val="11"/>
        <color theme="1"/>
        <rFont val="Calibri"/>
        <family val="2"/>
        <scheme val="minor"/>
      </rPr>
      <t xml:space="preserve"> - Honor roll
</t>
    </r>
    <r>
      <rPr>
        <b/>
        <sz val="11"/>
        <color theme="1"/>
        <rFont val="Calibri"/>
        <family val="2"/>
        <scheme val="minor"/>
      </rPr>
      <t>01986</t>
    </r>
    <r>
      <rPr>
        <sz val="11"/>
        <color theme="1"/>
        <rFont val="Calibri"/>
        <family val="2"/>
        <scheme val="minor"/>
      </rPr>
      <t xml:space="preserve"> - Honor society
</t>
    </r>
    <r>
      <rPr>
        <b/>
        <sz val="11"/>
        <color theme="1"/>
        <rFont val="Calibri"/>
        <family val="2"/>
        <scheme val="minor"/>
      </rPr>
      <t>01987</t>
    </r>
    <r>
      <rPr>
        <sz val="11"/>
        <color theme="1"/>
        <rFont val="Calibri"/>
        <family val="2"/>
        <scheme val="minor"/>
      </rPr>
      <t xml:space="preserve"> - Honorable mention
</t>
    </r>
    <r>
      <rPr>
        <b/>
        <sz val="11"/>
        <color theme="1"/>
        <rFont val="Calibri"/>
        <family val="2"/>
        <scheme val="minor"/>
      </rPr>
      <t>01988</t>
    </r>
    <r>
      <rPr>
        <sz val="11"/>
        <color theme="1"/>
        <rFont val="Calibri"/>
        <family val="2"/>
        <scheme val="minor"/>
      </rPr>
      <t xml:space="preserve"> - Honors program
</t>
    </r>
    <r>
      <rPr>
        <b/>
        <sz val="11"/>
        <color theme="1"/>
        <rFont val="Calibri"/>
        <family val="2"/>
        <scheme val="minor"/>
      </rPr>
      <t>73064</t>
    </r>
    <r>
      <rPr>
        <sz val="11"/>
        <color theme="1"/>
        <rFont val="Calibri"/>
        <family val="2"/>
        <scheme val="minor"/>
      </rPr>
      <t xml:space="preserve"> - National Technical Education Honor Society
</t>
    </r>
    <r>
      <rPr>
        <b/>
        <sz val="11"/>
        <color theme="1"/>
        <rFont val="Calibri"/>
        <family val="2"/>
        <scheme val="minor"/>
      </rPr>
      <t>01989</t>
    </r>
    <r>
      <rPr>
        <sz val="11"/>
        <color theme="1"/>
        <rFont val="Calibri"/>
        <family val="2"/>
        <scheme val="minor"/>
      </rPr>
      <t xml:space="preserve"> - Prize awards
</t>
    </r>
    <r>
      <rPr>
        <b/>
        <sz val="11"/>
        <color theme="1"/>
        <rFont val="Calibri"/>
        <family val="2"/>
        <scheme val="minor"/>
      </rPr>
      <t>01991</t>
    </r>
    <r>
      <rPr>
        <sz val="11"/>
        <color theme="1"/>
        <rFont val="Calibri"/>
        <family val="2"/>
        <scheme val="minor"/>
      </rPr>
      <t xml:space="preserve"> - Scholarships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08692</t>
    </r>
    <r>
      <rPr>
        <sz val="11"/>
        <color theme="1"/>
        <rFont val="Calibri"/>
        <family val="2"/>
        <scheme val="minor"/>
      </rPr>
      <t xml:space="preserve"> - Attendance award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02047</t>
    </r>
    <r>
      <rPr>
        <sz val="11"/>
        <color theme="1"/>
        <rFont val="Calibri"/>
        <family val="2"/>
        <scheme val="minor"/>
      </rPr>
      <t xml:space="preserve"> - Honor award
</t>
    </r>
    <r>
      <rPr>
        <b/>
        <sz val="11"/>
        <color theme="1"/>
        <rFont val="Calibri"/>
        <family val="2"/>
        <scheme val="minor"/>
      </rPr>
      <t>00744</t>
    </r>
    <r>
      <rPr>
        <sz val="11"/>
        <color theme="1"/>
        <rFont val="Calibri"/>
        <family val="2"/>
        <scheme val="minor"/>
      </rPr>
      <t xml:space="preserve"> - Letter of student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08693</t>
    </r>
    <r>
      <rPr>
        <sz val="11"/>
        <color theme="1"/>
        <rFont val="Calibri"/>
        <family val="2"/>
        <scheme val="minor"/>
      </rPr>
      <t xml:space="preserve"> - National Merit scholar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</si>
  <si>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Professor</t>
    </r>
    <r>
      <rPr>
        <sz val="11"/>
        <color theme="1"/>
        <rFont val="Calibri"/>
        <family val="2"/>
        <scheme val="minor"/>
      </rPr>
      <t xml:space="preserve"> - Professor
</t>
    </r>
    <r>
      <rPr>
        <b/>
        <sz val="11"/>
        <color theme="1"/>
        <rFont val="Calibri"/>
        <family val="2"/>
        <scheme val="minor"/>
      </rPr>
      <t>AssociateProfessor</t>
    </r>
    <r>
      <rPr>
        <sz val="11"/>
        <color theme="1"/>
        <rFont val="Calibri"/>
        <family val="2"/>
        <scheme val="minor"/>
      </rPr>
      <t xml:space="preserve"> - Associate Professor
</t>
    </r>
    <r>
      <rPr>
        <b/>
        <sz val="11"/>
        <color theme="1"/>
        <rFont val="Calibri"/>
        <family val="2"/>
        <scheme val="minor"/>
      </rPr>
      <t>AssistantProfessor</t>
    </r>
    <r>
      <rPr>
        <sz val="11"/>
        <color theme="1"/>
        <rFont val="Calibri"/>
        <family val="2"/>
        <scheme val="minor"/>
      </rPr>
      <t xml:space="preserve"> - Assistant Professor
</t>
    </r>
    <r>
      <rPr>
        <b/>
        <sz val="11"/>
        <color theme="1"/>
        <rFont val="Calibri"/>
        <family val="2"/>
        <scheme val="minor"/>
      </rPr>
      <t>Instructor</t>
    </r>
    <r>
      <rPr>
        <sz val="11"/>
        <color theme="1"/>
        <rFont val="Calibri"/>
        <family val="2"/>
        <scheme val="minor"/>
      </rPr>
      <t xml:space="preserve"> - Instructor
</t>
    </r>
    <r>
      <rPr>
        <b/>
        <sz val="11"/>
        <color theme="1"/>
        <rFont val="Calibri"/>
        <family val="2"/>
        <scheme val="minor"/>
      </rPr>
      <t>Lecturer</t>
    </r>
    <r>
      <rPr>
        <sz val="11"/>
        <color theme="1"/>
        <rFont val="Calibri"/>
        <family val="2"/>
        <scheme val="minor"/>
      </rPr>
      <t xml:space="preserve"> - Lecturer
</t>
    </r>
    <r>
      <rPr>
        <b/>
        <sz val="11"/>
        <color theme="1"/>
        <rFont val="Calibri"/>
        <family val="2"/>
        <scheme val="minor"/>
      </rPr>
      <t>NoAcademicRank</t>
    </r>
    <r>
      <rPr>
        <sz val="11"/>
        <color theme="1"/>
        <rFont val="Calibri"/>
        <family val="2"/>
        <scheme val="minor"/>
      </rPr>
      <t xml:space="preserve"> - No Academic Rank
</t>
    </r>
  </si>
  <si>
    <r>
      <t>Fall</t>
    </r>
    <r>
      <rPr>
        <sz val="11"/>
        <color theme="1"/>
        <rFont val="Calibri"/>
        <family val="2"/>
        <scheme val="minor"/>
      </rPr>
      <t xml:space="preserve"> - Fall
</t>
    </r>
    <r>
      <rPr>
        <b/>
        <sz val="11"/>
        <color theme="1"/>
        <rFont val="Calibri"/>
        <family val="2"/>
        <scheme val="minor"/>
      </rPr>
      <t>Winter</t>
    </r>
    <r>
      <rPr>
        <sz val="11"/>
        <color theme="1"/>
        <rFont val="Calibri"/>
        <family val="2"/>
        <scheme val="minor"/>
      </rPr>
      <t xml:space="preserve"> - Winter
</t>
    </r>
    <r>
      <rPr>
        <b/>
        <sz val="11"/>
        <color theme="1"/>
        <rFont val="Calibri"/>
        <family val="2"/>
        <scheme val="minor"/>
      </rPr>
      <t>WinterIntersession</t>
    </r>
    <r>
      <rPr>
        <sz val="11"/>
        <color theme="1"/>
        <rFont val="Calibri"/>
        <family val="2"/>
        <scheme val="minor"/>
      </rPr>
      <t xml:space="preserve"> - Winter Intersession
</t>
    </r>
    <r>
      <rPr>
        <b/>
        <sz val="11"/>
        <color theme="1"/>
        <rFont val="Calibri"/>
        <family val="2"/>
        <scheme val="minor"/>
      </rPr>
      <t>Spring</t>
    </r>
    <r>
      <rPr>
        <sz val="11"/>
        <color theme="1"/>
        <rFont val="Calibri"/>
        <family val="2"/>
        <scheme val="minor"/>
      </rPr>
      <t xml:space="preserve"> - Spring
</t>
    </r>
    <r>
      <rPr>
        <b/>
        <sz val="11"/>
        <color theme="1"/>
        <rFont val="Calibri"/>
        <family val="2"/>
        <scheme val="minor"/>
      </rPr>
      <t>Summer</t>
    </r>
    <r>
      <rPr>
        <sz val="11"/>
        <color theme="1"/>
        <rFont val="Calibri"/>
        <family val="2"/>
        <scheme val="minor"/>
      </rPr>
      <t xml:space="preserve"> - Summer
</t>
    </r>
    <r>
      <rPr>
        <b/>
        <sz val="11"/>
        <color theme="1"/>
        <rFont val="Calibri"/>
        <family val="2"/>
        <scheme val="minor"/>
      </rPr>
      <t>Summer1</t>
    </r>
    <r>
      <rPr>
        <sz val="11"/>
        <color theme="1"/>
        <rFont val="Calibri"/>
        <family val="2"/>
        <scheme val="minor"/>
      </rPr>
      <t xml:space="preserve"> - Summer 1
</t>
    </r>
    <r>
      <rPr>
        <b/>
        <sz val="11"/>
        <color theme="1"/>
        <rFont val="Calibri"/>
        <family val="2"/>
        <scheme val="minor"/>
      </rPr>
      <t>Summer2</t>
    </r>
    <r>
      <rPr>
        <sz val="11"/>
        <color theme="1"/>
        <rFont val="Calibri"/>
        <family val="2"/>
        <scheme val="minor"/>
      </rPr>
      <t xml:space="preserve"> - Summer 2
</t>
    </r>
    <r>
      <rPr>
        <b/>
        <sz val="11"/>
        <color theme="1"/>
        <rFont val="Calibri"/>
        <family val="2"/>
        <scheme val="minor"/>
      </rPr>
      <t>SpringIntersession</t>
    </r>
    <r>
      <rPr>
        <sz val="11"/>
        <color theme="1"/>
        <rFont val="Calibri"/>
        <family val="2"/>
        <scheme val="minor"/>
      </rPr>
      <t xml:space="preserve"> - Spring Intersession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</si>
  <si>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Materials in Braille
</t>
    </r>
    <r>
      <rPr>
        <b/>
        <sz val="11"/>
        <color theme="1"/>
        <rFont val="Calibri"/>
        <family val="2"/>
        <scheme val="minor"/>
      </rPr>
      <t>02</t>
    </r>
    <r>
      <rPr>
        <sz val="11"/>
        <color theme="1"/>
        <rFont val="Calibri"/>
        <family val="2"/>
        <scheme val="minor"/>
      </rPr>
      <t xml:space="preserve"> - Closed caption decoder
</t>
    </r>
    <r>
      <rPr>
        <b/>
        <sz val="11"/>
        <color theme="1"/>
        <rFont val="Calibri"/>
        <family val="2"/>
        <scheme val="minor"/>
      </rPr>
      <t>03</t>
    </r>
    <r>
      <rPr>
        <sz val="11"/>
        <color theme="1"/>
        <rFont val="Calibri"/>
        <family val="2"/>
        <scheme val="minor"/>
      </rPr>
      <t xml:space="preserve"> - Computer-based instruction or other assistive technological devices
</t>
    </r>
    <r>
      <rPr>
        <b/>
        <sz val="11"/>
        <color theme="1"/>
        <rFont val="Calibri"/>
        <family val="2"/>
        <scheme val="minor"/>
      </rPr>
      <t>04</t>
    </r>
    <r>
      <rPr>
        <sz val="11"/>
        <color theme="1"/>
        <rFont val="Calibri"/>
        <family val="2"/>
        <scheme val="minor"/>
      </rPr>
      <t xml:space="preserve"> - Listening devices
</t>
    </r>
    <r>
      <rPr>
        <b/>
        <sz val="11"/>
        <color theme="1"/>
        <rFont val="Calibri"/>
        <family val="2"/>
        <scheme val="minor"/>
      </rPr>
      <t>05</t>
    </r>
    <r>
      <rPr>
        <sz val="11"/>
        <color theme="1"/>
        <rFont val="Calibri"/>
        <family val="2"/>
        <scheme val="minor"/>
      </rPr>
      <t xml:space="preserve"> - Low vision readers
</t>
    </r>
    <r>
      <rPr>
        <b/>
        <sz val="11"/>
        <color theme="1"/>
        <rFont val="Calibri"/>
        <family val="2"/>
        <scheme val="minor"/>
      </rPr>
      <t>06</t>
    </r>
    <r>
      <rPr>
        <sz val="11"/>
        <color theme="1"/>
        <rFont val="Calibri"/>
        <family val="2"/>
        <scheme val="minor"/>
      </rPr>
      <t xml:space="preserve"> - Notetakers
</t>
    </r>
    <r>
      <rPr>
        <b/>
        <sz val="11"/>
        <color theme="1"/>
        <rFont val="Calibri"/>
        <family val="2"/>
        <scheme val="minor"/>
      </rPr>
      <t>07</t>
    </r>
    <r>
      <rPr>
        <sz val="11"/>
        <color theme="1"/>
        <rFont val="Calibri"/>
        <family val="2"/>
        <scheme val="minor"/>
      </rPr>
      <t xml:space="preserve"> - Readers
</t>
    </r>
    <r>
      <rPr>
        <b/>
        <sz val="11"/>
        <color theme="1"/>
        <rFont val="Calibri"/>
        <family val="2"/>
        <scheme val="minor"/>
      </rPr>
      <t>08</t>
    </r>
    <r>
      <rPr>
        <sz val="11"/>
        <color theme="1"/>
        <rFont val="Calibri"/>
        <family val="2"/>
        <scheme val="minor"/>
      </rPr>
      <t xml:space="preserve"> - Sign language interpreters
</t>
    </r>
    <r>
      <rPr>
        <b/>
        <sz val="11"/>
        <color theme="1"/>
        <rFont val="Calibri"/>
        <family val="2"/>
        <scheme val="minor"/>
      </rPr>
      <t>09</t>
    </r>
    <r>
      <rPr>
        <sz val="11"/>
        <color theme="1"/>
        <rFont val="Calibri"/>
        <family val="2"/>
        <scheme val="minor"/>
      </rPr>
      <t xml:space="preserve"> - Special housing accommodations
</t>
    </r>
    <r>
      <rPr>
        <b/>
        <sz val="11"/>
        <color theme="1"/>
        <rFont val="Calibri"/>
        <family val="2"/>
        <scheme val="minor"/>
      </rPr>
      <t>10</t>
    </r>
    <r>
      <rPr>
        <sz val="11"/>
        <color theme="1"/>
        <rFont val="Calibri"/>
        <family val="2"/>
        <scheme val="minor"/>
      </rPr>
      <t xml:space="preserve"> - Recorded text
</t>
    </r>
    <r>
      <rPr>
        <b/>
        <sz val="11"/>
        <color theme="1"/>
        <rFont val="Calibri"/>
        <family val="2"/>
        <scheme val="minor"/>
      </rPr>
      <t>11</t>
    </r>
    <r>
      <rPr>
        <sz val="11"/>
        <color theme="1"/>
        <rFont val="Calibri"/>
        <family val="2"/>
        <scheme val="minor"/>
      </rPr>
      <t xml:space="preserve"> - Telecommunication Devices (TDDs) for Hearing Impaired
</t>
    </r>
    <r>
      <rPr>
        <b/>
        <sz val="11"/>
        <color theme="1"/>
        <rFont val="Calibri"/>
        <family val="2"/>
        <scheme val="minor"/>
      </rPr>
      <t>12</t>
    </r>
    <r>
      <rPr>
        <sz val="11"/>
        <color theme="1"/>
        <rFont val="Calibri"/>
        <family val="2"/>
        <scheme val="minor"/>
      </rPr>
      <t xml:space="preserve"> - Telephone handset amplifiers
</t>
    </r>
    <r>
      <rPr>
        <b/>
        <sz val="11"/>
        <color theme="1"/>
        <rFont val="Calibri"/>
        <family val="2"/>
        <scheme val="minor"/>
      </rPr>
      <t>13</t>
    </r>
    <r>
      <rPr>
        <sz val="11"/>
        <color theme="1"/>
        <rFont val="Calibri"/>
        <family val="2"/>
        <scheme val="minor"/>
      </rPr>
      <t xml:space="preserve"> - Test assistants
</t>
    </r>
    <r>
      <rPr>
        <b/>
        <sz val="11"/>
        <color theme="1"/>
        <rFont val="Calibri"/>
        <family val="2"/>
        <scheme val="minor"/>
      </rPr>
      <t>14</t>
    </r>
    <r>
      <rPr>
        <sz val="11"/>
        <color theme="1"/>
        <rFont val="Calibri"/>
        <family val="2"/>
        <scheme val="minor"/>
      </rPr>
      <t xml:space="preserve"> - Test modifications
</t>
    </r>
    <r>
      <rPr>
        <b/>
        <sz val="11"/>
        <color theme="1"/>
        <rFont val="Calibri"/>
        <family val="2"/>
        <scheme val="minor"/>
      </rPr>
      <t>15</t>
    </r>
    <r>
      <rPr>
        <sz val="11"/>
        <color theme="1"/>
        <rFont val="Calibri"/>
        <family val="2"/>
        <scheme val="minor"/>
      </rPr>
      <t xml:space="preserve"> - Transportation services (e.g., handicapped parking spaces)
</t>
    </r>
    <r>
      <rPr>
        <b/>
        <sz val="11"/>
        <color theme="1"/>
        <rFont val="Calibri"/>
        <family val="2"/>
        <scheme val="minor"/>
      </rPr>
      <t>16</t>
    </r>
    <r>
      <rPr>
        <sz val="11"/>
        <color theme="1"/>
        <rFont val="Calibri"/>
        <family val="2"/>
        <scheme val="minor"/>
      </rPr>
      <t xml:space="preserve"> - Tutors
</t>
    </r>
    <r>
      <rPr>
        <b/>
        <sz val="11"/>
        <color theme="1"/>
        <rFont val="Calibri"/>
        <family val="2"/>
        <scheme val="minor"/>
      </rPr>
      <t>17</t>
    </r>
    <r>
      <rPr>
        <sz val="11"/>
        <color theme="1"/>
        <rFont val="Calibri"/>
        <family val="2"/>
        <scheme val="minor"/>
      </rPr>
      <t xml:space="preserve"> - Voice synthesizer speech programs, equipment
</t>
    </r>
    <r>
      <rPr>
        <b/>
        <sz val="11"/>
        <color theme="1"/>
        <rFont val="Calibri"/>
        <family val="2"/>
        <scheme val="minor"/>
      </rPr>
      <t>18</t>
    </r>
    <r>
      <rPr>
        <sz val="11"/>
        <color theme="1"/>
        <rFont val="Calibri"/>
        <family val="2"/>
        <scheme val="minor"/>
      </rPr>
      <t xml:space="preserve"> - Wheel chair accessibility
</t>
    </r>
    <r>
      <rPr>
        <b/>
        <sz val="11"/>
        <color theme="1"/>
        <rFont val="Calibri"/>
        <family val="2"/>
        <scheme val="minor"/>
      </rPr>
      <t>19</t>
    </r>
    <r>
      <rPr>
        <sz val="11"/>
        <color theme="1"/>
        <rFont val="Calibri"/>
        <family val="2"/>
        <scheme val="minor"/>
      </rPr>
      <t xml:space="preserve"> - Wheel chair
</t>
    </r>
    <r>
      <rPr>
        <b/>
        <sz val="11"/>
        <color theme="1"/>
        <rFont val="Calibri"/>
        <family val="2"/>
        <scheme val="minor"/>
      </rPr>
      <t>99</t>
    </r>
    <r>
      <rPr>
        <sz val="11"/>
        <color theme="1"/>
        <rFont val="Calibri"/>
        <family val="2"/>
        <scheme val="minor"/>
      </rPr>
      <t xml:space="preserve"> - Other type of accommodation
</t>
    </r>
  </si>
  <si>
    <r>
      <t>NAEYC</t>
    </r>
    <r>
      <rPr>
        <sz val="11"/>
        <color theme="1"/>
        <rFont val="Calibri"/>
        <family val="2"/>
        <scheme val="minor"/>
      </rPr>
      <t xml:space="preserve"> - National Association for the Education of Young Children
</t>
    </r>
    <r>
      <rPr>
        <b/>
        <sz val="11"/>
        <color theme="1"/>
        <rFont val="Calibri"/>
        <family val="2"/>
        <scheme val="minor"/>
      </rPr>
      <t>NECPA</t>
    </r>
    <r>
      <rPr>
        <sz val="11"/>
        <color theme="1"/>
        <rFont val="Calibri"/>
        <family val="2"/>
        <scheme val="minor"/>
      </rPr>
      <t xml:space="preserve"> - National Early Childhood Program Accreditation
</t>
    </r>
    <r>
      <rPr>
        <b/>
        <sz val="11"/>
        <color theme="1"/>
        <rFont val="Calibri"/>
        <family val="2"/>
        <scheme val="minor"/>
      </rPr>
      <t>NAC</t>
    </r>
    <r>
      <rPr>
        <sz val="11"/>
        <color theme="1"/>
        <rFont val="Calibri"/>
        <family val="2"/>
        <scheme val="minor"/>
      </rPr>
      <t xml:space="preserve"> - National Accreditation Commission
</t>
    </r>
    <r>
      <rPr>
        <b/>
        <sz val="11"/>
        <color theme="1"/>
        <rFont val="Calibri"/>
        <family val="2"/>
        <scheme val="minor"/>
      </rPr>
      <t>COA</t>
    </r>
    <r>
      <rPr>
        <sz val="11"/>
        <color theme="1"/>
        <rFont val="Calibri"/>
        <family val="2"/>
        <scheme val="minor"/>
      </rPr>
      <t xml:space="preserve"> - Council on Accreditation
</t>
    </r>
    <r>
      <rPr>
        <b/>
        <sz val="11"/>
        <color theme="1"/>
        <rFont val="Calibri"/>
        <family val="2"/>
        <scheme val="minor"/>
      </rPr>
      <t>NAFCC</t>
    </r>
    <r>
      <rPr>
        <sz val="11"/>
        <color theme="1"/>
        <rFont val="Calibri"/>
        <family val="2"/>
        <scheme val="minor"/>
      </rPr>
      <t xml:space="preserve"> - National Association for Family Child Care
</t>
    </r>
    <r>
      <rPr>
        <b/>
        <sz val="11"/>
        <color theme="1"/>
        <rFont val="Calibri"/>
        <family val="2"/>
        <scheme val="minor"/>
      </rPr>
      <t>SACS</t>
    </r>
    <r>
      <rPr>
        <sz val="11"/>
        <color theme="1"/>
        <rFont val="Calibri"/>
        <family val="2"/>
        <scheme val="minor"/>
      </rPr>
      <t xml:space="preserve"> - Southern Association of Colleges and Schools
</t>
    </r>
    <r>
      <rPr>
        <b/>
        <sz val="11"/>
        <color theme="1"/>
        <rFont val="Calibri"/>
        <family val="2"/>
        <scheme val="minor"/>
      </rPr>
      <t>NotAccredited</t>
    </r>
    <r>
      <rPr>
        <sz val="11"/>
        <color theme="1"/>
        <rFont val="Calibri"/>
        <family val="2"/>
        <scheme val="minor"/>
      </rPr>
      <t xml:space="preserve"> - Not accredited
</t>
    </r>
    <r>
      <rPr>
        <b/>
        <sz val="11"/>
        <color theme="1"/>
        <rFont val="Calibri"/>
        <family val="2"/>
        <scheme val="minor"/>
      </rPr>
      <t>Other</t>
    </r>
    <r>
      <rPr>
        <sz val="11"/>
        <color theme="1"/>
        <rFont val="Calibri"/>
        <family val="2"/>
        <scheme val="minor"/>
      </rPr>
      <t xml:space="preserve"> - Other Accreditation Agency
</t>
    </r>
  </si>
  <si>
    <r>
      <t>WeeklyHours</t>
    </r>
    <r>
      <rPr>
        <sz val="11"/>
        <color theme="1"/>
        <rFont val="Calibri"/>
        <family val="2"/>
        <scheme val="minor"/>
      </rPr>
      <t xml:space="preserve"> - Weekly hours
</t>
    </r>
    <r>
      <rPr>
        <b/>
        <sz val="11"/>
        <color theme="1"/>
        <rFont val="Calibri"/>
        <family val="2"/>
        <scheme val="minor"/>
      </rPr>
      <t>YearlyWeeks</t>
    </r>
    <r>
      <rPr>
        <sz val="11"/>
        <color theme="1"/>
        <rFont val="Calibri"/>
        <family val="2"/>
        <scheme val="minor"/>
      </rPr>
      <t xml:space="preserve"> - Yearly weeks
</t>
    </r>
  </si>
  <si>
    <r>
      <t>AdvancedPlacement</t>
    </r>
    <r>
      <rPr>
        <sz val="11"/>
        <color theme="1"/>
        <rFont val="Calibri"/>
        <family val="2"/>
        <scheme val="minor"/>
      </rPr>
      <t xml:space="preserve"> - Advanced Placement
</t>
    </r>
    <r>
      <rPr>
        <b/>
        <sz val="11"/>
        <color theme="1"/>
        <rFont val="Calibri"/>
        <family val="2"/>
        <scheme val="minor"/>
      </rPr>
      <t>ApprenticeshipCredit</t>
    </r>
    <r>
      <rPr>
        <sz val="11"/>
        <color theme="1"/>
        <rFont val="Calibri"/>
        <family val="2"/>
        <scheme val="minor"/>
      </rPr>
      <t xml:space="preserve"> - Apprenticeship Credit
</t>
    </r>
    <r>
      <rPr>
        <b/>
        <sz val="11"/>
        <color theme="1"/>
        <rFont val="Calibri"/>
        <family val="2"/>
        <scheme val="minor"/>
      </rPr>
      <t>CTE</t>
    </r>
    <r>
      <rPr>
        <sz val="11"/>
        <color theme="1"/>
        <rFont val="Calibri"/>
        <family val="2"/>
        <scheme val="minor"/>
      </rPr>
      <t xml:space="preserve"> - Career and Technical Education
</t>
    </r>
    <r>
      <rPr>
        <b/>
        <sz val="11"/>
        <color theme="1"/>
        <rFont val="Calibri"/>
        <family val="2"/>
        <scheme val="minor"/>
      </rPr>
      <t>DualCredit</t>
    </r>
    <r>
      <rPr>
        <sz val="11"/>
        <color theme="1"/>
        <rFont val="Calibri"/>
        <family val="2"/>
        <scheme val="minor"/>
      </rPr>
      <t xml:space="preserve"> - Dual Credit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QualifiedAdmission</t>
    </r>
    <r>
      <rPr>
        <sz val="11"/>
        <color theme="1"/>
        <rFont val="Calibri"/>
        <family val="2"/>
        <scheme val="minor"/>
      </rPr>
      <t xml:space="preserve"> - Qualified Admission
</t>
    </r>
    <r>
      <rPr>
        <b/>
        <sz val="11"/>
        <color theme="1"/>
        <rFont val="Calibri"/>
        <family val="2"/>
        <scheme val="minor"/>
      </rPr>
      <t>STEM</t>
    </r>
    <r>
      <rPr>
        <sz val="11"/>
        <color theme="1"/>
        <rFont val="Calibri"/>
        <family val="2"/>
        <scheme val="minor"/>
      </rPr>
      <t xml:space="preserve"> - Science, Technology, Engineering and Mathematics
</t>
    </r>
    <r>
      <rPr>
        <b/>
        <sz val="11"/>
        <color theme="1"/>
        <rFont val="Calibri"/>
        <family val="2"/>
        <scheme val="minor"/>
      </rPr>
      <t>CTEAndAcademic</t>
    </r>
    <r>
      <rPr>
        <sz val="11"/>
        <color theme="1"/>
        <rFont val="Calibri"/>
        <family val="2"/>
        <scheme val="minor"/>
      </rPr>
      <t xml:space="preserve"> - Simultaneous CTE and Academic Credit
</t>
    </r>
    <r>
      <rPr>
        <b/>
        <sz val="11"/>
        <color theme="1"/>
        <rFont val="Calibri"/>
        <family val="2"/>
        <scheme val="minor"/>
      </rPr>
      <t>StateScholarship</t>
    </r>
    <r>
      <rPr>
        <sz val="11"/>
        <color theme="1"/>
        <rFont val="Calibri"/>
        <family val="2"/>
        <scheme val="minor"/>
      </rPr>
      <t xml:space="preserve"> - State Scholarship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</si>
  <si>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r>
      <rPr>
        <b/>
        <sz val="11"/>
        <color theme="1"/>
        <rFont val="Calibri"/>
        <family val="2"/>
        <scheme val="minor"/>
      </rPr>
      <t>Billing</t>
    </r>
    <r>
      <rPr>
        <sz val="11"/>
        <color theme="1"/>
        <rFont val="Calibri"/>
        <family val="2"/>
        <scheme val="minor"/>
      </rPr>
      <t xml:space="preserve"> - Billing address
</t>
    </r>
    <r>
      <rPr>
        <b/>
        <sz val="11"/>
        <color theme="1"/>
        <rFont val="Calibri"/>
        <family val="2"/>
        <scheme val="minor"/>
      </rP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Off-campus, temporary
</t>
    </r>
    <r>
      <rPr>
        <b/>
        <sz val="11"/>
        <color theme="1"/>
        <rFont val="Calibri"/>
        <family val="2"/>
        <scheme val="minor"/>
      </rPr>
      <t>PermanentStudent</t>
    </r>
    <r>
      <rPr>
        <sz val="11"/>
        <color theme="1"/>
        <rFont val="Calibri"/>
        <family val="2"/>
        <scheme val="minor"/>
      </rPr>
      <t xml:space="preserve"> - Permanent, student
</t>
    </r>
    <r>
      <rPr>
        <b/>
        <sz val="11"/>
        <color theme="1"/>
        <rFont val="Calibri"/>
        <family val="2"/>
        <scheme val="minor"/>
      </rPr>
      <t>PermanentAdmission</t>
    </r>
    <r>
      <rPr>
        <sz val="11"/>
        <color theme="1"/>
        <rFont val="Calibri"/>
        <family val="2"/>
        <scheme val="minor"/>
      </rPr>
      <t xml:space="preserve"> - Permanent, at time of admission
</t>
    </r>
    <r>
      <rPr>
        <b/>
        <sz val="11"/>
        <color theme="1"/>
        <rFont val="Calibri"/>
        <family val="2"/>
        <scheme val="minor"/>
      </rPr>
      <t>FatherAddress</t>
    </r>
    <r>
      <rPr>
        <sz val="11"/>
        <color theme="1"/>
        <rFont val="Calibri"/>
        <family val="2"/>
        <scheme val="minor"/>
      </rPr>
      <t xml:space="preserve"> - Father's address
</t>
    </r>
    <r>
      <rPr>
        <b/>
        <sz val="11"/>
        <color theme="1"/>
        <rFont val="Calibri"/>
        <family val="2"/>
        <scheme val="minor"/>
      </rPr>
      <t>MotherAddress</t>
    </r>
    <r>
      <rPr>
        <sz val="11"/>
        <color theme="1"/>
        <rFont val="Calibri"/>
        <family val="2"/>
        <scheme val="minor"/>
      </rPr>
      <t xml:space="preserve"> - Mother's address
</t>
    </r>
    <r>
      <rPr>
        <b/>
        <sz val="11"/>
        <color theme="1"/>
        <rFont val="Calibri"/>
        <family val="2"/>
        <scheme val="minor"/>
      </rPr>
      <t>GuardianAddress</t>
    </r>
    <r>
      <rPr>
        <sz val="11"/>
        <color theme="1"/>
        <rFont val="Calibri"/>
        <family val="2"/>
        <scheme val="minor"/>
      </rPr>
      <t xml:space="preserve"> - Guardian's address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</si>
  <si>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</si>
  <si>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OtherHome</t>
    </r>
    <r>
      <rPr>
        <sz val="11"/>
        <color theme="1"/>
        <rFont val="Calibri"/>
        <family val="2"/>
        <scheme val="minor"/>
      </rPr>
      <t xml:space="preserve"> - Other home address
</t>
    </r>
    <r>
      <rPr>
        <b/>
        <sz val="11"/>
        <color theme="1"/>
        <rFont val="Calibri"/>
        <family val="2"/>
        <scheme val="minor"/>
      </rPr>
      <t>Employers</t>
    </r>
    <r>
      <rPr>
        <sz val="11"/>
        <color theme="1"/>
        <rFont val="Calibri"/>
        <family val="2"/>
        <scheme val="minor"/>
      </rPr>
      <t xml:space="preserve"> - Employer's address
</t>
    </r>
    <r>
      <rPr>
        <b/>
        <sz val="11"/>
        <color theme="1"/>
        <rFont val="Calibri"/>
        <family val="2"/>
        <scheme val="minor"/>
      </rPr>
      <t>Employment</t>
    </r>
    <r>
      <rPr>
        <sz val="11"/>
        <color theme="1"/>
        <rFont val="Calibri"/>
        <family val="2"/>
        <scheme val="minor"/>
      </rPr>
      <t xml:space="preserve"> - Employment address
</t>
    </r>
    <r>
      <rPr>
        <b/>
        <sz val="11"/>
        <color theme="1"/>
        <rFont val="Calibri"/>
        <family val="2"/>
        <scheme val="minor"/>
      </rPr>
      <t>Billing</t>
    </r>
    <r>
      <rPr>
        <sz val="11"/>
        <color theme="1"/>
        <rFont val="Calibri"/>
        <family val="2"/>
        <scheme val="minor"/>
      </rPr>
      <t xml:space="preserve"> - Billing address
</t>
    </r>
  </si>
  <si>
    <r>
      <t>Yes</t>
    </r>
    <r>
      <rPr>
        <sz val="11"/>
        <color theme="1"/>
        <rFont val="Calibri"/>
        <family val="2"/>
        <scheme val="minor"/>
      </rPr>
      <t xml:space="preserve"> - Yes
</t>
    </r>
    <r>
      <rPr>
        <b/>
        <sz val="11"/>
        <color theme="1"/>
        <rFont val="Calibri"/>
        <family val="2"/>
        <scheme val="minor"/>
      </rPr>
      <t>YesGrowth</t>
    </r>
    <r>
      <rPr>
        <sz val="11"/>
        <color theme="1"/>
        <rFont val="Calibri"/>
        <family val="2"/>
        <scheme val="minor"/>
      </rPr>
      <t xml:space="preserve"> - Yes Growth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</si>
  <si>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Public</t>
    </r>
    <r>
      <rPr>
        <sz val="11"/>
        <color theme="1"/>
        <rFont val="Calibri"/>
        <family val="2"/>
        <scheme val="minor"/>
      </rPr>
      <t xml:space="preserve"> - Public School
</t>
    </r>
    <r>
      <rPr>
        <b/>
        <sz val="11"/>
        <color theme="1"/>
        <rFont val="Calibri"/>
        <family val="2"/>
        <scheme val="minor"/>
      </rPr>
      <t>Private</t>
    </r>
    <r>
      <rPr>
        <sz val="11"/>
        <color theme="1"/>
        <rFont val="Calibri"/>
        <family val="2"/>
        <scheme val="minor"/>
      </rPr>
      <t xml:space="preserve"> - Private School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</si>
  <si>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Risk management plan
</t>
    </r>
    <r>
      <rPr>
        <b/>
        <sz val="11"/>
        <color theme="1"/>
        <rFont val="Calibri"/>
        <family val="2"/>
        <scheme val="minor"/>
      </rPr>
      <t>02</t>
    </r>
    <r>
      <rPr>
        <sz val="11"/>
        <color theme="1"/>
        <rFont val="Calibri"/>
        <family val="2"/>
        <scheme val="minor"/>
      </rPr>
      <t xml:space="preserve"> - Financial records
</t>
    </r>
    <r>
      <rPr>
        <b/>
        <sz val="11"/>
        <color theme="1"/>
        <rFont val="Calibri"/>
        <family val="2"/>
        <scheme val="minor"/>
      </rPr>
      <t>03</t>
    </r>
    <r>
      <rPr>
        <sz val="11"/>
        <color theme="1"/>
        <rFont val="Calibri"/>
        <family val="2"/>
        <scheme val="minor"/>
      </rPr>
      <t xml:space="preserve"> - Program administration and plan
</t>
    </r>
    <r>
      <rPr>
        <b/>
        <sz val="11"/>
        <color theme="1"/>
        <rFont val="Calibri"/>
        <family val="2"/>
        <scheme val="minor"/>
      </rPr>
      <t>04</t>
    </r>
    <r>
      <rPr>
        <sz val="11"/>
        <color theme="1"/>
        <rFont val="Calibri"/>
        <family val="2"/>
        <scheme val="minor"/>
      </rPr>
      <t xml:space="preserve"> - Marketing strategy
</t>
    </r>
    <r>
      <rPr>
        <b/>
        <sz val="11"/>
        <color theme="1"/>
        <rFont val="Calibri"/>
        <family val="2"/>
        <scheme val="minor"/>
      </rPr>
      <t>05</t>
    </r>
    <r>
      <rPr>
        <sz val="11"/>
        <color theme="1"/>
        <rFont val="Calibri"/>
        <family val="2"/>
        <scheme val="minor"/>
      </rPr>
      <t xml:space="preserve"> - Written program policies
</t>
    </r>
    <r>
      <rPr>
        <b/>
        <sz val="11"/>
        <color theme="1"/>
        <rFont val="Calibri"/>
        <family val="2"/>
        <scheme val="minor"/>
      </rPr>
      <t>06</t>
    </r>
    <r>
      <rPr>
        <sz val="11"/>
        <color theme="1"/>
        <rFont val="Calibri"/>
        <family val="2"/>
        <scheme val="minor"/>
      </rPr>
      <t xml:space="preserve"> - Program self assessment
</t>
    </r>
    <r>
      <rPr>
        <b/>
        <sz val="11"/>
        <color theme="1"/>
        <rFont val="Calibri"/>
        <family val="2"/>
        <scheme val="minor"/>
      </rPr>
      <t>99</t>
    </r>
    <r>
      <rPr>
        <sz val="11"/>
        <color theme="1"/>
        <rFont val="Calibri"/>
        <family val="2"/>
        <scheme val="minor"/>
      </rPr>
      <t xml:space="preserve"> - Other
</t>
    </r>
  </si>
  <si>
    <r>
      <t>Required</t>
    </r>
    <r>
      <rPr>
        <sz val="11"/>
        <color theme="1"/>
        <rFont val="Calibri"/>
        <family val="2"/>
        <scheme val="minor"/>
      </rPr>
      <t xml:space="preserve"> - Required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NeitherRequiredRecommended</t>
    </r>
    <r>
      <rPr>
        <sz val="11"/>
        <color theme="1"/>
        <rFont val="Calibri"/>
        <family val="2"/>
        <scheme val="minor"/>
      </rPr>
      <t xml:space="preserve"> - Neither Required nor Recommended
</t>
    </r>
    <r>
      <rPr>
        <b/>
        <sz val="11"/>
        <color theme="1"/>
        <rFont val="Calibri"/>
        <family val="2"/>
        <scheme val="minor"/>
      </rPr>
      <t>DontKnow</t>
    </r>
    <r>
      <rPr>
        <sz val="11"/>
        <color theme="1"/>
        <rFont val="Calibri"/>
        <family val="2"/>
        <scheme val="minor"/>
      </rPr>
      <t xml:space="preserve"> - Don't Know
</t>
    </r>
  </si>
  <si>
    <r>
      <t>SecondarySchoolGPA</t>
    </r>
    <r>
      <rPr>
        <sz val="11"/>
        <color theme="1"/>
        <rFont val="Calibri"/>
        <family val="2"/>
        <scheme val="minor"/>
      </rPr>
      <t xml:space="preserve"> - Secondary school GPA
</t>
    </r>
    <r>
      <rPr>
        <b/>
        <sz val="11"/>
        <color theme="1"/>
        <rFont val="Calibri"/>
        <family val="2"/>
        <scheme val="minor"/>
      </rPr>
      <t>SecondarySchoolRank</t>
    </r>
    <r>
      <rPr>
        <sz val="11"/>
        <color theme="1"/>
        <rFont val="Calibri"/>
        <family val="2"/>
        <scheme val="minor"/>
      </rPr>
      <t xml:space="preserve"> - Secondary school rank
</t>
    </r>
    <r>
      <rPr>
        <b/>
        <sz val="11"/>
        <color theme="1"/>
        <rFont val="Calibri"/>
        <family val="2"/>
        <scheme val="minor"/>
      </rPr>
      <t>SecondarySchoolRecord</t>
    </r>
    <r>
      <rPr>
        <sz val="11"/>
        <color theme="1"/>
        <rFont val="Calibri"/>
        <family val="2"/>
        <scheme val="minor"/>
      </rPr>
      <t xml:space="preserve"> - Secondary school record
</t>
    </r>
    <r>
      <rPr>
        <b/>
        <sz val="11"/>
        <color theme="1"/>
        <rFont val="Calibri"/>
        <family val="2"/>
        <scheme val="minor"/>
      </rPr>
      <t>CompletionOfCollegePrepProgram</t>
    </r>
    <r>
      <rPr>
        <sz val="11"/>
        <color theme="1"/>
        <rFont val="Calibri"/>
        <family val="2"/>
        <scheme val="minor"/>
      </rPr>
      <t xml:space="preserve"> - Completion of college-preparatory program
</t>
    </r>
    <r>
      <rPr>
        <b/>
        <sz val="11"/>
        <color theme="1"/>
        <rFont val="Calibri"/>
        <family val="2"/>
        <scheme val="minor"/>
      </rPr>
      <t>Recommendations</t>
    </r>
    <r>
      <rPr>
        <sz val="11"/>
        <color theme="1"/>
        <rFont val="Calibri"/>
        <family val="2"/>
        <scheme val="minor"/>
      </rPr>
      <t xml:space="preserve"> - Recommendations
</t>
    </r>
    <r>
      <rPr>
        <b/>
        <sz val="11"/>
        <color theme="1"/>
        <rFont val="Calibri"/>
        <family val="2"/>
        <scheme val="minor"/>
      </rPr>
      <t>FormalDemonstrationOfCompetencies</t>
    </r>
    <r>
      <rPr>
        <sz val="11"/>
        <color theme="1"/>
        <rFont val="Calibri"/>
        <family val="2"/>
        <scheme val="minor"/>
      </rPr>
      <t xml:space="preserve"> - Formal demonstration of competencies (e.g., portfolios, certificates of mastery, assessment instruments)
</t>
    </r>
    <r>
      <rPr>
        <b/>
        <sz val="11"/>
        <color theme="1"/>
        <rFont val="Calibri"/>
        <family val="2"/>
        <scheme val="minor"/>
      </rPr>
      <t>AdmissionTestScores</t>
    </r>
    <r>
      <rPr>
        <sz val="11"/>
        <color theme="1"/>
        <rFont val="Calibri"/>
        <family val="2"/>
        <scheme val="minor"/>
      </rPr>
      <t xml:space="preserve"> - Admission test scores
</t>
    </r>
    <r>
      <rPr>
        <b/>
        <sz val="11"/>
        <color theme="1"/>
        <rFont val="Calibri"/>
        <family val="2"/>
        <scheme val="minor"/>
      </rPr>
      <t>SAT_ACT</t>
    </r>
    <r>
      <rPr>
        <sz val="11"/>
        <color theme="1"/>
        <rFont val="Calibri"/>
        <family val="2"/>
        <scheme val="minor"/>
      </rPr>
      <t xml:space="preserve"> - SAT / ACT
</t>
    </r>
    <r>
      <rPr>
        <b/>
        <sz val="11"/>
        <color theme="1"/>
        <rFont val="Calibri"/>
        <family val="2"/>
        <scheme val="minor"/>
      </rPr>
      <t>TOEFL</t>
    </r>
    <r>
      <rPr>
        <sz val="11"/>
        <color theme="1"/>
        <rFont val="Calibri"/>
        <family val="2"/>
        <scheme val="minor"/>
      </rPr>
      <t xml:space="preserve"> - Test of English as a Foreign Language
</t>
    </r>
    <r>
      <rPr>
        <b/>
        <sz val="11"/>
        <color theme="1"/>
        <rFont val="Calibri"/>
        <family val="2"/>
        <scheme val="minor"/>
      </rPr>
      <t>OtherTest</t>
    </r>
    <r>
      <rPr>
        <sz val="11"/>
        <color theme="1"/>
        <rFont val="Calibri"/>
        <family val="2"/>
        <scheme val="minor"/>
      </rPr>
      <t xml:space="preserve"> - Other Test (ABT, Wonderlic, WISC-III, etc.)
</t>
    </r>
  </si>
  <si>
    <r>
      <t>Conditional</t>
    </r>
    <r>
      <rPr>
        <sz val="11"/>
        <color theme="1"/>
        <rFont val="Calibri"/>
        <family val="2"/>
        <scheme val="minor"/>
      </rPr>
      <t xml:space="preserve"> - Conditional Admit
</t>
    </r>
    <r>
      <rPr>
        <b/>
        <sz val="11"/>
        <color theme="1"/>
        <rFont val="Calibri"/>
        <family val="2"/>
        <scheme val="minor"/>
      </rPr>
      <t>EarlyAction</t>
    </r>
    <r>
      <rPr>
        <sz val="11"/>
        <color theme="1"/>
        <rFont val="Calibri"/>
        <family val="2"/>
        <scheme val="minor"/>
      </rPr>
      <t xml:space="preserve"> - Early Action
</t>
    </r>
    <r>
      <rPr>
        <b/>
        <sz val="11"/>
        <color theme="1"/>
        <rFont val="Calibri"/>
        <family val="2"/>
        <scheme val="minor"/>
      </rPr>
      <t>EarlyAdmit</t>
    </r>
    <r>
      <rPr>
        <sz val="11"/>
        <color theme="1"/>
        <rFont val="Calibri"/>
        <family val="2"/>
        <scheme val="minor"/>
      </rPr>
      <t xml:space="preserve"> - Early Admit
</t>
    </r>
    <r>
      <rPr>
        <b/>
        <sz val="11"/>
        <color theme="1"/>
        <rFont val="Calibri"/>
        <family val="2"/>
        <scheme val="minor"/>
      </rPr>
      <t>EarlyDecision</t>
    </r>
    <r>
      <rPr>
        <sz val="11"/>
        <color theme="1"/>
        <rFont val="Calibri"/>
        <family val="2"/>
        <scheme val="minor"/>
      </rPr>
      <t xml:space="preserve"> - Early Decision
</t>
    </r>
    <r>
      <rPr>
        <b/>
        <sz val="11"/>
        <color theme="1"/>
        <rFont val="Calibri"/>
        <family val="2"/>
        <scheme val="minor"/>
      </rPr>
      <t>Regular</t>
    </r>
    <r>
      <rPr>
        <sz val="11"/>
        <color theme="1"/>
        <rFont val="Calibri"/>
        <family val="2"/>
        <scheme val="minor"/>
      </rPr>
      <t xml:space="preserve"> - Regular Admit
</t>
    </r>
    <r>
      <rPr>
        <b/>
        <sz val="11"/>
        <color theme="1"/>
        <rFont val="Calibri"/>
        <family val="2"/>
        <scheme val="minor"/>
      </rPr>
      <t>Waitlist</t>
    </r>
    <r>
      <rPr>
        <sz val="11"/>
        <color theme="1"/>
        <rFont val="Calibri"/>
        <family val="2"/>
        <scheme val="minor"/>
      </rPr>
      <t xml:space="preserve"> - Waitlist Admit
</t>
    </r>
    <r>
      <rPr>
        <b/>
        <sz val="11"/>
        <color theme="1"/>
        <rFont val="Calibri"/>
        <family val="2"/>
        <scheme val="minor"/>
      </rPr>
      <t>Other</t>
    </r>
    <r>
      <rPr>
        <sz val="11"/>
        <color theme="1"/>
        <rFont val="Calibri"/>
        <family val="2"/>
        <scheme val="minor"/>
      </rPr>
      <t xml:space="preserve"> - Other Admit
</t>
    </r>
    <r>
      <rPr>
        <b/>
        <sz val="11"/>
        <color theme="1"/>
        <rFont val="Calibri"/>
        <family val="2"/>
        <scheme val="minor"/>
      </rPr>
      <t>No</t>
    </r>
    <r>
      <rPr>
        <sz val="11"/>
        <color theme="1"/>
        <rFont val="Calibri"/>
        <family val="2"/>
        <scheme val="minor"/>
      </rPr>
      <t xml:space="preserve"> - No
</t>
    </r>
  </si>
  <si>
    <r>
      <t>AdultEducationCertification</t>
    </r>
    <r>
      <rPr>
        <sz val="11"/>
        <color theme="1"/>
        <rFont val="Calibri"/>
        <family val="2"/>
        <scheme val="minor"/>
      </rPr>
      <t xml:space="preserve"> - Adult Education Certification
</t>
    </r>
    <r>
      <rPr>
        <b/>
        <sz val="11"/>
        <color theme="1"/>
        <rFont val="Calibri"/>
        <family val="2"/>
        <scheme val="minor"/>
      </rPr>
      <t>K-12Certification</t>
    </r>
    <r>
      <rPr>
        <sz val="11"/>
        <color theme="1"/>
        <rFont val="Calibri"/>
        <family val="2"/>
        <scheme val="minor"/>
      </rPr>
      <t xml:space="preserve"> - K-12 Certification
</t>
    </r>
    <r>
      <rPr>
        <b/>
        <sz val="11"/>
        <color theme="1"/>
        <rFont val="Calibri"/>
        <family val="2"/>
        <scheme val="minor"/>
      </rPr>
      <t>SpecialEducationCertification</t>
    </r>
    <r>
      <rPr>
        <sz val="11"/>
        <color theme="1"/>
        <rFont val="Calibri"/>
        <family val="2"/>
        <scheme val="minor"/>
      </rPr>
      <t xml:space="preserve"> - Special Education Certification
</t>
    </r>
    <r>
      <rPr>
        <b/>
        <sz val="11"/>
        <color theme="1"/>
        <rFont val="Calibri"/>
        <family val="2"/>
        <scheme val="minor"/>
      </rPr>
      <t>TESOLCertification</t>
    </r>
    <r>
      <rPr>
        <sz val="11"/>
        <color theme="1"/>
        <rFont val="Calibri"/>
        <family val="2"/>
        <scheme val="minor"/>
      </rPr>
      <t xml:space="preserve"> - Teachers of English to Speakers of Other Languages (TESOL) Certification
</t>
    </r>
    <r>
      <rPr>
        <b/>
        <sz val="11"/>
        <color theme="1"/>
        <rFont val="Calibri"/>
        <family val="2"/>
        <scheme val="minor"/>
      </rPr>
      <t>None</t>
    </r>
    <r>
      <rPr>
        <sz val="11"/>
        <color theme="1"/>
        <rFont val="Calibri"/>
        <family val="2"/>
        <scheme val="minor"/>
      </rPr>
      <t xml:space="preserve"> - None
</t>
    </r>
  </si>
  <si>
    <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ESL</t>
    </r>
    <r>
      <rPr>
        <sz val="11"/>
        <color theme="1"/>
        <rFont val="Calibri"/>
        <family val="2"/>
        <scheme val="minor"/>
      </rPr>
      <t xml:space="preserve"> - English as a Second Language/Civics
</t>
    </r>
  </si>
  <si>
    <r>
      <t>NoInformation</t>
    </r>
    <r>
      <rPr>
        <sz val="11"/>
        <color theme="1"/>
        <rFont val="Calibri"/>
        <family val="2"/>
        <scheme val="minor"/>
      </rPr>
      <t xml:space="preserve"> - No information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NotEnrolled</t>
    </r>
    <r>
      <rPr>
        <sz val="11"/>
        <color theme="1"/>
        <rFont val="Calibri"/>
        <family val="2"/>
        <scheme val="minor"/>
      </rPr>
      <t xml:space="preserve"> - Not enrolled
</t>
    </r>
  </si>
  <si>
    <r>
      <t>LEA</t>
    </r>
    <r>
      <rPr>
        <sz val="11"/>
        <color theme="1"/>
        <rFont val="Calibri"/>
        <family val="2"/>
        <scheme val="minor"/>
      </rPr>
      <t xml:space="preserve"> - Local Education Agency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CommunityBasedOrganization</t>
    </r>
    <r>
      <rPr>
        <sz val="11"/>
        <color theme="1"/>
        <rFont val="Calibri"/>
        <family val="2"/>
        <scheme val="minor"/>
      </rPr>
      <t xml:space="preserve"> - Community-Based Organization
</t>
    </r>
    <r>
      <rPr>
        <b/>
        <sz val="11"/>
        <color theme="1"/>
        <rFont val="Calibri"/>
        <family val="2"/>
        <scheme val="minor"/>
      </rPr>
      <t>Library</t>
    </r>
    <r>
      <rPr>
        <sz val="11"/>
        <color theme="1"/>
        <rFont val="Calibri"/>
        <family val="2"/>
        <scheme val="minor"/>
      </rPr>
      <t xml:space="preserve"> - Library
</t>
    </r>
    <r>
      <rPr>
        <b/>
        <sz val="11"/>
        <color theme="1"/>
        <rFont val="Calibri"/>
        <family val="2"/>
        <scheme val="minor"/>
      </rPr>
      <t>CorrectionalInstitution</t>
    </r>
    <r>
      <rPr>
        <sz val="11"/>
        <color theme="1"/>
        <rFont val="Calibri"/>
        <family val="2"/>
        <scheme val="minor"/>
      </rPr>
      <t xml:space="preserve"> - Correctional Institution
</t>
    </r>
    <r>
      <rPr>
        <b/>
        <sz val="11"/>
        <color theme="1"/>
        <rFont val="Calibri"/>
        <family val="2"/>
        <scheme val="minor"/>
      </rPr>
      <t>OtherInstitution</t>
    </r>
    <r>
      <rPr>
        <sz val="11"/>
        <color theme="1"/>
        <rFont val="Calibri"/>
        <family val="2"/>
        <scheme val="minor"/>
      </rPr>
      <t xml:space="preserve"> - Other Institution
</t>
    </r>
    <r>
      <rPr>
        <b/>
        <sz val="11"/>
        <color theme="1"/>
        <rFont val="Calibri"/>
        <family val="2"/>
        <scheme val="minor"/>
      </rPr>
      <t>OtherAgency</t>
    </r>
    <r>
      <rPr>
        <sz val="11"/>
        <color theme="1"/>
        <rFont val="Calibri"/>
        <family val="2"/>
        <scheme val="minor"/>
      </rPr>
      <t xml:space="preserve"> - Other state or local government agency
</t>
    </r>
    <r>
      <rPr>
        <b/>
        <sz val="11"/>
        <color theme="1"/>
        <rFont val="Calibri"/>
        <family val="2"/>
        <scheme val="minor"/>
      </rPr>
      <t>Other</t>
    </r>
    <r>
      <rPr>
        <sz val="11"/>
        <color theme="1"/>
        <rFont val="Calibri"/>
        <family val="2"/>
        <scheme val="minor"/>
      </rPr>
      <t xml:space="preserve"> - Other
</t>
    </r>
  </si>
  <si>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</si>
  <si>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r>
      <t>CorrectionalEducation</t>
    </r>
    <r>
      <rPr>
        <sz val="11"/>
        <color theme="1"/>
        <rFont val="Calibri"/>
        <family val="2"/>
        <scheme val="minor"/>
      </rPr>
      <t xml:space="preserve"> - Correctional education program in facility or community
</t>
    </r>
    <r>
      <rPr>
        <b/>
        <sz val="11"/>
        <color theme="1"/>
        <rFont val="Calibri"/>
        <family val="2"/>
        <scheme val="minor"/>
      </rPr>
      <t>FamilyLiteracy</t>
    </r>
    <r>
      <rPr>
        <sz val="11"/>
        <color theme="1"/>
        <rFont val="Calibri"/>
        <family val="2"/>
        <scheme val="minor"/>
      </rPr>
      <t xml:space="preserve"> - Family Literacy
</t>
    </r>
    <r>
      <rPr>
        <b/>
        <sz val="11"/>
        <color theme="1"/>
        <rFont val="Calibri"/>
        <family val="2"/>
        <scheme val="minor"/>
      </rPr>
      <t>WorkplaceLiteracy</t>
    </r>
    <r>
      <rPr>
        <sz val="11"/>
        <color theme="1"/>
        <rFont val="Calibri"/>
        <family val="2"/>
        <scheme val="minor"/>
      </rPr>
      <t xml:space="preserve"> - Workplace Literacy
</t>
    </r>
    <r>
      <rPr>
        <b/>
        <sz val="11"/>
        <color theme="1"/>
        <rFont val="Calibri"/>
        <family val="2"/>
        <scheme val="minor"/>
      </rPr>
      <t>Homeless</t>
    </r>
    <r>
      <rPr>
        <sz val="11"/>
        <color theme="1"/>
        <rFont val="Calibri"/>
        <family val="2"/>
        <scheme val="minor"/>
      </rPr>
      <t xml:space="preserve"> - Program for the Homeless
</t>
    </r>
    <r>
      <rPr>
        <b/>
        <sz val="11"/>
        <color theme="1"/>
        <rFont val="Calibri"/>
        <family val="2"/>
        <scheme val="minor"/>
      </rPr>
      <t>Co-enrollment</t>
    </r>
    <r>
      <rPr>
        <sz val="11"/>
        <color theme="1"/>
        <rFont val="Calibri"/>
        <family val="2"/>
        <scheme val="minor"/>
      </rPr>
      <t xml:space="preserve"> - Co-enrollment in adult education and postsecondary education
</t>
    </r>
    <r>
      <rPr>
        <b/>
        <sz val="11"/>
        <color theme="1"/>
        <rFont val="Calibri"/>
        <family val="2"/>
        <scheme val="minor"/>
      </rPr>
      <t>DistanceEducation</t>
    </r>
    <r>
      <rPr>
        <sz val="11"/>
        <color theme="1"/>
        <rFont val="Calibri"/>
        <family val="2"/>
        <scheme val="minor"/>
      </rPr>
      <t xml:space="preserve"> - Distance Education
</t>
    </r>
  </si>
  <si>
    <r>
      <t>01</t>
    </r>
    <r>
      <rPr>
        <sz val="11"/>
        <color theme="1"/>
        <rFont val="Calibri"/>
        <family val="2"/>
        <scheme val="minor"/>
      </rPr>
      <t xml:space="preserve"> - State-level administrative/supervisory/ancillary services
</t>
    </r>
    <r>
      <rPr>
        <b/>
        <sz val="11"/>
        <color theme="1"/>
        <rFont val="Calibri"/>
        <family val="2"/>
        <scheme val="minor"/>
      </rPr>
      <t>02</t>
    </r>
    <r>
      <rPr>
        <sz val="11"/>
        <color theme="1"/>
        <rFont val="Calibri"/>
        <family val="2"/>
        <scheme val="minor"/>
      </rPr>
      <t xml:space="preserve"> - Local-level administrative/supervisory/ancillary services
</t>
    </r>
    <r>
      <rPr>
        <b/>
        <sz val="11"/>
        <color theme="1"/>
        <rFont val="Calibri"/>
        <family val="2"/>
        <scheme val="minor"/>
      </rPr>
      <t>03</t>
    </r>
    <r>
      <rPr>
        <sz val="11"/>
        <color theme="1"/>
        <rFont val="Calibri"/>
        <family val="2"/>
        <scheme val="minor"/>
      </rPr>
      <t xml:space="preserve"> - Local teacher
</t>
    </r>
    <r>
      <rPr>
        <b/>
        <sz val="11"/>
        <color theme="1"/>
        <rFont val="Calibri"/>
        <family val="2"/>
        <scheme val="minor"/>
      </rPr>
      <t>04</t>
    </r>
    <r>
      <rPr>
        <sz val="11"/>
        <color theme="1"/>
        <rFont val="Calibri"/>
        <family val="2"/>
        <scheme val="minor"/>
      </rPr>
      <t xml:space="preserve"> - Local counselor
</t>
    </r>
    <r>
      <rPr>
        <b/>
        <sz val="11"/>
        <color theme="1"/>
        <rFont val="Calibri"/>
        <family val="2"/>
        <scheme val="minor"/>
      </rPr>
      <t>05</t>
    </r>
    <r>
      <rPr>
        <sz val="11"/>
        <color theme="1"/>
        <rFont val="Calibri"/>
        <family val="2"/>
        <scheme val="minor"/>
      </rPr>
      <t xml:space="preserve"> - Local paraprofessional
</t>
    </r>
    <r>
      <rPr>
        <b/>
        <sz val="11"/>
        <color theme="1"/>
        <rFont val="Calibri"/>
        <family val="2"/>
        <scheme val="minor"/>
      </rPr>
      <t>06</t>
    </r>
    <r>
      <rPr>
        <sz val="11"/>
        <color theme="1"/>
        <rFont val="Calibri"/>
        <family val="2"/>
        <scheme val="minor"/>
      </rPr>
      <t xml:space="preserve"> - State Professional Development Staff
</t>
    </r>
    <r>
      <rPr>
        <b/>
        <sz val="11"/>
        <color theme="1"/>
        <rFont val="Calibri"/>
        <family val="2"/>
        <scheme val="minor"/>
      </rPr>
      <t>07</t>
    </r>
    <r>
      <rPr>
        <sz val="11"/>
        <color theme="1"/>
        <rFont val="Calibri"/>
        <family val="2"/>
        <scheme val="minor"/>
      </rPr>
      <t xml:space="preserve"> - Regional Professional Development Staff
</t>
    </r>
    <r>
      <rPr>
        <b/>
        <sz val="11"/>
        <color theme="1"/>
        <rFont val="Calibri"/>
        <family val="2"/>
        <scheme val="minor"/>
      </rPr>
      <t>08</t>
    </r>
    <r>
      <rPr>
        <sz val="11"/>
        <color theme="1"/>
        <rFont val="Calibri"/>
        <family val="2"/>
        <scheme val="minor"/>
      </rPr>
      <t xml:space="preserve"> - Local Professional Development Staff
</t>
    </r>
  </si>
  <si>
    <r>
      <t>FullTimePaid</t>
    </r>
    <r>
      <rPr>
        <sz val="11"/>
        <color theme="1"/>
        <rFont val="Calibri"/>
        <family val="2"/>
        <scheme val="minor"/>
      </rPr>
      <t xml:space="preserve"> - Full-time paid
</t>
    </r>
    <r>
      <rPr>
        <b/>
        <sz val="11"/>
        <color theme="1"/>
        <rFont val="Calibri"/>
        <family val="2"/>
        <scheme val="minor"/>
      </rPr>
      <t>PartTimePaid</t>
    </r>
    <r>
      <rPr>
        <sz val="11"/>
        <color theme="1"/>
        <rFont val="Calibri"/>
        <family val="2"/>
        <scheme val="minor"/>
      </rPr>
      <t xml:space="preserve"> - Part-time paid
</t>
    </r>
    <r>
      <rPr>
        <b/>
        <sz val="11"/>
        <color theme="1"/>
        <rFont val="Calibri"/>
        <family val="2"/>
        <scheme val="minor"/>
      </rPr>
      <t>FullTimeVolunteer</t>
    </r>
    <r>
      <rPr>
        <sz val="11"/>
        <color theme="1"/>
        <rFont val="Calibri"/>
        <family val="2"/>
        <scheme val="minor"/>
      </rPr>
      <t xml:space="preserve"> - Full-time volunteer
</t>
    </r>
    <r>
      <rPr>
        <b/>
        <sz val="11"/>
        <color theme="1"/>
        <rFont val="Calibri"/>
        <family val="2"/>
        <scheme val="minor"/>
      </rPr>
      <t>PartTimeVolunteer</t>
    </r>
    <r>
      <rPr>
        <sz val="11"/>
        <color theme="1"/>
        <rFont val="Calibri"/>
        <family val="2"/>
        <scheme val="minor"/>
      </rPr>
      <t xml:space="preserve"> - Part-time volunteer
</t>
    </r>
  </si>
  <si>
    <r>
      <t>ABEBegLit</t>
    </r>
    <r>
      <rPr>
        <sz val="11"/>
        <color theme="1"/>
        <rFont val="Calibri"/>
        <family val="2"/>
        <scheme val="minor"/>
      </rPr>
      <t xml:space="preserve"> - ABE Beginning Literacy
</t>
    </r>
    <r>
      <rPr>
        <b/>
        <sz val="11"/>
        <color theme="1"/>
        <rFont val="Calibri"/>
        <family val="2"/>
        <scheme val="minor"/>
      </rPr>
      <t>ABEBegBasic</t>
    </r>
    <r>
      <rPr>
        <sz val="11"/>
        <color theme="1"/>
        <rFont val="Calibri"/>
        <family val="2"/>
        <scheme val="minor"/>
      </rPr>
      <t xml:space="preserve"> - Beginning Basic Education
</t>
    </r>
    <r>
      <rPr>
        <b/>
        <sz val="11"/>
        <color theme="1"/>
        <rFont val="Calibri"/>
        <family val="2"/>
        <scheme val="minor"/>
      </rPr>
      <t>ABEIntLow</t>
    </r>
    <r>
      <rPr>
        <sz val="11"/>
        <color theme="1"/>
        <rFont val="Calibri"/>
        <family val="2"/>
        <scheme val="minor"/>
      </rPr>
      <t xml:space="preserve"> - Low Intermediate Basic Education
</t>
    </r>
    <r>
      <rPr>
        <b/>
        <sz val="11"/>
        <color theme="1"/>
        <rFont val="Calibri"/>
        <family val="2"/>
        <scheme val="minor"/>
      </rPr>
      <t>ABEIntHigh</t>
    </r>
    <r>
      <rPr>
        <sz val="11"/>
        <color theme="1"/>
        <rFont val="Calibri"/>
        <family val="2"/>
        <scheme val="minor"/>
      </rPr>
      <t xml:space="preserve"> - High Intermediate Basic Education
</t>
    </r>
    <r>
      <rPr>
        <b/>
        <sz val="11"/>
        <color theme="1"/>
        <rFont val="Calibri"/>
        <family val="2"/>
        <scheme val="minor"/>
      </rPr>
      <t>ASELow</t>
    </r>
    <r>
      <rPr>
        <sz val="11"/>
        <color theme="1"/>
        <rFont val="Calibri"/>
        <family val="2"/>
        <scheme val="minor"/>
      </rPr>
      <t xml:space="preserve"> - Adult Secondary Education Low
</t>
    </r>
    <r>
      <rPr>
        <b/>
        <sz val="11"/>
        <color theme="1"/>
        <rFont val="Calibri"/>
        <family val="2"/>
        <scheme val="minor"/>
      </rPr>
      <t>ASEHigh</t>
    </r>
    <r>
      <rPr>
        <sz val="11"/>
        <color theme="1"/>
        <rFont val="Calibri"/>
        <family val="2"/>
        <scheme val="minor"/>
      </rPr>
      <t xml:space="preserve"> - Adult Secondary Education High
</t>
    </r>
    <r>
      <rPr>
        <b/>
        <sz val="11"/>
        <color theme="1"/>
        <rFont val="Calibri"/>
        <family val="2"/>
        <scheme val="minor"/>
      </rPr>
      <t>ESLBegLit</t>
    </r>
    <r>
      <rPr>
        <sz val="11"/>
        <color theme="1"/>
        <rFont val="Calibri"/>
        <family val="2"/>
        <scheme val="minor"/>
      </rPr>
      <t xml:space="preserve"> - Beginning ESL Literacy
</t>
    </r>
    <r>
      <rPr>
        <b/>
        <sz val="11"/>
        <color theme="1"/>
        <rFont val="Calibri"/>
        <family val="2"/>
        <scheme val="minor"/>
      </rPr>
      <t>ESLBegLow</t>
    </r>
    <r>
      <rPr>
        <sz val="11"/>
        <color theme="1"/>
        <rFont val="Calibri"/>
        <family val="2"/>
        <scheme val="minor"/>
      </rPr>
      <t xml:space="preserve"> - ESL Low Beginning
</t>
    </r>
    <r>
      <rPr>
        <b/>
        <sz val="11"/>
        <color theme="1"/>
        <rFont val="Calibri"/>
        <family val="2"/>
        <scheme val="minor"/>
      </rPr>
      <t>ESLBegHigh</t>
    </r>
    <r>
      <rPr>
        <sz val="11"/>
        <color theme="1"/>
        <rFont val="Calibri"/>
        <family val="2"/>
        <scheme val="minor"/>
      </rPr>
      <t xml:space="preserve"> - ESL High Beginning
</t>
    </r>
    <r>
      <rPr>
        <b/>
        <sz val="11"/>
        <color theme="1"/>
        <rFont val="Calibri"/>
        <family val="2"/>
        <scheme val="minor"/>
      </rPr>
      <t>ESLIntLow</t>
    </r>
    <r>
      <rPr>
        <sz val="11"/>
        <color theme="1"/>
        <rFont val="Calibri"/>
        <family val="2"/>
        <scheme val="minor"/>
      </rPr>
      <t xml:space="preserve"> - ESL Low Intermediate
</t>
    </r>
    <r>
      <rPr>
        <b/>
        <sz val="11"/>
        <color theme="1"/>
        <rFont val="Calibri"/>
        <family val="2"/>
        <scheme val="minor"/>
      </rPr>
      <t>ESLIntHigh</t>
    </r>
    <r>
      <rPr>
        <sz val="11"/>
        <color theme="1"/>
        <rFont val="Calibri"/>
        <family val="2"/>
        <scheme val="minor"/>
      </rPr>
      <t xml:space="preserve"> - ESL Intermediate High
</t>
    </r>
    <r>
      <rPr>
        <b/>
        <sz val="11"/>
        <color theme="1"/>
        <rFont val="Calibri"/>
        <family val="2"/>
        <scheme val="minor"/>
      </rPr>
      <t>ESLAdv</t>
    </r>
    <r>
      <rPr>
        <sz val="11"/>
        <color theme="1"/>
        <rFont val="Calibri"/>
        <family val="2"/>
        <scheme val="minor"/>
      </rPr>
      <t xml:space="preserve"> - ESL Advanced
</t>
    </r>
  </si>
  <si>
    <r>
      <t>ArtHistory</t>
    </r>
    <r>
      <rPr>
        <sz val="11"/>
        <color theme="1"/>
        <rFont val="Calibri"/>
        <family val="2"/>
        <scheme val="minor"/>
      </rPr>
      <t xml:space="preserve"> - Art History
</t>
    </r>
    <r>
      <rPr>
        <b/>
        <sz val="11"/>
        <color theme="1"/>
        <rFont val="Calibri"/>
        <family val="2"/>
        <scheme val="minor"/>
      </rPr>
      <t>Biology</t>
    </r>
    <r>
      <rPr>
        <sz val="11"/>
        <color theme="1"/>
        <rFont val="Calibri"/>
        <family val="2"/>
        <scheme val="minor"/>
      </rPr>
      <t xml:space="preserve"> - Biology
</t>
    </r>
    <r>
      <rPr>
        <b/>
        <sz val="11"/>
        <color theme="1"/>
        <rFont val="Calibri"/>
        <family val="2"/>
        <scheme val="minor"/>
      </rPr>
      <t>CalculusAB</t>
    </r>
    <r>
      <rPr>
        <sz val="11"/>
        <color theme="1"/>
        <rFont val="Calibri"/>
        <family val="2"/>
        <scheme val="minor"/>
      </rPr>
      <t xml:space="preserve"> - Calculus AB
</t>
    </r>
    <r>
      <rPr>
        <b/>
        <sz val="11"/>
        <color theme="1"/>
        <rFont val="Calibri"/>
        <family val="2"/>
        <scheme val="minor"/>
      </rPr>
      <t>CalculusBC</t>
    </r>
    <r>
      <rPr>
        <sz val="11"/>
        <color theme="1"/>
        <rFont val="Calibri"/>
        <family val="2"/>
        <scheme val="minor"/>
      </rPr>
      <t xml:space="preserve"> - Calculus BC
</t>
    </r>
    <r>
      <rPr>
        <b/>
        <sz val="11"/>
        <color theme="1"/>
        <rFont val="Calibri"/>
        <family val="2"/>
        <scheme val="minor"/>
      </rPr>
      <t>Chemistry</t>
    </r>
    <r>
      <rPr>
        <sz val="11"/>
        <color theme="1"/>
        <rFont val="Calibri"/>
        <family val="2"/>
        <scheme val="minor"/>
      </rPr>
      <t xml:space="preserve"> - Chemistry
</t>
    </r>
    <r>
      <rPr>
        <b/>
        <sz val="11"/>
        <color theme="1"/>
        <rFont val="Calibri"/>
        <family val="2"/>
        <scheme val="minor"/>
      </rPr>
      <t>ComputerScienceA</t>
    </r>
    <r>
      <rPr>
        <sz val="11"/>
        <color theme="1"/>
        <rFont val="Calibri"/>
        <family val="2"/>
        <scheme val="minor"/>
      </rPr>
      <t xml:space="preserve"> - Computer Science A
</t>
    </r>
    <r>
      <rPr>
        <b/>
        <sz val="11"/>
        <color theme="1"/>
        <rFont val="Calibri"/>
        <family val="2"/>
        <scheme val="minor"/>
      </rPr>
      <t>ComputerScienceAB</t>
    </r>
    <r>
      <rPr>
        <sz val="11"/>
        <color theme="1"/>
        <rFont val="Calibri"/>
        <family val="2"/>
        <scheme val="minor"/>
      </rPr>
      <t xml:space="preserve"> - Computer Science AB
</t>
    </r>
    <r>
      <rPr>
        <b/>
        <sz val="11"/>
        <color theme="1"/>
        <rFont val="Calibri"/>
        <family val="2"/>
        <scheme val="minor"/>
      </rPr>
      <t>Macroeconomics</t>
    </r>
    <r>
      <rPr>
        <sz val="11"/>
        <color theme="1"/>
        <rFont val="Calibri"/>
        <family val="2"/>
        <scheme val="minor"/>
      </rPr>
      <t xml:space="preserve"> - Macroeconomics
</t>
    </r>
    <r>
      <rPr>
        <b/>
        <sz val="11"/>
        <color theme="1"/>
        <rFont val="Calibri"/>
        <family val="2"/>
        <scheme val="minor"/>
      </rPr>
      <t>Microeconomics</t>
    </r>
    <r>
      <rPr>
        <sz val="11"/>
        <color theme="1"/>
        <rFont val="Calibri"/>
        <family val="2"/>
        <scheme val="minor"/>
      </rPr>
      <t xml:space="preserve"> - Microeconomics
</t>
    </r>
    <r>
      <rPr>
        <b/>
        <sz val="11"/>
        <color theme="1"/>
        <rFont val="Calibri"/>
        <family val="2"/>
        <scheme val="minor"/>
      </rPr>
      <t>EnglishLanguage</t>
    </r>
    <r>
      <rPr>
        <sz val="11"/>
        <color theme="1"/>
        <rFont val="Calibri"/>
        <family val="2"/>
        <scheme val="minor"/>
      </rPr>
      <t xml:space="preserve"> - English Language
</t>
    </r>
    <r>
      <rPr>
        <b/>
        <sz val="11"/>
        <color theme="1"/>
        <rFont val="Calibri"/>
        <family val="2"/>
        <scheme val="minor"/>
      </rPr>
      <t>EnglishLiterature</t>
    </r>
    <r>
      <rPr>
        <sz val="11"/>
        <color theme="1"/>
        <rFont val="Calibri"/>
        <family val="2"/>
        <scheme val="minor"/>
      </rPr>
      <t xml:space="preserve"> - English Literature
</t>
    </r>
    <r>
      <rPr>
        <b/>
        <sz val="11"/>
        <color theme="1"/>
        <rFont val="Calibri"/>
        <family val="2"/>
        <scheme val="minor"/>
      </rPr>
      <t>EnvironmentalScience</t>
    </r>
    <r>
      <rPr>
        <sz val="11"/>
        <color theme="1"/>
        <rFont val="Calibri"/>
        <family val="2"/>
        <scheme val="minor"/>
      </rPr>
      <t xml:space="preserve"> - Environmental Science
</t>
    </r>
    <r>
      <rPr>
        <b/>
        <sz val="11"/>
        <color theme="1"/>
        <rFont val="Calibri"/>
        <family val="2"/>
        <scheme val="minor"/>
      </rPr>
      <t>EuropeanHistory</t>
    </r>
    <r>
      <rPr>
        <sz val="11"/>
        <color theme="1"/>
        <rFont val="Calibri"/>
        <family val="2"/>
        <scheme val="minor"/>
      </rPr>
      <t xml:space="preserve"> - European History
</t>
    </r>
    <r>
      <rPr>
        <b/>
        <sz val="11"/>
        <color theme="1"/>
        <rFont val="Calibri"/>
        <family val="2"/>
        <scheme val="minor"/>
      </rPr>
      <t>FrenchLanguage</t>
    </r>
    <r>
      <rPr>
        <sz val="11"/>
        <color theme="1"/>
        <rFont val="Calibri"/>
        <family val="2"/>
        <scheme val="minor"/>
      </rPr>
      <t xml:space="preserve"> - French Language
</t>
    </r>
    <r>
      <rPr>
        <b/>
        <sz val="11"/>
        <color theme="1"/>
        <rFont val="Calibri"/>
        <family val="2"/>
        <scheme val="minor"/>
      </rPr>
      <t>FrenchLiterature</t>
    </r>
    <r>
      <rPr>
        <sz val="11"/>
        <color theme="1"/>
        <rFont val="Calibri"/>
        <family val="2"/>
        <scheme val="minor"/>
      </rPr>
      <t xml:space="preserve"> - French Literature
</t>
    </r>
    <r>
      <rPr>
        <b/>
        <sz val="11"/>
        <color theme="1"/>
        <rFont val="Calibri"/>
        <family val="2"/>
        <scheme val="minor"/>
      </rPr>
      <t>GermanLanguage</t>
    </r>
    <r>
      <rPr>
        <sz val="11"/>
        <color theme="1"/>
        <rFont val="Calibri"/>
        <family val="2"/>
        <scheme val="minor"/>
      </rPr>
      <t xml:space="preserve"> - German Language
</t>
    </r>
    <r>
      <rPr>
        <b/>
        <sz val="11"/>
        <color theme="1"/>
        <rFont val="Calibri"/>
        <family val="2"/>
        <scheme val="minor"/>
      </rPr>
      <t>CompGovernmentAndPolitics</t>
    </r>
    <r>
      <rPr>
        <sz val="11"/>
        <color theme="1"/>
        <rFont val="Calibri"/>
        <family val="2"/>
        <scheme val="minor"/>
      </rPr>
      <t xml:space="preserve"> - Comp Government And Politics
</t>
    </r>
    <r>
      <rPr>
        <b/>
        <sz val="11"/>
        <color theme="1"/>
        <rFont val="Calibri"/>
        <family val="2"/>
        <scheme val="minor"/>
      </rPr>
      <t>USGovernmentAndPolitics</t>
    </r>
    <r>
      <rPr>
        <sz val="11"/>
        <color theme="1"/>
        <rFont val="Calibri"/>
        <family val="2"/>
        <scheme val="minor"/>
      </rPr>
      <t xml:space="preserve"> - US Government And Politics
</t>
    </r>
    <r>
      <rPr>
        <b/>
        <sz val="11"/>
        <color theme="1"/>
        <rFont val="Calibri"/>
        <family val="2"/>
        <scheme val="minor"/>
      </rPr>
      <t>HumanGeography</t>
    </r>
    <r>
      <rPr>
        <sz val="11"/>
        <color theme="1"/>
        <rFont val="Calibri"/>
        <family val="2"/>
        <scheme val="minor"/>
      </rPr>
      <t xml:space="preserve"> - Human Geography
</t>
    </r>
    <r>
      <rPr>
        <b/>
        <sz val="11"/>
        <color theme="1"/>
        <rFont val="Calibri"/>
        <family val="2"/>
        <scheme val="minor"/>
      </rPr>
      <t>ItalianLanguageAndCulture</t>
    </r>
    <r>
      <rPr>
        <sz val="11"/>
        <color theme="1"/>
        <rFont val="Calibri"/>
        <family val="2"/>
        <scheme val="minor"/>
      </rPr>
      <t xml:space="preserve"> - Italian Language And Culture
</t>
    </r>
    <r>
      <rPr>
        <b/>
        <sz val="11"/>
        <color theme="1"/>
        <rFont val="Calibri"/>
        <family val="2"/>
        <scheme val="minor"/>
      </rPr>
      <t>LatinLiterature</t>
    </r>
    <r>
      <rPr>
        <sz val="11"/>
        <color theme="1"/>
        <rFont val="Calibri"/>
        <family val="2"/>
        <scheme val="minor"/>
      </rPr>
      <t xml:space="preserve"> - Latin Literature
</t>
    </r>
    <r>
      <rPr>
        <b/>
        <sz val="11"/>
        <color theme="1"/>
        <rFont val="Calibri"/>
        <family val="2"/>
        <scheme val="minor"/>
      </rPr>
      <t>LatinVergil</t>
    </r>
    <r>
      <rPr>
        <sz val="11"/>
        <color theme="1"/>
        <rFont val="Calibri"/>
        <family val="2"/>
        <scheme val="minor"/>
      </rPr>
      <t xml:space="preserve"> - Latin Vergil
</t>
    </r>
    <r>
      <rPr>
        <b/>
        <sz val="11"/>
        <color theme="1"/>
        <rFont val="Calibri"/>
        <family val="2"/>
        <scheme val="minor"/>
      </rPr>
      <t>MusicTheory</t>
    </r>
    <r>
      <rPr>
        <sz val="11"/>
        <color theme="1"/>
        <rFont val="Calibri"/>
        <family val="2"/>
        <scheme val="minor"/>
      </rPr>
      <t xml:space="preserve"> - Music Theory
</t>
    </r>
    <r>
      <rPr>
        <b/>
        <sz val="11"/>
        <color theme="1"/>
        <rFont val="Calibri"/>
        <family val="2"/>
        <scheme val="minor"/>
      </rPr>
      <t>PhysicsB</t>
    </r>
    <r>
      <rPr>
        <sz val="11"/>
        <color theme="1"/>
        <rFont val="Calibri"/>
        <family val="2"/>
        <scheme val="minor"/>
      </rPr>
      <t xml:space="preserve"> - Physics B
</t>
    </r>
    <r>
      <rPr>
        <b/>
        <sz val="11"/>
        <color theme="1"/>
        <rFont val="Calibri"/>
        <family val="2"/>
        <scheme val="minor"/>
      </rPr>
      <t>PhysicsC</t>
    </r>
    <r>
      <rPr>
        <sz val="11"/>
        <color theme="1"/>
        <rFont val="Calibri"/>
        <family val="2"/>
        <scheme val="minor"/>
      </rPr>
      <t xml:space="preserve"> - Physics C
</t>
    </r>
    <r>
      <rPr>
        <b/>
        <sz val="11"/>
        <color theme="1"/>
        <rFont val="Calibri"/>
        <family val="2"/>
        <scheme val="minor"/>
      </rPr>
      <t>Psychology</t>
    </r>
    <r>
      <rPr>
        <sz val="11"/>
        <color theme="1"/>
        <rFont val="Calibri"/>
        <family val="2"/>
        <scheme val="minor"/>
      </rPr>
      <t xml:space="preserve"> - Psychology
</t>
    </r>
    <r>
      <rPr>
        <b/>
        <sz val="11"/>
        <color theme="1"/>
        <rFont val="Calibri"/>
        <family val="2"/>
        <scheme val="minor"/>
      </rPr>
      <t>SpanishLanguage</t>
    </r>
    <r>
      <rPr>
        <sz val="11"/>
        <color theme="1"/>
        <rFont val="Calibri"/>
        <family val="2"/>
        <scheme val="minor"/>
      </rPr>
      <t xml:space="preserve"> - Spanish Language
</t>
    </r>
    <r>
      <rPr>
        <b/>
        <sz val="11"/>
        <color theme="1"/>
        <rFont val="Calibri"/>
        <family val="2"/>
        <scheme val="minor"/>
      </rPr>
      <t>SpanishLiterature</t>
    </r>
    <r>
      <rPr>
        <sz val="11"/>
        <color theme="1"/>
        <rFont val="Calibri"/>
        <family val="2"/>
        <scheme val="minor"/>
      </rPr>
      <t xml:space="preserve"> - Spanish Literature
</t>
    </r>
    <r>
      <rPr>
        <b/>
        <sz val="11"/>
        <color theme="1"/>
        <rFont val="Calibri"/>
        <family val="2"/>
        <scheme val="minor"/>
      </rPr>
      <t>Statistics</t>
    </r>
    <r>
      <rPr>
        <sz val="11"/>
        <color theme="1"/>
        <rFont val="Calibri"/>
        <family val="2"/>
        <scheme val="minor"/>
      </rPr>
      <t xml:space="preserve"> - Statistics
</t>
    </r>
    <r>
      <rPr>
        <b/>
        <sz val="11"/>
        <color theme="1"/>
        <rFont val="Calibri"/>
        <family val="2"/>
        <scheme val="minor"/>
      </rPr>
      <t>StudioArt</t>
    </r>
    <r>
      <rPr>
        <sz val="11"/>
        <color theme="1"/>
        <rFont val="Calibri"/>
        <family val="2"/>
        <scheme val="minor"/>
      </rPr>
      <t xml:space="preserve"> - Studio Art
</t>
    </r>
    <r>
      <rPr>
        <b/>
        <sz val="11"/>
        <color theme="1"/>
        <rFont val="Calibri"/>
        <family val="2"/>
        <scheme val="minor"/>
      </rPr>
      <t>USHistory</t>
    </r>
    <r>
      <rPr>
        <sz val="11"/>
        <color theme="1"/>
        <rFont val="Calibri"/>
        <family val="2"/>
        <scheme val="minor"/>
      </rPr>
      <t xml:space="preserve"> - US History
</t>
    </r>
    <r>
      <rPr>
        <b/>
        <sz val="11"/>
        <color theme="1"/>
        <rFont val="Calibri"/>
        <family val="2"/>
        <scheme val="minor"/>
      </rPr>
      <t>WorldHistory</t>
    </r>
    <r>
      <rPr>
        <sz val="11"/>
        <color theme="1"/>
        <rFont val="Calibri"/>
        <family val="2"/>
        <scheme val="minor"/>
      </rPr>
      <t xml:space="preserve"> - World History
</t>
    </r>
  </si>
  <si>
    <r>
      <t>Mild</t>
    </r>
    <r>
      <rPr>
        <sz val="11"/>
        <color theme="1"/>
        <rFont val="Calibri"/>
        <family val="2"/>
        <scheme val="minor"/>
      </rPr>
      <t xml:space="preserve"> - Mild allergic reaction
</t>
    </r>
    <r>
      <rPr>
        <b/>
        <sz val="11"/>
        <color theme="1"/>
        <rFont val="Calibri"/>
        <family val="2"/>
        <scheme val="minor"/>
      </rPr>
      <t>Severe</t>
    </r>
    <r>
      <rPr>
        <sz val="11"/>
        <color theme="1"/>
        <rFont val="Calibri"/>
        <family val="2"/>
        <scheme val="minor"/>
      </rPr>
      <t xml:space="preserve"> - Severe allergic reaction
</t>
    </r>
  </si>
  <si>
    <r>
      <t>417930000</t>
    </r>
    <r>
      <rPr>
        <sz val="11"/>
        <color theme="1"/>
        <rFont val="Calibri"/>
        <family val="2"/>
        <scheme val="minor"/>
      </rPr>
      <t xml:space="preserve"> - Allergy to adhesive
</t>
    </r>
    <r>
      <rPr>
        <b/>
        <sz val="11"/>
        <color theme="1"/>
        <rFont val="Calibri"/>
        <family val="2"/>
        <scheme val="minor"/>
      </rPr>
      <t>419238009</t>
    </r>
    <r>
      <rPr>
        <sz val="11"/>
        <color theme="1"/>
        <rFont val="Calibri"/>
        <family val="2"/>
        <scheme val="minor"/>
      </rPr>
      <t xml:space="preserve"> - Allergy to adhesive bandage
</t>
    </r>
    <r>
      <rPr>
        <b/>
        <sz val="11"/>
        <color theme="1"/>
        <rFont val="Calibri"/>
        <family val="2"/>
        <scheme val="minor"/>
      </rPr>
      <t>420140004</t>
    </r>
    <r>
      <rPr>
        <sz val="11"/>
        <color theme="1"/>
        <rFont val="Calibri"/>
        <family val="2"/>
        <scheme val="minor"/>
      </rPr>
      <t xml:space="preserve"> - Allergy to alcohol
</t>
    </r>
    <r>
      <rPr>
        <b/>
        <sz val="11"/>
        <color theme="1"/>
        <rFont val="Calibri"/>
        <family val="2"/>
        <scheme val="minor"/>
      </rPr>
      <t>418606003</t>
    </r>
    <r>
      <rPr>
        <sz val="11"/>
        <color theme="1"/>
        <rFont val="Calibri"/>
        <family val="2"/>
        <scheme val="minor"/>
      </rPr>
      <t xml:space="preserve"> - Allergy to almond oil
</t>
    </r>
    <r>
      <rPr>
        <b/>
        <sz val="11"/>
        <color theme="1"/>
        <rFont val="Calibri"/>
        <family val="2"/>
        <scheme val="minor"/>
      </rPr>
      <t>439109008</t>
    </r>
    <r>
      <rPr>
        <sz val="11"/>
        <color theme="1"/>
        <rFont val="Calibri"/>
        <family val="2"/>
        <scheme val="minor"/>
      </rPr>
      <t xml:space="preserve"> - Allergy to alpha glucoside inhibitor
</t>
    </r>
    <r>
      <rPr>
        <b/>
        <sz val="11"/>
        <color theme="1"/>
        <rFont val="Calibri"/>
        <family val="2"/>
        <scheme val="minor"/>
      </rPr>
      <t>402306009</t>
    </r>
    <r>
      <rPr>
        <sz val="11"/>
        <color theme="1"/>
        <rFont val="Calibri"/>
        <family val="2"/>
        <scheme val="minor"/>
      </rPr>
      <t xml:space="preserve"> - Allergy to aluminum
</t>
    </r>
    <r>
      <rPr>
        <b/>
        <sz val="11"/>
        <color theme="1"/>
        <rFont val="Calibri"/>
        <family val="2"/>
        <scheme val="minor"/>
      </rPr>
      <t>439405005</t>
    </r>
    <r>
      <rPr>
        <sz val="11"/>
        <color theme="1"/>
        <rFont val="Calibri"/>
        <family val="2"/>
        <scheme val="minor"/>
      </rPr>
      <t xml:space="preserve"> - Allergy to angiotensin II receptor antagonist
</t>
    </r>
    <r>
      <rPr>
        <b/>
        <sz val="11"/>
        <color theme="1"/>
        <rFont val="Calibri"/>
        <family val="2"/>
        <scheme val="minor"/>
      </rPr>
      <t>232347008</t>
    </r>
    <r>
      <rPr>
        <sz val="11"/>
        <color theme="1"/>
        <rFont val="Calibri"/>
        <family val="2"/>
        <scheme val="minor"/>
      </rPr>
      <t xml:space="preserve"> - Allergy to animal
</t>
    </r>
    <r>
      <rPr>
        <b/>
        <sz val="11"/>
        <color theme="1"/>
        <rFont val="Calibri"/>
        <family val="2"/>
        <scheme val="minor"/>
      </rPr>
      <t>300911008</t>
    </r>
    <r>
      <rPr>
        <sz val="11"/>
        <color theme="1"/>
        <rFont val="Calibri"/>
        <family val="2"/>
        <scheme val="minor"/>
      </rPr>
      <t xml:space="preserve"> - Allergy to animal hair
</t>
    </r>
    <r>
      <rPr>
        <b/>
        <sz val="11"/>
        <color theme="1"/>
        <rFont val="Calibri"/>
        <family val="2"/>
        <scheme val="minor"/>
      </rPr>
      <t>91929009</t>
    </r>
    <r>
      <rPr>
        <sz val="11"/>
        <color theme="1"/>
        <rFont val="Calibri"/>
        <family val="2"/>
        <scheme val="minor"/>
      </rPr>
      <t xml:space="preserve"> - Allergy to anti-infective agent
</t>
    </r>
    <r>
      <rPr>
        <b/>
        <sz val="11"/>
        <color theme="1"/>
        <rFont val="Calibri"/>
        <family val="2"/>
        <scheme val="minor"/>
      </rPr>
      <t>418314004</t>
    </r>
    <r>
      <rPr>
        <sz val="11"/>
        <color theme="1"/>
        <rFont val="Calibri"/>
        <family val="2"/>
        <scheme val="minor"/>
      </rPr>
      <t xml:space="preserve"> - Allergy to apple juice
</t>
    </r>
    <r>
      <rPr>
        <b/>
        <sz val="11"/>
        <color theme="1"/>
        <rFont val="Calibri"/>
        <family val="2"/>
        <scheme val="minor"/>
      </rPr>
      <t>419180003</t>
    </r>
    <r>
      <rPr>
        <sz val="11"/>
        <color theme="1"/>
        <rFont val="Calibri"/>
        <family val="2"/>
        <scheme val="minor"/>
      </rPr>
      <t xml:space="preserve"> - Allergy to aspartame
</t>
    </r>
    <r>
      <rPr>
        <b/>
        <sz val="11"/>
        <color theme="1"/>
        <rFont val="Calibri"/>
        <family val="2"/>
        <scheme val="minor"/>
      </rPr>
      <t>294314002</t>
    </r>
    <r>
      <rPr>
        <sz val="11"/>
        <color theme="1"/>
        <rFont val="Calibri"/>
        <family val="2"/>
        <scheme val="minor"/>
      </rPr>
      <t xml:space="preserve"> - Allergy to bases and inactive substances
</t>
    </r>
    <r>
      <rPr>
        <b/>
        <sz val="11"/>
        <color theme="1"/>
        <rFont val="Calibri"/>
        <family val="2"/>
        <scheme val="minor"/>
      </rPr>
      <t>424213003</t>
    </r>
    <r>
      <rPr>
        <sz val="11"/>
        <color theme="1"/>
        <rFont val="Calibri"/>
        <family val="2"/>
        <scheme val="minor"/>
      </rPr>
      <t xml:space="preserve"> - Allergy to bee venom
</t>
    </r>
    <r>
      <rPr>
        <b/>
        <sz val="11"/>
        <color theme="1"/>
        <rFont val="Calibri"/>
        <family val="2"/>
        <scheme val="minor"/>
      </rPr>
      <t>402591008</t>
    </r>
    <r>
      <rPr>
        <sz val="11"/>
        <color theme="1"/>
        <rFont val="Calibri"/>
        <family val="2"/>
        <scheme val="minor"/>
      </rPr>
      <t xml:space="preserve"> - Allergy to biocide
</t>
    </r>
    <r>
      <rPr>
        <b/>
        <sz val="11"/>
        <color theme="1"/>
        <rFont val="Calibri"/>
        <family val="2"/>
        <scheme val="minor"/>
      </rPr>
      <t>402590009</t>
    </r>
    <r>
      <rPr>
        <sz val="11"/>
        <color theme="1"/>
        <rFont val="Calibri"/>
        <family val="2"/>
        <scheme val="minor"/>
      </rPr>
      <t xml:space="preserve"> - Allergy to biocide in cosmetic
</t>
    </r>
    <r>
      <rPr>
        <b/>
        <sz val="11"/>
        <color theme="1"/>
        <rFont val="Calibri"/>
        <family val="2"/>
        <scheme val="minor"/>
      </rPr>
      <t>418344001</t>
    </r>
    <r>
      <rPr>
        <sz val="11"/>
        <color theme="1"/>
        <rFont val="Calibri"/>
        <family val="2"/>
        <scheme val="minor"/>
      </rPr>
      <t xml:space="preserve"> - Allergy to caffeine
</t>
    </r>
    <r>
      <rPr>
        <b/>
        <sz val="11"/>
        <color theme="1"/>
        <rFont val="Calibri"/>
        <family val="2"/>
        <scheme val="minor"/>
      </rPr>
      <t>420080006</t>
    </r>
    <r>
      <rPr>
        <sz val="11"/>
        <color theme="1"/>
        <rFont val="Calibri"/>
        <family val="2"/>
        <scheme val="minor"/>
      </rPr>
      <t xml:space="preserve"> - Allergy to carrot
</t>
    </r>
    <r>
      <rPr>
        <b/>
        <sz val="11"/>
        <color theme="1"/>
        <rFont val="Calibri"/>
        <family val="2"/>
        <scheme val="minor"/>
      </rPr>
      <t>232346004</t>
    </r>
    <r>
      <rPr>
        <sz val="11"/>
        <color theme="1"/>
        <rFont val="Calibri"/>
        <family val="2"/>
        <scheme val="minor"/>
      </rPr>
      <t xml:space="preserve"> - Allergy to cat dander
</t>
    </r>
    <r>
      <rPr>
        <b/>
        <sz val="11"/>
        <color theme="1"/>
        <rFont val="Calibri"/>
        <family val="2"/>
        <scheme val="minor"/>
      </rPr>
      <t>418051002</t>
    </r>
    <r>
      <rPr>
        <sz val="11"/>
        <color theme="1"/>
        <rFont val="Calibri"/>
        <family val="2"/>
        <scheme val="minor"/>
      </rPr>
      <t xml:space="preserve"> - Allergy to cherry
</t>
    </r>
    <r>
      <rPr>
        <b/>
        <sz val="11"/>
        <color theme="1"/>
        <rFont val="Calibri"/>
        <family val="2"/>
        <scheme val="minor"/>
      </rPr>
      <t>441931002</t>
    </r>
    <r>
      <rPr>
        <sz val="11"/>
        <color theme="1"/>
        <rFont val="Calibri"/>
        <family val="2"/>
        <scheme val="minor"/>
      </rPr>
      <t xml:space="preserve"> - Allergy to chloroprocaine
</t>
    </r>
    <r>
      <rPr>
        <b/>
        <sz val="11"/>
        <color theme="1"/>
        <rFont val="Calibri"/>
        <family val="2"/>
        <scheme val="minor"/>
      </rPr>
      <t>418397007</t>
    </r>
    <r>
      <rPr>
        <sz val="11"/>
        <color theme="1"/>
        <rFont val="Calibri"/>
        <family val="2"/>
        <scheme val="minor"/>
      </rPr>
      <t xml:space="preserve"> - Allergy to cinnamon
</t>
    </r>
    <r>
      <rPr>
        <b/>
        <sz val="11"/>
        <color theme="1"/>
        <rFont val="Calibri"/>
        <family val="2"/>
        <scheme val="minor"/>
      </rPr>
      <t>448438007</t>
    </r>
    <r>
      <rPr>
        <sz val="11"/>
        <color theme="1"/>
        <rFont val="Calibri"/>
        <family val="2"/>
        <scheme val="minor"/>
      </rPr>
      <t xml:space="preserve"> - Allergy to cisatracurium
</t>
    </r>
    <r>
      <rPr>
        <b/>
        <sz val="11"/>
        <color theme="1"/>
        <rFont val="Calibri"/>
        <family val="2"/>
        <scheme val="minor"/>
      </rPr>
      <t>418085001</t>
    </r>
    <r>
      <rPr>
        <sz val="11"/>
        <color theme="1"/>
        <rFont val="Calibri"/>
        <family val="2"/>
        <scheme val="minor"/>
      </rPr>
      <t xml:space="preserve"> - Allergy to citrus fruit
</t>
    </r>
    <r>
      <rPr>
        <b/>
        <sz val="11"/>
        <color theme="1"/>
        <rFont val="Calibri"/>
        <family val="2"/>
        <scheme val="minor"/>
      </rPr>
      <t>419814004</t>
    </r>
    <r>
      <rPr>
        <sz val="11"/>
        <color theme="1"/>
        <rFont val="Calibri"/>
        <family val="2"/>
        <scheme val="minor"/>
      </rPr>
      <t xml:space="preserve"> - Allergy to coconut oil
</t>
    </r>
    <r>
      <rPr>
        <b/>
        <sz val="11"/>
        <color theme="1"/>
        <rFont val="Calibri"/>
        <family val="2"/>
        <scheme val="minor"/>
      </rPr>
      <t>419573007</t>
    </r>
    <r>
      <rPr>
        <sz val="11"/>
        <color theme="1"/>
        <rFont val="Calibri"/>
        <family val="2"/>
        <scheme val="minor"/>
      </rPr>
      <t xml:space="preserve"> - Allergy to corn
</t>
    </r>
    <r>
      <rPr>
        <b/>
        <sz val="11"/>
        <color theme="1"/>
        <rFont val="Calibri"/>
        <family val="2"/>
        <scheme val="minor"/>
      </rPr>
      <t>417982003</t>
    </r>
    <r>
      <rPr>
        <sz val="11"/>
        <color theme="1"/>
        <rFont val="Calibri"/>
        <family val="2"/>
        <scheme val="minor"/>
      </rPr>
      <t xml:space="preserve"> - Allergy to cosmetic
</t>
    </r>
    <r>
      <rPr>
        <b/>
        <sz val="11"/>
        <color theme="1"/>
        <rFont val="Calibri"/>
        <family val="2"/>
        <scheme val="minor"/>
      </rPr>
      <t>425525006</t>
    </r>
    <r>
      <rPr>
        <sz val="11"/>
        <color theme="1"/>
        <rFont val="Calibri"/>
        <family val="2"/>
        <scheme val="minor"/>
      </rPr>
      <t xml:space="preserve"> - Allergy to dairy product
</t>
    </r>
    <r>
      <rPr>
        <b/>
        <sz val="11"/>
        <color theme="1"/>
        <rFont val="Calibri"/>
        <family val="2"/>
        <scheme val="minor"/>
      </rPr>
      <t>447961002</t>
    </r>
    <r>
      <rPr>
        <sz val="11"/>
        <color theme="1"/>
        <rFont val="Calibri"/>
        <family val="2"/>
        <scheme val="minor"/>
      </rPr>
      <t xml:space="preserve"> - Allergy to dietary mushroom
</t>
    </r>
    <r>
      <rPr>
        <b/>
        <sz val="11"/>
        <color theme="1"/>
        <rFont val="Calibri"/>
        <family val="2"/>
        <scheme val="minor"/>
      </rPr>
      <t>419271008</t>
    </r>
    <r>
      <rPr>
        <sz val="11"/>
        <color theme="1"/>
        <rFont val="Calibri"/>
        <family val="2"/>
        <scheme val="minor"/>
      </rPr>
      <t xml:space="preserve"> - Allergy to dog dander
</t>
    </r>
    <r>
      <rPr>
        <b/>
        <sz val="11"/>
        <color theme="1"/>
        <rFont val="Calibri"/>
        <family val="2"/>
        <scheme val="minor"/>
      </rPr>
      <t>449324007</t>
    </r>
    <r>
      <rPr>
        <sz val="11"/>
        <color theme="1"/>
        <rFont val="Calibri"/>
        <family val="2"/>
        <scheme val="minor"/>
      </rPr>
      <t xml:space="preserve"> - Allergy to doxacurium
</t>
    </r>
    <r>
      <rPr>
        <b/>
        <sz val="11"/>
        <color theme="1"/>
        <rFont val="Calibri"/>
        <family val="2"/>
        <scheme val="minor"/>
      </rPr>
      <t>416098002</t>
    </r>
    <r>
      <rPr>
        <sz val="11"/>
        <color theme="1"/>
        <rFont val="Calibri"/>
        <family val="2"/>
        <scheme val="minor"/>
      </rPr>
      <t xml:space="preserve"> - Allergy to drug
</t>
    </r>
    <r>
      <rPr>
        <b/>
        <sz val="11"/>
        <color theme="1"/>
        <rFont val="Calibri"/>
        <family val="2"/>
        <scheme val="minor"/>
      </rPr>
      <t>402592001</t>
    </r>
    <r>
      <rPr>
        <sz val="11"/>
        <color theme="1"/>
        <rFont val="Calibri"/>
        <family val="2"/>
        <scheme val="minor"/>
      </rPr>
      <t xml:space="preserve"> - Allergy to drug in contact with skin
</t>
    </r>
    <r>
      <rPr>
        <b/>
        <sz val="11"/>
        <color theme="1"/>
        <rFont val="Calibri"/>
        <family val="2"/>
        <scheme val="minor"/>
      </rPr>
      <t>402593006</t>
    </r>
    <r>
      <rPr>
        <sz val="11"/>
        <color theme="1"/>
        <rFont val="Calibri"/>
        <family val="2"/>
        <scheme val="minor"/>
      </rPr>
      <t xml:space="preserve"> - Allergy to drug vehicle
</t>
    </r>
    <r>
      <rPr>
        <b/>
        <sz val="11"/>
        <color theme="1"/>
        <rFont val="Calibri"/>
        <family val="2"/>
        <scheme val="minor"/>
      </rPr>
      <t>418545001</t>
    </r>
    <r>
      <rPr>
        <sz val="11"/>
        <color theme="1"/>
        <rFont val="Calibri"/>
        <family val="2"/>
        <scheme val="minor"/>
      </rPr>
      <t xml:space="preserve"> - Allergy to dye
</t>
    </r>
    <r>
      <rPr>
        <b/>
        <sz val="11"/>
        <color theme="1"/>
        <rFont val="Calibri"/>
        <family val="2"/>
        <scheme val="minor"/>
      </rPr>
      <t>91930004</t>
    </r>
    <r>
      <rPr>
        <sz val="11"/>
        <color theme="1"/>
        <rFont val="Calibri"/>
        <family val="2"/>
        <scheme val="minor"/>
      </rPr>
      <t xml:space="preserve"> - Allergy to eggs
</t>
    </r>
    <r>
      <rPr>
        <b/>
        <sz val="11"/>
        <color theme="1"/>
        <rFont val="Calibri"/>
        <family val="2"/>
        <scheme val="minor"/>
      </rPr>
      <t>441725009</t>
    </r>
    <r>
      <rPr>
        <sz val="11"/>
        <color theme="1"/>
        <rFont val="Calibri"/>
        <family val="2"/>
        <scheme val="minor"/>
      </rPr>
      <t xml:space="preserve"> - Allergy to ertapenem
</t>
    </r>
    <r>
      <rPr>
        <b/>
        <sz val="11"/>
        <color theme="1"/>
        <rFont val="Calibri"/>
        <family val="2"/>
        <scheme val="minor"/>
      </rPr>
      <t>91931000</t>
    </r>
    <r>
      <rPr>
        <sz val="11"/>
        <color theme="1"/>
        <rFont val="Calibri"/>
        <family val="2"/>
        <scheme val="minor"/>
      </rPr>
      <t xml:space="preserve"> - Allergy to erythromycin
</t>
    </r>
    <r>
      <rPr>
        <b/>
        <sz val="11"/>
        <color theme="1"/>
        <rFont val="Calibri"/>
        <family val="2"/>
        <scheme val="minor"/>
      </rPr>
      <t>420140004</t>
    </r>
    <r>
      <rPr>
        <sz val="11"/>
        <color theme="1"/>
        <rFont val="Calibri"/>
        <family val="2"/>
        <scheme val="minor"/>
      </rPr>
      <t xml:space="preserve"> - Allergy to ethanol
</t>
    </r>
    <r>
      <rPr>
        <b/>
        <sz val="11"/>
        <color theme="1"/>
        <rFont val="Calibri"/>
        <family val="2"/>
        <scheme val="minor"/>
      </rPr>
      <t>420140004</t>
    </r>
    <r>
      <rPr>
        <sz val="11"/>
        <color theme="1"/>
        <rFont val="Calibri"/>
        <family val="2"/>
        <scheme val="minor"/>
      </rPr>
      <t xml:space="preserve"> - Allergy to ethyl alcohol
</t>
    </r>
    <r>
      <rPr>
        <b/>
        <sz val="11"/>
        <color theme="1"/>
        <rFont val="Calibri"/>
        <family val="2"/>
        <scheme val="minor"/>
      </rPr>
      <t>417532002</t>
    </r>
    <r>
      <rPr>
        <sz val="11"/>
        <color theme="1"/>
        <rFont val="Calibri"/>
        <family val="2"/>
        <scheme val="minor"/>
      </rPr>
      <t xml:space="preserve"> - Allergy to fish
</t>
    </r>
    <r>
      <rPr>
        <b/>
        <sz val="11"/>
        <color theme="1"/>
        <rFont val="Calibri"/>
        <family val="2"/>
        <scheme val="minor"/>
      </rPr>
      <t>402598002</t>
    </r>
    <r>
      <rPr>
        <sz val="11"/>
        <color theme="1"/>
        <rFont val="Calibri"/>
        <family val="2"/>
        <scheme val="minor"/>
      </rPr>
      <t xml:space="preserve"> - Allergy to flavor
</t>
    </r>
    <r>
      <rPr>
        <b/>
        <sz val="11"/>
        <color theme="1"/>
        <rFont val="Calibri"/>
        <family val="2"/>
        <scheme val="minor"/>
      </rPr>
      <t>91932007</t>
    </r>
    <r>
      <rPr>
        <sz val="11"/>
        <color theme="1"/>
        <rFont val="Calibri"/>
        <family val="2"/>
        <scheme val="minor"/>
      </rPr>
      <t xml:space="preserve"> - Allergy to fruit
</t>
    </r>
    <r>
      <rPr>
        <b/>
        <sz val="11"/>
        <color theme="1"/>
        <rFont val="Calibri"/>
        <family val="2"/>
        <scheme val="minor"/>
      </rPr>
      <t>418968001</t>
    </r>
    <r>
      <rPr>
        <sz val="11"/>
        <color theme="1"/>
        <rFont val="Calibri"/>
        <family val="2"/>
        <scheme val="minor"/>
      </rPr>
      <t xml:space="preserve"> - Allergy to gauze
</t>
    </r>
    <r>
      <rPr>
        <b/>
        <sz val="11"/>
        <color theme="1"/>
        <rFont val="Calibri"/>
        <family val="2"/>
        <scheme val="minor"/>
      </rPr>
      <t>418689008</t>
    </r>
    <r>
      <rPr>
        <sz val="11"/>
        <color theme="1"/>
        <rFont val="Calibri"/>
        <family val="2"/>
        <scheme val="minor"/>
      </rPr>
      <t xml:space="preserve"> - Allergy to grass pollen
</t>
    </r>
    <r>
      <rPr>
        <b/>
        <sz val="11"/>
        <color theme="1"/>
        <rFont val="Calibri"/>
        <family val="2"/>
        <scheme val="minor"/>
      </rPr>
      <t>418689008</t>
    </r>
    <r>
      <rPr>
        <sz val="11"/>
        <color theme="1"/>
        <rFont val="Calibri"/>
        <family val="2"/>
        <scheme val="minor"/>
      </rPr>
      <t xml:space="preserve"> - Allergy to hay
</t>
    </r>
    <r>
      <rPr>
        <b/>
        <sz val="11"/>
        <color theme="1"/>
        <rFont val="Calibri"/>
        <family val="2"/>
        <scheme val="minor"/>
      </rPr>
      <t>419063004</t>
    </r>
    <r>
      <rPr>
        <sz val="11"/>
        <color theme="1"/>
        <rFont val="Calibri"/>
        <family val="2"/>
        <scheme val="minor"/>
      </rPr>
      <t xml:space="preserve"> - Allergy to horse dander
</t>
    </r>
    <r>
      <rPr>
        <b/>
        <sz val="11"/>
        <color theme="1"/>
        <rFont val="Calibri"/>
        <family val="2"/>
        <scheme val="minor"/>
      </rPr>
      <t>442408006</t>
    </r>
    <r>
      <rPr>
        <sz val="11"/>
        <color theme="1"/>
        <rFont val="Calibri"/>
        <family val="2"/>
        <scheme val="minor"/>
      </rPr>
      <t xml:space="preserve"> - Allergy to imipenem
</t>
    </r>
    <r>
      <rPr>
        <b/>
        <sz val="11"/>
        <color theme="1"/>
        <rFont val="Calibri"/>
        <family val="2"/>
        <scheme val="minor"/>
      </rPr>
      <t>294162002</t>
    </r>
    <r>
      <rPr>
        <sz val="11"/>
        <color theme="1"/>
        <rFont val="Calibri"/>
        <family val="2"/>
        <scheme val="minor"/>
      </rPr>
      <t xml:space="preserve"> - Allergy to inhaled corticosteroids
</t>
    </r>
    <r>
      <rPr>
        <b/>
        <sz val="11"/>
        <color theme="1"/>
        <rFont val="Calibri"/>
        <family val="2"/>
        <scheme val="minor"/>
      </rPr>
      <t>409136006</t>
    </r>
    <r>
      <rPr>
        <sz val="11"/>
        <color theme="1"/>
        <rFont val="Calibri"/>
        <family val="2"/>
        <scheme val="minor"/>
      </rPr>
      <t xml:space="preserve"> - Allergy to legumes
</t>
    </r>
    <r>
      <rPr>
        <b/>
        <sz val="11"/>
        <color theme="1"/>
        <rFont val="Calibri"/>
        <family val="2"/>
        <scheme val="minor"/>
      </rPr>
      <t>402596003</t>
    </r>
    <r>
      <rPr>
        <sz val="11"/>
        <color theme="1"/>
        <rFont val="Calibri"/>
        <family val="2"/>
        <scheme val="minor"/>
      </rPr>
      <t xml:space="preserve"> - Allergy to lichen
</t>
    </r>
    <r>
      <rPr>
        <b/>
        <sz val="11"/>
        <color theme="1"/>
        <rFont val="Calibri"/>
        <family val="2"/>
        <scheme val="minor"/>
      </rPr>
      <t>418626004</t>
    </r>
    <r>
      <rPr>
        <sz val="11"/>
        <color theme="1"/>
        <rFont val="Calibri"/>
        <family val="2"/>
        <scheme val="minor"/>
      </rPr>
      <t xml:space="preserve"> - Allergy to lobster
</t>
    </r>
    <r>
      <rPr>
        <b/>
        <sz val="11"/>
        <color theme="1"/>
        <rFont val="Calibri"/>
        <family val="2"/>
        <scheme val="minor"/>
      </rPr>
      <t>91933002</t>
    </r>
    <r>
      <rPr>
        <sz val="11"/>
        <color theme="1"/>
        <rFont val="Calibri"/>
        <family val="2"/>
        <scheme val="minor"/>
      </rPr>
      <t xml:space="preserve"> - Allergy to macrolide antibiotic
</t>
    </r>
    <r>
      <rPr>
        <b/>
        <sz val="11"/>
        <color theme="1"/>
        <rFont val="Calibri"/>
        <family val="2"/>
        <scheme val="minor"/>
      </rPr>
      <t>439406006</t>
    </r>
    <r>
      <rPr>
        <sz val="11"/>
        <color theme="1"/>
        <rFont val="Calibri"/>
        <family val="2"/>
        <scheme val="minor"/>
      </rPr>
      <t xml:space="preserve"> - Allergy to meglitinide
</t>
    </r>
    <r>
      <rPr>
        <b/>
        <sz val="11"/>
        <color theme="1"/>
        <rFont val="Calibri"/>
        <family val="2"/>
        <scheme val="minor"/>
      </rPr>
      <t>442022002</t>
    </r>
    <r>
      <rPr>
        <sz val="11"/>
        <color theme="1"/>
        <rFont val="Calibri"/>
        <family val="2"/>
        <scheme val="minor"/>
      </rPr>
      <t xml:space="preserve"> - Allergy to meropenem
</t>
    </r>
    <r>
      <rPr>
        <b/>
        <sz val="11"/>
        <color theme="1"/>
        <rFont val="Calibri"/>
        <family val="2"/>
        <scheme val="minor"/>
      </rPr>
      <t>419474003</t>
    </r>
    <r>
      <rPr>
        <sz val="11"/>
        <color theme="1"/>
        <rFont val="Calibri"/>
        <family val="2"/>
        <scheme val="minor"/>
      </rPr>
      <t xml:space="preserve"> - Allergy to mildew
</t>
    </r>
    <r>
      <rPr>
        <b/>
        <sz val="11"/>
        <color theme="1"/>
        <rFont val="Calibri"/>
        <family val="2"/>
        <scheme val="minor"/>
      </rPr>
      <t>419474003</t>
    </r>
    <r>
      <rPr>
        <sz val="11"/>
        <color theme="1"/>
        <rFont val="Calibri"/>
        <family val="2"/>
        <scheme val="minor"/>
      </rPr>
      <t xml:space="preserve"> - Allergy to mold
</t>
    </r>
    <r>
      <rPr>
        <b/>
        <sz val="11"/>
        <color theme="1"/>
        <rFont val="Calibri"/>
        <family val="2"/>
        <scheme val="minor"/>
      </rPr>
      <t>419474003</t>
    </r>
    <r>
      <rPr>
        <sz val="11"/>
        <color theme="1"/>
        <rFont val="Calibri"/>
        <family val="2"/>
        <scheme val="minor"/>
      </rPr>
      <t xml:space="preserve"> - Allergy to mould
</t>
    </r>
    <r>
      <rPr>
        <b/>
        <sz val="11"/>
        <color theme="1"/>
        <rFont val="Calibri"/>
        <family val="2"/>
        <scheme val="minor"/>
      </rPr>
      <t>445395006</t>
    </r>
    <r>
      <rPr>
        <sz val="11"/>
        <color theme="1"/>
        <rFont val="Calibri"/>
        <family val="2"/>
        <scheme val="minor"/>
      </rPr>
      <t xml:space="preserve"> - Allergy to Myroxylon pereirae
</t>
    </r>
    <r>
      <rPr>
        <b/>
        <sz val="11"/>
        <color theme="1"/>
        <rFont val="Calibri"/>
        <family val="2"/>
        <scheme val="minor"/>
      </rPr>
      <t>419788000</t>
    </r>
    <r>
      <rPr>
        <sz val="11"/>
        <color theme="1"/>
        <rFont val="Calibri"/>
        <family val="2"/>
        <scheme val="minor"/>
      </rPr>
      <t xml:space="preserve"> - Allergy to nickel
</t>
    </r>
    <r>
      <rPr>
        <b/>
        <sz val="11"/>
        <color theme="1"/>
        <rFont val="Calibri"/>
        <family val="2"/>
        <scheme val="minor"/>
      </rPr>
      <t>91934008</t>
    </r>
    <r>
      <rPr>
        <sz val="11"/>
        <color theme="1"/>
        <rFont val="Calibri"/>
        <family val="2"/>
        <scheme val="minor"/>
      </rPr>
      <t xml:space="preserve"> - Allergy to nuts
</t>
    </r>
    <r>
      <rPr>
        <b/>
        <sz val="11"/>
        <color theme="1"/>
        <rFont val="Calibri"/>
        <family val="2"/>
        <scheme val="minor"/>
      </rPr>
      <t>419342009</t>
    </r>
    <r>
      <rPr>
        <sz val="11"/>
        <color theme="1"/>
        <rFont val="Calibri"/>
        <family val="2"/>
        <scheme val="minor"/>
      </rPr>
      <t xml:space="preserve"> - Allergy to oats
</t>
    </r>
    <r>
      <rPr>
        <b/>
        <sz val="11"/>
        <color theme="1"/>
        <rFont val="Calibri"/>
        <family val="2"/>
        <scheme val="minor"/>
      </rPr>
      <t>293580007</t>
    </r>
    <r>
      <rPr>
        <sz val="11"/>
        <color theme="1"/>
        <rFont val="Calibri"/>
        <family val="2"/>
        <scheme val="minor"/>
      </rPr>
      <t xml:space="preserve"> - Allergy to over-the-counter drug
</t>
    </r>
    <r>
      <rPr>
        <b/>
        <sz val="11"/>
        <color theme="1"/>
        <rFont val="Calibri"/>
        <family val="2"/>
        <scheme val="minor"/>
      </rPr>
      <t>419967000</t>
    </r>
    <r>
      <rPr>
        <sz val="11"/>
        <color theme="1"/>
        <rFont val="Calibri"/>
        <family val="2"/>
        <scheme val="minor"/>
      </rPr>
      <t xml:space="preserve"> - Allergy to oyster
</t>
    </r>
    <r>
      <rPr>
        <b/>
        <sz val="11"/>
        <color theme="1"/>
        <rFont val="Calibri"/>
        <family val="2"/>
        <scheme val="minor"/>
      </rPr>
      <t>91935009</t>
    </r>
    <r>
      <rPr>
        <sz val="11"/>
        <color theme="1"/>
        <rFont val="Calibri"/>
        <family val="2"/>
        <scheme val="minor"/>
      </rPr>
      <t xml:space="preserve"> - Allergy to peanuts
</t>
    </r>
    <r>
      <rPr>
        <b/>
        <sz val="11"/>
        <color theme="1"/>
        <rFont val="Calibri"/>
        <family val="2"/>
        <scheme val="minor"/>
      </rPr>
      <t>91936005</t>
    </r>
    <r>
      <rPr>
        <sz val="11"/>
        <color theme="1"/>
        <rFont val="Calibri"/>
        <family val="2"/>
        <scheme val="minor"/>
      </rPr>
      <t xml:space="preserve"> - Allergy to penicillin
</t>
    </r>
    <r>
      <rPr>
        <b/>
        <sz val="11"/>
        <color theme="1"/>
        <rFont val="Calibri"/>
        <family val="2"/>
        <scheme val="minor"/>
      </rPr>
      <t>448690007</t>
    </r>
    <r>
      <rPr>
        <sz val="11"/>
        <color theme="1"/>
        <rFont val="Calibri"/>
        <family val="2"/>
        <scheme val="minor"/>
      </rPr>
      <t xml:space="preserve"> - Allergy to phosphodiesterase 5 inhibitor
</t>
    </r>
    <r>
      <rPr>
        <b/>
        <sz val="11"/>
        <color theme="1"/>
        <rFont val="Calibri"/>
        <family val="2"/>
        <scheme val="minor"/>
      </rPr>
      <t>402594000</t>
    </r>
    <r>
      <rPr>
        <sz val="11"/>
        <color theme="1"/>
        <rFont val="Calibri"/>
        <family val="2"/>
        <scheme val="minor"/>
      </rPr>
      <t xml:space="preserve"> - Allergy to plant
</t>
    </r>
    <r>
      <rPr>
        <b/>
        <sz val="11"/>
        <color theme="1"/>
        <rFont val="Calibri"/>
        <family val="2"/>
        <scheme val="minor"/>
      </rPr>
      <t>300910009</t>
    </r>
    <r>
      <rPr>
        <sz val="11"/>
        <color theme="1"/>
        <rFont val="Calibri"/>
        <family val="2"/>
        <scheme val="minor"/>
      </rPr>
      <t xml:space="preserve"> - Allergy to pollen
</t>
    </r>
    <r>
      <rPr>
        <b/>
        <sz val="11"/>
        <color theme="1"/>
        <rFont val="Calibri"/>
        <family val="2"/>
        <scheme val="minor"/>
      </rPr>
      <t>417918006</t>
    </r>
    <r>
      <rPr>
        <sz val="11"/>
        <color theme="1"/>
        <rFont val="Calibri"/>
        <family val="2"/>
        <scheme val="minor"/>
      </rPr>
      <t xml:space="preserve"> - Allergy to pork
</t>
    </r>
    <r>
      <rPr>
        <b/>
        <sz val="11"/>
        <color theme="1"/>
        <rFont val="Calibri"/>
        <family val="2"/>
        <scheme val="minor"/>
      </rPr>
      <t>419619007</t>
    </r>
    <r>
      <rPr>
        <sz val="11"/>
        <color theme="1"/>
        <rFont val="Calibri"/>
        <family val="2"/>
        <scheme val="minor"/>
      </rPr>
      <t xml:space="preserve"> - Allergy to potato
</t>
    </r>
    <r>
      <rPr>
        <b/>
        <sz val="11"/>
        <color theme="1"/>
        <rFont val="Calibri"/>
        <family val="2"/>
        <scheme val="minor"/>
      </rPr>
      <t>409136006</t>
    </r>
    <r>
      <rPr>
        <sz val="11"/>
        <color theme="1"/>
        <rFont val="Calibri"/>
        <family val="2"/>
        <scheme val="minor"/>
      </rPr>
      <t xml:space="preserve"> - Allergy to pulse vegetables
</t>
    </r>
    <r>
      <rPr>
        <b/>
        <sz val="11"/>
        <color theme="1"/>
        <rFont val="Calibri"/>
        <family val="2"/>
        <scheme val="minor"/>
      </rPr>
      <t>418561004</t>
    </r>
    <r>
      <rPr>
        <sz val="11"/>
        <color theme="1"/>
        <rFont val="Calibri"/>
        <family val="2"/>
        <scheme val="minor"/>
      </rPr>
      <t xml:space="preserve"> - Allergy to ragweed pollen
</t>
    </r>
    <r>
      <rPr>
        <b/>
        <sz val="11"/>
        <color theme="1"/>
        <rFont val="Calibri"/>
        <family val="2"/>
        <scheme val="minor"/>
      </rPr>
      <t>473078001</t>
    </r>
    <r>
      <rPr>
        <sz val="11"/>
        <color theme="1"/>
        <rFont val="Calibri"/>
        <family val="2"/>
        <scheme val="minor"/>
      </rPr>
      <t xml:space="preserve"> - Allergy to raloxifene
</t>
    </r>
    <r>
      <rPr>
        <b/>
        <sz val="11"/>
        <color theme="1"/>
        <rFont val="Calibri"/>
        <family val="2"/>
        <scheme val="minor"/>
      </rPr>
      <t>449414003</t>
    </r>
    <r>
      <rPr>
        <sz val="11"/>
        <color theme="1"/>
        <rFont val="Calibri"/>
        <family val="2"/>
        <scheme val="minor"/>
      </rPr>
      <t xml:space="preserve"> - Allergy to rapacuronium
</t>
    </r>
    <r>
      <rPr>
        <b/>
        <sz val="11"/>
        <color theme="1"/>
        <rFont val="Calibri"/>
        <family val="2"/>
        <scheme val="minor"/>
      </rPr>
      <t>418815008</t>
    </r>
    <r>
      <rPr>
        <sz val="11"/>
        <color theme="1"/>
        <rFont val="Calibri"/>
        <family val="2"/>
        <scheme val="minor"/>
      </rPr>
      <t xml:space="preserve"> - Allergy to red meat
</t>
    </r>
    <r>
      <rPr>
        <b/>
        <sz val="11"/>
        <color theme="1"/>
        <rFont val="Calibri"/>
        <family val="2"/>
        <scheme val="minor"/>
      </rPr>
      <t>441992007</t>
    </r>
    <r>
      <rPr>
        <sz val="11"/>
        <color theme="1"/>
        <rFont val="Calibri"/>
        <family val="2"/>
        <scheme val="minor"/>
      </rPr>
      <t xml:space="preserve"> - Allergy to remifentanil
</t>
    </r>
    <r>
      <rPr>
        <b/>
        <sz val="11"/>
        <color theme="1"/>
        <rFont val="Calibri"/>
        <family val="2"/>
        <scheme val="minor"/>
      </rPr>
      <t>419412007</t>
    </r>
    <r>
      <rPr>
        <sz val="11"/>
        <color theme="1"/>
        <rFont val="Calibri"/>
        <family val="2"/>
        <scheme val="minor"/>
      </rPr>
      <t xml:space="preserve"> - Allergy to rubber
</t>
    </r>
    <r>
      <rPr>
        <b/>
        <sz val="11"/>
        <color theme="1"/>
        <rFont val="Calibri"/>
        <family val="2"/>
        <scheme val="minor"/>
      </rPr>
      <t>418184004</t>
    </r>
    <r>
      <rPr>
        <sz val="11"/>
        <color theme="1"/>
        <rFont val="Calibri"/>
        <family val="2"/>
        <scheme val="minor"/>
      </rPr>
      <t xml:space="preserve"> - Allergy to rye
</t>
    </r>
    <r>
      <rPr>
        <b/>
        <sz val="11"/>
        <color theme="1"/>
        <rFont val="Calibri"/>
        <family val="2"/>
        <scheme val="minor"/>
      </rPr>
      <t>422921000</t>
    </r>
    <r>
      <rPr>
        <sz val="11"/>
        <color theme="1"/>
        <rFont val="Calibri"/>
        <family val="2"/>
        <scheme val="minor"/>
      </rPr>
      <t xml:space="preserve"> - Allergy to scorpion venom
</t>
    </r>
    <r>
      <rPr>
        <b/>
        <sz val="11"/>
        <color theme="1"/>
        <rFont val="Calibri"/>
        <family val="2"/>
        <scheme val="minor"/>
      </rPr>
      <t>91937001</t>
    </r>
    <r>
      <rPr>
        <sz val="11"/>
        <color theme="1"/>
        <rFont val="Calibri"/>
        <family val="2"/>
        <scheme val="minor"/>
      </rPr>
      <t xml:space="preserve"> - Allergy to seafood
</t>
    </r>
    <r>
      <rPr>
        <b/>
        <sz val="11"/>
        <color theme="1"/>
        <rFont val="Calibri"/>
        <family val="2"/>
        <scheme val="minor"/>
      </rPr>
      <t>419101002</t>
    </r>
    <r>
      <rPr>
        <sz val="11"/>
        <color theme="1"/>
        <rFont val="Calibri"/>
        <family val="2"/>
        <scheme val="minor"/>
      </rPr>
      <t xml:space="preserve"> - Allergy to seed
</t>
    </r>
    <r>
      <rPr>
        <b/>
        <sz val="11"/>
        <color theme="1"/>
        <rFont val="Calibri"/>
        <family val="2"/>
        <scheme val="minor"/>
      </rPr>
      <t>441954006</t>
    </r>
    <r>
      <rPr>
        <sz val="11"/>
        <color theme="1"/>
        <rFont val="Calibri"/>
        <family val="2"/>
        <scheme val="minor"/>
      </rPr>
      <t xml:space="preserve"> - Allergy to sevoflurane
</t>
    </r>
    <r>
      <rPr>
        <b/>
        <sz val="11"/>
        <color theme="1"/>
        <rFont val="Calibri"/>
        <family val="2"/>
        <scheme val="minor"/>
      </rPr>
      <t>419972009</t>
    </r>
    <r>
      <rPr>
        <sz val="11"/>
        <color theme="1"/>
        <rFont val="Calibri"/>
        <family val="2"/>
        <scheme val="minor"/>
      </rPr>
      <t xml:space="preserve"> - Allergy to shrimp
</t>
    </r>
    <r>
      <rPr>
        <b/>
        <sz val="11"/>
        <color theme="1"/>
        <rFont val="Calibri"/>
        <family val="2"/>
        <scheme val="minor"/>
      </rPr>
      <t>427487000</t>
    </r>
    <r>
      <rPr>
        <sz val="11"/>
        <color theme="1"/>
        <rFont val="Calibri"/>
        <family val="2"/>
        <scheme val="minor"/>
      </rPr>
      <t xml:space="preserve"> - Allergy to spider venom
</t>
    </r>
    <r>
      <rPr>
        <b/>
        <sz val="11"/>
        <color theme="1"/>
        <rFont val="Calibri"/>
        <family val="2"/>
        <scheme val="minor"/>
      </rPr>
      <t>91938006</t>
    </r>
    <r>
      <rPr>
        <sz val="11"/>
        <color theme="1"/>
        <rFont val="Calibri"/>
        <family val="2"/>
        <scheme val="minor"/>
      </rPr>
      <t xml:space="preserve"> - Allergy to strawberries
</t>
    </r>
    <r>
      <rPr>
        <b/>
        <sz val="11"/>
        <color theme="1"/>
        <rFont val="Calibri"/>
        <family val="2"/>
        <scheme val="minor"/>
      </rPr>
      <t>419199007</t>
    </r>
    <r>
      <rPr>
        <sz val="11"/>
        <color theme="1"/>
        <rFont val="Calibri"/>
        <family val="2"/>
        <scheme val="minor"/>
      </rPr>
      <t xml:space="preserve"> - Allergy to substance
</t>
    </r>
    <r>
      <rPr>
        <b/>
        <sz val="11"/>
        <color theme="1"/>
        <rFont val="Calibri"/>
        <family val="2"/>
        <scheme val="minor"/>
      </rPr>
      <t>441955007</t>
    </r>
    <r>
      <rPr>
        <sz val="11"/>
        <color theme="1"/>
        <rFont val="Calibri"/>
        <family val="2"/>
        <scheme val="minor"/>
      </rPr>
      <t xml:space="preserve"> - Allergy to sufentanil
</t>
    </r>
    <r>
      <rPr>
        <b/>
        <sz val="11"/>
        <color theme="1"/>
        <rFont val="Calibri"/>
        <family val="2"/>
        <scheme val="minor"/>
      </rPr>
      <t>419421008</t>
    </r>
    <r>
      <rPr>
        <sz val="11"/>
        <color theme="1"/>
        <rFont val="Calibri"/>
        <family val="2"/>
        <scheme val="minor"/>
      </rPr>
      <t xml:space="preserve"> - Allergy to sulfite based food preservative
</t>
    </r>
    <r>
      <rPr>
        <b/>
        <sz val="11"/>
        <color theme="1"/>
        <rFont val="Calibri"/>
        <family val="2"/>
        <scheme val="minor"/>
      </rPr>
      <t>429239002</t>
    </r>
    <r>
      <rPr>
        <sz val="11"/>
        <color theme="1"/>
        <rFont val="Calibri"/>
        <family val="2"/>
        <scheme val="minor"/>
      </rPr>
      <t xml:space="preserve"> - Allergy to sulfonamide antibiotic
</t>
    </r>
    <r>
      <rPr>
        <b/>
        <sz val="11"/>
        <color theme="1"/>
        <rFont val="Calibri"/>
        <family val="2"/>
        <scheme val="minor"/>
      </rPr>
      <t>91939003</t>
    </r>
    <r>
      <rPr>
        <sz val="11"/>
        <color theme="1"/>
        <rFont val="Calibri"/>
        <family val="2"/>
        <scheme val="minor"/>
      </rPr>
      <t xml:space="preserve"> - Allergy to sulfonamides
</t>
    </r>
    <r>
      <rPr>
        <b/>
        <sz val="11"/>
        <color theme="1"/>
        <rFont val="Calibri"/>
        <family val="2"/>
        <scheme val="minor"/>
      </rPr>
      <t>419421008</t>
    </r>
    <r>
      <rPr>
        <sz val="11"/>
        <color theme="1"/>
        <rFont val="Calibri"/>
        <family val="2"/>
        <scheme val="minor"/>
      </rPr>
      <t xml:space="preserve"> - Allergy to sulphite based food preservative
</t>
    </r>
    <r>
      <rPr>
        <b/>
        <sz val="11"/>
        <color theme="1"/>
        <rFont val="Calibri"/>
        <family val="2"/>
        <scheme val="minor"/>
      </rPr>
      <t>429239002</t>
    </r>
    <r>
      <rPr>
        <sz val="11"/>
        <color theme="1"/>
        <rFont val="Calibri"/>
        <family val="2"/>
        <scheme val="minor"/>
      </rPr>
      <t xml:space="preserve"> - Allergy to sulphonamide antibiotic
</t>
    </r>
    <r>
      <rPr>
        <b/>
        <sz val="11"/>
        <color theme="1"/>
        <rFont val="Calibri"/>
        <family val="2"/>
        <scheme val="minor"/>
      </rPr>
      <t>91939003</t>
    </r>
    <r>
      <rPr>
        <sz val="11"/>
        <color theme="1"/>
        <rFont val="Calibri"/>
        <family val="2"/>
        <scheme val="minor"/>
      </rPr>
      <t xml:space="preserve"> - Allergy to sulphonamides
</t>
    </r>
    <r>
      <rPr>
        <b/>
        <sz val="11"/>
        <color theme="1"/>
        <rFont val="Calibri"/>
        <family val="2"/>
        <scheme val="minor"/>
      </rPr>
      <t>258155009</t>
    </r>
    <r>
      <rPr>
        <sz val="11"/>
        <color theme="1"/>
        <rFont val="Calibri"/>
        <family val="2"/>
        <scheme val="minor"/>
      </rPr>
      <t xml:space="preserve"> - Allergy to sunlight
</t>
    </r>
    <r>
      <rPr>
        <b/>
        <sz val="11"/>
        <color theme="1"/>
        <rFont val="Calibri"/>
        <family val="2"/>
        <scheme val="minor"/>
      </rPr>
      <t>473077006</t>
    </r>
    <r>
      <rPr>
        <sz val="11"/>
        <color theme="1"/>
        <rFont val="Calibri"/>
        <family val="2"/>
        <scheme val="minor"/>
      </rPr>
      <t xml:space="preserve"> - Allergy to teriparatide
</t>
    </r>
    <r>
      <rPr>
        <b/>
        <sz val="11"/>
        <color theme="1"/>
        <rFont val="Calibri"/>
        <family val="2"/>
        <scheme val="minor"/>
      </rPr>
      <t>439954005</t>
    </r>
    <r>
      <rPr>
        <sz val="11"/>
        <color theme="1"/>
        <rFont val="Calibri"/>
        <family val="2"/>
        <scheme val="minor"/>
      </rPr>
      <t xml:space="preserve"> - Allergy to thiazolidinedione
</t>
    </r>
    <r>
      <rPr>
        <b/>
        <sz val="11"/>
        <color theme="1"/>
        <rFont val="Calibri"/>
        <family val="2"/>
        <scheme val="minor"/>
      </rPr>
      <t>418779002</t>
    </r>
    <r>
      <rPr>
        <sz val="11"/>
        <color theme="1"/>
        <rFont val="Calibri"/>
        <family val="2"/>
        <scheme val="minor"/>
      </rPr>
      <t xml:space="preserve"> - Allergy to tomato
</t>
    </r>
    <r>
      <rPr>
        <b/>
        <sz val="11"/>
        <color theme="1"/>
        <rFont val="Calibri"/>
        <family val="2"/>
        <scheme val="minor"/>
      </rPr>
      <t>450767000</t>
    </r>
    <r>
      <rPr>
        <sz val="11"/>
        <color theme="1"/>
        <rFont val="Calibri"/>
        <family val="2"/>
        <scheme val="minor"/>
      </rPr>
      <t xml:space="preserve"> - Allergy to tramadol
</t>
    </r>
    <r>
      <rPr>
        <b/>
        <sz val="11"/>
        <color theme="1"/>
        <rFont val="Calibri"/>
        <family val="2"/>
        <scheme val="minor"/>
      </rPr>
      <t>419263009</t>
    </r>
    <r>
      <rPr>
        <sz val="11"/>
        <color theme="1"/>
        <rFont val="Calibri"/>
        <family val="2"/>
        <scheme val="minor"/>
      </rPr>
      <t xml:space="preserve"> - Allergy to tree pollen
</t>
    </r>
    <r>
      <rPr>
        <b/>
        <sz val="11"/>
        <color theme="1"/>
        <rFont val="Calibri"/>
        <family val="2"/>
        <scheme val="minor"/>
      </rPr>
      <t>402597007</t>
    </r>
    <r>
      <rPr>
        <sz val="11"/>
        <color theme="1"/>
        <rFont val="Calibri"/>
        <family val="2"/>
        <scheme val="minor"/>
      </rPr>
      <t xml:space="preserve"> - Allergy to tree resin
</t>
    </r>
    <r>
      <rPr>
        <b/>
        <sz val="11"/>
        <color theme="1"/>
        <rFont val="Calibri"/>
        <family val="2"/>
        <scheme val="minor"/>
      </rPr>
      <t>91940001</t>
    </r>
    <r>
      <rPr>
        <sz val="11"/>
        <color theme="1"/>
        <rFont val="Calibri"/>
        <family val="2"/>
        <scheme val="minor"/>
      </rPr>
      <t xml:space="preserve"> - Allergy to walnuts
</t>
    </r>
    <r>
      <rPr>
        <b/>
        <sz val="11"/>
        <color theme="1"/>
        <rFont val="Calibri"/>
        <family val="2"/>
        <scheme val="minor"/>
      </rPr>
      <t>423058007</t>
    </r>
    <r>
      <rPr>
        <sz val="11"/>
        <color theme="1"/>
        <rFont val="Calibri"/>
        <family val="2"/>
        <scheme val="minor"/>
      </rPr>
      <t xml:space="preserve"> - Allergy to wasp venom
</t>
    </r>
    <r>
      <rPr>
        <b/>
        <sz val="11"/>
        <color theme="1"/>
        <rFont val="Calibri"/>
        <family val="2"/>
        <scheme val="minor"/>
      </rPr>
      <t>419298007</t>
    </r>
    <r>
      <rPr>
        <sz val="11"/>
        <color theme="1"/>
        <rFont val="Calibri"/>
        <family val="2"/>
        <scheme val="minor"/>
      </rPr>
      <t xml:space="preserve"> - Allergy to watermelon
</t>
    </r>
    <r>
      <rPr>
        <b/>
        <sz val="11"/>
        <color theme="1"/>
        <rFont val="Calibri"/>
        <family val="2"/>
        <scheme val="minor"/>
      </rPr>
      <t>419210001</t>
    </r>
    <r>
      <rPr>
        <sz val="11"/>
        <color theme="1"/>
        <rFont val="Calibri"/>
        <family val="2"/>
        <scheme val="minor"/>
      </rPr>
      <t xml:space="preserve"> - Allergy to weed pollen
</t>
    </r>
    <r>
      <rPr>
        <b/>
        <sz val="11"/>
        <color theme="1"/>
        <rFont val="Calibri"/>
        <family val="2"/>
        <scheme val="minor"/>
      </rPr>
      <t>420174000</t>
    </r>
    <r>
      <rPr>
        <sz val="11"/>
        <color theme="1"/>
        <rFont val="Calibri"/>
        <family val="2"/>
        <scheme val="minor"/>
      </rPr>
      <t xml:space="preserve"> - Allergy to wheat
</t>
    </r>
    <r>
      <rPr>
        <b/>
        <sz val="11"/>
        <color theme="1"/>
        <rFont val="Calibri"/>
        <family val="2"/>
        <scheme val="minor"/>
      </rPr>
      <t>402595004</t>
    </r>
    <r>
      <rPr>
        <sz val="11"/>
        <color theme="1"/>
        <rFont val="Calibri"/>
        <family val="2"/>
        <scheme val="minor"/>
      </rPr>
      <t xml:space="preserve"> - Allergy to wood
</t>
    </r>
    <r>
      <rPr>
        <b/>
        <sz val="11"/>
        <color theme="1"/>
        <rFont val="Calibri"/>
        <family val="2"/>
        <scheme val="minor"/>
      </rPr>
      <t>425605001</t>
    </r>
    <r>
      <rPr>
        <sz val="11"/>
        <color theme="1"/>
        <rFont val="Calibri"/>
        <family val="2"/>
        <scheme val="minor"/>
      </rPr>
      <t xml:space="preserve"> - Allergy to wool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</si>
  <si>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</si>
  <si>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Academic</t>
    </r>
    <r>
      <rPr>
        <sz val="11"/>
        <color theme="1"/>
        <rFont val="Calibri"/>
        <family val="2"/>
        <scheme val="minor"/>
      </rPr>
      <t xml:space="preserve"> - Alternative school for students with academic difficulties
</t>
    </r>
    <r>
      <rPr>
        <b/>
        <sz val="11"/>
        <color theme="1"/>
        <rFont val="Calibri"/>
        <family val="2"/>
        <scheme val="minor"/>
      </rPr>
      <t>Discipline</t>
    </r>
    <r>
      <rPr>
        <sz val="11"/>
        <color theme="1"/>
        <rFont val="Calibri"/>
        <family val="2"/>
        <scheme val="minor"/>
      </rPr>
      <t xml:space="preserve"> - Alternative school for students with discipline problems
</t>
    </r>
    <r>
      <rPr>
        <b/>
        <sz val="11"/>
        <color theme="1"/>
        <rFont val="Calibri"/>
        <family val="2"/>
        <scheme val="minor"/>
      </rPr>
      <t>Both</t>
    </r>
    <r>
      <rPr>
        <sz val="11"/>
        <color theme="1"/>
        <rFont val="Calibri"/>
        <family val="2"/>
        <scheme val="minor"/>
      </rPr>
      <t xml:space="preserve"> - Alternative school for students with both discipline and academic problems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</si>
  <si>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NotSelected</t>
    </r>
    <r>
      <rPr>
        <sz val="11"/>
        <color theme="1"/>
        <rFont val="Calibri"/>
        <family val="2"/>
        <scheme val="minor"/>
      </rPr>
      <t xml:space="preserve"> - Not selected
</t>
    </r>
  </si>
  <si>
    <r>
      <t>Met</t>
    </r>
    <r>
      <rPr>
        <sz val="11"/>
        <color theme="1"/>
        <rFont val="Calibri"/>
        <family val="2"/>
        <scheme val="minor"/>
      </rPr>
      <t xml:space="preserve"> - Met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NoTitleIII</t>
    </r>
    <r>
      <rPr>
        <sz val="11"/>
        <color theme="1"/>
        <rFont val="Calibri"/>
        <family val="2"/>
        <scheme val="minor"/>
      </rPr>
      <t xml:space="preserve"> - No Title III
</t>
    </r>
    <r>
      <rPr>
        <b/>
        <sz val="11"/>
        <color theme="1"/>
        <rFont val="Calibri"/>
        <family val="2"/>
        <scheme val="minor"/>
      </rPr>
      <t>NA</t>
    </r>
    <r>
      <rPr>
        <sz val="11"/>
        <color theme="1"/>
        <rFont val="Calibri"/>
        <family val="2"/>
        <scheme val="minor"/>
      </rPr>
      <t xml:space="preserve"> - Not applicable
</t>
    </r>
  </si>
  <si>
    <r>
      <t>13371</t>
    </r>
    <r>
      <rPr>
        <sz val="11"/>
        <color theme="1"/>
        <rFont val="Calibri"/>
        <family val="2"/>
        <scheme val="minor"/>
      </rPr>
      <t xml:space="preserve"> - Arts
</t>
    </r>
    <r>
      <rPr>
        <b/>
        <sz val="11"/>
        <color theme="1"/>
        <rFont val="Calibri"/>
        <family val="2"/>
        <scheme val="minor"/>
      </rPr>
      <t>73065</t>
    </r>
    <r>
      <rPr>
        <sz val="11"/>
        <color theme="1"/>
        <rFont val="Calibri"/>
        <family val="2"/>
        <scheme val="minor"/>
      </rPr>
      <t xml:space="preserve"> - Career and Technical Education
</t>
    </r>
    <r>
      <rPr>
        <b/>
        <sz val="11"/>
        <color theme="1"/>
        <rFont val="Calibri"/>
        <family val="2"/>
        <scheme val="minor"/>
      </rPr>
      <t>13372</t>
    </r>
    <r>
      <rPr>
        <sz val="11"/>
        <color theme="1"/>
        <rFont val="Calibri"/>
        <family val="2"/>
        <scheme val="minor"/>
      </rPr>
      <t xml:space="preserve"> - English
</t>
    </r>
    <r>
      <rPr>
        <b/>
        <sz val="11"/>
        <color theme="1"/>
        <rFont val="Calibri"/>
        <family val="2"/>
        <scheme val="minor"/>
      </rPr>
      <t>00256</t>
    </r>
    <r>
      <rPr>
        <sz val="11"/>
        <color theme="1"/>
        <rFont val="Calibri"/>
        <family val="2"/>
        <scheme val="minor"/>
      </rPr>
      <t xml:space="preserve"> - English as a second language (ESL)
</t>
    </r>
    <r>
      <rPr>
        <b/>
        <sz val="11"/>
        <color theme="1"/>
        <rFont val="Calibri"/>
        <family val="2"/>
        <scheme val="minor"/>
      </rPr>
      <t>00546</t>
    </r>
    <r>
      <rPr>
        <sz val="11"/>
        <color theme="1"/>
        <rFont val="Calibri"/>
        <family val="2"/>
        <scheme val="minor"/>
      </rPr>
      <t xml:space="preserve"> - Foreign Languages
</t>
    </r>
    <r>
      <rPr>
        <b/>
        <sz val="11"/>
        <color theme="1"/>
        <rFont val="Calibri"/>
        <family val="2"/>
        <scheme val="minor"/>
      </rPr>
      <t>73088</t>
    </r>
    <r>
      <rPr>
        <sz val="11"/>
        <color theme="1"/>
        <rFont val="Calibri"/>
        <family val="2"/>
        <scheme val="minor"/>
      </rPr>
      <t xml:space="preserve"> - History Government - US
</t>
    </r>
    <r>
      <rPr>
        <b/>
        <sz val="11"/>
        <color theme="1"/>
        <rFont val="Calibri"/>
        <family val="2"/>
        <scheme val="minor"/>
      </rPr>
      <t>73089</t>
    </r>
    <r>
      <rPr>
        <sz val="11"/>
        <color theme="1"/>
        <rFont val="Calibri"/>
        <family val="2"/>
        <scheme val="minor"/>
      </rPr>
      <t xml:space="preserve"> - History Government - World
</t>
    </r>
    <r>
      <rPr>
        <b/>
        <sz val="11"/>
        <color theme="1"/>
        <rFont val="Calibri"/>
        <family val="2"/>
        <scheme val="minor"/>
      </rPr>
      <t>00554</t>
    </r>
    <r>
      <rPr>
        <sz val="11"/>
        <color theme="1"/>
        <rFont val="Calibri"/>
        <family val="2"/>
        <scheme val="minor"/>
      </rPr>
      <t xml:space="preserve"> - Language arts
</t>
    </r>
    <r>
      <rPr>
        <b/>
        <sz val="11"/>
        <color theme="1"/>
        <rFont val="Calibri"/>
        <family val="2"/>
        <scheme val="minor"/>
      </rPr>
      <t>01166</t>
    </r>
    <r>
      <rPr>
        <sz val="11"/>
        <color theme="1"/>
        <rFont val="Calibri"/>
        <family val="2"/>
        <scheme val="minor"/>
      </rPr>
      <t xml:space="preserve"> - Mathematics
</t>
    </r>
    <r>
      <rPr>
        <b/>
        <sz val="11"/>
        <color theme="1"/>
        <rFont val="Calibri"/>
        <family val="2"/>
        <scheme val="minor"/>
      </rPr>
      <t>00560</t>
    </r>
    <r>
      <rPr>
        <sz val="11"/>
        <color theme="1"/>
        <rFont val="Calibri"/>
        <family val="2"/>
        <scheme val="minor"/>
      </rPr>
      <t xml:space="preserve"> - Reading
</t>
    </r>
    <r>
      <rPr>
        <b/>
        <sz val="11"/>
        <color theme="1"/>
        <rFont val="Calibri"/>
        <family val="2"/>
        <scheme val="minor"/>
      </rPr>
      <t>13373</t>
    </r>
    <r>
      <rPr>
        <sz val="11"/>
        <color theme="1"/>
        <rFont val="Calibri"/>
        <family val="2"/>
        <scheme val="minor"/>
      </rPr>
      <t xml:space="preserve"> - Reading/Language Arts
</t>
    </r>
    <r>
      <rPr>
        <b/>
        <sz val="11"/>
        <color theme="1"/>
        <rFont val="Calibri"/>
        <family val="2"/>
        <scheme val="minor"/>
      </rPr>
      <t>00562</t>
    </r>
    <r>
      <rPr>
        <sz val="11"/>
        <color theme="1"/>
        <rFont val="Calibri"/>
        <family val="2"/>
        <scheme val="minor"/>
      </rPr>
      <t xml:space="preserve"> - Science
</t>
    </r>
    <r>
      <rPr>
        <b/>
        <sz val="11"/>
        <color theme="1"/>
        <rFont val="Calibri"/>
        <family val="2"/>
        <scheme val="minor"/>
      </rPr>
      <t>73086</t>
    </r>
    <r>
      <rPr>
        <sz val="11"/>
        <color theme="1"/>
        <rFont val="Calibri"/>
        <family val="2"/>
        <scheme val="minor"/>
      </rPr>
      <t xml:space="preserve"> - Science - Life
</t>
    </r>
    <r>
      <rPr>
        <b/>
        <sz val="11"/>
        <color theme="1"/>
        <rFont val="Calibri"/>
        <family val="2"/>
        <scheme val="minor"/>
      </rPr>
      <t>73087</t>
    </r>
    <r>
      <rPr>
        <sz val="11"/>
        <color theme="1"/>
        <rFont val="Calibri"/>
        <family val="2"/>
        <scheme val="minor"/>
      </rPr>
      <t xml:space="preserve"> - Science - Physical
</t>
    </r>
    <r>
      <rPr>
        <b/>
        <sz val="11"/>
        <color theme="1"/>
        <rFont val="Calibri"/>
        <family val="2"/>
        <scheme val="minor"/>
      </rPr>
      <t>13374</t>
    </r>
    <r>
      <rPr>
        <sz val="11"/>
        <color theme="1"/>
        <rFont val="Calibri"/>
        <family val="2"/>
        <scheme val="minor"/>
      </rPr>
      <t xml:space="preserve"> - Social Sciences (History, Geography, Economics, Civics and Government)
</t>
    </r>
    <r>
      <rPr>
        <b/>
        <sz val="11"/>
        <color theme="1"/>
        <rFont val="Calibri"/>
        <family val="2"/>
        <scheme val="minor"/>
      </rPr>
      <t>02043</t>
    </r>
    <r>
      <rPr>
        <sz val="11"/>
        <color theme="1"/>
        <rFont val="Calibri"/>
        <family val="2"/>
        <scheme val="minor"/>
      </rPr>
      <t xml:space="preserve"> - Special education
</t>
    </r>
    <r>
      <rPr>
        <b/>
        <sz val="11"/>
        <color theme="1"/>
        <rFont val="Calibri"/>
        <family val="2"/>
        <scheme val="minor"/>
      </rPr>
      <t>01287</t>
    </r>
    <r>
      <rPr>
        <sz val="11"/>
        <color theme="1"/>
        <rFont val="Calibri"/>
        <family val="2"/>
        <scheme val="minor"/>
      </rPr>
      <t xml:space="preserve"> - Writing
</t>
    </r>
    <r>
      <rPr>
        <b/>
        <sz val="11"/>
        <color theme="1"/>
        <rFont val="Calibri"/>
        <family val="2"/>
        <scheme val="minor"/>
      </rPr>
      <t>09999</t>
    </r>
    <r>
      <rPr>
        <sz val="11"/>
        <color theme="1"/>
        <rFont val="Calibri"/>
        <family val="2"/>
        <scheme val="minor"/>
      </rPr>
      <t xml:space="preserve"> - Other
</t>
    </r>
  </si>
  <si>
    <r>
      <t>Scheduling</t>
    </r>
    <r>
      <rPr>
        <sz val="11"/>
        <color theme="1"/>
        <rFont val="Calibri"/>
        <family val="2"/>
        <scheme val="minor"/>
      </rPr>
      <t xml:space="preserve"> - Scheduling accommodations
</t>
    </r>
    <r>
      <rPr>
        <b/>
        <sz val="11"/>
        <color theme="1"/>
        <rFont val="Calibri"/>
        <family val="2"/>
        <scheme val="minor"/>
      </rPr>
      <t>Setting</t>
    </r>
    <r>
      <rPr>
        <sz val="11"/>
        <color theme="1"/>
        <rFont val="Calibri"/>
        <family val="2"/>
        <scheme val="minor"/>
      </rPr>
      <t xml:space="preserve"> - Settings accommodations
</t>
    </r>
    <r>
      <rPr>
        <b/>
        <sz val="11"/>
        <color theme="1"/>
        <rFont val="Calibri"/>
        <family val="2"/>
        <scheme val="minor"/>
      </rPr>
      <t>EquipmentOrTechnology</t>
    </r>
    <r>
      <rPr>
        <sz val="11"/>
        <color theme="1"/>
        <rFont val="Calibri"/>
        <family val="2"/>
        <scheme val="minor"/>
      </rPr>
      <t xml:space="preserve"> - Student equipment/technology
</t>
    </r>
    <r>
      <rPr>
        <b/>
        <sz val="11"/>
        <color theme="1"/>
        <rFont val="Calibri"/>
        <family val="2"/>
        <scheme val="minor"/>
      </rPr>
      <t>TestAdministration</t>
    </r>
    <r>
      <rPr>
        <sz val="11"/>
        <color theme="1"/>
        <rFont val="Calibri"/>
        <family val="2"/>
        <scheme val="minor"/>
      </rPr>
      <t xml:space="preserve"> - Test administration accommodation
</t>
    </r>
    <r>
      <rPr>
        <b/>
        <sz val="11"/>
        <color theme="1"/>
        <rFont val="Calibri"/>
        <family val="2"/>
        <scheme val="minor"/>
      </rPr>
      <t>TestMaterial</t>
    </r>
    <r>
      <rPr>
        <sz val="11"/>
        <color theme="1"/>
        <rFont val="Calibri"/>
        <family val="2"/>
        <scheme val="minor"/>
      </rPr>
      <t xml:space="preserve"> - Test material accommodations
</t>
    </r>
    <r>
      <rPr>
        <b/>
        <sz val="11"/>
        <color theme="1"/>
        <rFont val="Calibri"/>
        <family val="2"/>
        <scheme val="minor"/>
      </rPr>
      <t>TestResponse</t>
    </r>
    <r>
      <rPr>
        <sz val="11"/>
        <color theme="1"/>
        <rFont val="Calibri"/>
        <family val="2"/>
        <scheme val="minor"/>
      </rPr>
      <t xml:space="preserve"> - Test response accommodation
</t>
    </r>
    <r>
      <rPr>
        <b/>
        <sz val="11"/>
        <color theme="1"/>
        <rFont val="Calibri"/>
        <family val="2"/>
        <scheme val="minor"/>
      </rPr>
      <t>ELL</t>
    </r>
    <r>
      <rPr>
        <sz val="11"/>
        <color theme="1"/>
        <rFont val="Calibri"/>
        <family val="2"/>
        <scheme val="minor"/>
      </rPr>
      <t xml:space="preserve"> - English language learner accommodation
</t>
    </r>
    <r>
      <rPr>
        <b/>
        <sz val="11"/>
        <color theme="1"/>
        <rFont val="Calibri"/>
        <family val="2"/>
        <scheme val="minor"/>
      </rPr>
      <t>504</t>
    </r>
    <r>
      <rPr>
        <sz val="11"/>
        <color theme="1"/>
        <rFont val="Calibri"/>
        <family val="2"/>
        <scheme val="minor"/>
      </rPr>
      <t xml:space="preserve"> - 504 accommodation
</t>
    </r>
    <r>
      <rPr>
        <b/>
        <sz val="11"/>
        <color theme="1"/>
        <rFont val="Calibri"/>
        <family val="2"/>
        <scheme val="minor"/>
      </rPr>
      <t>Other</t>
    </r>
    <r>
      <rPr>
        <sz val="11"/>
        <color theme="1"/>
        <rFont val="Calibri"/>
        <family val="2"/>
        <scheme val="minor"/>
      </rPr>
      <t xml:space="preserve"> - Other
</t>
    </r>
  </si>
  <si>
    <r>
      <t>03513</t>
    </r>
    <r>
      <rPr>
        <sz val="11"/>
        <color theme="1"/>
        <rFont val="Calibri"/>
        <family val="2"/>
        <scheme val="minor"/>
      </rPr>
      <t xml:space="preserve"> - Additional example items/tasks
</t>
    </r>
    <r>
      <rPr>
        <b/>
        <sz val="11"/>
        <color theme="1"/>
        <rFont val="Calibri"/>
        <family val="2"/>
        <scheme val="minor"/>
      </rPr>
      <t>00461</t>
    </r>
    <r>
      <rPr>
        <sz val="11"/>
        <color theme="1"/>
        <rFont val="Calibri"/>
        <family val="2"/>
        <scheme val="minor"/>
      </rPr>
      <t xml:space="preserve"> - Adjustable swivel arm
</t>
    </r>
    <r>
      <rPr>
        <b/>
        <sz val="11"/>
        <color theme="1"/>
        <rFont val="Calibri"/>
        <family val="2"/>
        <scheme val="minor"/>
      </rPr>
      <t>00462</t>
    </r>
    <r>
      <rPr>
        <sz val="11"/>
        <color theme="1"/>
        <rFont val="Calibri"/>
        <family val="2"/>
        <scheme val="minor"/>
      </rPr>
      <t xml:space="preserve"> - Adjustable table height
</t>
    </r>
    <r>
      <rPr>
        <b/>
        <sz val="11"/>
        <color theme="1"/>
        <rFont val="Calibri"/>
        <family val="2"/>
        <scheme val="minor"/>
      </rPr>
      <t>03514</t>
    </r>
    <r>
      <rPr>
        <sz val="11"/>
        <color theme="1"/>
        <rFont val="Calibri"/>
        <family val="2"/>
        <scheme val="minor"/>
      </rPr>
      <t xml:space="preserve"> - Administration in several sessions
</t>
    </r>
    <r>
      <rPr>
        <b/>
        <sz val="11"/>
        <color theme="1"/>
        <rFont val="Calibri"/>
        <family val="2"/>
        <scheme val="minor"/>
      </rPr>
      <t>13803</t>
    </r>
    <r>
      <rPr>
        <sz val="11"/>
        <color theme="1"/>
        <rFont val="Calibri"/>
        <family val="2"/>
        <scheme val="minor"/>
      </rPr>
      <t xml:space="preserve"> - Alternate representation
</t>
    </r>
    <r>
      <rPr>
        <b/>
        <sz val="11"/>
        <color theme="1"/>
        <rFont val="Calibri"/>
        <family val="2"/>
        <scheme val="minor"/>
      </rPr>
      <t>13793</t>
    </r>
    <r>
      <rPr>
        <sz val="11"/>
        <color theme="1"/>
        <rFont val="Calibri"/>
        <family val="2"/>
        <scheme val="minor"/>
      </rPr>
      <t xml:space="preserve"> - Answer masking
</t>
    </r>
    <r>
      <rPr>
        <b/>
        <sz val="11"/>
        <color theme="1"/>
        <rFont val="Calibri"/>
        <family val="2"/>
        <scheme val="minor"/>
      </rPr>
      <t>03515</t>
    </r>
    <r>
      <rPr>
        <sz val="11"/>
        <color theme="1"/>
        <rFont val="Calibri"/>
        <family val="2"/>
        <scheme val="minor"/>
      </rPr>
      <t xml:space="preserve"> - Answers written directly in test booklet
</t>
    </r>
    <r>
      <rPr>
        <b/>
        <sz val="11"/>
        <color theme="1"/>
        <rFont val="Calibri"/>
        <family val="2"/>
        <scheme val="minor"/>
      </rPr>
      <t>03517</t>
    </r>
    <r>
      <rPr>
        <sz val="11"/>
        <color theme="1"/>
        <rFont val="Calibri"/>
        <family val="2"/>
        <scheme val="minor"/>
      </rPr>
      <t xml:space="preserve"> - Arithmetic table (math or science)
</t>
    </r>
    <r>
      <rPr>
        <b/>
        <sz val="11"/>
        <color theme="1"/>
        <rFont val="Calibri"/>
        <family val="2"/>
        <scheme val="minor"/>
      </rPr>
      <t>03516</t>
    </r>
    <r>
      <rPr>
        <sz val="11"/>
        <color theme="1"/>
        <rFont val="Calibri"/>
        <family val="2"/>
        <scheme val="minor"/>
      </rPr>
      <t xml:space="preserve"> - Assessment in native language
</t>
    </r>
    <r>
      <rPr>
        <b/>
        <sz val="11"/>
        <color theme="1"/>
        <rFont val="Calibri"/>
        <family val="2"/>
        <scheme val="minor"/>
      </rPr>
      <t>03519</t>
    </r>
    <r>
      <rPr>
        <sz val="11"/>
        <color theme="1"/>
        <rFont val="Calibri"/>
        <family val="2"/>
        <scheme val="minor"/>
      </rPr>
      <t xml:space="preserve"> - Assistive device that does interfere with independent work of the student
</t>
    </r>
    <r>
      <rPr>
        <b/>
        <sz val="11"/>
        <color theme="1"/>
        <rFont val="Calibri"/>
        <family val="2"/>
        <scheme val="minor"/>
      </rPr>
      <t>03518</t>
    </r>
    <r>
      <rPr>
        <sz val="11"/>
        <color theme="1"/>
        <rFont val="Calibri"/>
        <family val="2"/>
        <scheme val="minor"/>
      </rPr>
      <t xml:space="preserve"> - Assistive device that does not interfere with independent work of the student
</t>
    </r>
    <r>
      <rPr>
        <b/>
        <sz val="11"/>
        <color theme="1"/>
        <rFont val="Calibri"/>
        <family val="2"/>
        <scheme val="minor"/>
      </rPr>
      <t>03521</t>
    </r>
    <r>
      <rPr>
        <sz val="11"/>
        <color theme="1"/>
        <rFont val="Calibri"/>
        <family val="2"/>
        <scheme val="minor"/>
      </rPr>
      <t xml:space="preserve"> - Audio cassette player
</t>
    </r>
    <r>
      <rPr>
        <b/>
        <sz val="11"/>
        <color theme="1"/>
        <rFont val="Calibri"/>
        <family val="2"/>
        <scheme val="minor"/>
      </rPr>
      <t>03520</t>
    </r>
    <r>
      <rPr>
        <sz val="11"/>
        <color theme="1"/>
        <rFont val="Calibri"/>
        <family val="2"/>
        <scheme val="minor"/>
      </rPr>
      <t xml:space="preserve"> - Audiotape or CD
</t>
    </r>
    <r>
      <rPr>
        <b/>
        <sz val="11"/>
        <color theme="1"/>
        <rFont val="Calibri"/>
        <family val="2"/>
        <scheme val="minor"/>
      </rPr>
      <t>13791</t>
    </r>
    <r>
      <rPr>
        <sz val="11"/>
        <color theme="1"/>
        <rFont val="Calibri"/>
        <family val="2"/>
        <scheme val="minor"/>
      </rPr>
      <t xml:space="preserve"> - Auditory calming
</t>
    </r>
    <r>
      <rPr>
        <b/>
        <sz val="11"/>
        <color theme="1"/>
        <rFont val="Calibri"/>
        <family val="2"/>
        <scheme val="minor"/>
      </rPr>
      <t>00463</t>
    </r>
    <r>
      <rPr>
        <sz val="11"/>
        <color theme="1"/>
        <rFont val="Calibri"/>
        <family val="2"/>
        <scheme val="minor"/>
      </rPr>
      <t xml:space="preserve"> - Braille
</t>
    </r>
    <r>
      <rPr>
        <b/>
        <sz val="11"/>
        <color theme="1"/>
        <rFont val="Calibri"/>
        <family val="2"/>
        <scheme val="minor"/>
      </rPr>
      <t>03522</t>
    </r>
    <r>
      <rPr>
        <sz val="11"/>
        <color theme="1"/>
        <rFont val="Calibri"/>
        <family val="2"/>
        <scheme val="minor"/>
      </rPr>
      <t xml:space="preserve"> - Braille writer, no thesaurus, spell- or grammar-checker
</t>
    </r>
    <r>
      <rPr>
        <b/>
        <sz val="11"/>
        <color theme="1"/>
        <rFont val="Calibri"/>
        <family val="2"/>
        <scheme val="minor"/>
      </rPr>
      <t>03523</t>
    </r>
    <r>
      <rPr>
        <sz val="11"/>
        <color theme="1"/>
        <rFont val="Calibri"/>
        <family val="2"/>
        <scheme val="minor"/>
      </rPr>
      <t xml:space="preserve"> - Breaks during testing
</t>
    </r>
    <r>
      <rPr>
        <b/>
        <sz val="11"/>
        <color theme="1"/>
        <rFont val="Calibri"/>
        <family val="2"/>
        <scheme val="minor"/>
      </rPr>
      <t>03524</t>
    </r>
    <r>
      <rPr>
        <sz val="11"/>
        <color theme="1"/>
        <rFont val="Calibri"/>
        <family val="2"/>
        <scheme val="minor"/>
      </rPr>
      <t xml:space="preserve"> - Calculator (math or science)
</t>
    </r>
    <r>
      <rPr>
        <b/>
        <sz val="11"/>
        <color theme="1"/>
        <rFont val="Calibri"/>
        <family val="2"/>
        <scheme val="minor"/>
      </rPr>
      <t>13800</t>
    </r>
    <r>
      <rPr>
        <sz val="11"/>
        <color theme="1"/>
        <rFont val="Calibri"/>
        <family val="2"/>
        <scheme val="minor"/>
      </rPr>
      <t xml:space="preserve"> - Chunking
</t>
    </r>
    <r>
      <rPr>
        <b/>
        <sz val="11"/>
        <color theme="1"/>
        <rFont val="Calibri"/>
        <family val="2"/>
        <scheme val="minor"/>
      </rPr>
      <t>03525</t>
    </r>
    <r>
      <rPr>
        <sz val="11"/>
        <color theme="1"/>
        <rFont val="Calibri"/>
        <family val="2"/>
        <scheme val="minor"/>
      </rPr>
      <t xml:space="preserve"> - Clarify directions
</t>
    </r>
    <r>
      <rPr>
        <b/>
        <sz val="11"/>
        <color theme="1"/>
        <rFont val="Calibri"/>
        <family val="2"/>
        <scheme val="minor"/>
      </rPr>
      <t>03526</t>
    </r>
    <r>
      <rPr>
        <sz val="11"/>
        <color theme="1"/>
        <rFont val="Calibri"/>
        <family val="2"/>
        <scheme val="minor"/>
      </rPr>
      <t xml:space="preserve"> - Colored lenses
</t>
    </r>
    <r>
      <rPr>
        <b/>
        <sz val="11"/>
        <color theme="1"/>
        <rFont val="Calibri"/>
        <family val="2"/>
        <scheme val="minor"/>
      </rPr>
      <t>03527</t>
    </r>
    <r>
      <rPr>
        <sz val="11"/>
        <color theme="1"/>
        <rFont val="Calibri"/>
        <family val="2"/>
        <scheme val="minor"/>
      </rPr>
      <t xml:space="preserve"> - Computer administration
</t>
    </r>
    <r>
      <rPr>
        <b/>
        <sz val="11"/>
        <color theme="1"/>
        <rFont val="Calibri"/>
        <family val="2"/>
        <scheme val="minor"/>
      </rPr>
      <t>03528</t>
    </r>
    <r>
      <rPr>
        <sz val="11"/>
        <color theme="1"/>
        <rFont val="Calibri"/>
        <family val="2"/>
        <scheme val="minor"/>
      </rPr>
      <t xml:space="preserve"> - Cranmer abacus
</t>
    </r>
    <r>
      <rPr>
        <b/>
        <sz val="11"/>
        <color theme="1"/>
        <rFont val="Calibri"/>
        <family val="2"/>
        <scheme val="minor"/>
      </rPr>
      <t>03529</t>
    </r>
    <r>
      <rPr>
        <sz val="11"/>
        <color theme="1"/>
        <rFont val="Calibri"/>
        <family val="2"/>
        <scheme val="minor"/>
      </rPr>
      <t xml:space="preserve"> - Cueing
</t>
    </r>
    <r>
      <rPr>
        <b/>
        <sz val="11"/>
        <color theme="1"/>
        <rFont val="Calibri"/>
        <family val="2"/>
        <scheme val="minor"/>
      </rPr>
      <t>03532</t>
    </r>
    <r>
      <rPr>
        <sz val="11"/>
        <color theme="1"/>
        <rFont val="Calibri"/>
        <family val="2"/>
        <scheme val="minor"/>
      </rPr>
      <t xml:space="preserve"> - Dictated oral response (to a proctor)
</t>
    </r>
    <r>
      <rPr>
        <b/>
        <sz val="11"/>
        <color theme="1"/>
        <rFont val="Calibri"/>
        <family val="2"/>
        <scheme val="minor"/>
      </rPr>
      <t>03530</t>
    </r>
    <r>
      <rPr>
        <sz val="11"/>
        <color theme="1"/>
        <rFont val="Calibri"/>
        <family val="2"/>
        <scheme val="minor"/>
      </rPr>
      <t xml:space="preserve"> - Dictionary in English
</t>
    </r>
    <r>
      <rPr>
        <b/>
        <sz val="11"/>
        <color theme="1"/>
        <rFont val="Calibri"/>
        <family val="2"/>
        <scheme val="minor"/>
      </rPr>
      <t>03531</t>
    </r>
    <r>
      <rPr>
        <sz val="11"/>
        <color theme="1"/>
        <rFont val="Calibri"/>
        <family val="2"/>
        <scheme val="minor"/>
      </rPr>
      <t xml:space="preserve"> - Dictionary in native language
</t>
    </r>
    <r>
      <rPr>
        <b/>
        <sz val="11"/>
        <color theme="1"/>
        <rFont val="Calibri"/>
        <family val="2"/>
        <scheme val="minor"/>
      </rPr>
      <t>03533</t>
    </r>
    <r>
      <rPr>
        <sz val="11"/>
        <color theme="1"/>
        <rFont val="Calibri"/>
        <family val="2"/>
        <scheme val="minor"/>
      </rPr>
      <t xml:space="preserve"> - Directions read aloud or explained
</t>
    </r>
    <r>
      <rPr>
        <b/>
        <sz val="11"/>
        <color theme="1"/>
        <rFont val="Calibri"/>
        <family val="2"/>
        <scheme val="minor"/>
      </rPr>
      <t>13795</t>
    </r>
    <r>
      <rPr>
        <sz val="11"/>
        <color theme="1"/>
        <rFont val="Calibri"/>
        <family val="2"/>
        <scheme val="minor"/>
      </rPr>
      <t xml:space="preserve"> - Encouraging prompts
</t>
    </r>
    <r>
      <rPr>
        <b/>
        <sz val="11"/>
        <color theme="1"/>
        <rFont val="Calibri"/>
        <family val="2"/>
        <scheme val="minor"/>
      </rPr>
      <t>00937</t>
    </r>
    <r>
      <rPr>
        <sz val="11"/>
        <color theme="1"/>
        <rFont val="Calibri"/>
        <family val="2"/>
        <scheme val="minor"/>
      </rPr>
      <t xml:space="preserve"> - Enlarged keyboard
</t>
    </r>
    <r>
      <rPr>
        <b/>
        <sz val="11"/>
        <color theme="1"/>
        <rFont val="Calibri"/>
        <family val="2"/>
        <scheme val="minor"/>
      </rPr>
      <t>00464</t>
    </r>
    <r>
      <rPr>
        <sz val="11"/>
        <color theme="1"/>
        <rFont val="Calibri"/>
        <family val="2"/>
        <scheme val="minor"/>
      </rPr>
      <t xml:space="preserve"> - Enlarged monitor view
</t>
    </r>
    <r>
      <rPr>
        <b/>
        <sz val="11"/>
        <color theme="1"/>
        <rFont val="Calibri"/>
        <family val="2"/>
        <scheme val="minor"/>
      </rPr>
      <t>03534</t>
    </r>
    <r>
      <rPr>
        <sz val="11"/>
        <color theme="1"/>
        <rFont val="Calibri"/>
        <family val="2"/>
        <scheme val="minor"/>
      </rPr>
      <t xml:space="preserve"> - Examiner familiarity
</t>
    </r>
    <r>
      <rPr>
        <b/>
        <sz val="11"/>
        <color theme="1"/>
        <rFont val="Calibri"/>
        <family val="2"/>
        <scheme val="minor"/>
      </rPr>
      <t>00465</t>
    </r>
    <r>
      <rPr>
        <sz val="11"/>
        <color theme="1"/>
        <rFont val="Calibri"/>
        <family val="2"/>
        <scheme val="minor"/>
      </rPr>
      <t xml:space="preserve"> - Extra time
</t>
    </r>
    <r>
      <rPr>
        <b/>
        <sz val="11"/>
        <color theme="1"/>
        <rFont val="Calibri"/>
        <family val="2"/>
        <scheme val="minor"/>
      </rPr>
      <t>13797</t>
    </r>
    <r>
      <rPr>
        <sz val="11"/>
        <color theme="1"/>
        <rFont val="Calibri"/>
        <family val="2"/>
        <scheme val="minor"/>
      </rPr>
      <t xml:space="preserve"> - Flagging
</t>
    </r>
    <r>
      <rPr>
        <b/>
        <sz val="11"/>
        <color theme="1"/>
        <rFont val="Calibri"/>
        <family val="2"/>
        <scheme val="minor"/>
      </rPr>
      <t>03535</t>
    </r>
    <r>
      <rPr>
        <sz val="11"/>
        <color theme="1"/>
        <rFont val="Calibri"/>
        <family val="2"/>
        <scheme val="minor"/>
      </rPr>
      <t xml:space="preserve"> - Font enlarged beyond print version requirements
</t>
    </r>
    <r>
      <rPr>
        <b/>
        <sz val="11"/>
        <color theme="1"/>
        <rFont val="Calibri"/>
        <family val="2"/>
        <scheme val="minor"/>
      </rPr>
      <t>13789</t>
    </r>
    <r>
      <rPr>
        <sz val="11"/>
        <color theme="1"/>
        <rFont val="Calibri"/>
        <family val="2"/>
        <scheme val="minor"/>
      </rPr>
      <t xml:space="preserve"> - Foreground/Background colors
</t>
    </r>
    <r>
      <rPr>
        <b/>
        <sz val="11"/>
        <color theme="1"/>
        <rFont val="Calibri"/>
        <family val="2"/>
        <scheme val="minor"/>
      </rPr>
      <t>03536</t>
    </r>
    <r>
      <rPr>
        <sz val="11"/>
        <color theme="1"/>
        <rFont val="Calibri"/>
        <family val="2"/>
        <scheme val="minor"/>
      </rPr>
      <t xml:space="preserve"> - Foreign language interpreter
</t>
    </r>
    <r>
      <rPr>
        <b/>
        <sz val="11"/>
        <color theme="1"/>
        <rFont val="Calibri"/>
        <family val="2"/>
        <scheme val="minor"/>
      </rPr>
      <t>03537</t>
    </r>
    <r>
      <rPr>
        <sz val="11"/>
        <color theme="1"/>
        <rFont val="Calibri"/>
        <family val="2"/>
        <scheme val="minor"/>
      </rPr>
      <t xml:space="preserve"> - Foreign language interpreter for instructions, ask questions
</t>
    </r>
    <r>
      <rPr>
        <b/>
        <sz val="11"/>
        <color theme="1"/>
        <rFont val="Calibri"/>
        <family val="2"/>
        <scheme val="minor"/>
      </rPr>
      <t>03538</t>
    </r>
    <r>
      <rPr>
        <sz val="11"/>
        <color theme="1"/>
        <rFont val="Calibri"/>
        <family val="2"/>
        <scheme val="minor"/>
      </rPr>
      <t xml:space="preserve"> - Format
</t>
    </r>
    <r>
      <rPr>
        <b/>
        <sz val="11"/>
        <color theme="1"/>
        <rFont val="Calibri"/>
        <family val="2"/>
        <scheme val="minor"/>
      </rPr>
      <t>03539</t>
    </r>
    <r>
      <rPr>
        <sz val="11"/>
        <color theme="1"/>
        <rFont val="Calibri"/>
        <family val="2"/>
        <scheme val="minor"/>
      </rPr>
      <t xml:space="preserve"> - Hospital/home testing
</t>
    </r>
    <r>
      <rPr>
        <b/>
        <sz val="11"/>
        <color theme="1"/>
        <rFont val="Calibri"/>
        <family val="2"/>
        <scheme val="minor"/>
      </rPr>
      <t>13790</t>
    </r>
    <r>
      <rPr>
        <sz val="11"/>
        <color theme="1"/>
        <rFont val="Calibri"/>
        <family val="2"/>
        <scheme val="minor"/>
      </rPr>
      <t xml:space="preserve"> - Increase white space
</t>
    </r>
    <r>
      <rPr>
        <b/>
        <sz val="11"/>
        <color theme="1"/>
        <rFont val="Calibri"/>
        <family val="2"/>
        <scheme val="minor"/>
      </rPr>
      <t>13805</t>
    </r>
    <r>
      <rPr>
        <sz val="11"/>
        <color theme="1"/>
        <rFont val="Calibri"/>
        <family val="2"/>
        <scheme val="minor"/>
      </rPr>
      <t xml:space="preserve"> - Item translation
</t>
    </r>
    <r>
      <rPr>
        <b/>
        <sz val="11"/>
        <color theme="1"/>
        <rFont val="Calibri"/>
        <family val="2"/>
        <scheme val="minor"/>
      </rPr>
      <t>13798</t>
    </r>
    <r>
      <rPr>
        <sz val="11"/>
        <color theme="1"/>
        <rFont val="Calibri"/>
        <family val="2"/>
        <scheme val="minor"/>
      </rPr>
      <t xml:space="preserve"> - Keyword highlighting
</t>
    </r>
    <r>
      <rPr>
        <b/>
        <sz val="11"/>
        <color theme="1"/>
        <rFont val="Calibri"/>
        <family val="2"/>
        <scheme val="minor"/>
      </rPr>
      <t>13804</t>
    </r>
    <r>
      <rPr>
        <sz val="11"/>
        <color theme="1"/>
        <rFont val="Calibri"/>
        <family val="2"/>
        <scheme val="minor"/>
      </rPr>
      <t xml:space="preserve"> - Keyword translation
</t>
    </r>
    <r>
      <rPr>
        <b/>
        <sz val="11"/>
        <color theme="1"/>
        <rFont val="Calibri"/>
        <family val="2"/>
        <scheme val="minor"/>
      </rPr>
      <t>00468</t>
    </r>
    <r>
      <rPr>
        <sz val="11"/>
        <color theme="1"/>
        <rFont val="Calibri"/>
        <family val="2"/>
        <scheme val="minor"/>
      </rPr>
      <t xml:space="preserve"> - Large print booklet
</t>
    </r>
    <r>
      <rPr>
        <b/>
        <sz val="11"/>
        <color theme="1"/>
        <rFont val="Calibri"/>
        <family val="2"/>
        <scheme val="minor"/>
      </rPr>
      <t>13796</t>
    </r>
    <r>
      <rPr>
        <sz val="11"/>
        <color theme="1"/>
        <rFont val="Calibri"/>
        <family val="2"/>
        <scheme val="minor"/>
      </rPr>
      <t xml:space="preserve"> - Line reader
</t>
    </r>
    <r>
      <rPr>
        <b/>
        <sz val="11"/>
        <color theme="1"/>
        <rFont val="Calibri"/>
        <family val="2"/>
        <scheme val="minor"/>
      </rPr>
      <t>03540</t>
    </r>
    <r>
      <rPr>
        <sz val="11"/>
        <color theme="1"/>
        <rFont val="Calibri"/>
        <family val="2"/>
        <scheme val="minor"/>
      </rPr>
      <t xml:space="preserve"> - Linguistic modification of test directions
</t>
    </r>
    <r>
      <rPr>
        <b/>
        <sz val="11"/>
        <color theme="1"/>
        <rFont val="Calibri"/>
        <family val="2"/>
        <scheme val="minor"/>
      </rPr>
      <t>03541</t>
    </r>
    <r>
      <rPr>
        <sz val="11"/>
        <color theme="1"/>
        <rFont val="Calibri"/>
        <family val="2"/>
        <scheme val="minor"/>
      </rPr>
      <t xml:space="preserve"> - Magnification device
</t>
    </r>
    <r>
      <rPr>
        <b/>
        <sz val="11"/>
        <color theme="1"/>
        <rFont val="Calibri"/>
        <family val="2"/>
        <scheme val="minor"/>
      </rPr>
      <t>03542</t>
    </r>
    <r>
      <rPr>
        <sz val="11"/>
        <color theme="1"/>
        <rFont val="Calibri"/>
        <family val="2"/>
        <scheme val="minor"/>
      </rPr>
      <t xml:space="preserve"> - Manually coded English or American Sign Language to present test questions
</t>
    </r>
    <r>
      <rPr>
        <b/>
        <sz val="11"/>
        <color theme="1"/>
        <rFont val="Calibri"/>
        <family val="2"/>
        <scheme val="minor"/>
      </rPr>
      <t>13792</t>
    </r>
    <r>
      <rPr>
        <sz val="11"/>
        <color theme="1"/>
        <rFont val="Calibri"/>
        <family val="2"/>
        <scheme val="minor"/>
      </rPr>
      <t xml:space="preserve"> - Masking
</t>
    </r>
    <r>
      <rPr>
        <b/>
        <sz val="11"/>
        <color theme="1"/>
        <rFont val="Calibri"/>
        <family val="2"/>
        <scheme val="minor"/>
      </rPr>
      <t>03543</t>
    </r>
    <r>
      <rPr>
        <sz val="11"/>
        <color theme="1"/>
        <rFont val="Calibri"/>
        <family val="2"/>
        <scheme val="minor"/>
      </rPr>
      <t xml:space="preserve"> - Math manipulatives (math or science)
</t>
    </r>
    <r>
      <rPr>
        <b/>
        <sz val="11"/>
        <color theme="1"/>
        <rFont val="Calibri"/>
        <family val="2"/>
        <scheme val="minor"/>
      </rPr>
      <t>03544</t>
    </r>
    <r>
      <rPr>
        <sz val="11"/>
        <color theme="1"/>
        <rFont val="Calibri"/>
        <family val="2"/>
        <scheme val="minor"/>
      </rPr>
      <t xml:space="preserve"> - Modification of linguistic complexity
</t>
    </r>
    <r>
      <rPr>
        <b/>
        <sz val="11"/>
        <color theme="1"/>
        <rFont val="Calibri"/>
        <family val="2"/>
        <scheme val="minor"/>
      </rPr>
      <t>00469</t>
    </r>
    <r>
      <rPr>
        <sz val="11"/>
        <color theme="1"/>
        <rFont val="Calibri"/>
        <family val="2"/>
        <scheme val="minor"/>
      </rPr>
      <t xml:space="preserve"> - Multi-day administration
</t>
    </r>
    <r>
      <rPr>
        <b/>
        <sz val="11"/>
        <color theme="1"/>
        <rFont val="Calibri"/>
        <family val="2"/>
        <scheme val="minor"/>
      </rPr>
      <t>03545</t>
    </r>
    <r>
      <rPr>
        <sz val="11"/>
        <color theme="1"/>
        <rFont val="Calibri"/>
        <family val="2"/>
        <scheme val="minor"/>
      </rPr>
      <t xml:space="preserve"> - Multiple test sessions
</t>
    </r>
    <r>
      <rPr>
        <b/>
        <sz val="11"/>
        <color theme="1"/>
        <rFont val="Calibri"/>
        <family val="2"/>
        <scheme val="minor"/>
      </rPr>
      <t>13802</t>
    </r>
    <r>
      <rPr>
        <sz val="11"/>
        <color theme="1"/>
        <rFont val="Calibri"/>
        <family val="2"/>
        <scheme val="minor"/>
      </rPr>
      <t xml:space="preserve"> - Negatives removed
</t>
    </r>
    <r>
      <rPr>
        <b/>
        <sz val="11"/>
        <color theme="1"/>
        <rFont val="Calibri"/>
        <family val="2"/>
        <scheme val="minor"/>
      </rPr>
      <t>03546</t>
    </r>
    <r>
      <rPr>
        <sz val="11"/>
        <color theme="1"/>
        <rFont val="Calibri"/>
        <family val="2"/>
        <scheme val="minor"/>
      </rPr>
      <t xml:space="preserve"> - Oral directions in the native language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03547</t>
    </r>
    <r>
      <rPr>
        <sz val="11"/>
        <color theme="1"/>
        <rFont val="Calibri"/>
        <family val="2"/>
        <scheme val="minor"/>
      </rPr>
      <t xml:space="preserve"> - Paraphrasing
</t>
    </r>
    <r>
      <rPr>
        <b/>
        <sz val="11"/>
        <color theme="1"/>
        <rFont val="Calibri"/>
        <family val="2"/>
        <scheme val="minor"/>
      </rPr>
      <t>03548</t>
    </r>
    <r>
      <rPr>
        <sz val="11"/>
        <color theme="1"/>
        <rFont val="Calibri"/>
        <family val="2"/>
        <scheme val="minor"/>
      </rPr>
      <t xml:space="preserve"> - Physical supports
</t>
    </r>
    <r>
      <rPr>
        <b/>
        <sz val="11"/>
        <color theme="1"/>
        <rFont val="Calibri"/>
        <family val="2"/>
        <scheme val="minor"/>
      </rPr>
      <t>00471</t>
    </r>
    <r>
      <rPr>
        <sz val="11"/>
        <color theme="1"/>
        <rFont val="Calibri"/>
        <family val="2"/>
        <scheme val="minor"/>
      </rPr>
      <t xml:space="preserve"> - Recorder or amanuensis
</t>
    </r>
    <r>
      <rPr>
        <b/>
        <sz val="11"/>
        <color theme="1"/>
        <rFont val="Calibri"/>
        <family val="2"/>
        <scheme val="minor"/>
      </rPr>
      <t>13801</t>
    </r>
    <r>
      <rPr>
        <sz val="11"/>
        <color theme="1"/>
        <rFont val="Calibri"/>
        <family val="2"/>
        <scheme val="minor"/>
      </rPr>
      <t xml:space="preserve"> - Reduced answer choices
</t>
    </r>
    <r>
      <rPr>
        <b/>
        <sz val="11"/>
        <color theme="1"/>
        <rFont val="Calibri"/>
        <family val="2"/>
        <scheme val="minor"/>
      </rPr>
      <t>03549</t>
    </r>
    <r>
      <rPr>
        <sz val="11"/>
        <color theme="1"/>
        <rFont val="Calibri"/>
        <family val="2"/>
        <scheme val="minor"/>
      </rPr>
      <t xml:space="preserve"> - Response dictated in American Sign Language
</t>
    </r>
    <r>
      <rPr>
        <b/>
        <sz val="11"/>
        <color theme="1"/>
        <rFont val="Calibri"/>
        <family val="2"/>
        <scheme val="minor"/>
      </rPr>
      <t>03550</t>
    </r>
    <r>
      <rPr>
        <sz val="11"/>
        <color theme="1"/>
        <rFont val="Calibri"/>
        <family val="2"/>
        <scheme val="minor"/>
      </rPr>
      <t xml:space="preserve"> - Response in native language
</t>
    </r>
    <r>
      <rPr>
        <b/>
        <sz val="11"/>
        <color theme="1"/>
        <rFont val="Calibri"/>
        <family val="2"/>
        <scheme val="minor"/>
      </rPr>
      <t>13788</t>
    </r>
    <r>
      <rPr>
        <sz val="11"/>
        <color theme="1"/>
        <rFont val="Calibri"/>
        <family val="2"/>
        <scheme val="minor"/>
      </rPr>
      <t xml:space="preserve"> - Reverse contrast
</t>
    </r>
    <r>
      <rPr>
        <b/>
        <sz val="11"/>
        <color theme="1"/>
        <rFont val="Calibri"/>
        <family val="2"/>
        <scheme val="minor"/>
      </rPr>
      <t>13799</t>
    </r>
    <r>
      <rPr>
        <sz val="11"/>
        <color theme="1"/>
        <rFont val="Calibri"/>
        <family val="2"/>
        <scheme val="minor"/>
      </rPr>
      <t xml:space="preserve"> - Scaffolding
</t>
    </r>
    <r>
      <rPr>
        <b/>
        <sz val="11"/>
        <color theme="1"/>
        <rFont val="Calibri"/>
        <family val="2"/>
        <scheme val="minor"/>
      </rPr>
      <t>03551</t>
    </r>
    <r>
      <rPr>
        <sz val="11"/>
        <color theme="1"/>
        <rFont val="Calibri"/>
        <family val="2"/>
        <scheme val="minor"/>
      </rPr>
      <t xml:space="preserve"> - Scheduled extended time
</t>
    </r>
    <r>
      <rPr>
        <b/>
        <sz val="11"/>
        <color theme="1"/>
        <rFont val="Calibri"/>
        <family val="2"/>
        <scheme val="minor"/>
      </rPr>
      <t>00473</t>
    </r>
    <r>
      <rPr>
        <sz val="11"/>
        <color theme="1"/>
        <rFont val="Calibri"/>
        <family val="2"/>
        <scheme val="minor"/>
      </rPr>
      <t xml:space="preserve"> - Separate room
</t>
    </r>
    <r>
      <rPr>
        <b/>
        <sz val="11"/>
        <color theme="1"/>
        <rFont val="Calibri"/>
        <family val="2"/>
        <scheme val="minor"/>
      </rPr>
      <t>03552</t>
    </r>
    <r>
      <rPr>
        <sz val="11"/>
        <color theme="1"/>
        <rFont val="Calibri"/>
        <family val="2"/>
        <scheme val="minor"/>
      </rPr>
      <t xml:space="preserve"> - Separate room with other English Learners under supervision of district employee
</t>
    </r>
    <r>
      <rPr>
        <b/>
        <sz val="11"/>
        <color theme="1"/>
        <rFont val="Calibri"/>
        <family val="2"/>
        <scheme val="minor"/>
      </rPr>
      <t>73070</t>
    </r>
    <r>
      <rPr>
        <sz val="11"/>
        <color theme="1"/>
        <rFont val="Calibri"/>
        <family val="2"/>
        <scheme val="minor"/>
      </rPr>
      <t xml:space="preserve"> - Sign Language Video
</t>
    </r>
    <r>
      <rPr>
        <b/>
        <sz val="11"/>
        <color theme="1"/>
        <rFont val="Calibri"/>
        <family val="2"/>
        <scheme val="minor"/>
      </rPr>
      <t>03553</t>
    </r>
    <r>
      <rPr>
        <sz val="11"/>
        <color theme="1"/>
        <rFont val="Calibri"/>
        <family val="2"/>
        <scheme val="minor"/>
      </rPr>
      <t xml:space="preserve"> - Signer/sign language for instructions, ask questions
</t>
    </r>
    <r>
      <rPr>
        <b/>
        <sz val="11"/>
        <color theme="1"/>
        <rFont val="Calibri"/>
        <family val="2"/>
        <scheme val="minor"/>
      </rPr>
      <t>00474</t>
    </r>
    <r>
      <rPr>
        <sz val="11"/>
        <color theme="1"/>
        <rFont val="Calibri"/>
        <family val="2"/>
        <scheme val="minor"/>
      </rPr>
      <t xml:space="preserve"> - Signer/sign language interpreter
</t>
    </r>
    <r>
      <rPr>
        <b/>
        <sz val="11"/>
        <color theme="1"/>
        <rFont val="Calibri"/>
        <family val="2"/>
        <scheme val="minor"/>
      </rPr>
      <t>03554</t>
    </r>
    <r>
      <rPr>
        <sz val="11"/>
        <color theme="1"/>
        <rFont val="Calibri"/>
        <family val="2"/>
        <scheme val="minor"/>
      </rPr>
      <t xml:space="preserve"> - Simplified language
</t>
    </r>
    <r>
      <rPr>
        <b/>
        <sz val="11"/>
        <color theme="1"/>
        <rFont val="Calibri"/>
        <family val="2"/>
        <scheme val="minor"/>
      </rPr>
      <t>03555</t>
    </r>
    <r>
      <rPr>
        <sz val="11"/>
        <color theme="1"/>
        <rFont val="Calibri"/>
        <family val="2"/>
        <scheme val="minor"/>
      </rPr>
      <t xml:space="preserve"> - Small-group or individual administration
</t>
    </r>
    <r>
      <rPr>
        <b/>
        <sz val="11"/>
        <color theme="1"/>
        <rFont val="Calibri"/>
        <family val="2"/>
        <scheme val="minor"/>
      </rPr>
      <t>00475</t>
    </r>
    <r>
      <rPr>
        <sz val="11"/>
        <color theme="1"/>
        <rFont val="Calibri"/>
        <family val="2"/>
        <scheme val="minor"/>
      </rPr>
      <t xml:space="preserve"> - Special furniture
</t>
    </r>
    <r>
      <rPr>
        <b/>
        <sz val="11"/>
        <color theme="1"/>
        <rFont val="Calibri"/>
        <family val="2"/>
        <scheme val="minor"/>
      </rPr>
      <t>00476</t>
    </r>
    <r>
      <rPr>
        <sz val="11"/>
        <color theme="1"/>
        <rFont val="Calibri"/>
        <family val="2"/>
        <scheme val="minor"/>
      </rPr>
      <t xml:space="preserve"> - Special lighting
</t>
    </r>
    <r>
      <rPr>
        <b/>
        <sz val="11"/>
        <color theme="1"/>
        <rFont val="Calibri"/>
        <family val="2"/>
        <scheme val="minor"/>
      </rPr>
      <t>03558</t>
    </r>
    <r>
      <rPr>
        <sz val="11"/>
        <color theme="1"/>
        <rFont val="Calibri"/>
        <family val="2"/>
        <scheme val="minor"/>
      </rPr>
      <t xml:space="preserve"> - Specialized setting
</t>
    </r>
    <r>
      <rPr>
        <b/>
        <sz val="11"/>
        <color theme="1"/>
        <rFont val="Calibri"/>
        <family val="2"/>
        <scheme val="minor"/>
      </rPr>
      <t>03556</t>
    </r>
    <r>
      <rPr>
        <sz val="11"/>
        <color theme="1"/>
        <rFont val="Calibri"/>
        <family val="2"/>
        <scheme val="minor"/>
      </rPr>
      <t xml:space="preserve"> - Speech recognition system
</t>
    </r>
    <r>
      <rPr>
        <b/>
        <sz val="11"/>
        <color theme="1"/>
        <rFont val="Calibri"/>
        <family val="2"/>
        <scheme val="minor"/>
      </rPr>
      <t>03557</t>
    </r>
    <r>
      <rPr>
        <sz val="11"/>
        <color theme="1"/>
        <rFont val="Calibri"/>
        <family val="2"/>
        <scheme val="minor"/>
      </rPr>
      <t xml:space="preserve"> - Spell-checker
</t>
    </r>
    <r>
      <rPr>
        <b/>
        <sz val="11"/>
        <color theme="1"/>
        <rFont val="Calibri"/>
        <family val="2"/>
        <scheme val="minor"/>
      </rPr>
      <t>13794</t>
    </r>
    <r>
      <rPr>
        <sz val="11"/>
        <color theme="1"/>
        <rFont val="Calibri"/>
        <family val="2"/>
        <scheme val="minor"/>
      </rPr>
      <t xml:space="preserve"> - Structured masking
</t>
    </r>
    <r>
      <rPr>
        <b/>
        <sz val="11"/>
        <color theme="1"/>
        <rFont val="Calibri"/>
        <family val="2"/>
        <scheme val="minor"/>
      </rPr>
      <t>03559</t>
    </r>
    <r>
      <rPr>
        <sz val="11"/>
        <color theme="1"/>
        <rFont val="Calibri"/>
        <family val="2"/>
        <scheme val="minor"/>
      </rPr>
      <t xml:space="preserve"> - Student read aloud
</t>
    </r>
    <r>
      <rPr>
        <b/>
        <sz val="11"/>
        <color theme="1"/>
        <rFont val="Calibri"/>
        <family val="2"/>
        <scheme val="minor"/>
      </rPr>
      <t>03560</t>
    </r>
    <r>
      <rPr>
        <sz val="11"/>
        <color theme="1"/>
        <rFont val="Calibri"/>
        <family val="2"/>
        <scheme val="minor"/>
      </rPr>
      <t xml:space="preserve"> - Student-requested extended time
</t>
    </r>
    <r>
      <rPr>
        <b/>
        <sz val="11"/>
        <color theme="1"/>
        <rFont val="Calibri"/>
        <family val="2"/>
        <scheme val="minor"/>
      </rPr>
      <t>03561</t>
    </r>
    <r>
      <rPr>
        <sz val="11"/>
        <color theme="1"/>
        <rFont val="Calibri"/>
        <family val="2"/>
        <scheme val="minor"/>
      </rPr>
      <t xml:space="preserve"> - Supervised test breaks
</t>
    </r>
    <r>
      <rPr>
        <b/>
        <sz val="11"/>
        <color theme="1"/>
        <rFont val="Calibri"/>
        <family val="2"/>
        <scheme val="minor"/>
      </rPr>
      <t>13806</t>
    </r>
    <r>
      <rPr>
        <sz val="11"/>
        <color theme="1"/>
        <rFont val="Calibri"/>
        <family val="2"/>
        <scheme val="minor"/>
      </rPr>
      <t xml:space="preserve"> - Tactile
</t>
    </r>
    <r>
      <rPr>
        <b/>
        <sz val="11"/>
        <color theme="1"/>
        <rFont val="Calibri"/>
        <family val="2"/>
        <scheme val="minor"/>
      </rPr>
      <t>03562</t>
    </r>
    <r>
      <rPr>
        <sz val="11"/>
        <color theme="1"/>
        <rFont val="Calibri"/>
        <family val="2"/>
        <scheme val="minor"/>
      </rPr>
      <t xml:space="preserve"> - Technological aid
</t>
    </r>
    <r>
      <rPr>
        <b/>
        <sz val="11"/>
        <color theme="1"/>
        <rFont val="Calibri"/>
        <family val="2"/>
        <scheme val="minor"/>
      </rPr>
      <t>03565</t>
    </r>
    <r>
      <rPr>
        <sz val="11"/>
        <color theme="1"/>
        <rFont val="Calibri"/>
        <family val="2"/>
        <scheme val="minor"/>
      </rPr>
      <t xml:space="preserve"> - Test administered at best time of day for student handwriting issues
</t>
    </r>
    <r>
      <rPr>
        <b/>
        <sz val="11"/>
        <color theme="1"/>
        <rFont val="Calibri"/>
        <family val="2"/>
        <scheme val="minor"/>
      </rPr>
      <t>03563</t>
    </r>
    <r>
      <rPr>
        <sz val="11"/>
        <color theme="1"/>
        <rFont val="Calibri"/>
        <family val="2"/>
        <scheme val="minor"/>
      </rPr>
      <t xml:space="preserve"> - Test administrator marked / wrote test at student's direction
</t>
    </r>
    <r>
      <rPr>
        <b/>
        <sz val="11"/>
        <color theme="1"/>
        <rFont val="Calibri"/>
        <family val="2"/>
        <scheme val="minor"/>
      </rPr>
      <t>03564</t>
    </r>
    <r>
      <rPr>
        <sz val="11"/>
        <color theme="1"/>
        <rFont val="Calibri"/>
        <family val="2"/>
        <scheme val="minor"/>
      </rPr>
      <t xml:space="preserve"> - Test administrator read questions aloud
</t>
    </r>
    <r>
      <rPr>
        <b/>
        <sz val="11"/>
        <color theme="1"/>
        <rFont val="Calibri"/>
        <family val="2"/>
        <scheme val="minor"/>
      </rPr>
      <t>03566</t>
    </r>
    <r>
      <rPr>
        <sz val="11"/>
        <color theme="1"/>
        <rFont val="Calibri"/>
        <family val="2"/>
        <scheme val="minor"/>
      </rPr>
      <t xml:space="preserve"> - Text changes in vocabulary
</t>
    </r>
    <r>
      <rPr>
        <b/>
        <sz val="11"/>
        <color theme="1"/>
        <rFont val="Calibri"/>
        <family val="2"/>
        <scheme val="minor"/>
      </rPr>
      <t>00477</t>
    </r>
    <r>
      <rPr>
        <sz val="11"/>
        <color theme="1"/>
        <rFont val="Calibri"/>
        <family val="2"/>
        <scheme val="minor"/>
      </rPr>
      <t xml:space="preserve"> - Track ball
</t>
    </r>
    <r>
      <rPr>
        <b/>
        <sz val="11"/>
        <color theme="1"/>
        <rFont val="Calibri"/>
        <family val="2"/>
        <scheme val="minor"/>
      </rPr>
      <t>03567</t>
    </r>
    <r>
      <rPr>
        <sz val="11"/>
        <color theme="1"/>
        <rFont val="Calibri"/>
        <family val="2"/>
        <scheme val="minor"/>
      </rPr>
      <t xml:space="preserve"> - Translation dictionary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00479</t>
    </r>
    <r>
      <rPr>
        <sz val="11"/>
        <color theme="1"/>
        <rFont val="Calibri"/>
        <family val="2"/>
        <scheme val="minor"/>
      </rPr>
      <t xml:space="preserve"> - Untimed
</t>
    </r>
    <r>
      <rPr>
        <b/>
        <sz val="11"/>
        <color theme="1"/>
        <rFont val="Calibri"/>
        <family val="2"/>
        <scheme val="minor"/>
      </rPr>
      <t>03568</t>
    </r>
    <r>
      <rPr>
        <sz val="11"/>
        <color theme="1"/>
        <rFont val="Calibri"/>
        <family val="2"/>
        <scheme val="minor"/>
      </rPr>
      <t xml:space="preserve"> - Verbalized problem-solving
</t>
    </r>
    <r>
      <rPr>
        <b/>
        <sz val="11"/>
        <color theme="1"/>
        <rFont val="Calibri"/>
        <family val="2"/>
        <scheme val="minor"/>
      </rPr>
      <t>03569</t>
    </r>
    <r>
      <rPr>
        <sz val="11"/>
        <color theme="1"/>
        <rFont val="Calibri"/>
        <family val="2"/>
        <scheme val="minor"/>
      </rPr>
      <t xml:space="preserve"> - Video cassette
</t>
    </r>
    <r>
      <rPr>
        <b/>
        <sz val="11"/>
        <color theme="1"/>
        <rFont val="Calibri"/>
        <family val="2"/>
        <scheme val="minor"/>
      </rPr>
      <t>03570</t>
    </r>
    <r>
      <rPr>
        <sz val="11"/>
        <color theme="1"/>
        <rFont val="Calibri"/>
        <family val="2"/>
        <scheme val="minor"/>
      </rPr>
      <t xml:space="preserve"> - Visual cues
</t>
    </r>
    <r>
      <rPr>
        <b/>
        <sz val="11"/>
        <color theme="1"/>
        <rFont val="Calibri"/>
        <family val="2"/>
        <scheme val="minor"/>
      </rPr>
      <t>03571</t>
    </r>
    <r>
      <rPr>
        <sz val="11"/>
        <color theme="1"/>
        <rFont val="Calibri"/>
        <family val="2"/>
        <scheme val="minor"/>
      </rPr>
      <t xml:space="preserve"> - Word processor
</t>
    </r>
    <r>
      <rPr>
        <b/>
        <sz val="11"/>
        <color theme="1"/>
        <rFont val="Calibri"/>
        <family val="2"/>
        <scheme val="minor"/>
      </rPr>
      <t>03572</t>
    </r>
    <r>
      <rPr>
        <sz val="11"/>
        <color theme="1"/>
        <rFont val="Calibri"/>
        <family val="2"/>
        <scheme val="minor"/>
      </rPr>
      <t xml:space="preserve"> - Word processor - grammar-checker turned off
</t>
    </r>
    <r>
      <rPr>
        <b/>
        <sz val="11"/>
        <color theme="1"/>
        <rFont val="Calibri"/>
        <family val="2"/>
        <scheme val="minor"/>
      </rPr>
      <t>03573</t>
    </r>
    <r>
      <rPr>
        <sz val="11"/>
        <color theme="1"/>
        <rFont val="Calibri"/>
        <family val="2"/>
        <scheme val="minor"/>
      </rPr>
      <t xml:space="preserve"> - Word processor - grammar-checker enabled on essay response portion of test
</t>
    </r>
  </si>
  <si>
    <r>
      <t>Client</t>
    </r>
    <r>
      <rPr>
        <sz val="11"/>
        <color theme="1"/>
        <rFont val="Calibri"/>
        <family val="2"/>
        <scheme val="minor"/>
      </rPr>
      <t xml:space="preserve"> - Assigned by the client
</t>
    </r>
    <r>
      <rPr>
        <b/>
        <sz val="11"/>
        <color theme="1"/>
        <rFont val="Calibri"/>
        <family val="2"/>
        <scheme val="minor"/>
      </rPr>
      <t>Publisher</t>
    </r>
    <r>
      <rPr>
        <sz val="11"/>
        <color theme="1"/>
        <rFont val="Calibri"/>
        <family val="2"/>
        <scheme val="minor"/>
      </rPr>
      <t xml:space="preserve"> - Assigned by the asset owner
</t>
    </r>
    <r>
      <rPr>
        <b/>
        <sz val="11"/>
        <color theme="1"/>
        <rFont val="Calibri"/>
        <family val="2"/>
        <scheme val="minor"/>
      </rPr>
      <t>Internal</t>
    </r>
    <r>
      <rPr>
        <sz val="11"/>
        <color theme="1"/>
        <rFont val="Calibri"/>
        <family val="2"/>
        <scheme val="minor"/>
      </rPr>
      <t xml:space="preserve"> - Provided by an internal assessment service
</t>
    </r>
    <r>
      <rPr>
        <b/>
        <sz val="11"/>
        <color theme="1"/>
        <rFont val="Calibri"/>
        <family val="2"/>
        <scheme val="minor"/>
      </rPr>
      <t>Other</t>
    </r>
    <r>
      <rPr>
        <sz val="11"/>
        <color theme="1"/>
        <rFont val="Calibri"/>
        <family val="2"/>
        <scheme val="minor"/>
      </rPr>
      <t xml:space="preserve"> - Custom identifier
</t>
    </r>
  </si>
  <si>
    <r>
      <t>ReadingPassage</t>
    </r>
    <r>
      <rPr>
        <sz val="11"/>
        <color theme="1"/>
        <rFont val="Calibri"/>
        <family val="2"/>
        <scheme val="minor"/>
      </rPr>
      <t xml:space="preserve"> - Reading passage
</t>
    </r>
    <r>
      <rPr>
        <b/>
        <sz val="11"/>
        <color theme="1"/>
        <rFont val="Calibri"/>
        <family val="2"/>
        <scheme val="minor"/>
      </rPr>
      <t>GraphicArt</t>
    </r>
    <r>
      <rPr>
        <sz val="11"/>
        <color theme="1"/>
        <rFont val="Calibri"/>
        <family val="2"/>
        <scheme val="minor"/>
      </rPr>
      <t xml:space="preserve"> - Graphic art
</t>
    </r>
    <r>
      <rPr>
        <b/>
        <sz val="11"/>
        <color theme="1"/>
        <rFont val="Calibri"/>
        <family val="2"/>
        <scheme val="minor"/>
      </rPr>
      <t>Map</t>
    </r>
    <r>
      <rPr>
        <sz val="11"/>
        <color theme="1"/>
        <rFont val="Calibri"/>
        <family val="2"/>
        <scheme val="minor"/>
      </rPr>
      <t xml:space="preserve"> - Map
</t>
    </r>
    <r>
      <rPr>
        <b/>
        <sz val="11"/>
        <color theme="1"/>
        <rFont val="Calibri"/>
        <family val="2"/>
        <scheme val="minor"/>
      </rPr>
      <t>FormulaSheet</t>
    </r>
    <r>
      <rPr>
        <sz val="11"/>
        <color theme="1"/>
        <rFont val="Calibri"/>
        <family val="2"/>
        <scheme val="minor"/>
      </rPr>
      <t xml:space="preserve"> - Formula sheet
</t>
    </r>
    <r>
      <rPr>
        <b/>
        <sz val="11"/>
        <color theme="1"/>
        <rFont val="Calibri"/>
        <family val="2"/>
        <scheme val="minor"/>
      </rPr>
      <t>Table</t>
    </r>
    <r>
      <rPr>
        <sz val="11"/>
        <color theme="1"/>
        <rFont val="Calibri"/>
        <family val="2"/>
        <scheme val="minor"/>
      </rPr>
      <t xml:space="preserve"> - Table
</t>
    </r>
    <r>
      <rPr>
        <b/>
        <sz val="11"/>
        <color theme="1"/>
        <rFont val="Calibri"/>
        <family val="2"/>
        <scheme val="minor"/>
      </rPr>
      <t>Chart</t>
    </r>
    <r>
      <rPr>
        <sz val="11"/>
        <color theme="1"/>
        <rFont val="Calibri"/>
        <family val="2"/>
        <scheme val="minor"/>
      </rPr>
      <t xml:space="preserve"> - Chart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Scenario</t>
    </r>
    <r>
      <rPr>
        <sz val="11"/>
        <color theme="1"/>
        <rFont val="Calibri"/>
        <family val="2"/>
        <scheme val="minor"/>
      </rPr>
      <t xml:space="preserve"> - Scenario
</t>
    </r>
    <r>
      <rPr>
        <b/>
        <sz val="11"/>
        <color theme="1"/>
        <rFont val="Calibri"/>
        <family val="2"/>
        <scheme val="minor"/>
      </rPr>
      <t>Simulation</t>
    </r>
    <r>
      <rPr>
        <sz val="11"/>
        <color theme="1"/>
        <rFont val="Calibri"/>
        <family val="2"/>
        <scheme val="minor"/>
      </rPr>
      <t xml:space="preserve"> - Simulation
</t>
    </r>
    <r>
      <rPr>
        <b/>
        <sz val="11"/>
        <color theme="1"/>
        <rFont val="Calibri"/>
        <family val="2"/>
        <scheme val="minor"/>
      </rPr>
      <t>StoryBoard</t>
    </r>
    <r>
      <rPr>
        <sz val="11"/>
        <color theme="1"/>
        <rFont val="Calibri"/>
        <family val="2"/>
        <scheme val="minor"/>
      </rPr>
      <t xml:space="preserve"> - Story board
</t>
    </r>
    <r>
      <rPr>
        <b/>
        <sz val="11"/>
        <color theme="1"/>
        <rFont val="Calibri"/>
        <family val="2"/>
        <scheme val="minor"/>
      </rPr>
      <t>LabSet</t>
    </r>
    <r>
      <rPr>
        <sz val="11"/>
        <color theme="1"/>
        <rFont val="Calibri"/>
        <family val="2"/>
        <scheme val="minor"/>
      </rPr>
      <t xml:space="preserve"> - Lab set
</t>
    </r>
    <r>
      <rPr>
        <b/>
        <sz val="11"/>
        <color theme="1"/>
        <rFont val="Calibri"/>
        <family val="2"/>
        <scheme val="minor"/>
      </rPr>
      <t>PeriodicTable</t>
    </r>
    <r>
      <rPr>
        <sz val="11"/>
        <color theme="1"/>
        <rFont val="Calibri"/>
        <family val="2"/>
        <scheme val="minor"/>
      </rPr>
      <t xml:space="preserve"> - Periodic table
</t>
    </r>
    <r>
      <rPr>
        <b/>
        <sz val="11"/>
        <color theme="1"/>
        <rFont val="Calibri"/>
        <family val="2"/>
        <scheme val="minor"/>
      </rPr>
      <t>TranslationDictionary</t>
    </r>
    <r>
      <rPr>
        <sz val="11"/>
        <color theme="1"/>
        <rFont val="Calibri"/>
        <family val="2"/>
        <scheme val="minor"/>
      </rPr>
      <t xml:space="preserve"> - Translation dictionary
</t>
    </r>
    <r>
      <rPr>
        <b/>
        <sz val="11"/>
        <color theme="1"/>
        <rFont val="Calibri"/>
        <family val="2"/>
        <scheme val="minor"/>
      </rPr>
      <t>BasicCalculator</t>
    </r>
    <r>
      <rPr>
        <sz val="11"/>
        <color theme="1"/>
        <rFont val="Calibri"/>
        <family val="2"/>
        <scheme val="minor"/>
      </rPr>
      <t xml:space="preserve"> - Basic calculator
</t>
    </r>
    <r>
      <rPr>
        <b/>
        <sz val="11"/>
        <color theme="1"/>
        <rFont val="Calibri"/>
        <family val="2"/>
        <scheme val="minor"/>
      </rPr>
      <t>StandardCalculator</t>
    </r>
    <r>
      <rPr>
        <sz val="11"/>
        <color theme="1"/>
        <rFont val="Calibri"/>
        <family val="2"/>
        <scheme val="minor"/>
      </rPr>
      <t xml:space="preserve"> - Standard calculator
</t>
    </r>
    <r>
      <rPr>
        <b/>
        <sz val="11"/>
        <color theme="1"/>
        <rFont val="Calibri"/>
        <family val="2"/>
        <scheme val="minor"/>
      </rPr>
      <t>ScientificCalculator</t>
    </r>
    <r>
      <rPr>
        <sz val="11"/>
        <color theme="1"/>
        <rFont val="Calibri"/>
        <family val="2"/>
        <scheme val="minor"/>
      </rPr>
      <t xml:space="preserve"> - Scientific calculator
</t>
    </r>
    <r>
      <rPr>
        <b/>
        <sz val="11"/>
        <color theme="1"/>
        <rFont val="Calibri"/>
        <family val="2"/>
        <scheme val="minor"/>
      </rPr>
      <t>GraphingCalculator</t>
    </r>
    <r>
      <rPr>
        <sz val="11"/>
        <color theme="1"/>
        <rFont val="Calibri"/>
        <family val="2"/>
        <scheme val="minor"/>
      </rPr>
      <t xml:space="preserve"> - Graphing calculator
</t>
    </r>
    <r>
      <rPr>
        <b/>
        <sz val="11"/>
        <color theme="1"/>
        <rFont val="Calibri"/>
        <family val="2"/>
        <scheme val="minor"/>
      </rPr>
      <t>Protractor</t>
    </r>
    <r>
      <rPr>
        <sz val="11"/>
        <color theme="1"/>
        <rFont val="Calibri"/>
        <family val="2"/>
        <scheme val="minor"/>
      </rPr>
      <t xml:space="preserve"> - Protractor
</t>
    </r>
    <r>
      <rPr>
        <b/>
        <sz val="11"/>
        <color theme="1"/>
        <rFont val="Calibri"/>
        <family val="2"/>
        <scheme val="minor"/>
      </rPr>
      <t>MetricRuler</t>
    </r>
    <r>
      <rPr>
        <sz val="11"/>
        <color theme="1"/>
        <rFont val="Calibri"/>
        <family val="2"/>
        <scheme val="minor"/>
      </rPr>
      <t xml:space="preserve"> - Metric ruler
</t>
    </r>
    <r>
      <rPr>
        <b/>
        <sz val="11"/>
        <color theme="1"/>
        <rFont val="Calibri"/>
        <family val="2"/>
        <scheme val="minor"/>
      </rPr>
      <t>EnglishRuler</t>
    </r>
    <r>
      <rPr>
        <sz val="11"/>
        <color theme="1"/>
        <rFont val="Calibri"/>
        <family val="2"/>
        <scheme val="minor"/>
      </rPr>
      <t xml:space="preserve"> - English ruler
</t>
    </r>
    <r>
      <rPr>
        <b/>
        <sz val="11"/>
        <color theme="1"/>
        <rFont val="Calibri"/>
        <family val="2"/>
        <scheme val="minor"/>
      </rPr>
      <t>UnitsRuler</t>
    </r>
    <r>
      <rPr>
        <sz val="11"/>
        <color theme="1"/>
        <rFont val="Calibri"/>
        <family val="2"/>
        <scheme val="minor"/>
      </rPr>
      <t xml:space="preserve"> - Units ruler
</t>
    </r>
    <r>
      <rPr>
        <b/>
        <sz val="11"/>
        <color theme="1"/>
        <rFont val="Calibri"/>
        <family val="2"/>
        <scheme val="minor"/>
      </rPr>
      <t>ReadingLine</t>
    </r>
    <r>
      <rPr>
        <sz val="11"/>
        <color theme="1"/>
        <rFont val="Calibri"/>
        <family val="2"/>
        <scheme val="minor"/>
      </rPr>
      <t xml:space="preserve"> - Reading line
</t>
    </r>
    <r>
      <rPr>
        <b/>
        <sz val="11"/>
        <color theme="1"/>
        <rFont val="Calibri"/>
        <family val="2"/>
        <scheme val="minor"/>
      </rPr>
      <t>LineDraw</t>
    </r>
    <r>
      <rPr>
        <sz val="11"/>
        <color theme="1"/>
        <rFont val="Calibri"/>
        <family val="2"/>
        <scheme val="minor"/>
      </rPr>
      <t xml:space="preserve"> - Line draw
</t>
    </r>
    <r>
      <rPr>
        <b/>
        <sz val="11"/>
        <color theme="1"/>
        <rFont val="Calibri"/>
        <family val="2"/>
        <scheme val="minor"/>
      </rPr>
      <t>Highlighter</t>
    </r>
    <r>
      <rPr>
        <sz val="11"/>
        <color theme="1"/>
        <rFont val="Calibri"/>
        <family val="2"/>
        <scheme val="minor"/>
      </rPr>
      <t xml:space="preserve"> - Highlighter
</t>
    </r>
    <r>
      <rPr>
        <b/>
        <sz val="11"/>
        <color theme="1"/>
        <rFont val="Calibri"/>
        <family val="2"/>
        <scheme val="minor"/>
      </rPr>
      <t>OtherInteractive</t>
    </r>
    <r>
      <rPr>
        <sz val="11"/>
        <color theme="1"/>
        <rFont val="Calibri"/>
        <family val="2"/>
        <scheme val="minor"/>
      </rPr>
      <t xml:space="preserve"> - Other interactive
</t>
    </r>
    <r>
      <rPr>
        <b/>
        <sz val="11"/>
        <color theme="1"/>
        <rFont val="Calibri"/>
        <family val="2"/>
        <scheme val="minor"/>
      </rPr>
      <t>OtherNonInteractive</t>
    </r>
    <r>
      <rPr>
        <sz val="11"/>
        <color theme="1"/>
        <rFont val="Calibri"/>
        <family val="2"/>
        <scheme val="minor"/>
      </rPr>
      <t xml:space="preserve"> - Other non-interactive
</t>
    </r>
    <r>
      <rPr>
        <b/>
        <sz val="11"/>
        <color theme="1"/>
        <rFont val="Calibri"/>
        <family val="2"/>
        <scheme val="minor"/>
      </rPr>
      <t>Other</t>
    </r>
    <r>
      <rPr>
        <sz val="11"/>
        <color theme="1"/>
        <rFont val="Calibri"/>
        <family val="2"/>
        <scheme val="minor"/>
      </rPr>
      <t xml:space="preserve"> - Other
</t>
    </r>
  </si>
  <si>
    <r>
      <t>AssociationStandard</t>
    </r>
    <r>
      <rPr>
        <sz val="11"/>
        <color theme="1"/>
        <rFont val="Calibri"/>
        <family val="2"/>
        <scheme val="minor"/>
      </rPr>
      <t xml:space="preserve"> - Association standard
</t>
    </r>
    <r>
      <rPr>
        <b/>
        <sz val="11"/>
        <color theme="1"/>
        <rFont val="Calibri"/>
        <family val="2"/>
        <scheme val="minor"/>
      </rPr>
      <t>LocalStandard</t>
    </r>
    <r>
      <rPr>
        <sz val="11"/>
        <color theme="1"/>
        <rFont val="Calibri"/>
        <family val="2"/>
        <scheme val="minor"/>
      </rPr>
      <t xml:space="preserve"> - Local standard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OtherStandard</t>
    </r>
    <r>
      <rPr>
        <sz val="11"/>
        <color theme="1"/>
        <rFont val="Calibri"/>
        <family val="2"/>
        <scheme val="minor"/>
      </rPr>
      <t xml:space="preserve"> - Other standard
</t>
    </r>
    <r>
      <rPr>
        <b/>
        <sz val="11"/>
        <color theme="1"/>
        <rFont val="Calibri"/>
        <family val="2"/>
        <scheme val="minor"/>
      </rPr>
      <t>RegionalStandard</t>
    </r>
    <r>
      <rPr>
        <sz val="11"/>
        <color theme="1"/>
        <rFont val="Calibri"/>
        <family val="2"/>
        <scheme val="minor"/>
      </rPr>
      <t xml:space="preserve"> - Regional standard
</t>
    </r>
    <r>
      <rPr>
        <b/>
        <sz val="11"/>
        <color theme="1"/>
        <rFont val="Calibri"/>
        <family val="2"/>
        <scheme val="minor"/>
      </rPr>
      <t>SchoolStandard</t>
    </r>
    <r>
      <rPr>
        <sz val="11"/>
        <color theme="1"/>
        <rFont val="Calibri"/>
        <family val="2"/>
        <scheme val="minor"/>
      </rPr>
      <t xml:space="preserve"> - School standard
</t>
    </r>
    <r>
      <rPr>
        <b/>
        <sz val="11"/>
        <color theme="1"/>
        <rFont val="Calibri"/>
        <family val="2"/>
        <scheme val="minor"/>
      </rPr>
      <t>StatewideStandard</t>
    </r>
    <r>
      <rPr>
        <sz val="11"/>
        <color theme="1"/>
        <rFont val="Calibri"/>
        <family val="2"/>
        <scheme val="minor"/>
      </rPr>
      <t xml:space="preserve"> - Statewide standard
</t>
    </r>
  </si>
  <si>
    <r>
      <t>01</t>
    </r>
    <r>
      <rPr>
        <sz val="11"/>
        <color theme="1"/>
        <rFont val="Calibri"/>
        <family val="2"/>
        <scheme val="minor"/>
      </rPr>
      <t xml:space="preserve"> - Language and Literacy
</t>
    </r>
    <r>
      <rPr>
        <b/>
        <sz val="11"/>
        <color theme="1"/>
        <rFont val="Calibri"/>
        <family val="2"/>
        <scheme val="minor"/>
      </rPr>
      <t>02</t>
    </r>
    <r>
      <rPr>
        <sz val="11"/>
        <color theme="1"/>
        <rFont val="Calibri"/>
        <family val="2"/>
        <scheme val="minor"/>
      </rPr>
      <t xml:space="preserve"> - Cognition and General Knowledge
</t>
    </r>
    <r>
      <rPr>
        <b/>
        <sz val="11"/>
        <color theme="1"/>
        <rFont val="Calibri"/>
        <family val="2"/>
        <scheme val="minor"/>
      </rPr>
      <t>03</t>
    </r>
    <r>
      <rPr>
        <sz val="11"/>
        <color theme="1"/>
        <rFont val="Calibri"/>
        <family val="2"/>
        <scheme val="minor"/>
      </rPr>
      <t xml:space="preserve"> - Approaches Toward Learning
</t>
    </r>
    <r>
      <rPr>
        <b/>
        <sz val="11"/>
        <color theme="1"/>
        <rFont val="Calibri"/>
        <family val="2"/>
        <scheme val="minor"/>
      </rPr>
      <t>04</t>
    </r>
    <r>
      <rPr>
        <sz val="11"/>
        <color theme="1"/>
        <rFont val="Calibri"/>
        <family val="2"/>
        <scheme val="minor"/>
      </rPr>
      <t xml:space="preserve"> - Physical Well-being and Motor
</t>
    </r>
    <r>
      <rPr>
        <b/>
        <sz val="11"/>
        <color theme="1"/>
        <rFont val="Calibri"/>
        <family val="2"/>
        <scheme val="minor"/>
      </rPr>
      <t>05</t>
    </r>
    <r>
      <rPr>
        <sz val="11"/>
        <color theme="1"/>
        <rFont val="Calibri"/>
        <family val="2"/>
        <scheme val="minor"/>
      </rPr>
      <t xml:space="preserve"> - Social and Emotional Development
</t>
    </r>
  </si>
  <si>
    <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TestContractor</t>
    </r>
    <r>
      <rPr>
        <sz val="11"/>
        <color theme="1"/>
        <rFont val="Calibri"/>
        <family val="2"/>
        <scheme val="minor"/>
      </rPr>
      <t xml:space="preserve"> - Test contractor assigned assessment number
</t>
    </r>
    <r>
      <rPr>
        <b/>
        <sz val="11"/>
        <color theme="1"/>
        <rFont val="Calibri"/>
        <family val="2"/>
        <scheme val="minor"/>
      </rPr>
      <t>Other</t>
    </r>
    <r>
      <rPr>
        <sz val="11"/>
        <color theme="1"/>
        <rFont val="Calibri"/>
        <family val="2"/>
        <scheme val="minor"/>
      </rPr>
      <t xml:space="preserve"> - Other
</t>
    </r>
  </si>
  <si>
    <r>
      <t>MeanSquareFit</t>
    </r>
    <r>
      <rPr>
        <sz val="11"/>
        <color theme="1"/>
        <rFont val="Calibri"/>
        <family val="2"/>
        <scheme val="minor"/>
      </rPr>
      <t xml:space="preserve"> - Mean Square Fit
</t>
    </r>
    <r>
      <rPr>
        <b/>
        <sz val="11"/>
        <color theme="1"/>
        <rFont val="Calibri"/>
        <family val="2"/>
        <scheme val="minor"/>
      </rPr>
      <t>WeightedMeanSquareFit</t>
    </r>
    <r>
      <rPr>
        <sz val="11"/>
        <color theme="1"/>
        <rFont val="Calibri"/>
        <family val="2"/>
        <scheme val="minor"/>
      </rPr>
      <t xml:space="preserve"> - Weighted Mean Square Fit
</t>
    </r>
    <r>
      <rPr>
        <b/>
        <sz val="11"/>
        <color theme="1"/>
        <rFont val="Calibri"/>
        <family val="2"/>
        <scheme val="minor"/>
      </rPr>
      <t>RevisedMeanSquareFit</t>
    </r>
    <r>
      <rPr>
        <sz val="11"/>
        <color theme="1"/>
        <rFont val="Calibri"/>
        <family val="2"/>
        <scheme val="minor"/>
      </rPr>
      <t xml:space="preserve"> - Revised Mean Square Fit
</t>
    </r>
    <r>
      <rPr>
        <b/>
        <sz val="11"/>
        <color theme="1"/>
        <rFont val="Calibri"/>
        <family val="2"/>
        <scheme val="minor"/>
      </rPr>
      <t>RevisedPointBiserial</t>
    </r>
    <r>
      <rPr>
        <sz val="11"/>
        <color theme="1"/>
        <rFont val="Calibri"/>
        <family val="2"/>
        <scheme val="minor"/>
      </rPr>
      <t xml:space="preserve"> - Revised Point Biserial Measure
</t>
    </r>
    <r>
      <rPr>
        <b/>
        <sz val="11"/>
        <color theme="1"/>
        <rFont val="Calibri"/>
        <family val="2"/>
        <scheme val="minor"/>
      </rPr>
      <t>RaschItemScore</t>
    </r>
    <r>
      <rPr>
        <sz val="11"/>
        <color theme="1"/>
        <rFont val="Calibri"/>
        <family val="2"/>
        <scheme val="minor"/>
      </rPr>
      <t xml:space="preserve"> - Rasch Item Score
</t>
    </r>
    <r>
      <rPr>
        <b/>
        <sz val="11"/>
        <color theme="1"/>
        <rFont val="Calibri"/>
        <family val="2"/>
        <scheme val="minor"/>
      </rPr>
      <t>ResponseCorrelation</t>
    </r>
    <r>
      <rPr>
        <sz val="11"/>
        <color theme="1"/>
        <rFont val="Calibri"/>
        <family val="2"/>
        <scheme val="minor"/>
      </rPr>
      <t xml:space="preserve"> - Response Correlation
</t>
    </r>
    <r>
      <rPr>
        <b/>
        <sz val="11"/>
        <color theme="1"/>
        <rFont val="Calibri"/>
        <family val="2"/>
        <scheme val="minor"/>
      </rPr>
      <t>ResponseCorrelationSquared</t>
    </r>
    <r>
      <rPr>
        <sz val="11"/>
        <color theme="1"/>
        <rFont val="Calibri"/>
        <family val="2"/>
        <scheme val="minor"/>
      </rPr>
      <t xml:space="preserve"> - Response Correlation Squared
</t>
    </r>
    <r>
      <rPr>
        <b/>
        <sz val="11"/>
        <color theme="1"/>
        <rFont val="Calibri"/>
        <family val="2"/>
        <scheme val="minor"/>
      </rPr>
      <t>ZCHISquare</t>
    </r>
    <r>
      <rPr>
        <sz val="11"/>
        <color theme="1"/>
        <rFont val="Calibri"/>
        <family val="2"/>
        <scheme val="minor"/>
      </rPr>
      <t xml:space="preserve"> - Z CHI Square
</t>
    </r>
    <r>
      <rPr>
        <b/>
        <sz val="11"/>
        <color theme="1"/>
        <rFont val="Calibri"/>
        <family val="2"/>
        <scheme val="minor"/>
      </rPr>
      <t>Pval</t>
    </r>
    <r>
      <rPr>
        <sz val="11"/>
        <color theme="1"/>
        <rFont val="Calibri"/>
        <family val="2"/>
        <scheme val="minor"/>
      </rPr>
      <t xml:space="preserve"> - Pval
</t>
    </r>
    <r>
      <rPr>
        <b/>
        <sz val="11"/>
        <color theme="1"/>
        <rFont val="Calibri"/>
        <family val="2"/>
        <scheme val="minor"/>
      </rPr>
      <t>PointBiserial</t>
    </r>
    <r>
      <rPr>
        <sz val="11"/>
        <color theme="1"/>
        <rFont val="Calibri"/>
        <family val="2"/>
        <scheme val="minor"/>
      </rPr>
      <t xml:space="preserve"> - Point Biserial
</t>
    </r>
    <r>
      <rPr>
        <b/>
        <sz val="11"/>
        <color theme="1"/>
        <rFont val="Calibri"/>
        <family val="2"/>
        <scheme val="minor"/>
      </rPr>
      <t>Biserial</t>
    </r>
    <r>
      <rPr>
        <sz val="11"/>
        <color theme="1"/>
        <rFont val="Calibri"/>
        <family val="2"/>
        <scheme val="minor"/>
      </rPr>
      <t xml:space="preserve"> - Biserial
</t>
    </r>
    <r>
      <rPr>
        <b/>
        <sz val="11"/>
        <color theme="1"/>
        <rFont val="Calibri"/>
        <family val="2"/>
        <scheme val="minor"/>
      </rPr>
      <t>DiscriminationIndex</t>
    </r>
    <r>
      <rPr>
        <sz val="11"/>
        <color theme="1"/>
        <rFont val="Calibri"/>
        <family val="2"/>
        <scheme val="minor"/>
      </rPr>
      <t xml:space="preserve"> - Discrimination Index
</t>
    </r>
    <r>
      <rPr>
        <b/>
        <sz val="11"/>
        <color theme="1"/>
        <rFont val="Calibri"/>
        <family val="2"/>
        <scheme val="minor"/>
      </rPr>
      <t>ReliabilityCoefficient</t>
    </r>
    <r>
      <rPr>
        <sz val="11"/>
        <color theme="1"/>
        <rFont val="Calibri"/>
        <family val="2"/>
        <scheme val="minor"/>
      </rPr>
      <t xml:space="preserve"> - Reliability Coefficient
</t>
    </r>
    <r>
      <rPr>
        <b/>
        <sz val="11"/>
        <color theme="1"/>
        <rFont val="Calibri"/>
        <family val="2"/>
        <scheme val="minor"/>
      </rPr>
      <t>CoefficientAlpha</t>
    </r>
    <r>
      <rPr>
        <sz val="11"/>
        <color theme="1"/>
        <rFont val="Calibri"/>
        <family val="2"/>
        <scheme val="minor"/>
      </rPr>
      <t xml:space="preserve"> - Coefficient Alpha
</t>
    </r>
    <r>
      <rPr>
        <b/>
        <sz val="11"/>
        <color theme="1"/>
        <rFont val="Calibri"/>
        <family val="2"/>
        <scheme val="minor"/>
      </rPr>
      <t>ItemTestCorrelation</t>
    </r>
    <r>
      <rPr>
        <sz val="11"/>
        <color theme="1"/>
        <rFont val="Calibri"/>
        <family val="2"/>
        <scheme val="minor"/>
      </rPr>
      <t xml:space="preserve"> - Item Test Correlation
</t>
    </r>
    <r>
      <rPr>
        <b/>
        <sz val="11"/>
        <color theme="1"/>
        <rFont val="Calibri"/>
        <family val="2"/>
        <scheme val="minor"/>
      </rPr>
      <t>ItemVariance</t>
    </r>
    <r>
      <rPr>
        <sz val="11"/>
        <color theme="1"/>
        <rFont val="Calibri"/>
        <family val="2"/>
        <scheme val="minor"/>
      </rPr>
      <t xml:space="preserve"> - Item Variance
</t>
    </r>
    <r>
      <rPr>
        <b/>
        <sz val="11"/>
        <color theme="1"/>
        <rFont val="Calibri"/>
        <family val="2"/>
        <scheme val="minor"/>
      </rPr>
      <t>ScaleValue</t>
    </r>
    <r>
      <rPr>
        <sz val="11"/>
        <color theme="1"/>
        <rFont val="Calibri"/>
        <family val="2"/>
        <scheme val="minor"/>
      </rPr>
      <t xml:space="preserve"> - Scale Value
</t>
    </r>
  </si>
  <si>
    <r>
      <t>CustomInteraction</t>
    </r>
    <r>
      <rPr>
        <sz val="11"/>
        <color theme="1"/>
        <rFont val="Calibri"/>
        <family val="2"/>
        <scheme val="minor"/>
      </rPr>
      <t xml:space="preserve"> - Custom Interaction
</t>
    </r>
    <r>
      <rPr>
        <b/>
        <sz val="11"/>
        <color theme="1"/>
        <rFont val="Calibri"/>
        <family val="2"/>
        <scheme val="minor"/>
      </rPr>
      <t>DrawingInteraction</t>
    </r>
    <r>
      <rPr>
        <sz val="11"/>
        <color theme="1"/>
        <rFont val="Calibri"/>
        <family val="2"/>
        <scheme val="minor"/>
      </rPr>
      <t xml:space="preserve"> - Drawing Interaction
</t>
    </r>
    <r>
      <rPr>
        <b/>
        <sz val="11"/>
        <color theme="1"/>
        <rFont val="Calibri"/>
        <family val="2"/>
        <scheme val="minor"/>
      </rPr>
      <t>GapMatchInteraction</t>
    </r>
    <r>
      <rPr>
        <sz val="11"/>
        <color theme="1"/>
        <rFont val="Calibri"/>
        <family val="2"/>
        <scheme val="minor"/>
      </rPr>
      <t xml:space="preserve"> - Gap Match Interaction
</t>
    </r>
    <r>
      <rPr>
        <b/>
        <sz val="11"/>
        <color theme="1"/>
        <rFont val="Calibri"/>
        <family val="2"/>
        <scheme val="minor"/>
      </rPr>
      <t>MatchInteraction</t>
    </r>
    <r>
      <rPr>
        <sz val="11"/>
        <color theme="1"/>
        <rFont val="Calibri"/>
        <family val="2"/>
        <scheme val="minor"/>
      </rPr>
      <t xml:space="preserve"> - Match Interaction
</t>
    </r>
    <r>
      <rPr>
        <b/>
        <sz val="11"/>
        <color theme="1"/>
        <rFont val="Calibri"/>
        <family val="2"/>
        <scheme val="minor"/>
      </rPr>
      <t>GraphicGapMatchInteraction</t>
    </r>
    <r>
      <rPr>
        <sz val="11"/>
        <color theme="1"/>
        <rFont val="Calibri"/>
        <family val="2"/>
        <scheme val="minor"/>
      </rPr>
      <t xml:space="preserve"> - Graphic Gap Match Interaction
</t>
    </r>
    <r>
      <rPr>
        <b/>
        <sz val="11"/>
        <color theme="1"/>
        <rFont val="Calibri"/>
        <family val="2"/>
        <scheme val="minor"/>
      </rPr>
      <t>HotspotInteraction</t>
    </r>
    <r>
      <rPr>
        <sz val="11"/>
        <color theme="1"/>
        <rFont val="Calibri"/>
        <family val="2"/>
        <scheme val="minor"/>
      </rPr>
      <t xml:space="preserve"> - Hotspot Interaction
</t>
    </r>
    <r>
      <rPr>
        <b/>
        <sz val="11"/>
        <color theme="1"/>
        <rFont val="Calibri"/>
        <family val="2"/>
        <scheme val="minor"/>
      </rPr>
      <t>GraphicOrderInteraction</t>
    </r>
    <r>
      <rPr>
        <sz val="11"/>
        <color theme="1"/>
        <rFont val="Calibri"/>
        <family val="2"/>
        <scheme val="minor"/>
      </rPr>
      <t xml:space="preserve"> - Graphic Order Interaction
</t>
    </r>
    <r>
      <rPr>
        <b/>
        <sz val="11"/>
        <color theme="1"/>
        <rFont val="Calibri"/>
        <family val="2"/>
        <scheme val="minor"/>
      </rPr>
      <t>GraphicAssociateInteraction</t>
    </r>
    <r>
      <rPr>
        <sz val="11"/>
        <color theme="1"/>
        <rFont val="Calibri"/>
        <family val="2"/>
        <scheme val="minor"/>
      </rPr>
      <t xml:space="preserve"> - Graphic Associate Interaction
</t>
    </r>
    <r>
      <rPr>
        <b/>
        <sz val="11"/>
        <color theme="1"/>
        <rFont val="Calibri"/>
        <family val="2"/>
        <scheme val="minor"/>
      </rPr>
      <t>ChoiceInteraction</t>
    </r>
    <r>
      <rPr>
        <sz val="11"/>
        <color theme="1"/>
        <rFont val="Calibri"/>
        <family val="2"/>
        <scheme val="minor"/>
      </rPr>
      <t xml:space="preserve"> - Choice Interaction
</t>
    </r>
    <r>
      <rPr>
        <b/>
        <sz val="11"/>
        <color theme="1"/>
        <rFont val="Calibri"/>
        <family val="2"/>
        <scheme val="minor"/>
      </rPr>
      <t>InlineChoiceInteraction</t>
    </r>
    <r>
      <rPr>
        <sz val="11"/>
        <color theme="1"/>
        <rFont val="Calibri"/>
        <family val="2"/>
        <scheme val="minor"/>
      </rPr>
      <t xml:space="preserve"> - Inline Choice Interaction
</t>
    </r>
    <r>
      <rPr>
        <b/>
        <sz val="11"/>
        <color theme="1"/>
        <rFont val="Calibri"/>
        <family val="2"/>
        <scheme val="minor"/>
      </rPr>
      <t>MediaInteraction</t>
    </r>
    <r>
      <rPr>
        <sz val="11"/>
        <color theme="1"/>
        <rFont val="Calibri"/>
        <family val="2"/>
        <scheme val="minor"/>
      </rPr>
      <t xml:space="preserve"> - Media Interaction
</t>
    </r>
    <r>
      <rPr>
        <b/>
        <sz val="11"/>
        <color theme="1"/>
        <rFont val="Calibri"/>
        <family val="2"/>
        <scheme val="minor"/>
      </rPr>
      <t>HottextInteraction</t>
    </r>
    <r>
      <rPr>
        <sz val="11"/>
        <color theme="1"/>
        <rFont val="Calibri"/>
        <family val="2"/>
        <scheme val="minor"/>
      </rPr>
      <t xml:space="preserve"> - Hottext Interaction
</t>
    </r>
    <r>
      <rPr>
        <b/>
        <sz val="11"/>
        <color theme="1"/>
        <rFont val="Calibri"/>
        <family val="2"/>
        <scheme val="minor"/>
      </rPr>
      <t>OrderInteraction</t>
    </r>
    <r>
      <rPr>
        <sz val="11"/>
        <color theme="1"/>
        <rFont val="Calibri"/>
        <family val="2"/>
        <scheme val="minor"/>
      </rPr>
      <t xml:space="preserve"> - Order Interaction
</t>
    </r>
    <r>
      <rPr>
        <b/>
        <sz val="11"/>
        <color theme="1"/>
        <rFont val="Calibri"/>
        <family val="2"/>
        <scheme val="minor"/>
      </rPr>
      <t>PositionObjectInteraction</t>
    </r>
    <r>
      <rPr>
        <sz val="11"/>
        <color theme="1"/>
        <rFont val="Calibri"/>
        <family val="2"/>
        <scheme val="minor"/>
      </rPr>
      <t xml:space="preserve"> - Position Object Interaction
</t>
    </r>
    <r>
      <rPr>
        <b/>
        <sz val="11"/>
        <color theme="1"/>
        <rFont val="Calibri"/>
        <family val="2"/>
        <scheme val="minor"/>
      </rPr>
      <t>TextEntryInteraction</t>
    </r>
    <r>
      <rPr>
        <sz val="11"/>
        <color theme="1"/>
        <rFont val="Calibri"/>
        <family val="2"/>
        <scheme val="minor"/>
      </rPr>
      <t xml:space="preserve"> - Text Entry Interaction
</t>
    </r>
    <r>
      <rPr>
        <b/>
        <sz val="11"/>
        <color theme="1"/>
        <rFont val="Calibri"/>
        <family val="2"/>
        <scheme val="minor"/>
      </rPr>
      <t>ExtendedTextInteraction</t>
    </r>
    <r>
      <rPr>
        <sz val="11"/>
        <color theme="1"/>
        <rFont val="Calibri"/>
        <family val="2"/>
        <scheme val="minor"/>
      </rPr>
      <t xml:space="preserve"> - Extended Text Interaction
</t>
    </r>
    <r>
      <rPr>
        <b/>
        <sz val="11"/>
        <color theme="1"/>
        <rFont val="Calibri"/>
        <family val="2"/>
        <scheme val="minor"/>
      </rPr>
      <t>EndAttemptInteraction</t>
    </r>
    <r>
      <rPr>
        <sz val="11"/>
        <color theme="1"/>
        <rFont val="Calibri"/>
        <family val="2"/>
        <scheme val="minor"/>
      </rPr>
      <t xml:space="preserve"> - End Attempt Interaction
</t>
    </r>
    <r>
      <rPr>
        <b/>
        <sz val="11"/>
        <color theme="1"/>
        <rFont val="Calibri"/>
        <family val="2"/>
        <scheme val="minor"/>
      </rPr>
      <t>UploadInteraction</t>
    </r>
    <r>
      <rPr>
        <sz val="11"/>
        <color theme="1"/>
        <rFont val="Calibri"/>
        <family val="2"/>
        <scheme val="minor"/>
      </rPr>
      <t xml:space="preserve"> - Upload Interaction
</t>
    </r>
    <r>
      <rPr>
        <b/>
        <sz val="11"/>
        <color theme="1"/>
        <rFont val="Calibri"/>
        <family val="2"/>
        <scheme val="minor"/>
      </rPr>
      <t>AssociateInteraction</t>
    </r>
    <r>
      <rPr>
        <sz val="11"/>
        <color theme="1"/>
        <rFont val="Calibri"/>
        <family val="2"/>
        <scheme val="minor"/>
      </rPr>
      <t xml:space="preserve"> - Associate Interaction
</t>
    </r>
  </si>
  <si>
    <r>
      <t>NotScored</t>
    </r>
    <r>
      <rPr>
        <sz val="11"/>
        <color theme="1"/>
        <rFont val="Calibri"/>
        <family val="2"/>
        <scheme val="minor"/>
      </rPr>
      <t xml:space="preserve"> - Not Scored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ScoringError</t>
    </r>
    <r>
      <rPr>
        <sz val="11"/>
        <color theme="1"/>
        <rFont val="Calibri"/>
        <family val="2"/>
        <scheme val="minor"/>
      </rPr>
      <t xml:space="preserve"> - Scoring error
</t>
    </r>
    <r>
      <rPr>
        <b/>
        <sz val="11"/>
        <color theme="1"/>
        <rFont val="Calibri"/>
        <family val="2"/>
        <scheme val="minor"/>
      </rPr>
      <t>WaitingForMachineScore</t>
    </r>
    <r>
      <rPr>
        <sz val="11"/>
        <color theme="1"/>
        <rFont val="Calibri"/>
        <family val="2"/>
        <scheme val="minor"/>
      </rPr>
      <t xml:space="preserve"> - Waiting For Machine Score
</t>
    </r>
  </si>
  <si>
    <r>
      <t>Correct</t>
    </r>
    <r>
      <rPr>
        <sz val="11"/>
        <color theme="1"/>
        <rFont val="Calibri"/>
        <family val="2"/>
        <scheme val="minor"/>
      </rPr>
      <t xml:space="preserve"> - Correct
</t>
    </r>
    <r>
      <rPr>
        <b/>
        <sz val="11"/>
        <color theme="1"/>
        <rFont val="Calibri"/>
        <family val="2"/>
        <scheme val="minor"/>
      </rPr>
      <t>Incorrect</t>
    </r>
    <r>
      <rPr>
        <sz val="11"/>
        <color theme="1"/>
        <rFont val="Calibri"/>
        <family val="2"/>
        <scheme val="minor"/>
      </rPr>
      <t xml:space="preserve"> - Incorrect
</t>
    </r>
    <r>
      <rPr>
        <b/>
        <sz val="11"/>
        <color theme="1"/>
        <rFont val="Calibri"/>
        <family val="2"/>
        <scheme val="minor"/>
      </rPr>
      <t>Complete</t>
    </r>
    <r>
      <rPr>
        <sz val="11"/>
        <color theme="1"/>
        <rFont val="Calibri"/>
        <family val="2"/>
        <scheme val="minor"/>
      </rPr>
      <t xml:space="preserve"> - Complete
</t>
    </r>
    <r>
      <rPr>
        <b/>
        <sz val="11"/>
        <color theme="1"/>
        <rFont val="Calibri"/>
        <family val="2"/>
        <scheme val="minor"/>
      </rPr>
      <t>PartialComplete</t>
    </r>
    <r>
      <rPr>
        <sz val="11"/>
        <color theme="1"/>
        <rFont val="Calibri"/>
        <family val="2"/>
        <scheme val="minor"/>
      </rPr>
      <t xml:space="preserve"> - Partial Complete
</t>
    </r>
    <r>
      <rPr>
        <b/>
        <sz val="11"/>
        <color theme="1"/>
        <rFont val="Calibri"/>
        <family val="2"/>
        <scheme val="minor"/>
      </rPr>
      <t>Viewed</t>
    </r>
    <r>
      <rPr>
        <sz val="11"/>
        <color theme="1"/>
        <rFont val="Calibri"/>
        <family val="2"/>
        <scheme val="minor"/>
      </rPr>
      <t xml:space="preserve"> - Viewed
</t>
    </r>
    <r>
      <rPr>
        <b/>
        <sz val="11"/>
        <color theme="1"/>
        <rFont val="Calibri"/>
        <family val="2"/>
        <scheme val="minor"/>
      </rPr>
      <t>NotViewed</t>
    </r>
    <r>
      <rPr>
        <sz val="11"/>
        <color theme="1"/>
        <rFont val="Calibri"/>
        <family val="2"/>
        <scheme val="minor"/>
      </rPr>
      <t xml:space="preserve"> - Not Viewed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NotProficient</t>
    </r>
    <r>
      <rPr>
        <sz val="11"/>
        <color theme="1"/>
        <rFont val="Calibri"/>
        <family val="2"/>
        <scheme val="minor"/>
      </rPr>
      <t xml:space="preserve"> - Not Yet Proficient
</t>
    </r>
    <r>
      <rPr>
        <b/>
        <sz val="11"/>
        <color theme="1"/>
        <rFont val="Calibri"/>
        <family val="2"/>
        <scheme val="minor"/>
      </rPr>
      <t>Proficient</t>
    </r>
    <r>
      <rPr>
        <sz val="11"/>
        <color theme="1"/>
        <rFont val="Calibri"/>
        <family val="2"/>
        <scheme val="minor"/>
      </rPr>
      <t xml:space="preserve"> - Proficient
</t>
    </r>
  </si>
  <si>
    <r>
      <t>CohenUnweighted</t>
    </r>
    <r>
      <rPr>
        <sz val="11"/>
        <color theme="1"/>
        <rFont val="Calibri"/>
        <family val="2"/>
        <scheme val="minor"/>
      </rPr>
      <t xml:space="preserve"> - Cohen's unweighted algorithm
</t>
    </r>
    <r>
      <rPr>
        <b/>
        <sz val="11"/>
        <color theme="1"/>
        <rFont val="Calibri"/>
        <family val="2"/>
        <scheme val="minor"/>
      </rPr>
      <t>CohenWeighted</t>
    </r>
    <r>
      <rPr>
        <sz val="11"/>
        <color theme="1"/>
        <rFont val="Calibri"/>
        <family val="2"/>
        <scheme val="minor"/>
      </rPr>
      <t xml:space="preserve"> - Cohen's weighted algorithm
</t>
    </r>
    <r>
      <rPr>
        <b/>
        <sz val="11"/>
        <color theme="1"/>
        <rFont val="Calibri"/>
        <family val="2"/>
        <scheme val="minor"/>
      </rPr>
      <t>FleissAlgorithm</t>
    </r>
    <r>
      <rPr>
        <sz val="11"/>
        <color theme="1"/>
        <rFont val="Calibri"/>
        <family val="2"/>
        <scheme val="minor"/>
      </rPr>
      <t xml:space="preserve"> - Fleiss algorithm
</t>
    </r>
  </si>
  <si>
    <r>
      <t>None</t>
    </r>
    <r>
      <rPr>
        <sz val="11"/>
        <color theme="1"/>
        <rFont val="Calibri"/>
        <family val="2"/>
        <scheme val="minor"/>
      </rPr>
      <t xml:space="preserve"> - None: 0
</t>
    </r>
    <r>
      <rPr>
        <b/>
        <sz val="11"/>
        <color theme="1"/>
        <rFont val="Calibri"/>
        <family val="2"/>
        <scheme val="minor"/>
      </rPr>
      <t>VeryLow</t>
    </r>
    <r>
      <rPr>
        <sz val="11"/>
        <color theme="1"/>
        <rFont val="Calibri"/>
        <family val="2"/>
        <scheme val="minor"/>
      </rPr>
      <t xml:space="preserve"> - Very low: 0.01 - 0.34
</t>
    </r>
    <r>
      <rPr>
        <b/>
        <sz val="11"/>
        <color theme="1"/>
        <rFont val="Calibri"/>
        <family val="2"/>
        <scheme val="minor"/>
      </rPr>
      <t>Low</t>
    </r>
    <r>
      <rPr>
        <sz val="11"/>
        <color theme="1"/>
        <rFont val="Calibri"/>
        <family val="2"/>
        <scheme val="minor"/>
      </rPr>
      <t xml:space="preserve"> - Low: 0.35 - 0.64
</t>
    </r>
    <r>
      <rPr>
        <b/>
        <sz val="11"/>
        <color theme="1"/>
        <rFont val="Calibri"/>
        <family val="2"/>
        <scheme val="minor"/>
      </rPr>
      <t>Moderate</t>
    </r>
    <r>
      <rPr>
        <sz val="11"/>
        <color theme="1"/>
        <rFont val="Calibri"/>
        <family val="2"/>
        <scheme val="minor"/>
      </rPr>
      <t xml:space="preserve"> - Moderate: 0.65 - 1.34
</t>
    </r>
    <r>
      <rPr>
        <b/>
        <sz val="11"/>
        <color theme="1"/>
        <rFont val="Calibri"/>
        <family val="2"/>
        <scheme val="minor"/>
      </rPr>
      <t>High</t>
    </r>
    <r>
      <rPr>
        <sz val="11"/>
        <color theme="1"/>
        <rFont val="Calibri"/>
        <family val="2"/>
        <scheme val="minor"/>
      </rPr>
      <t xml:space="preserve"> - High: 1.35 - 1.69
</t>
    </r>
    <r>
      <rPr>
        <b/>
        <sz val="11"/>
        <color theme="1"/>
        <rFont val="Calibri"/>
        <family val="2"/>
        <scheme val="minor"/>
      </rPr>
      <t>VeryHigh</t>
    </r>
    <r>
      <rPr>
        <sz val="11"/>
        <color theme="1"/>
        <rFont val="Calibri"/>
        <family val="2"/>
        <scheme val="minor"/>
      </rPr>
      <t xml:space="preserve"> - Very high: &gt; 1.70
</t>
    </r>
    <r>
      <rPr>
        <b/>
        <sz val="11"/>
        <color theme="1"/>
        <rFont val="Calibri"/>
        <family val="2"/>
        <scheme val="minor"/>
      </rPr>
      <t>Perfect</t>
    </r>
    <r>
      <rPr>
        <sz val="11"/>
        <color theme="1"/>
        <rFont val="Calibri"/>
        <family val="2"/>
        <scheme val="minor"/>
      </rPr>
      <t xml:space="preserve"> - Perfect: + infinity
</t>
    </r>
  </si>
  <si>
    <r>
      <t>01</t>
    </r>
    <r>
      <rPr>
        <sz val="11"/>
        <color theme="1"/>
        <rFont val="Calibri"/>
        <family val="2"/>
        <scheme val="minor"/>
      </rPr>
      <t xml:space="preserve"> - Automated Readability Index
</t>
    </r>
    <r>
      <rPr>
        <b/>
        <sz val="11"/>
        <color theme="1"/>
        <rFont val="Calibri"/>
        <family val="2"/>
        <scheme val="minor"/>
      </rPr>
      <t>02</t>
    </r>
    <r>
      <rPr>
        <sz val="11"/>
        <color theme="1"/>
        <rFont val="Calibri"/>
        <family val="2"/>
        <scheme val="minor"/>
      </rPr>
      <t xml:space="preserve"> - Bormuth Index
</t>
    </r>
    <r>
      <rPr>
        <b/>
        <sz val="11"/>
        <color theme="1"/>
        <rFont val="Calibri"/>
        <family val="2"/>
        <scheme val="minor"/>
      </rPr>
      <t>03</t>
    </r>
    <r>
      <rPr>
        <sz val="11"/>
        <color theme="1"/>
        <rFont val="Calibri"/>
        <family val="2"/>
        <scheme val="minor"/>
      </rPr>
      <t xml:space="preserve"> - Coleman Liau Index
</t>
    </r>
    <r>
      <rPr>
        <b/>
        <sz val="11"/>
        <color theme="1"/>
        <rFont val="Calibri"/>
        <family val="2"/>
        <scheme val="minor"/>
      </rPr>
      <t>04</t>
    </r>
    <r>
      <rPr>
        <sz val="11"/>
        <color theme="1"/>
        <rFont val="Calibri"/>
        <family val="2"/>
        <scheme val="minor"/>
      </rPr>
      <t xml:space="preserve"> - Coh-Metrix Readability
</t>
    </r>
    <r>
      <rPr>
        <b/>
        <sz val="11"/>
        <color theme="1"/>
        <rFont val="Calibri"/>
        <family val="2"/>
        <scheme val="minor"/>
      </rPr>
      <t>05</t>
    </r>
    <r>
      <rPr>
        <sz val="11"/>
        <color theme="1"/>
        <rFont val="Calibri"/>
        <family val="2"/>
        <scheme val="minor"/>
      </rPr>
      <t xml:space="preserve"> - Dale-Chall Readability Formula
</t>
    </r>
    <r>
      <rPr>
        <b/>
        <sz val="11"/>
        <color theme="1"/>
        <rFont val="Calibri"/>
        <family val="2"/>
        <scheme val="minor"/>
      </rPr>
      <t>06</t>
    </r>
    <r>
      <rPr>
        <sz val="11"/>
        <color theme="1"/>
        <rFont val="Calibri"/>
        <family val="2"/>
        <scheme val="minor"/>
      </rPr>
      <t xml:space="preserve"> - Flesch-Kincaid Grade Level
</t>
    </r>
    <r>
      <rPr>
        <b/>
        <sz val="11"/>
        <color theme="1"/>
        <rFont val="Calibri"/>
        <family val="2"/>
        <scheme val="minor"/>
      </rPr>
      <t>07</t>
    </r>
    <r>
      <rPr>
        <sz val="11"/>
        <color theme="1"/>
        <rFont val="Calibri"/>
        <family val="2"/>
        <scheme val="minor"/>
      </rPr>
      <t xml:space="preserve"> - Flesch Reading Ease Formula
</t>
    </r>
    <r>
      <rPr>
        <b/>
        <sz val="11"/>
        <color theme="1"/>
        <rFont val="Calibri"/>
        <family val="2"/>
        <scheme val="minor"/>
      </rPr>
      <t>08</t>
    </r>
    <r>
      <rPr>
        <sz val="11"/>
        <color theme="1"/>
        <rFont val="Calibri"/>
        <family val="2"/>
        <scheme val="minor"/>
      </rPr>
      <t xml:space="preserve"> - FORCAST
</t>
    </r>
    <r>
      <rPr>
        <b/>
        <sz val="11"/>
        <color theme="1"/>
        <rFont val="Calibri"/>
        <family val="2"/>
        <scheme val="minor"/>
      </rPr>
      <t>09</t>
    </r>
    <r>
      <rPr>
        <sz val="11"/>
        <color theme="1"/>
        <rFont val="Calibri"/>
        <family val="2"/>
        <scheme val="minor"/>
      </rPr>
      <t xml:space="preserve"> - Fry Readability Formula
</t>
    </r>
    <r>
      <rPr>
        <b/>
        <sz val="11"/>
        <color theme="1"/>
        <rFont val="Calibri"/>
        <family val="2"/>
        <scheme val="minor"/>
      </rPr>
      <t>10</t>
    </r>
    <r>
      <rPr>
        <sz val="11"/>
        <color theme="1"/>
        <rFont val="Calibri"/>
        <family val="2"/>
        <scheme val="minor"/>
      </rPr>
      <t xml:space="preserve"> - Gunning-Fog Scale
</t>
    </r>
    <r>
      <rPr>
        <b/>
        <sz val="11"/>
        <color theme="1"/>
        <rFont val="Calibri"/>
        <family val="2"/>
        <scheme val="minor"/>
      </rPr>
      <t>11</t>
    </r>
    <r>
      <rPr>
        <sz val="11"/>
        <color theme="1"/>
        <rFont val="Calibri"/>
        <family val="2"/>
        <scheme val="minor"/>
      </rPr>
      <t xml:space="preserve"> - Hull Formula
</t>
    </r>
    <r>
      <rPr>
        <b/>
        <sz val="11"/>
        <color theme="1"/>
        <rFont val="Calibri"/>
        <family val="2"/>
        <scheme val="minor"/>
      </rPr>
      <t>12</t>
    </r>
    <r>
      <rPr>
        <sz val="11"/>
        <color theme="1"/>
        <rFont val="Calibri"/>
        <family val="2"/>
        <scheme val="minor"/>
      </rPr>
      <t xml:space="preserve"> - Lexile
</t>
    </r>
    <r>
      <rPr>
        <b/>
        <sz val="11"/>
        <color theme="1"/>
        <rFont val="Calibri"/>
        <family val="2"/>
        <scheme val="minor"/>
      </rPr>
      <t>13</t>
    </r>
    <r>
      <rPr>
        <sz val="11"/>
        <color theme="1"/>
        <rFont val="Calibri"/>
        <family val="2"/>
        <scheme val="minor"/>
      </rPr>
      <t xml:space="preserve"> - Linsear Write Formula
</t>
    </r>
    <r>
      <rPr>
        <b/>
        <sz val="11"/>
        <color theme="1"/>
        <rFont val="Calibri"/>
        <family val="2"/>
        <scheme val="minor"/>
      </rPr>
      <t>14</t>
    </r>
    <r>
      <rPr>
        <sz val="11"/>
        <color theme="1"/>
        <rFont val="Calibri"/>
        <family val="2"/>
        <scheme val="minor"/>
      </rPr>
      <t xml:space="preserve"> - McAlpine EFLAW
</t>
    </r>
    <r>
      <rPr>
        <b/>
        <sz val="11"/>
        <color theme="1"/>
        <rFont val="Calibri"/>
        <family val="2"/>
        <scheme val="minor"/>
      </rPr>
      <t>15</t>
    </r>
    <r>
      <rPr>
        <sz val="11"/>
        <color theme="1"/>
        <rFont val="Calibri"/>
        <family val="2"/>
        <scheme val="minor"/>
      </rPr>
      <t xml:space="preserve"> - Powers-Sumner-Kearl
</t>
    </r>
    <r>
      <rPr>
        <b/>
        <sz val="11"/>
        <color theme="1"/>
        <rFont val="Calibri"/>
        <family val="2"/>
        <scheme val="minor"/>
      </rPr>
      <t>16</t>
    </r>
    <r>
      <rPr>
        <sz val="11"/>
        <color theme="1"/>
        <rFont val="Calibri"/>
        <family val="2"/>
        <scheme val="minor"/>
      </rPr>
      <t xml:space="preserve"> - Raygor Readability Estimate
</t>
    </r>
    <r>
      <rPr>
        <b/>
        <sz val="11"/>
        <color theme="1"/>
        <rFont val="Calibri"/>
        <family val="2"/>
        <scheme val="minor"/>
      </rPr>
      <t>17</t>
    </r>
    <r>
      <rPr>
        <sz val="11"/>
        <color theme="1"/>
        <rFont val="Calibri"/>
        <family val="2"/>
        <scheme val="minor"/>
      </rPr>
      <t xml:space="preserve"> - SMOG Index
</t>
    </r>
    <r>
      <rPr>
        <b/>
        <sz val="11"/>
        <color theme="1"/>
        <rFont val="Calibri"/>
        <family val="2"/>
        <scheme val="minor"/>
      </rPr>
      <t>18</t>
    </r>
    <r>
      <rPr>
        <sz val="11"/>
        <color theme="1"/>
        <rFont val="Calibri"/>
        <family val="2"/>
        <scheme val="minor"/>
      </rPr>
      <t xml:space="preserve"> - Spache Readability Formula
</t>
    </r>
    <r>
      <rPr>
        <b/>
        <sz val="11"/>
        <color theme="1"/>
        <rFont val="Calibri"/>
        <family val="2"/>
        <scheme val="minor"/>
      </rPr>
      <t>19</t>
    </r>
    <r>
      <rPr>
        <sz val="11"/>
        <color theme="1"/>
        <rFont val="Calibri"/>
        <family val="2"/>
        <scheme val="minor"/>
      </rPr>
      <t xml:space="preserve"> - Strain Index
</t>
    </r>
  </si>
  <si>
    <r>
      <t>MultipleChoice</t>
    </r>
    <r>
      <rPr>
        <sz val="11"/>
        <color theme="1"/>
        <rFont val="Calibri"/>
        <family val="2"/>
        <scheme val="minor"/>
      </rPr>
      <t xml:space="preserve"> - Multiple-choice
</t>
    </r>
    <r>
      <rPr>
        <b/>
        <sz val="11"/>
        <color theme="1"/>
        <rFont val="Calibri"/>
        <family val="2"/>
        <scheme val="minor"/>
      </rPr>
      <t>FillInTheBlank</t>
    </r>
    <r>
      <rPr>
        <sz val="11"/>
        <color theme="1"/>
        <rFont val="Calibri"/>
        <family val="2"/>
        <scheme val="minor"/>
      </rPr>
      <t xml:space="preserve"> - Fill-in-the-blank
</t>
    </r>
    <r>
      <rPr>
        <b/>
        <sz val="11"/>
        <color theme="1"/>
        <rFont val="Calibri"/>
        <family val="2"/>
        <scheme val="minor"/>
      </rPr>
      <t>TrueFalse</t>
    </r>
    <r>
      <rPr>
        <sz val="11"/>
        <color theme="1"/>
        <rFont val="Calibri"/>
        <family val="2"/>
        <scheme val="minor"/>
      </rPr>
      <t xml:space="preserve"> - True/False
</t>
    </r>
    <r>
      <rPr>
        <b/>
        <sz val="11"/>
        <color theme="1"/>
        <rFont val="Calibri"/>
        <family val="2"/>
        <scheme val="minor"/>
      </rPr>
      <t>MultipleResponse</t>
    </r>
    <r>
      <rPr>
        <sz val="11"/>
        <color theme="1"/>
        <rFont val="Calibri"/>
        <family val="2"/>
        <scheme val="minor"/>
      </rPr>
      <t xml:space="preserve"> - Multiple Response
</t>
    </r>
    <r>
      <rPr>
        <b/>
        <sz val="11"/>
        <color theme="1"/>
        <rFont val="Calibri"/>
        <family val="2"/>
        <scheme val="minor"/>
      </rPr>
      <t>Matching</t>
    </r>
    <r>
      <rPr>
        <sz val="11"/>
        <color theme="1"/>
        <rFont val="Calibri"/>
        <family val="2"/>
        <scheme val="minor"/>
      </rPr>
      <t xml:space="preserve"> - Matching
</t>
    </r>
    <r>
      <rPr>
        <b/>
        <sz val="11"/>
        <color theme="1"/>
        <rFont val="Calibri"/>
        <family val="2"/>
        <scheme val="minor"/>
      </rPr>
      <t>ShortAnswer</t>
    </r>
    <r>
      <rPr>
        <sz val="11"/>
        <color theme="1"/>
        <rFont val="Calibri"/>
        <family val="2"/>
        <scheme val="minor"/>
      </rPr>
      <t xml:space="preserve"> - Short answer
</t>
    </r>
    <r>
      <rPr>
        <b/>
        <sz val="11"/>
        <color theme="1"/>
        <rFont val="Calibri"/>
        <family val="2"/>
        <scheme val="minor"/>
      </rPr>
      <t>Labeling</t>
    </r>
    <r>
      <rPr>
        <sz val="11"/>
        <color theme="1"/>
        <rFont val="Calibri"/>
        <family val="2"/>
        <scheme val="minor"/>
      </rPr>
      <t xml:space="preserve"> - Labeling
</t>
    </r>
    <r>
      <rPr>
        <b/>
        <sz val="11"/>
        <color theme="1"/>
        <rFont val="Calibri"/>
        <family val="2"/>
        <scheme val="minor"/>
      </rPr>
      <t>VisualRepresentation</t>
    </r>
    <r>
      <rPr>
        <sz val="11"/>
        <color theme="1"/>
        <rFont val="Calibri"/>
        <family val="2"/>
        <scheme val="minor"/>
      </rPr>
      <t xml:space="preserve"> - Visual representation
</t>
    </r>
    <r>
      <rPr>
        <b/>
        <sz val="11"/>
        <color theme="1"/>
        <rFont val="Calibri"/>
        <family val="2"/>
        <scheme val="minor"/>
      </rPr>
      <t>ShowYourWork</t>
    </r>
    <r>
      <rPr>
        <sz val="11"/>
        <color theme="1"/>
        <rFont val="Calibri"/>
        <family val="2"/>
        <scheme val="minor"/>
      </rPr>
      <t xml:space="preserve"> - Show your work
</t>
    </r>
    <r>
      <rPr>
        <b/>
        <sz val="11"/>
        <color theme="1"/>
        <rFont val="Calibri"/>
        <family val="2"/>
        <scheme val="minor"/>
      </rPr>
      <t>OtherConstructedResponse</t>
    </r>
    <r>
      <rPr>
        <sz val="11"/>
        <color theme="1"/>
        <rFont val="Calibri"/>
        <family val="2"/>
        <scheme val="minor"/>
      </rPr>
      <t xml:space="preserve"> - Other constructed response
</t>
    </r>
    <r>
      <rPr>
        <b/>
        <sz val="11"/>
        <color theme="1"/>
        <rFont val="Calibri"/>
        <family val="2"/>
        <scheme val="minor"/>
      </rPr>
      <t>PerformanceTask</t>
    </r>
    <r>
      <rPr>
        <sz val="11"/>
        <color theme="1"/>
        <rFont val="Calibri"/>
        <family val="2"/>
        <scheme val="minor"/>
      </rPr>
      <t xml:space="preserve"> - Performance task
</t>
    </r>
    <r>
      <rPr>
        <b/>
        <sz val="11"/>
        <color theme="1"/>
        <rFont val="Calibri"/>
        <family val="2"/>
        <scheme val="minor"/>
      </rPr>
      <t>ExtendedResponse</t>
    </r>
    <r>
      <rPr>
        <sz val="11"/>
        <color theme="1"/>
        <rFont val="Calibri"/>
        <family val="2"/>
        <scheme val="minor"/>
      </rPr>
      <t xml:space="preserve"> - Extended Response (Essay)
</t>
    </r>
    <r>
      <rPr>
        <b/>
        <sz val="11"/>
        <color theme="1"/>
        <rFont val="Calibri"/>
        <family val="2"/>
        <scheme val="minor"/>
      </rPr>
      <t>TechnologyEnhancedInteractive</t>
    </r>
    <r>
      <rPr>
        <sz val="11"/>
        <color theme="1"/>
        <rFont val="Calibri"/>
        <family val="2"/>
        <scheme val="minor"/>
      </rPr>
      <t xml:space="preserve"> - Technology Enhanced / Interactive
</t>
    </r>
    <r>
      <rPr>
        <b/>
        <sz val="11"/>
        <color theme="1"/>
        <rFont val="Calibri"/>
        <family val="2"/>
        <scheme val="minor"/>
      </rPr>
      <t>Reordering</t>
    </r>
    <r>
      <rPr>
        <sz val="11"/>
        <color theme="1"/>
        <rFont val="Calibri"/>
        <family val="2"/>
        <scheme val="minor"/>
      </rPr>
      <t xml:space="preserve"> - Reordering
</t>
    </r>
    <r>
      <rPr>
        <b/>
        <sz val="11"/>
        <color theme="1"/>
        <rFont val="Calibri"/>
        <family val="2"/>
        <scheme val="minor"/>
      </rPr>
      <t>Substitution</t>
    </r>
    <r>
      <rPr>
        <sz val="11"/>
        <color theme="1"/>
        <rFont val="Calibri"/>
        <family val="2"/>
        <scheme val="minor"/>
      </rPr>
      <t xml:space="preserve"> - Substitution
</t>
    </r>
    <r>
      <rPr>
        <b/>
        <sz val="11"/>
        <color theme="1"/>
        <rFont val="Calibri"/>
        <family val="2"/>
        <scheme val="minor"/>
      </rPr>
      <t>Other</t>
    </r>
    <r>
      <rPr>
        <sz val="11"/>
        <color theme="1"/>
        <rFont val="Calibri"/>
        <family val="2"/>
        <scheme val="minor"/>
      </rPr>
      <t xml:space="preserve"> - Other
</t>
    </r>
  </si>
  <si>
    <r>
      <t>Birth</t>
    </r>
    <r>
      <rPr>
        <sz val="11"/>
        <color theme="1"/>
        <rFont val="Calibri"/>
        <family val="2"/>
        <scheme val="minor"/>
      </rPr>
      <t xml:space="preserve"> - Birth
</t>
    </r>
    <r>
      <rPr>
        <b/>
        <sz val="11"/>
        <color theme="1"/>
        <rFont val="Calibri"/>
        <family val="2"/>
        <scheme val="minor"/>
      </rPr>
      <t>Prenatal</t>
    </r>
    <r>
      <rPr>
        <sz val="11"/>
        <color theme="1"/>
        <rFont val="Calibri"/>
        <family val="2"/>
        <scheme val="minor"/>
      </rPr>
      <t xml:space="preserve"> - Prenatal
</t>
    </r>
    <r>
      <rPr>
        <b/>
        <sz val="11"/>
        <color theme="1"/>
        <rFont val="Calibri"/>
        <family val="2"/>
        <scheme val="minor"/>
      </rP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</si>
  <si>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Graphic</t>
    </r>
    <r>
      <rPr>
        <sz val="11"/>
        <color theme="1"/>
        <rFont val="Calibri"/>
        <family val="2"/>
        <scheme val="minor"/>
      </rPr>
      <t xml:space="preserve"> - Graphic
</t>
    </r>
    <r>
      <rPr>
        <b/>
        <sz val="11"/>
        <color theme="1"/>
        <rFont val="Calibri"/>
        <family val="2"/>
        <scheme val="minor"/>
      </rPr>
      <t>Text</t>
    </r>
    <r>
      <rPr>
        <sz val="11"/>
        <color theme="1"/>
        <rFont val="Calibri"/>
        <family val="2"/>
        <scheme val="minor"/>
      </rPr>
      <t xml:space="preserve"> - Text
</t>
    </r>
    <r>
      <rPr>
        <b/>
        <sz val="11"/>
        <color theme="1"/>
        <rFont val="Calibri"/>
        <family val="2"/>
        <scheme val="minor"/>
      </rPr>
      <t>Interactive</t>
    </r>
    <r>
      <rPr>
        <sz val="11"/>
        <color theme="1"/>
        <rFont val="Calibri"/>
        <family val="2"/>
        <scheme val="minor"/>
      </rPr>
      <t xml:space="preserve"> - Interactive
</t>
    </r>
  </si>
  <si>
    <r>
      <t>Contracted</t>
    </r>
    <r>
      <rPr>
        <sz val="11"/>
        <color theme="1"/>
        <rFont val="Calibri"/>
        <family val="2"/>
        <scheme val="minor"/>
      </rPr>
      <t xml:space="preserve"> - Contracted
</t>
    </r>
    <r>
      <rPr>
        <b/>
        <sz val="11"/>
        <color theme="1"/>
        <rFont val="Calibri"/>
        <family val="2"/>
        <scheme val="minor"/>
      </rPr>
      <t>Uncontracted</t>
    </r>
    <r>
      <rPr>
        <sz val="11"/>
        <color theme="1"/>
        <rFont val="Calibri"/>
        <family val="2"/>
        <scheme val="minor"/>
      </rPr>
      <t xml:space="preserve"> - Uncontracted
</t>
    </r>
  </si>
  <si>
    <r>
      <t>Highlight</t>
    </r>
    <r>
      <rPr>
        <sz val="11"/>
        <color theme="1"/>
        <rFont val="Calibri"/>
        <family val="2"/>
        <scheme val="minor"/>
      </rPr>
      <t xml:space="preserve"> - Highlight
</t>
    </r>
    <r>
      <rPr>
        <b/>
        <sz val="11"/>
        <color theme="1"/>
        <rFont val="Calibri"/>
        <family val="2"/>
        <scheme val="minor"/>
      </rPr>
      <t>Bold</t>
    </r>
    <r>
      <rPr>
        <sz val="11"/>
        <color theme="1"/>
        <rFont val="Calibri"/>
        <family val="2"/>
        <scheme val="minor"/>
      </rPr>
      <t xml:space="preserve"> - Bold
</t>
    </r>
    <r>
      <rPr>
        <b/>
        <sz val="11"/>
        <color theme="1"/>
        <rFont val="Calibri"/>
        <family val="2"/>
        <scheme val="minor"/>
      </rPr>
      <t>Underline</t>
    </r>
    <r>
      <rPr>
        <sz val="11"/>
        <color theme="1"/>
        <rFont val="Calibri"/>
        <family val="2"/>
        <scheme val="minor"/>
      </rPr>
      <t xml:space="preserve"> - Underline
</t>
    </r>
    <r>
      <rPr>
        <b/>
        <sz val="11"/>
        <color theme="1"/>
        <rFont val="Calibri"/>
        <family val="2"/>
        <scheme val="minor"/>
      </rPr>
      <t>Italic</t>
    </r>
    <r>
      <rPr>
        <sz val="11"/>
        <color theme="1"/>
        <rFont val="Calibri"/>
        <family val="2"/>
        <scheme val="minor"/>
      </rPr>
      <t xml:space="preserve"> - Italic
</t>
    </r>
    <r>
      <rPr>
        <b/>
        <sz val="11"/>
        <color theme="1"/>
        <rFont val="Calibri"/>
        <family val="2"/>
        <scheme val="minor"/>
      </rPr>
      <t>Strikeout</t>
    </r>
    <r>
      <rPr>
        <sz val="11"/>
        <color theme="1"/>
        <rFont val="Calibri"/>
        <family val="2"/>
        <scheme val="minor"/>
      </rPr>
      <t xml:space="preserve"> - Strikeout
</t>
    </r>
    <r>
      <rPr>
        <b/>
        <sz val="11"/>
        <color theme="1"/>
        <rFont val="Calibri"/>
        <family val="2"/>
        <scheme val="minor"/>
      </rPr>
      <t>Color</t>
    </r>
    <r>
      <rPr>
        <sz val="11"/>
        <color theme="1"/>
        <rFont val="Calibri"/>
        <family val="2"/>
        <scheme val="minor"/>
      </rPr>
      <t xml:space="preserve"> - Color
</t>
    </r>
  </si>
  <si>
    <r>
      <t>Off</t>
    </r>
    <r>
      <rPr>
        <sz val="11"/>
        <color theme="1"/>
        <rFont val="Calibri"/>
        <family val="2"/>
        <scheme val="minor"/>
      </rPr>
      <t xml:space="preserve"> - Off
</t>
    </r>
    <r>
      <rPr>
        <b/>
        <sz val="11"/>
        <color theme="1"/>
        <rFont val="Calibri"/>
        <family val="2"/>
        <scheme val="minor"/>
      </rPr>
      <t>Left</t>
    </r>
    <r>
      <rPr>
        <sz val="11"/>
        <color theme="1"/>
        <rFont val="Calibri"/>
        <family val="2"/>
        <scheme val="minor"/>
      </rPr>
      <t xml:space="preserve"> - Left
</t>
    </r>
    <r>
      <rPr>
        <b/>
        <sz val="11"/>
        <color theme="1"/>
        <rFont val="Calibri"/>
        <family val="2"/>
        <scheme val="minor"/>
      </rPr>
      <t>Right</t>
    </r>
    <r>
      <rPr>
        <sz val="11"/>
        <color theme="1"/>
        <rFont val="Calibri"/>
        <family val="2"/>
        <scheme val="minor"/>
      </rPr>
      <t xml:space="preserve"> - Right
</t>
    </r>
  </si>
  <si>
    <r>
      <t>Flashing</t>
    </r>
    <r>
      <rPr>
        <sz val="11"/>
        <color theme="1"/>
        <rFont val="Calibri"/>
        <family val="2"/>
        <scheme val="minor"/>
      </rPr>
      <t xml:space="preserve"> - Flashing
</t>
    </r>
    <r>
      <rPr>
        <b/>
        <sz val="11"/>
        <color theme="1"/>
        <rFont val="Calibri"/>
        <family val="2"/>
        <scheme val="minor"/>
      </rPr>
      <t>Sound</t>
    </r>
    <r>
      <rPr>
        <sz val="11"/>
        <color theme="1"/>
        <rFont val="Calibri"/>
        <family val="2"/>
        <scheme val="minor"/>
      </rPr>
      <t xml:space="preserve"> - Sound
</t>
    </r>
    <r>
      <rPr>
        <b/>
        <sz val="11"/>
        <color theme="1"/>
        <rFont val="Calibri"/>
        <family val="2"/>
        <scheme val="minor"/>
      </rPr>
      <t>Olfactory</t>
    </r>
    <r>
      <rPr>
        <sz val="11"/>
        <color theme="1"/>
        <rFont val="Calibri"/>
        <family val="2"/>
        <scheme val="minor"/>
      </rPr>
      <t xml:space="preserve"> - Olfactory
</t>
    </r>
    <r>
      <rPr>
        <b/>
        <sz val="11"/>
        <color theme="1"/>
        <rFont val="Calibri"/>
        <family val="2"/>
        <scheme val="minor"/>
      </rPr>
      <t>MotionSimulation</t>
    </r>
    <r>
      <rPr>
        <sz val="11"/>
        <color theme="1"/>
        <rFont val="Calibri"/>
        <family val="2"/>
        <scheme val="minor"/>
      </rPr>
      <t xml:space="preserve"> - Motion simulation
</t>
    </r>
  </si>
  <si>
    <r>
      <t>Line</t>
    </r>
    <r>
      <rPr>
        <sz val="11"/>
        <color theme="1"/>
        <rFont val="Calibri"/>
        <family val="2"/>
        <scheme val="minor"/>
      </rPr>
      <t xml:space="preserve"> - Line
</t>
    </r>
    <r>
      <rPr>
        <b/>
        <sz val="11"/>
        <color theme="1"/>
        <rFont val="Calibri"/>
        <family val="2"/>
        <scheme val="minor"/>
      </rPr>
      <t>Word</t>
    </r>
    <r>
      <rPr>
        <sz val="11"/>
        <color theme="1"/>
        <rFont val="Calibri"/>
        <family val="2"/>
        <scheme val="minor"/>
      </rPr>
      <t xml:space="preserve"> - Word
</t>
    </r>
    <r>
      <rPr>
        <b/>
        <sz val="11"/>
        <color theme="1"/>
        <rFont val="Calibri"/>
        <family val="2"/>
        <scheme val="minor"/>
      </rPr>
      <t>Character</t>
    </r>
    <r>
      <rPr>
        <sz val="11"/>
        <color theme="1"/>
        <rFont val="Calibri"/>
        <family val="2"/>
        <scheme val="minor"/>
      </rPr>
      <t xml:space="preserve"> - Character
</t>
    </r>
  </si>
  <si>
    <r>
      <t>SpeakLink</t>
    </r>
    <r>
      <rPr>
        <sz val="11"/>
        <color theme="1"/>
        <rFont val="Calibri"/>
        <family val="2"/>
        <scheme val="minor"/>
      </rPr>
      <t xml:space="preserve"> - Speak link
</t>
    </r>
    <r>
      <rPr>
        <b/>
        <sz val="11"/>
        <color theme="1"/>
        <rFont val="Calibri"/>
        <family val="2"/>
        <scheme val="minor"/>
      </rPr>
      <t>DifferentVoice</t>
    </r>
    <r>
      <rPr>
        <sz val="11"/>
        <color theme="1"/>
        <rFont val="Calibri"/>
        <family val="2"/>
        <scheme val="minor"/>
      </rPr>
      <t xml:space="preserve"> - Different voice
</t>
    </r>
    <r>
      <rPr>
        <b/>
        <sz val="11"/>
        <color theme="1"/>
        <rFont val="Calibri"/>
        <family val="2"/>
        <scheme val="minor"/>
      </rPr>
      <t>SoundEffect</t>
    </r>
    <r>
      <rPr>
        <sz val="11"/>
        <color theme="1"/>
        <rFont val="Calibri"/>
        <family val="2"/>
        <scheme val="minor"/>
      </rPr>
      <t xml:space="preserve"> - Sound effect
</t>
    </r>
    <r>
      <rPr>
        <b/>
        <sz val="11"/>
        <color theme="1"/>
        <rFont val="Calibri"/>
        <family val="2"/>
        <scheme val="minor"/>
      </rPr>
      <t>None</t>
    </r>
    <r>
      <rPr>
        <sz val="11"/>
        <color theme="1"/>
        <rFont val="Calibri"/>
        <family val="2"/>
        <scheme val="minor"/>
      </rPr>
      <t xml:space="preserve"> - None
</t>
    </r>
  </si>
  <si>
    <r>
      <t>CustomMask</t>
    </r>
    <r>
      <rPr>
        <sz val="11"/>
        <color theme="1"/>
        <rFont val="Calibri"/>
        <family val="2"/>
        <scheme val="minor"/>
      </rPr>
      <t xml:space="preserve"> - Custom mask
</t>
    </r>
    <r>
      <rPr>
        <b/>
        <sz val="11"/>
        <color theme="1"/>
        <rFont val="Calibri"/>
        <family val="2"/>
        <scheme val="minor"/>
      </rPr>
      <t>AnswerMask</t>
    </r>
    <r>
      <rPr>
        <sz val="11"/>
        <color theme="1"/>
        <rFont val="Calibri"/>
        <family val="2"/>
        <scheme val="minor"/>
      </rPr>
      <t xml:space="preserve"> - Answer mask
</t>
    </r>
  </si>
  <si>
    <r>
      <t>6</t>
    </r>
    <r>
      <rPr>
        <sz val="11"/>
        <color theme="1"/>
        <rFont val="Calibri"/>
        <family val="2"/>
        <scheme val="minor"/>
      </rPr>
      <t xml:space="preserve"> - Six Braille Dots
</t>
    </r>
    <r>
      <rPr>
        <b/>
        <sz val="11"/>
        <color theme="1"/>
        <rFont val="Calibri"/>
        <family val="2"/>
        <scheme val="minor"/>
      </rPr>
      <t>8</t>
    </r>
    <r>
      <rPr>
        <sz val="11"/>
        <color theme="1"/>
        <rFont val="Calibri"/>
        <family val="2"/>
        <scheme val="minor"/>
      </rPr>
      <t xml:space="preserve"> - Eight Braille Dots
</t>
    </r>
  </si>
  <si>
    <r>
      <t>ASL</t>
    </r>
    <r>
      <rPr>
        <sz val="11"/>
        <color theme="1"/>
        <rFont val="Calibri"/>
        <family val="2"/>
        <scheme val="minor"/>
      </rPr>
      <t xml:space="preserve"> - American Sign Language
</t>
    </r>
    <r>
      <rPr>
        <b/>
        <sz val="11"/>
        <color theme="1"/>
        <rFont val="Calibri"/>
        <family val="2"/>
        <scheme val="minor"/>
      </rPr>
      <t>SignedEnglish</t>
    </r>
    <r>
      <rPr>
        <sz val="11"/>
        <color theme="1"/>
        <rFont val="Calibri"/>
        <family val="2"/>
        <scheme val="minor"/>
      </rPr>
      <t xml:space="preserve"> - Signed English
</t>
    </r>
  </si>
  <si>
    <r>
      <t>Human</t>
    </r>
    <r>
      <rPr>
        <sz val="11"/>
        <color theme="1"/>
        <rFont val="Calibri"/>
        <family val="2"/>
        <scheme val="minor"/>
      </rPr>
      <t xml:space="preserve"> - Human
</t>
    </r>
    <r>
      <rPr>
        <b/>
        <sz val="11"/>
        <color theme="1"/>
        <rFont val="Calibri"/>
        <family val="2"/>
        <scheme val="minor"/>
      </rPr>
      <t>Synthetic</t>
    </r>
    <r>
      <rPr>
        <sz val="11"/>
        <color theme="1"/>
        <rFont val="Calibri"/>
        <family val="2"/>
        <scheme val="minor"/>
      </rPr>
      <t xml:space="preserve"> - Synthetic
</t>
    </r>
  </si>
  <si>
    <r>
      <t>Dictionary</t>
    </r>
    <r>
      <rPr>
        <sz val="11"/>
        <color theme="1"/>
        <rFont val="Calibri"/>
        <family val="2"/>
        <scheme val="minor"/>
      </rPr>
      <t xml:space="preserve"> - Dictionary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NoteTaking</t>
    </r>
    <r>
      <rPr>
        <sz val="11"/>
        <color theme="1"/>
        <rFont val="Calibri"/>
        <family val="2"/>
        <scheme val="minor"/>
      </rPr>
      <t xml:space="preserve"> - Note taking
</t>
    </r>
    <r>
      <rPr>
        <b/>
        <sz val="11"/>
        <color theme="1"/>
        <rFont val="Calibri"/>
        <family val="2"/>
        <scheme val="minor"/>
      </rPr>
      <t>PeerInteraction</t>
    </r>
    <r>
      <rPr>
        <sz val="11"/>
        <color theme="1"/>
        <rFont val="Calibri"/>
        <family val="2"/>
        <scheme val="minor"/>
      </rPr>
      <t xml:space="preserve"> - Peer interaction
</t>
    </r>
    <r>
      <rPr>
        <b/>
        <sz val="11"/>
        <color theme="1"/>
        <rFont val="Calibri"/>
        <family val="2"/>
        <scheme val="minor"/>
      </rPr>
      <t>Thesaurus</t>
    </r>
    <r>
      <rPr>
        <sz val="11"/>
        <color theme="1"/>
        <rFont val="Calibri"/>
        <family val="2"/>
        <scheme val="minor"/>
      </rPr>
      <t xml:space="preserve"> - Thesaurus
</t>
    </r>
    <r>
      <rPr>
        <b/>
        <sz val="11"/>
        <color theme="1"/>
        <rFont val="Calibri"/>
        <family val="2"/>
        <scheme val="minor"/>
      </rPr>
      <t>Abacus</t>
    </r>
    <r>
      <rPr>
        <sz val="11"/>
        <color theme="1"/>
        <rFont val="Calibri"/>
        <family val="2"/>
        <scheme val="minor"/>
      </rPr>
      <t xml:space="preserve"> - Abacus
</t>
    </r>
    <r>
      <rPr>
        <b/>
        <sz val="11"/>
        <color theme="1"/>
        <rFont val="Calibri"/>
        <family val="2"/>
        <scheme val="minor"/>
      </rPr>
      <t>SpellChecker</t>
    </r>
    <r>
      <rPr>
        <sz val="11"/>
        <color theme="1"/>
        <rFont val="Calibri"/>
        <family val="2"/>
        <scheme val="minor"/>
      </rPr>
      <t xml:space="preserve"> - Spell checker
</t>
    </r>
    <r>
      <rPr>
        <b/>
        <sz val="11"/>
        <color theme="1"/>
        <rFont val="Calibri"/>
        <family val="2"/>
        <scheme val="minor"/>
      </rPr>
      <t>Homophone</t>
    </r>
    <r>
      <rPr>
        <sz val="11"/>
        <color theme="1"/>
        <rFont val="Calibri"/>
        <family val="2"/>
        <scheme val="minor"/>
      </rPr>
      <t xml:space="preserve"> - Homophone checker
</t>
    </r>
    <r>
      <rPr>
        <b/>
        <sz val="11"/>
        <color theme="1"/>
        <rFont val="Calibri"/>
        <family val="2"/>
        <scheme val="minor"/>
      </rPr>
      <t>MindMapping</t>
    </r>
    <r>
      <rPr>
        <sz val="11"/>
        <color theme="1"/>
        <rFont val="Calibri"/>
        <family val="2"/>
        <scheme val="minor"/>
      </rPr>
      <t xml:space="preserve"> - Mind mapping software
</t>
    </r>
    <r>
      <rPr>
        <b/>
        <sz val="11"/>
        <color theme="1"/>
        <rFont val="Calibri"/>
        <family val="2"/>
        <scheme val="minor"/>
      </rPr>
      <t>OutlineTool</t>
    </r>
    <r>
      <rPr>
        <sz val="11"/>
        <color theme="1"/>
        <rFont val="Calibri"/>
        <family val="2"/>
        <scheme val="minor"/>
      </rPr>
      <t xml:space="preserve"> - Outline tool
</t>
    </r>
  </si>
  <si>
    <r>
      <t>Required</t>
    </r>
    <r>
      <rPr>
        <sz val="11"/>
        <color theme="1"/>
        <rFont val="Calibri"/>
        <family val="2"/>
        <scheme val="minor"/>
      </rPr>
      <t xml:space="preserve"> - Required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OptionallyUse</t>
    </r>
    <r>
      <rPr>
        <sz val="11"/>
        <color theme="1"/>
        <rFont val="Calibri"/>
        <family val="2"/>
        <scheme val="minor"/>
      </rPr>
      <t xml:space="preserve"> - Optionally use
</t>
    </r>
    <r>
      <rPr>
        <b/>
        <sz val="11"/>
        <color theme="1"/>
        <rFont val="Calibri"/>
        <family val="2"/>
        <scheme val="minor"/>
      </rPr>
      <t>Prohibited</t>
    </r>
    <r>
      <rPr>
        <sz val="11"/>
        <color theme="1"/>
        <rFont val="Calibri"/>
        <family val="2"/>
        <scheme val="minor"/>
      </rPr>
      <t xml:space="preserve"> - Prohibited
</t>
    </r>
  </si>
  <si>
    <r>
      <t>TextOnly</t>
    </r>
    <r>
      <rPr>
        <sz val="11"/>
        <color theme="1"/>
        <rFont val="Calibri"/>
        <family val="2"/>
        <scheme val="minor"/>
      </rPr>
      <t xml:space="preserve"> - Text only
</t>
    </r>
    <r>
      <rPr>
        <b/>
        <sz val="11"/>
        <color theme="1"/>
        <rFont val="Calibri"/>
        <family val="2"/>
        <scheme val="minor"/>
      </rPr>
      <t>TextGraphics</t>
    </r>
    <r>
      <rPr>
        <sz val="11"/>
        <color theme="1"/>
        <rFont val="Calibri"/>
        <family val="2"/>
        <scheme val="minor"/>
      </rPr>
      <t xml:space="preserve"> - Text and graphics
</t>
    </r>
    <r>
      <rPr>
        <b/>
        <sz val="11"/>
        <color theme="1"/>
        <rFont val="Calibri"/>
        <family val="2"/>
        <scheme val="minor"/>
      </rPr>
      <t>GraphicsOnly</t>
    </r>
    <r>
      <rPr>
        <sz val="11"/>
        <color theme="1"/>
        <rFont val="Calibri"/>
        <family val="2"/>
        <scheme val="minor"/>
      </rPr>
      <t xml:space="preserve"> - Graphics only
</t>
    </r>
    <r>
      <rPr>
        <b/>
        <sz val="11"/>
        <color theme="1"/>
        <rFont val="Calibri"/>
        <family val="2"/>
        <scheme val="minor"/>
      </rPr>
      <t>NonVisual</t>
    </r>
    <r>
      <rPr>
        <sz val="11"/>
        <color theme="1"/>
        <rFont val="Calibri"/>
        <family val="2"/>
        <scheme val="minor"/>
      </rPr>
      <t xml:space="preserve"> - Non-visual
</t>
    </r>
  </si>
  <si>
    <r>
      <t>Paper</t>
    </r>
    <r>
      <rPr>
        <sz val="11"/>
        <color theme="1"/>
        <rFont val="Calibri"/>
        <family val="2"/>
        <scheme val="minor"/>
      </rPr>
      <t xml:space="preserve"> - Paper
</t>
    </r>
    <r>
      <rPr>
        <b/>
        <sz val="11"/>
        <color theme="1"/>
        <rFont val="Calibri"/>
        <family val="2"/>
        <scheme val="minor"/>
      </rPr>
      <t>Computer</t>
    </r>
    <r>
      <rPr>
        <sz val="11"/>
        <color theme="1"/>
        <rFont val="Calibri"/>
        <family val="2"/>
        <scheme val="minor"/>
      </rPr>
      <t xml:space="preserve"> - Computer
</t>
    </r>
    <r>
      <rPr>
        <b/>
        <sz val="11"/>
        <color theme="1"/>
        <rFont val="Calibri"/>
        <family val="2"/>
        <scheme val="minor"/>
      </rPr>
      <t>Mobile</t>
    </r>
    <r>
      <rPr>
        <sz val="11"/>
        <color theme="1"/>
        <rFont val="Calibri"/>
        <family val="2"/>
        <scheme val="minor"/>
      </rPr>
      <t xml:space="preserve"> - Mobile
</t>
    </r>
    <r>
      <rPr>
        <b/>
        <sz val="11"/>
        <color theme="1"/>
        <rFont val="Calibri"/>
        <family val="2"/>
        <scheme val="minor"/>
      </rPr>
      <t>Clicker</t>
    </r>
    <r>
      <rPr>
        <sz val="11"/>
        <color theme="1"/>
        <rFont val="Calibri"/>
        <family val="2"/>
        <scheme val="minor"/>
      </rPr>
      <t xml:space="preserve"> - Clicker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Handheld</t>
    </r>
    <r>
      <rPr>
        <sz val="11"/>
        <color theme="1"/>
        <rFont val="Calibri"/>
        <family val="2"/>
        <scheme val="minor"/>
      </rPr>
      <t xml:space="preserve"> - Handheld
</t>
    </r>
    <r>
      <rPr>
        <b/>
        <sz val="11"/>
        <color theme="1"/>
        <rFont val="Calibri"/>
        <family val="2"/>
        <scheme val="minor"/>
      </rPr>
      <t>Tablet</t>
    </r>
    <r>
      <rPr>
        <sz val="11"/>
        <color theme="1"/>
        <rFont val="Calibri"/>
        <family val="2"/>
        <scheme val="minor"/>
      </rPr>
      <t xml:space="preserve"> - Tablet
</t>
    </r>
  </si>
  <si>
    <r>
      <t>00512</t>
    </r>
    <r>
      <rPr>
        <sz val="11"/>
        <color theme="1"/>
        <rFont val="Calibri"/>
        <family val="2"/>
        <scheme val="minor"/>
      </rPr>
      <t xml:space="preserve"> - Achievement/proficiency level
</t>
    </r>
    <r>
      <rPr>
        <b/>
        <sz val="11"/>
        <color theme="1"/>
        <rFont val="Calibri"/>
        <family val="2"/>
        <scheme val="minor"/>
      </rPr>
      <t>00494</t>
    </r>
    <r>
      <rPr>
        <sz val="11"/>
        <color theme="1"/>
        <rFont val="Calibri"/>
        <family val="2"/>
        <scheme val="minor"/>
      </rPr>
      <t xml:space="preserve"> - ACT score
</t>
    </r>
    <r>
      <rPr>
        <b/>
        <sz val="11"/>
        <color theme="1"/>
        <rFont val="Calibri"/>
        <family val="2"/>
        <scheme val="minor"/>
      </rPr>
      <t>00490</t>
    </r>
    <r>
      <rPr>
        <sz val="11"/>
        <color theme="1"/>
        <rFont val="Calibri"/>
        <family val="2"/>
        <scheme val="minor"/>
      </rPr>
      <t xml:space="preserve"> - Age score
</t>
    </r>
    <r>
      <rPr>
        <b/>
        <sz val="11"/>
        <color theme="1"/>
        <rFont val="Calibri"/>
        <family val="2"/>
        <scheme val="minor"/>
      </rPr>
      <t>00491</t>
    </r>
    <r>
      <rPr>
        <sz val="11"/>
        <color theme="1"/>
        <rFont val="Calibri"/>
        <family val="2"/>
        <scheme val="minor"/>
      </rPr>
      <t xml:space="preserve"> - C-scaled scores
</t>
    </r>
    <r>
      <rPr>
        <b/>
        <sz val="11"/>
        <color theme="1"/>
        <rFont val="Calibri"/>
        <family val="2"/>
        <scheme val="minor"/>
      </rPr>
      <t>00492</t>
    </r>
    <r>
      <rPr>
        <sz val="11"/>
        <color theme="1"/>
        <rFont val="Calibri"/>
        <family val="2"/>
        <scheme val="minor"/>
      </rPr>
      <t xml:space="preserve"> - College Board examination scores
</t>
    </r>
    <r>
      <rPr>
        <b/>
        <sz val="11"/>
        <color theme="1"/>
        <rFont val="Calibri"/>
        <family val="2"/>
        <scheme val="minor"/>
      </rPr>
      <t>00493</t>
    </r>
    <r>
      <rPr>
        <sz val="11"/>
        <color theme="1"/>
        <rFont val="Calibri"/>
        <family val="2"/>
        <scheme val="minor"/>
      </rPr>
      <t xml:space="preserve"> - Grade equivalent or grade-level indicator
</t>
    </r>
    <r>
      <rPr>
        <b/>
        <sz val="11"/>
        <color theme="1"/>
        <rFont val="Calibri"/>
        <family val="2"/>
        <scheme val="minor"/>
      </rPr>
      <t>03473</t>
    </r>
    <r>
      <rPr>
        <sz val="11"/>
        <color theme="1"/>
        <rFont val="Calibri"/>
        <family val="2"/>
        <scheme val="minor"/>
      </rPr>
      <t xml:space="preserve"> - Graduation score
</t>
    </r>
    <r>
      <rPr>
        <b/>
        <sz val="11"/>
        <color theme="1"/>
        <rFont val="Calibri"/>
        <family val="2"/>
        <scheme val="minor"/>
      </rPr>
      <t>03474</t>
    </r>
    <r>
      <rPr>
        <sz val="11"/>
        <color theme="1"/>
        <rFont val="Calibri"/>
        <family val="2"/>
        <scheme val="minor"/>
      </rPr>
      <t xml:space="preserve"> - Growth/value-added/indexing
</t>
    </r>
    <r>
      <rPr>
        <b/>
        <sz val="11"/>
        <color theme="1"/>
        <rFont val="Calibri"/>
        <family val="2"/>
        <scheme val="minor"/>
      </rPr>
      <t>03475</t>
    </r>
    <r>
      <rPr>
        <sz val="11"/>
        <color theme="1"/>
        <rFont val="Calibri"/>
        <family val="2"/>
        <scheme val="minor"/>
      </rPr>
      <t xml:space="preserve"> - International Baccalaureate score
</t>
    </r>
    <r>
      <rPr>
        <b/>
        <sz val="11"/>
        <color theme="1"/>
        <rFont val="Calibri"/>
        <family val="2"/>
        <scheme val="minor"/>
      </rPr>
      <t>00144</t>
    </r>
    <r>
      <rPr>
        <sz val="11"/>
        <color theme="1"/>
        <rFont val="Calibri"/>
        <family val="2"/>
        <scheme val="minor"/>
      </rPr>
      <t xml:space="preserve"> - Letter grade/mark
</t>
    </r>
    <r>
      <rPr>
        <b/>
        <sz val="11"/>
        <color theme="1"/>
        <rFont val="Calibri"/>
        <family val="2"/>
        <scheme val="minor"/>
      </rPr>
      <t>00513</t>
    </r>
    <r>
      <rPr>
        <sz val="11"/>
        <color theme="1"/>
        <rFont val="Calibri"/>
        <family val="2"/>
        <scheme val="minor"/>
      </rPr>
      <t xml:space="preserve"> - Mastery level
</t>
    </r>
    <r>
      <rPr>
        <b/>
        <sz val="11"/>
        <color theme="1"/>
        <rFont val="Calibri"/>
        <family val="2"/>
        <scheme val="minor"/>
      </rPr>
      <t>00497</t>
    </r>
    <r>
      <rPr>
        <sz val="11"/>
        <color theme="1"/>
        <rFont val="Calibri"/>
        <family val="2"/>
        <scheme val="minor"/>
      </rPr>
      <t xml:space="preserve"> - Normal curve equivalent
</t>
    </r>
    <r>
      <rPr>
        <b/>
        <sz val="11"/>
        <color theme="1"/>
        <rFont val="Calibri"/>
        <family val="2"/>
        <scheme val="minor"/>
      </rPr>
      <t>00498</t>
    </r>
    <r>
      <rPr>
        <sz val="11"/>
        <color theme="1"/>
        <rFont val="Calibri"/>
        <family val="2"/>
        <scheme val="minor"/>
      </rPr>
      <t xml:space="preserve"> - Normalized standard score
</t>
    </r>
    <r>
      <rPr>
        <b/>
        <sz val="11"/>
        <color theme="1"/>
        <rFont val="Calibri"/>
        <family val="2"/>
        <scheme val="minor"/>
      </rPr>
      <t>00499</t>
    </r>
    <r>
      <rPr>
        <sz val="11"/>
        <color theme="1"/>
        <rFont val="Calibri"/>
        <family val="2"/>
        <scheme val="minor"/>
      </rPr>
      <t xml:space="preserve"> - Number score
</t>
    </r>
    <r>
      <rPr>
        <b/>
        <sz val="11"/>
        <color theme="1"/>
        <rFont val="Calibri"/>
        <family val="2"/>
        <scheme val="minor"/>
      </rPr>
      <t>00500</t>
    </r>
    <r>
      <rPr>
        <sz val="11"/>
        <color theme="1"/>
        <rFont val="Calibri"/>
        <family val="2"/>
        <scheme val="minor"/>
      </rPr>
      <t xml:space="preserve"> - Pass-fail
</t>
    </r>
    <r>
      <rPr>
        <b/>
        <sz val="11"/>
        <color theme="1"/>
        <rFont val="Calibri"/>
        <family val="2"/>
        <scheme val="minor"/>
      </rPr>
      <t>03476</t>
    </r>
    <r>
      <rPr>
        <sz val="11"/>
        <color theme="1"/>
        <rFont val="Calibri"/>
        <family val="2"/>
        <scheme val="minor"/>
      </rPr>
      <t xml:space="preserve"> - Percentile
</t>
    </r>
    <r>
      <rPr>
        <b/>
        <sz val="11"/>
        <color theme="1"/>
        <rFont val="Calibri"/>
        <family val="2"/>
        <scheme val="minor"/>
      </rPr>
      <t>00502</t>
    </r>
    <r>
      <rPr>
        <sz val="11"/>
        <color theme="1"/>
        <rFont val="Calibri"/>
        <family val="2"/>
        <scheme val="minor"/>
      </rPr>
      <t xml:space="preserve"> - Percentile rank
</t>
    </r>
    <r>
      <rPr>
        <b/>
        <sz val="11"/>
        <color theme="1"/>
        <rFont val="Calibri"/>
        <family val="2"/>
        <scheme val="minor"/>
      </rPr>
      <t>00503</t>
    </r>
    <r>
      <rPr>
        <sz val="11"/>
        <color theme="1"/>
        <rFont val="Calibri"/>
        <family val="2"/>
        <scheme val="minor"/>
      </rPr>
      <t xml:space="preserve"> - Proficiency level
</t>
    </r>
    <r>
      <rPr>
        <b/>
        <sz val="11"/>
        <color theme="1"/>
        <rFont val="Calibri"/>
        <family val="2"/>
        <scheme val="minor"/>
      </rPr>
      <t>03477</t>
    </r>
    <r>
      <rPr>
        <sz val="11"/>
        <color theme="1"/>
        <rFont val="Calibri"/>
        <family val="2"/>
        <scheme val="minor"/>
      </rPr>
      <t xml:space="preserve"> - Promotion score
</t>
    </r>
    <r>
      <rPr>
        <b/>
        <sz val="11"/>
        <color theme="1"/>
        <rFont val="Calibri"/>
        <family val="2"/>
        <scheme val="minor"/>
      </rPr>
      <t>00504</t>
    </r>
    <r>
      <rPr>
        <sz val="11"/>
        <color theme="1"/>
        <rFont val="Calibri"/>
        <family val="2"/>
        <scheme val="minor"/>
      </rPr>
      <t xml:space="preserve"> - Ranking
</t>
    </r>
    <r>
      <rPr>
        <b/>
        <sz val="11"/>
        <color theme="1"/>
        <rFont val="Calibri"/>
        <family val="2"/>
        <scheme val="minor"/>
      </rPr>
      <t>00505</t>
    </r>
    <r>
      <rPr>
        <sz val="11"/>
        <color theme="1"/>
        <rFont val="Calibri"/>
        <family val="2"/>
        <scheme val="minor"/>
      </rPr>
      <t xml:space="preserve"> - Ratio IQ's
</t>
    </r>
    <r>
      <rPr>
        <b/>
        <sz val="11"/>
        <color theme="1"/>
        <rFont val="Calibri"/>
        <family val="2"/>
        <scheme val="minor"/>
      </rPr>
      <t>03478</t>
    </r>
    <r>
      <rPr>
        <sz val="11"/>
        <color theme="1"/>
        <rFont val="Calibri"/>
        <family val="2"/>
        <scheme val="minor"/>
      </rPr>
      <t xml:space="preserve"> - Raw score
</t>
    </r>
    <r>
      <rPr>
        <b/>
        <sz val="11"/>
        <color theme="1"/>
        <rFont val="Calibri"/>
        <family val="2"/>
        <scheme val="minor"/>
      </rPr>
      <t>03479</t>
    </r>
    <r>
      <rPr>
        <sz val="11"/>
        <color theme="1"/>
        <rFont val="Calibri"/>
        <family val="2"/>
        <scheme val="minor"/>
      </rPr>
      <t xml:space="preserve"> - Scale score
</t>
    </r>
    <r>
      <rPr>
        <b/>
        <sz val="11"/>
        <color theme="1"/>
        <rFont val="Calibri"/>
        <family val="2"/>
        <scheme val="minor"/>
      </rPr>
      <t>00506</t>
    </r>
    <r>
      <rPr>
        <sz val="11"/>
        <color theme="1"/>
        <rFont val="Calibri"/>
        <family val="2"/>
        <scheme val="minor"/>
      </rPr>
      <t xml:space="preserve"> - Standard age score
</t>
    </r>
    <r>
      <rPr>
        <b/>
        <sz val="11"/>
        <color theme="1"/>
        <rFont val="Calibri"/>
        <family val="2"/>
        <scheme val="minor"/>
      </rPr>
      <t>00508</t>
    </r>
    <r>
      <rPr>
        <sz val="11"/>
        <color theme="1"/>
        <rFont val="Calibri"/>
        <family val="2"/>
        <scheme val="minor"/>
      </rPr>
      <t xml:space="preserve"> - Stanine score
</t>
    </r>
    <r>
      <rPr>
        <b/>
        <sz val="11"/>
        <color theme="1"/>
        <rFont val="Calibri"/>
        <family val="2"/>
        <scheme val="minor"/>
      </rPr>
      <t>00509</t>
    </r>
    <r>
      <rPr>
        <sz val="11"/>
        <color theme="1"/>
        <rFont val="Calibri"/>
        <family val="2"/>
        <scheme val="minor"/>
      </rPr>
      <t xml:space="preserve"> - Sten score
</t>
    </r>
    <r>
      <rPr>
        <b/>
        <sz val="11"/>
        <color theme="1"/>
        <rFont val="Calibri"/>
        <family val="2"/>
        <scheme val="minor"/>
      </rPr>
      <t>00510</t>
    </r>
    <r>
      <rPr>
        <sz val="11"/>
        <color theme="1"/>
        <rFont val="Calibri"/>
        <family val="2"/>
        <scheme val="minor"/>
      </rPr>
      <t xml:space="preserve"> - T-score
</t>
    </r>
    <r>
      <rPr>
        <b/>
        <sz val="11"/>
        <color theme="1"/>
        <rFont val="Calibri"/>
        <family val="2"/>
        <scheme val="minor"/>
      </rPr>
      <t>03480</t>
    </r>
    <r>
      <rPr>
        <sz val="11"/>
        <color theme="1"/>
        <rFont val="Calibri"/>
        <family val="2"/>
        <scheme val="minor"/>
      </rPr>
      <t xml:space="preserve"> - Workplace readiness score
</t>
    </r>
    <r>
      <rPr>
        <b/>
        <sz val="11"/>
        <color theme="1"/>
        <rFont val="Calibri"/>
        <family val="2"/>
        <scheme val="minor"/>
      </rPr>
      <t>00511</t>
    </r>
    <r>
      <rPr>
        <sz val="11"/>
        <color theme="1"/>
        <rFont val="Calibri"/>
        <family val="2"/>
        <scheme val="minor"/>
      </rPr>
      <t xml:space="preserve"> - Z-score
</t>
    </r>
    <r>
      <rPr>
        <b/>
        <sz val="11"/>
        <color theme="1"/>
        <rFont val="Calibri"/>
        <family val="2"/>
        <scheme val="minor"/>
      </rPr>
      <t>09999</t>
    </r>
    <r>
      <rPr>
        <sz val="11"/>
        <color theme="1"/>
        <rFont val="Calibri"/>
        <family val="2"/>
        <scheme val="minor"/>
      </rPr>
      <t xml:space="preserve"> - Other
</t>
    </r>
  </si>
  <si>
    <r>
      <t>00050</t>
    </r>
    <r>
      <rPr>
        <sz val="11"/>
        <color theme="1"/>
        <rFont val="Calibri"/>
        <family val="2"/>
        <scheme val="minor"/>
      </rPr>
      <t xml:space="preserve"> - Admission
</t>
    </r>
    <r>
      <rPr>
        <b/>
        <sz val="11"/>
        <color theme="1"/>
        <rFont val="Calibri"/>
        <family val="2"/>
        <scheme val="minor"/>
      </rPr>
      <t>00051</t>
    </r>
    <r>
      <rPr>
        <sz val="11"/>
        <color theme="1"/>
        <rFont val="Calibri"/>
        <family val="2"/>
        <scheme val="minor"/>
      </rPr>
      <t xml:space="preserve"> - Assessment of student's progress
</t>
    </r>
    <r>
      <rPr>
        <b/>
        <sz val="11"/>
        <color theme="1"/>
        <rFont val="Calibri"/>
        <family val="2"/>
        <scheme val="minor"/>
      </rPr>
      <t>73055</t>
    </r>
    <r>
      <rPr>
        <sz val="11"/>
        <color theme="1"/>
        <rFont val="Calibri"/>
        <family val="2"/>
        <scheme val="minor"/>
      </rPr>
      <t xml:space="preserve"> - College Readiness
</t>
    </r>
    <r>
      <rPr>
        <b/>
        <sz val="11"/>
        <color theme="1"/>
        <rFont val="Calibri"/>
        <family val="2"/>
        <scheme val="minor"/>
      </rPr>
      <t>00063</t>
    </r>
    <r>
      <rPr>
        <sz val="11"/>
        <color theme="1"/>
        <rFont val="Calibri"/>
        <family val="2"/>
        <scheme val="minor"/>
      </rPr>
      <t xml:space="preserve"> - Course credit
</t>
    </r>
    <r>
      <rPr>
        <b/>
        <sz val="11"/>
        <color theme="1"/>
        <rFont val="Calibri"/>
        <family val="2"/>
        <scheme val="minor"/>
      </rPr>
      <t>00064</t>
    </r>
    <r>
      <rPr>
        <sz val="11"/>
        <color theme="1"/>
        <rFont val="Calibri"/>
        <family val="2"/>
        <scheme val="minor"/>
      </rPr>
      <t xml:space="preserve"> - Course requirement
</t>
    </r>
    <r>
      <rPr>
        <b/>
        <sz val="11"/>
        <color theme="1"/>
        <rFont val="Calibri"/>
        <family val="2"/>
        <scheme val="minor"/>
      </rPr>
      <t>73069</t>
    </r>
    <r>
      <rPr>
        <sz val="11"/>
        <color theme="1"/>
        <rFont val="Calibri"/>
        <family val="2"/>
        <scheme val="minor"/>
      </rPr>
      <t xml:space="preserve"> - Diagnosis
</t>
    </r>
    <r>
      <rPr>
        <b/>
        <sz val="11"/>
        <color theme="1"/>
        <rFont val="Calibri"/>
        <family val="2"/>
        <scheme val="minor"/>
      </rPr>
      <t>03459</t>
    </r>
    <r>
      <rPr>
        <sz val="11"/>
        <color theme="1"/>
        <rFont val="Calibri"/>
        <family val="2"/>
        <scheme val="minor"/>
      </rPr>
      <t xml:space="preserve"> - Federal accountability
</t>
    </r>
    <r>
      <rPr>
        <b/>
        <sz val="11"/>
        <color theme="1"/>
        <rFont val="Calibri"/>
        <family val="2"/>
        <scheme val="minor"/>
      </rPr>
      <t>73068</t>
    </r>
    <r>
      <rPr>
        <sz val="11"/>
        <color theme="1"/>
        <rFont val="Calibri"/>
        <family val="2"/>
        <scheme val="minor"/>
      </rPr>
      <t xml:space="preserve"> - Inform local or state policy
</t>
    </r>
    <r>
      <rPr>
        <b/>
        <sz val="11"/>
        <color theme="1"/>
        <rFont val="Calibri"/>
        <family val="2"/>
        <scheme val="minor"/>
      </rPr>
      <t>00055</t>
    </r>
    <r>
      <rPr>
        <sz val="11"/>
        <color theme="1"/>
        <rFont val="Calibri"/>
        <family val="2"/>
        <scheme val="minor"/>
      </rPr>
      <t xml:space="preserve"> - Instructional decision
</t>
    </r>
    <r>
      <rPr>
        <b/>
        <sz val="11"/>
        <color theme="1"/>
        <rFont val="Calibri"/>
        <family val="2"/>
        <scheme val="minor"/>
      </rPr>
      <t>03457</t>
    </r>
    <r>
      <rPr>
        <sz val="11"/>
        <color theme="1"/>
        <rFont val="Calibri"/>
        <family val="2"/>
        <scheme val="minor"/>
      </rPr>
      <t xml:space="preserve"> - Local accountability
</t>
    </r>
    <r>
      <rPr>
        <b/>
        <sz val="11"/>
        <color theme="1"/>
        <rFont val="Calibri"/>
        <family val="2"/>
        <scheme val="minor"/>
      </rPr>
      <t>02404</t>
    </r>
    <r>
      <rPr>
        <sz val="11"/>
        <color theme="1"/>
        <rFont val="Calibri"/>
        <family val="2"/>
        <scheme val="minor"/>
      </rPr>
      <t xml:space="preserve"> - Local graduation requirement
</t>
    </r>
    <r>
      <rPr>
        <b/>
        <sz val="11"/>
        <color theme="1"/>
        <rFont val="Calibri"/>
        <family val="2"/>
        <scheme val="minor"/>
      </rPr>
      <t>73042</t>
    </r>
    <r>
      <rPr>
        <sz val="11"/>
        <color theme="1"/>
        <rFont val="Calibri"/>
        <family val="2"/>
        <scheme val="minor"/>
      </rPr>
      <t xml:space="preserve"> - Obtain a state- or industry-recognized certificate or license
</t>
    </r>
    <r>
      <rPr>
        <b/>
        <sz val="11"/>
        <color theme="1"/>
        <rFont val="Calibri"/>
        <family val="2"/>
        <scheme val="minor"/>
      </rPr>
      <t>73043</t>
    </r>
    <r>
      <rPr>
        <sz val="11"/>
        <color theme="1"/>
        <rFont val="Calibri"/>
        <family val="2"/>
        <scheme val="minor"/>
      </rPr>
      <t xml:space="preserve"> - Obtain postsecondary credit for the course
</t>
    </r>
    <r>
      <rPr>
        <b/>
        <sz val="11"/>
        <color theme="1"/>
        <rFont val="Calibri"/>
        <family val="2"/>
        <scheme val="minor"/>
      </rPr>
      <t>73067</t>
    </r>
    <r>
      <rPr>
        <sz val="11"/>
        <color theme="1"/>
        <rFont val="Calibri"/>
        <family val="2"/>
        <scheme val="minor"/>
      </rPr>
      <t xml:space="preserve"> - Program eligibility
</t>
    </r>
    <r>
      <rPr>
        <b/>
        <sz val="11"/>
        <color theme="1"/>
        <rFont val="Calibri"/>
        <family val="2"/>
        <scheme val="minor"/>
      </rPr>
      <t>00057</t>
    </r>
    <r>
      <rPr>
        <sz val="11"/>
        <color theme="1"/>
        <rFont val="Calibri"/>
        <family val="2"/>
        <scheme val="minor"/>
      </rPr>
      <t xml:space="preserve"> - Program evaluation
</t>
    </r>
    <r>
      <rPr>
        <b/>
        <sz val="11"/>
        <color theme="1"/>
        <rFont val="Calibri"/>
        <family val="2"/>
        <scheme val="minor"/>
      </rPr>
      <t>00058</t>
    </r>
    <r>
      <rPr>
        <sz val="11"/>
        <color theme="1"/>
        <rFont val="Calibri"/>
        <family val="2"/>
        <scheme val="minor"/>
      </rPr>
      <t xml:space="preserve"> - Program placement
</t>
    </r>
    <r>
      <rPr>
        <b/>
        <sz val="11"/>
        <color theme="1"/>
        <rFont val="Calibri"/>
        <family val="2"/>
        <scheme val="minor"/>
      </rPr>
      <t>00062</t>
    </r>
    <r>
      <rPr>
        <sz val="11"/>
        <color theme="1"/>
        <rFont val="Calibri"/>
        <family val="2"/>
        <scheme val="minor"/>
      </rPr>
      <t xml:space="preserve"> - Promotion to or retention in a grade or program
</t>
    </r>
    <r>
      <rPr>
        <b/>
        <sz val="11"/>
        <color theme="1"/>
        <rFont val="Calibri"/>
        <family val="2"/>
        <scheme val="minor"/>
      </rPr>
      <t>00061</t>
    </r>
    <r>
      <rPr>
        <sz val="11"/>
        <color theme="1"/>
        <rFont val="Calibri"/>
        <family val="2"/>
        <scheme val="minor"/>
      </rPr>
      <t xml:space="preserve"> - Screening
</t>
    </r>
    <r>
      <rPr>
        <b/>
        <sz val="11"/>
        <color theme="1"/>
        <rFont val="Calibri"/>
        <family val="2"/>
        <scheme val="minor"/>
      </rPr>
      <t>03458</t>
    </r>
    <r>
      <rPr>
        <sz val="11"/>
        <color theme="1"/>
        <rFont val="Calibri"/>
        <family val="2"/>
        <scheme val="minor"/>
      </rPr>
      <t xml:space="preserve"> - State accountability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00054</t>
    </r>
    <r>
      <rPr>
        <sz val="11"/>
        <color theme="1"/>
        <rFont val="Calibri"/>
        <family val="2"/>
        <scheme val="minor"/>
      </rPr>
      <t xml:space="preserve"> - State graduation requirement
</t>
    </r>
  </si>
  <si>
    <r>
      <t>Appeal</t>
    </r>
    <r>
      <rPr>
        <sz val="11"/>
        <color theme="1"/>
        <rFont val="Calibri"/>
        <family val="2"/>
        <scheme val="minor"/>
      </rPr>
      <t xml:space="preserve"> - Appeal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Expired</t>
    </r>
    <r>
      <rPr>
        <sz val="11"/>
        <color theme="1"/>
        <rFont val="Calibri"/>
        <family val="2"/>
        <scheme val="minor"/>
      </rPr>
      <t xml:space="preserve"> - Expired
</t>
    </r>
    <r>
      <rPr>
        <b/>
        <sz val="11"/>
        <color theme="1"/>
        <rFont val="Calibri"/>
        <family val="2"/>
        <scheme val="minor"/>
      </rPr>
      <t>Handscoring</t>
    </r>
    <r>
      <rPr>
        <sz val="11"/>
        <color theme="1"/>
        <rFont val="Calibri"/>
        <family val="2"/>
        <scheme val="minor"/>
      </rPr>
      <t xml:space="preserve"> - Handscoring
</t>
    </r>
    <r>
      <rPr>
        <b/>
        <sz val="11"/>
        <color theme="1"/>
        <rFont val="Calibri"/>
        <family val="2"/>
        <scheme val="minor"/>
      </rPr>
      <t>Invalidated</t>
    </r>
    <r>
      <rPr>
        <sz val="11"/>
        <color theme="1"/>
        <rFont val="Calibri"/>
        <family val="2"/>
        <scheme val="minor"/>
      </rPr>
      <t xml:space="preserve"> - Invalidated
</t>
    </r>
    <r>
      <rPr>
        <b/>
        <sz val="11"/>
        <color theme="1"/>
        <rFont val="Calibri"/>
        <family val="2"/>
        <scheme val="minor"/>
      </rPr>
      <t>Paused</t>
    </r>
    <r>
      <rPr>
        <sz val="11"/>
        <color theme="1"/>
        <rFont val="Calibri"/>
        <family val="2"/>
        <scheme val="minor"/>
      </rPr>
      <t xml:space="preserve"> - Paused
</t>
    </r>
    <r>
      <rPr>
        <b/>
        <sz val="11"/>
        <color theme="1"/>
        <rFont val="Calibri"/>
        <family val="2"/>
        <scheme val="minor"/>
      </rPr>
      <t>Reported</t>
    </r>
    <r>
      <rPr>
        <sz val="11"/>
        <color theme="1"/>
        <rFont val="Calibri"/>
        <family val="2"/>
        <scheme val="minor"/>
      </rPr>
      <t xml:space="preserve"> - Reported
</t>
    </r>
    <r>
      <rPr>
        <b/>
        <sz val="11"/>
        <color theme="1"/>
        <rFont val="Calibri"/>
        <family val="2"/>
        <scheme val="minor"/>
      </rPr>
      <t>Reset</t>
    </r>
    <r>
      <rPr>
        <sz val="11"/>
        <color theme="1"/>
        <rFont val="Calibri"/>
        <family val="2"/>
        <scheme val="minor"/>
      </rPr>
      <t xml:space="preserve"> - Reset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Submitted</t>
    </r>
    <r>
      <rPr>
        <sz val="11"/>
        <color theme="1"/>
        <rFont val="Calibri"/>
        <family val="2"/>
        <scheme val="minor"/>
      </rPr>
      <t xml:space="preserve"> - Submitted
</t>
    </r>
  </si>
  <si>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73082</t>
    </r>
    <r>
      <rPr>
        <sz val="11"/>
        <color theme="1"/>
        <rFont val="Calibri"/>
        <family val="2"/>
        <scheme val="minor"/>
      </rPr>
      <t xml:space="preserve"> - Doctor’s degree-research/scholarship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</si>
  <si>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r>
      <t>Participated</t>
    </r>
    <r>
      <rPr>
        <sz val="11"/>
        <color theme="1"/>
        <rFont val="Calibri"/>
        <family val="2"/>
        <scheme val="minor"/>
      </rPr>
      <t xml:space="preserve"> - Participated
</t>
    </r>
    <r>
      <rPr>
        <b/>
        <sz val="11"/>
        <color theme="1"/>
        <rFont val="Calibri"/>
        <family val="2"/>
        <scheme val="minor"/>
      </rPr>
      <t>DidNotParticipate</t>
    </r>
    <r>
      <rPr>
        <sz val="11"/>
        <color theme="1"/>
        <rFont val="Calibri"/>
        <family val="2"/>
        <scheme val="minor"/>
      </rPr>
      <t xml:space="preserve"> - Did Not Participate
</t>
    </r>
  </si>
  <si>
    <r>
      <t>ParentsOptOut</t>
    </r>
    <r>
      <rPr>
        <sz val="11"/>
        <color theme="1"/>
        <rFont val="Calibri"/>
        <family val="2"/>
        <scheme val="minor"/>
      </rPr>
      <t xml:space="preserve"> - Parents opt out
</t>
    </r>
    <r>
      <rPr>
        <b/>
        <sz val="11"/>
        <color theme="1"/>
        <rFont val="Calibri"/>
        <family val="2"/>
        <scheme val="minor"/>
      </rPr>
      <t>Absent</t>
    </r>
    <r>
      <rPr>
        <sz val="11"/>
        <color theme="1"/>
        <rFont val="Calibri"/>
        <family val="2"/>
        <scheme val="minor"/>
      </rPr>
      <t xml:space="preserve"> - Absent during
</t>
    </r>
    <r>
      <rPr>
        <b/>
        <sz val="11"/>
        <color theme="1"/>
        <rFont val="Calibri"/>
        <family val="2"/>
        <scheme val="minor"/>
      </rPr>
      <t>Other</t>
    </r>
    <r>
      <rPr>
        <sz val="11"/>
        <color theme="1"/>
        <rFont val="Calibri"/>
        <family val="2"/>
        <scheme val="minor"/>
      </rPr>
      <t xml:space="preserve"> - Did not participate for other reason
</t>
    </r>
    <r>
      <rPr>
        <b/>
        <sz val="11"/>
        <color theme="1"/>
        <rFont val="Calibri"/>
        <family val="2"/>
        <scheme val="minor"/>
      </rPr>
      <t>OutOfLevelTest</t>
    </r>
    <r>
      <rPr>
        <sz val="11"/>
        <color theme="1"/>
        <rFont val="Calibri"/>
        <family val="2"/>
        <scheme val="minor"/>
      </rPr>
      <t xml:space="preserve"> - Participated in an out of level test
</t>
    </r>
    <r>
      <rPr>
        <b/>
        <sz val="11"/>
        <color theme="1"/>
        <rFont val="Calibri"/>
        <family val="2"/>
        <scheme val="minor"/>
      </rPr>
      <t>NoValidScore</t>
    </r>
    <r>
      <rPr>
        <sz val="11"/>
        <color theme="1"/>
        <rFont val="Calibri"/>
        <family val="2"/>
        <scheme val="minor"/>
      </rPr>
      <t xml:space="preserve"> - No valid score
</t>
    </r>
    <r>
      <rPr>
        <b/>
        <sz val="11"/>
        <color theme="1"/>
        <rFont val="Calibri"/>
        <family val="2"/>
        <scheme val="minor"/>
      </rPr>
      <t>Medical</t>
    </r>
    <r>
      <rPr>
        <sz val="11"/>
        <color theme="1"/>
        <rFont val="Calibri"/>
        <family val="2"/>
        <scheme val="minor"/>
      </rPr>
      <t xml:space="preserve"> - Medical emergency
</t>
    </r>
    <r>
      <rPr>
        <b/>
        <sz val="11"/>
        <color theme="1"/>
        <rFont val="Calibri"/>
        <family val="2"/>
        <scheme val="minor"/>
      </rPr>
      <t>Moved</t>
    </r>
    <r>
      <rPr>
        <sz val="11"/>
        <color theme="1"/>
        <rFont val="Calibri"/>
        <family val="2"/>
        <scheme val="minor"/>
      </rPr>
      <t xml:space="preserve"> - Moved
</t>
    </r>
    <r>
      <rPr>
        <b/>
        <sz val="11"/>
        <color theme="1"/>
        <rFont val="Calibri"/>
        <family val="2"/>
        <scheme val="minor"/>
      </rPr>
      <t>LeftProgram</t>
    </r>
    <r>
      <rPr>
        <sz val="11"/>
        <color theme="1"/>
        <rFont val="Calibri"/>
        <family val="2"/>
        <scheme val="minor"/>
      </rPr>
      <t xml:space="preserve"> - Person left program - unable to locate
</t>
    </r>
  </si>
  <si>
    <r>
      <t>Integer</t>
    </r>
    <r>
      <rPr>
        <sz val="11"/>
        <color theme="1"/>
        <rFont val="Calibri"/>
        <family val="2"/>
        <scheme val="minor"/>
      </rPr>
      <t xml:space="preserve"> - Integer
</t>
    </r>
    <r>
      <rPr>
        <b/>
        <sz val="11"/>
        <color theme="1"/>
        <rFont val="Calibri"/>
        <family val="2"/>
        <scheme val="minor"/>
      </rPr>
      <t>Decimal</t>
    </r>
    <r>
      <rPr>
        <sz val="11"/>
        <color theme="1"/>
        <rFont val="Calibri"/>
        <family val="2"/>
        <scheme val="minor"/>
      </rPr>
      <t xml:space="preserve"> - Decimal
</t>
    </r>
    <r>
      <rPr>
        <b/>
        <sz val="11"/>
        <color theme="1"/>
        <rFont val="Calibri"/>
        <family val="2"/>
        <scheme val="minor"/>
      </rPr>
      <t>Percentile</t>
    </r>
    <r>
      <rPr>
        <sz val="11"/>
        <color theme="1"/>
        <rFont val="Calibri"/>
        <family val="2"/>
        <scheme val="minor"/>
      </rPr>
      <t xml:space="preserve"> - Percentile
</t>
    </r>
    <r>
      <rPr>
        <b/>
        <sz val="11"/>
        <color theme="1"/>
        <rFont val="Calibri"/>
        <family val="2"/>
        <scheme val="minor"/>
      </rPr>
      <t>String</t>
    </r>
    <r>
      <rPr>
        <sz val="11"/>
        <color theme="1"/>
        <rFont val="Calibri"/>
        <family val="2"/>
        <scheme val="minor"/>
      </rPr>
      <t xml:space="preserve"> - String
</t>
    </r>
  </si>
  <si>
    <r>
      <t>GradeLevel</t>
    </r>
    <r>
      <rPr>
        <sz val="11"/>
        <color theme="1"/>
        <rFont val="Calibri"/>
        <family val="2"/>
        <scheme val="minor"/>
      </rPr>
      <t xml:space="preserve"> - At or above Grade Level
</t>
    </r>
    <r>
      <rPr>
        <b/>
        <sz val="11"/>
        <color theme="1"/>
        <rFont val="Calibri"/>
        <family val="2"/>
        <scheme val="minor"/>
      </rPr>
      <t>BelowGradeLevel</t>
    </r>
    <r>
      <rPr>
        <sz val="11"/>
        <color theme="1"/>
        <rFont val="Calibri"/>
        <family val="2"/>
        <scheme val="minor"/>
      </rPr>
      <t xml:space="preserve"> - Below Grade Level
</t>
    </r>
    <r>
      <rPr>
        <b/>
        <sz val="11"/>
        <color theme="1"/>
        <rFont val="Calibri"/>
        <family val="2"/>
        <scheme val="minor"/>
      </rPr>
      <t>NA</t>
    </r>
    <r>
      <rPr>
        <sz val="11"/>
        <color theme="1"/>
        <rFont val="Calibri"/>
        <family val="2"/>
        <scheme val="minor"/>
      </rPr>
      <t xml:space="preserve"> - Not applicable
</t>
    </r>
  </si>
  <si>
    <r>
      <t>Initial</t>
    </r>
    <r>
      <rPr>
        <sz val="11"/>
        <color theme="1"/>
        <rFont val="Calibri"/>
        <family val="2"/>
        <scheme val="minor"/>
      </rPr>
      <t xml:space="preserve"> - An initial assessment score instance.
</t>
    </r>
    <r>
      <rPr>
        <b/>
        <sz val="11"/>
        <color theme="1"/>
        <rFont val="Calibri"/>
        <family val="2"/>
        <scheme val="minor"/>
      </rPr>
      <t>Reliability</t>
    </r>
    <r>
      <rPr>
        <sz val="11"/>
        <color theme="1"/>
        <rFont val="Calibri"/>
        <family val="2"/>
        <scheme val="minor"/>
      </rPr>
      <t xml:space="preserve"> - An assessment score instance recorded as a measure of reliability
</t>
    </r>
    <r>
      <rPr>
        <b/>
        <sz val="11"/>
        <color theme="1"/>
        <rFont val="Calibri"/>
        <family val="2"/>
        <scheme val="minor"/>
      </rPr>
      <t>Resolution</t>
    </r>
    <r>
      <rPr>
        <sz val="11"/>
        <color theme="1"/>
        <rFont val="Calibri"/>
        <family val="2"/>
        <scheme val="minor"/>
      </rPr>
      <t xml:space="preserve"> - An assessment score instance recorded after resolution of scoring or data issues.
</t>
    </r>
    <r>
      <rPr>
        <b/>
        <sz val="11"/>
        <color theme="1"/>
        <rFont val="Calibri"/>
        <family val="2"/>
        <scheme val="minor"/>
      </rPr>
      <t>Backread</t>
    </r>
    <r>
      <rPr>
        <sz val="11"/>
        <color theme="1"/>
        <rFont val="Calibri"/>
        <family val="2"/>
        <scheme val="minor"/>
      </rPr>
      <t xml:space="preserve"> - An assessment score recorded to determine whether or not each individual scorer is correctly applying the scoring guide to student responses.
</t>
    </r>
    <r>
      <rPr>
        <b/>
        <sz val="11"/>
        <color theme="1"/>
        <rFont val="Calibri"/>
        <family val="2"/>
        <scheme val="minor"/>
      </rPr>
      <t>Final</t>
    </r>
    <r>
      <rPr>
        <sz val="11"/>
        <color theme="1"/>
        <rFont val="Calibri"/>
        <family val="2"/>
        <scheme val="minor"/>
      </rPr>
      <t xml:space="preserve"> - The final assessment score instance.
</t>
    </r>
  </si>
  <si>
    <r>
      <t>13807</t>
    </r>
    <r>
      <rPr>
        <sz val="11"/>
        <color theme="1"/>
        <rFont val="Calibri"/>
        <family val="2"/>
        <scheme val="minor"/>
      </rPr>
      <t xml:space="preserve"> - Long-term suspension - non-special education
</t>
    </r>
    <r>
      <rPr>
        <b/>
        <sz val="11"/>
        <color theme="1"/>
        <rFont val="Calibri"/>
        <family val="2"/>
        <scheme val="minor"/>
      </rPr>
      <t>13808</t>
    </r>
    <r>
      <rPr>
        <sz val="11"/>
        <color theme="1"/>
        <rFont val="Calibri"/>
        <family val="2"/>
        <scheme val="minor"/>
      </rPr>
      <t xml:space="preserve"> - Short-term suspension - non-special education
</t>
    </r>
    <r>
      <rPr>
        <b/>
        <sz val="11"/>
        <color theme="1"/>
        <rFont val="Calibri"/>
        <family val="2"/>
        <scheme val="minor"/>
      </rPr>
      <t>13809</t>
    </r>
    <r>
      <rPr>
        <sz val="11"/>
        <color theme="1"/>
        <rFont val="Calibri"/>
        <family val="2"/>
        <scheme val="minor"/>
      </rPr>
      <t xml:space="preserve"> - Suspension - special education
</t>
    </r>
    <r>
      <rPr>
        <b/>
        <sz val="11"/>
        <color theme="1"/>
        <rFont val="Calibri"/>
        <family val="2"/>
        <scheme val="minor"/>
      </rPr>
      <t>13810</t>
    </r>
    <r>
      <rPr>
        <sz val="11"/>
        <color theme="1"/>
        <rFont val="Calibri"/>
        <family val="2"/>
        <scheme val="minor"/>
      </rPr>
      <t xml:space="preserve"> - Truancy - paperwork filed
</t>
    </r>
    <r>
      <rPr>
        <b/>
        <sz val="11"/>
        <color theme="1"/>
        <rFont val="Calibri"/>
        <family val="2"/>
        <scheme val="minor"/>
      </rPr>
      <t>13811</t>
    </r>
    <r>
      <rPr>
        <sz val="11"/>
        <color theme="1"/>
        <rFont val="Calibri"/>
        <family val="2"/>
        <scheme val="minor"/>
      </rPr>
      <t xml:space="preserve"> - Truancy - no paperwork filed
</t>
    </r>
    <r>
      <rPr>
        <b/>
        <sz val="11"/>
        <color theme="1"/>
        <rFont val="Calibri"/>
        <family val="2"/>
        <scheme val="minor"/>
      </rPr>
      <t>13812</t>
    </r>
    <r>
      <rPr>
        <sz val="11"/>
        <color theme="1"/>
        <rFont val="Calibri"/>
        <family val="2"/>
        <scheme val="minor"/>
      </rPr>
      <t xml:space="preserve"> - Earlier truancy
</t>
    </r>
    <r>
      <rPr>
        <b/>
        <sz val="11"/>
        <color theme="1"/>
        <rFont val="Calibri"/>
        <family val="2"/>
        <scheme val="minor"/>
      </rPr>
      <t>13813</t>
    </r>
    <r>
      <rPr>
        <sz val="11"/>
        <color theme="1"/>
        <rFont val="Calibri"/>
        <family val="2"/>
        <scheme val="minor"/>
      </rPr>
      <t xml:space="preserve"> - Chronic absences
</t>
    </r>
    <r>
      <rPr>
        <b/>
        <sz val="11"/>
        <color theme="1"/>
        <rFont val="Calibri"/>
        <family val="2"/>
        <scheme val="minor"/>
      </rPr>
      <t>13814</t>
    </r>
    <r>
      <rPr>
        <sz val="11"/>
        <color theme="1"/>
        <rFont val="Calibri"/>
        <family val="2"/>
        <scheme val="minor"/>
      </rPr>
      <t xml:space="preserve"> - Catastrophic illness or accident
</t>
    </r>
    <r>
      <rPr>
        <b/>
        <sz val="11"/>
        <color theme="1"/>
        <rFont val="Calibri"/>
        <family val="2"/>
        <scheme val="minor"/>
      </rPr>
      <t>13815</t>
    </r>
    <r>
      <rPr>
        <sz val="11"/>
        <color theme="1"/>
        <rFont val="Calibri"/>
        <family val="2"/>
        <scheme val="minor"/>
      </rPr>
      <t xml:space="preserve"> - Home schooled for assessed subjects
</t>
    </r>
    <r>
      <rPr>
        <b/>
        <sz val="11"/>
        <color theme="1"/>
        <rFont val="Calibri"/>
        <family val="2"/>
        <scheme val="minor"/>
      </rPr>
      <t>13816</t>
    </r>
    <r>
      <rPr>
        <sz val="11"/>
        <color theme="1"/>
        <rFont val="Calibri"/>
        <family val="2"/>
        <scheme val="minor"/>
      </rPr>
      <t xml:space="preserve"> - Student took this grade level assessment last year
</t>
    </r>
    <r>
      <rPr>
        <b/>
        <sz val="11"/>
        <color theme="1"/>
        <rFont val="Calibri"/>
        <family val="2"/>
        <scheme val="minor"/>
      </rPr>
      <t>13817</t>
    </r>
    <r>
      <rPr>
        <sz val="11"/>
        <color theme="1"/>
        <rFont val="Calibri"/>
        <family val="2"/>
        <scheme val="minor"/>
      </rPr>
      <t xml:space="preserve"> - Incarcerated at adult facility
</t>
    </r>
    <r>
      <rPr>
        <b/>
        <sz val="11"/>
        <color theme="1"/>
        <rFont val="Calibri"/>
        <family val="2"/>
        <scheme val="minor"/>
      </rPr>
      <t>13818</t>
    </r>
    <r>
      <rPr>
        <sz val="11"/>
        <color theme="1"/>
        <rFont val="Calibri"/>
        <family val="2"/>
        <scheme val="minor"/>
      </rPr>
      <t xml:space="preserve"> - Special treatment center
</t>
    </r>
    <r>
      <rPr>
        <b/>
        <sz val="11"/>
        <color theme="1"/>
        <rFont val="Calibri"/>
        <family val="2"/>
        <scheme val="minor"/>
      </rPr>
      <t>13819</t>
    </r>
    <r>
      <rPr>
        <sz val="11"/>
        <color theme="1"/>
        <rFont val="Calibri"/>
        <family val="2"/>
        <scheme val="minor"/>
      </rPr>
      <t xml:space="preserve"> - Special detention center
</t>
    </r>
    <r>
      <rPr>
        <b/>
        <sz val="11"/>
        <color theme="1"/>
        <rFont val="Calibri"/>
        <family val="2"/>
        <scheme val="minor"/>
      </rPr>
      <t>13820</t>
    </r>
    <r>
      <rPr>
        <sz val="11"/>
        <color theme="1"/>
        <rFont val="Calibri"/>
        <family val="2"/>
        <scheme val="minor"/>
      </rPr>
      <t xml:space="preserve"> - Parent refusal
</t>
    </r>
    <r>
      <rPr>
        <b/>
        <sz val="11"/>
        <color theme="1"/>
        <rFont val="Calibri"/>
        <family val="2"/>
        <scheme val="minor"/>
      </rPr>
      <t>13821</t>
    </r>
    <r>
      <rPr>
        <sz val="11"/>
        <color theme="1"/>
        <rFont val="Calibri"/>
        <family val="2"/>
        <scheme val="minor"/>
      </rPr>
      <t xml:space="preserve"> - Cheating
</t>
    </r>
    <r>
      <rPr>
        <b/>
        <sz val="11"/>
        <color theme="1"/>
        <rFont val="Calibri"/>
        <family val="2"/>
        <scheme val="minor"/>
      </rPr>
      <t>13822</t>
    </r>
    <r>
      <rPr>
        <sz val="11"/>
        <color theme="1"/>
        <rFont val="Calibri"/>
        <family val="2"/>
        <scheme val="minor"/>
      </rPr>
      <t xml:space="preserve"> - Psychological factors of emotional trauma
</t>
    </r>
    <r>
      <rPr>
        <b/>
        <sz val="11"/>
        <color theme="1"/>
        <rFont val="Calibri"/>
        <family val="2"/>
        <scheme val="minor"/>
      </rPr>
      <t>13823</t>
    </r>
    <r>
      <rPr>
        <sz val="11"/>
        <color theme="1"/>
        <rFont val="Calibri"/>
        <family val="2"/>
        <scheme val="minor"/>
      </rPr>
      <t xml:space="preserve"> - Student not showing adequate effort
</t>
    </r>
    <r>
      <rPr>
        <b/>
        <sz val="11"/>
        <color theme="1"/>
        <rFont val="Calibri"/>
        <family val="2"/>
        <scheme val="minor"/>
      </rPr>
      <t>13824</t>
    </r>
    <r>
      <rPr>
        <sz val="11"/>
        <color theme="1"/>
        <rFont val="Calibri"/>
        <family val="2"/>
        <scheme val="minor"/>
      </rPr>
      <t xml:space="preserve"> - Homebound
</t>
    </r>
    <r>
      <rPr>
        <b/>
        <sz val="11"/>
        <color theme="1"/>
        <rFont val="Calibri"/>
        <family val="2"/>
        <scheme val="minor"/>
      </rPr>
      <t>13825</t>
    </r>
    <r>
      <rPr>
        <sz val="11"/>
        <color theme="1"/>
        <rFont val="Calibri"/>
        <family val="2"/>
        <scheme val="minor"/>
      </rPr>
      <t xml:space="preserve"> - Foreign exchange student
</t>
    </r>
    <r>
      <rPr>
        <b/>
        <sz val="11"/>
        <color theme="1"/>
        <rFont val="Calibri"/>
        <family val="2"/>
        <scheme val="minor"/>
      </rPr>
      <t>13826</t>
    </r>
    <r>
      <rPr>
        <sz val="11"/>
        <color theme="1"/>
        <rFont val="Calibri"/>
        <family val="2"/>
        <scheme val="minor"/>
      </rPr>
      <t xml:space="preserve"> - Student refusal
</t>
    </r>
    <r>
      <rPr>
        <b/>
        <sz val="11"/>
        <color theme="1"/>
        <rFont val="Calibri"/>
        <family val="2"/>
        <scheme val="minor"/>
      </rPr>
      <t>13827</t>
    </r>
    <r>
      <rPr>
        <sz val="11"/>
        <color theme="1"/>
        <rFont val="Calibri"/>
        <family val="2"/>
        <scheme val="minor"/>
      </rPr>
      <t xml:space="preserve"> - Reading passage read to student (IEP)
</t>
    </r>
    <r>
      <rPr>
        <b/>
        <sz val="11"/>
        <color theme="1"/>
        <rFont val="Calibri"/>
        <family val="2"/>
        <scheme val="minor"/>
      </rPr>
      <t>13828</t>
    </r>
    <r>
      <rPr>
        <sz val="11"/>
        <color theme="1"/>
        <rFont val="Calibri"/>
        <family val="2"/>
        <scheme val="minor"/>
      </rPr>
      <t xml:space="preserve"> - Non-special education student used calculator on non-calculator items
</t>
    </r>
    <r>
      <rPr>
        <b/>
        <sz val="11"/>
        <color theme="1"/>
        <rFont val="Calibri"/>
        <family val="2"/>
        <scheme val="minor"/>
      </rPr>
      <t>13829</t>
    </r>
    <r>
      <rPr>
        <sz val="11"/>
        <color theme="1"/>
        <rFont val="Calibri"/>
        <family val="2"/>
        <scheme val="minor"/>
      </rPr>
      <t xml:space="preserve"> - Student used math journal (non-IEP)
</t>
    </r>
    <r>
      <rPr>
        <b/>
        <sz val="11"/>
        <color theme="1"/>
        <rFont val="Calibri"/>
        <family val="2"/>
        <scheme val="minor"/>
      </rPr>
      <t>13830</t>
    </r>
    <r>
      <rPr>
        <sz val="11"/>
        <color theme="1"/>
        <rFont val="Calibri"/>
        <family val="2"/>
        <scheme val="minor"/>
      </rPr>
      <t xml:space="preserve"> - Other reason for ineligibility
</t>
    </r>
    <r>
      <rPr>
        <b/>
        <sz val="11"/>
        <color theme="1"/>
        <rFont val="Calibri"/>
        <family val="2"/>
        <scheme val="minor"/>
      </rPr>
      <t>13831</t>
    </r>
    <r>
      <rPr>
        <sz val="11"/>
        <color theme="1"/>
        <rFont val="Calibri"/>
        <family val="2"/>
        <scheme val="minor"/>
      </rPr>
      <t xml:space="preserve"> - Other reason for nonparticipation
</t>
    </r>
    <r>
      <rPr>
        <b/>
        <sz val="11"/>
        <color theme="1"/>
        <rFont val="Calibri"/>
        <family val="2"/>
        <scheme val="minor"/>
      </rPr>
      <t>13832</t>
    </r>
    <r>
      <rPr>
        <sz val="11"/>
        <color theme="1"/>
        <rFont val="Calibri"/>
        <family val="2"/>
        <scheme val="minor"/>
      </rPr>
      <t xml:space="preserve"> - Left testing
</t>
    </r>
    <r>
      <rPr>
        <b/>
        <sz val="11"/>
        <color theme="1"/>
        <rFont val="Calibri"/>
        <family val="2"/>
        <scheme val="minor"/>
      </rPr>
      <t>13833</t>
    </r>
    <r>
      <rPr>
        <sz val="11"/>
        <color theme="1"/>
        <rFont val="Calibri"/>
        <family val="2"/>
        <scheme val="minor"/>
      </rPr>
      <t xml:space="preserve"> - Cross-enrolled
</t>
    </r>
    <r>
      <rPr>
        <b/>
        <sz val="11"/>
        <color theme="1"/>
        <rFont val="Calibri"/>
        <family val="2"/>
        <scheme val="minor"/>
      </rPr>
      <t>13834</t>
    </r>
    <r>
      <rPr>
        <sz val="11"/>
        <color theme="1"/>
        <rFont val="Calibri"/>
        <family val="2"/>
        <scheme val="minor"/>
      </rPr>
      <t xml:space="preserve"> - Only for writing
</t>
    </r>
    <r>
      <rPr>
        <b/>
        <sz val="11"/>
        <color theme="1"/>
        <rFont val="Calibri"/>
        <family val="2"/>
        <scheme val="minor"/>
      </rPr>
      <t>13835</t>
    </r>
    <r>
      <rPr>
        <sz val="11"/>
        <color theme="1"/>
        <rFont val="Calibri"/>
        <family val="2"/>
        <scheme val="minor"/>
      </rPr>
      <t xml:space="preserve"> - Administration or system failure
</t>
    </r>
    <r>
      <rPr>
        <b/>
        <sz val="11"/>
        <color theme="1"/>
        <rFont val="Calibri"/>
        <family val="2"/>
        <scheme val="minor"/>
      </rPr>
      <t>13836</t>
    </r>
    <r>
      <rPr>
        <sz val="11"/>
        <color theme="1"/>
        <rFont val="Calibri"/>
        <family val="2"/>
        <scheme val="minor"/>
      </rPr>
      <t xml:space="preserve"> - Teacher cheating or mis-admin
</t>
    </r>
    <r>
      <rPr>
        <b/>
        <sz val="11"/>
        <color theme="1"/>
        <rFont val="Calibri"/>
        <family val="2"/>
        <scheme val="minor"/>
      </rPr>
      <t>13837</t>
    </r>
    <r>
      <rPr>
        <sz val="11"/>
        <color theme="1"/>
        <rFont val="Calibri"/>
        <family val="2"/>
        <scheme val="minor"/>
      </rPr>
      <t xml:space="preserve"> - Fire alarm
</t>
    </r>
    <r>
      <rPr>
        <b/>
        <sz val="11"/>
        <color theme="1"/>
        <rFont val="Calibri"/>
        <family val="2"/>
        <scheme val="minor"/>
      </rPr>
      <t>09999</t>
    </r>
    <r>
      <rPr>
        <sz val="11"/>
        <color theme="1"/>
        <rFont val="Calibri"/>
        <family val="2"/>
        <scheme val="minor"/>
      </rPr>
      <t xml:space="preserve"> - Other
</t>
    </r>
  </si>
  <si>
    <r>
      <t>Teacher</t>
    </r>
    <r>
      <rPr>
        <sz val="11"/>
        <color theme="1"/>
        <rFont val="Calibri"/>
        <family val="2"/>
        <scheme val="minor"/>
      </rPr>
      <t xml:space="preserve"> - Teacher
</t>
    </r>
    <r>
      <rPr>
        <b/>
        <sz val="11"/>
        <color theme="1"/>
        <rFont val="Calibri"/>
        <family val="2"/>
        <scheme val="minor"/>
      </rPr>
      <t>Principal</t>
    </r>
    <r>
      <rPr>
        <sz val="11"/>
        <color theme="1"/>
        <rFont val="Calibri"/>
        <family val="2"/>
        <scheme val="minor"/>
      </rPr>
      <t xml:space="preserve"> - Principal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Proctor</t>
    </r>
    <r>
      <rPr>
        <sz val="11"/>
        <color theme="1"/>
        <rFont val="Calibri"/>
        <family val="2"/>
        <scheme val="minor"/>
      </rPr>
      <t xml:space="preserve"> - Proctor
</t>
    </r>
    <r>
      <rPr>
        <b/>
        <sz val="11"/>
        <color theme="1"/>
        <rFont val="Calibri"/>
        <family val="2"/>
        <scheme val="minor"/>
      </rPr>
      <t>Observer</t>
    </r>
    <r>
      <rPr>
        <sz val="11"/>
        <color theme="1"/>
        <rFont val="Calibri"/>
        <family val="2"/>
        <scheme val="minor"/>
      </rPr>
      <t xml:space="preserve"> - Observer
</t>
    </r>
    <r>
      <rPr>
        <b/>
        <sz val="11"/>
        <color theme="1"/>
        <rFont val="Calibri"/>
        <family val="2"/>
        <scheme val="minor"/>
      </rPr>
      <t>Scorer</t>
    </r>
    <r>
      <rPr>
        <sz val="11"/>
        <color theme="1"/>
        <rFont val="Calibri"/>
        <family val="2"/>
        <scheme val="minor"/>
      </rPr>
      <t xml:space="preserve"> - Scorer
</t>
    </r>
    <r>
      <rPr>
        <b/>
        <sz val="11"/>
        <color theme="1"/>
        <rFont val="Calibri"/>
        <family val="2"/>
        <scheme val="minor"/>
      </rPr>
      <t>Registrar</t>
    </r>
    <r>
      <rPr>
        <sz val="11"/>
        <color theme="1"/>
        <rFont val="Calibri"/>
        <family val="2"/>
        <scheme val="minor"/>
      </rPr>
      <t xml:space="preserve"> - Registrar
</t>
    </r>
  </si>
  <si>
    <r>
      <t>Standard</t>
    </r>
    <r>
      <rPr>
        <sz val="11"/>
        <color theme="1"/>
        <rFont val="Calibri"/>
        <family val="2"/>
        <scheme val="minor"/>
      </rPr>
      <t xml:space="preserve"> - Standard
</t>
    </r>
    <r>
      <rPr>
        <b/>
        <sz val="11"/>
        <color theme="1"/>
        <rFont val="Calibri"/>
        <family val="2"/>
        <scheme val="minor"/>
      </rPr>
      <t>Accommodation</t>
    </r>
    <r>
      <rPr>
        <sz val="11"/>
        <color theme="1"/>
        <rFont val="Calibri"/>
        <family val="2"/>
        <scheme val="minor"/>
      </rPr>
      <t xml:space="preserve"> - Accommodation
</t>
    </r>
  </si>
  <si>
    <r>
      <t>Client</t>
    </r>
    <r>
      <rPr>
        <sz val="11"/>
        <color theme="1"/>
        <rFont val="Calibri"/>
        <family val="2"/>
        <scheme val="minor"/>
      </rPr>
      <t xml:space="preserve"> - Client
</t>
    </r>
    <r>
      <rPr>
        <b/>
        <sz val="11"/>
        <color theme="1"/>
        <rFont val="Calibri"/>
        <family val="2"/>
        <scheme val="minor"/>
      </rPr>
      <t>Publisher</t>
    </r>
    <r>
      <rPr>
        <sz val="11"/>
        <color theme="1"/>
        <rFont val="Calibri"/>
        <family val="2"/>
        <scheme val="minor"/>
      </rPr>
      <t xml:space="preserve"> - Publisher
</t>
    </r>
    <r>
      <rPr>
        <b/>
        <sz val="11"/>
        <color theme="1"/>
        <rFont val="Calibri"/>
        <family val="2"/>
        <scheme val="minor"/>
      </rPr>
      <t>Internal</t>
    </r>
    <r>
      <rPr>
        <sz val="11"/>
        <color theme="1"/>
        <rFont val="Calibri"/>
        <family val="2"/>
        <scheme val="minor"/>
      </rPr>
      <t xml:space="preserve"> - Internal
</t>
    </r>
    <r>
      <rPr>
        <b/>
        <sz val="11"/>
        <color theme="1"/>
        <rFont val="Calibri"/>
        <family val="2"/>
        <scheme val="minor"/>
      </rPr>
      <t>Other</t>
    </r>
    <r>
      <rPr>
        <sz val="11"/>
        <color theme="1"/>
        <rFont val="Calibri"/>
        <family val="2"/>
        <scheme val="minor"/>
      </rPr>
      <t xml:space="preserve"> - Other
</t>
    </r>
  </si>
  <si>
    <r>
      <t>AchievementTest</t>
    </r>
    <r>
      <rPr>
        <sz val="11"/>
        <color theme="1"/>
        <rFont val="Calibri"/>
        <family val="2"/>
        <scheme val="minor"/>
      </rPr>
      <t xml:space="preserve"> - Achievement test
</t>
    </r>
    <r>
      <rPr>
        <b/>
        <sz val="11"/>
        <color theme="1"/>
        <rFont val="Calibri"/>
        <family val="2"/>
        <scheme val="minor"/>
      </rPr>
      <t>AdvancedPlacementTest</t>
    </r>
    <r>
      <rPr>
        <sz val="11"/>
        <color theme="1"/>
        <rFont val="Calibri"/>
        <family val="2"/>
        <scheme val="minor"/>
      </rPr>
      <t xml:space="preserve"> - Advanced placement test
</t>
    </r>
    <r>
      <rPr>
        <b/>
        <sz val="11"/>
        <color theme="1"/>
        <rFont val="Calibri"/>
        <family val="2"/>
        <scheme val="minor"/>
      </rPr>
      <t>AlternateAssessmentELL</t>
    </r>
    <r>
      <rPr>
        <sz val="11"/>
        <color theme="1"/>
        <rFont val="Calibri"/>
        <family val="2"/>
        <scheme val="minor"/>
      </rPr>
      <t xml:space="preserve"> - Alternate assessment/ELL
</t>
    </r>
    <r>
      <rPr>
        <b/>
        <sz val="11"/>
        <color theme="1"/>
        <rFont val="Calibri"/>
        <family val="2"/>
        <scheme val="minor"/>
      </rPr>
      <t>AlternateAssessmentGradeLevelStandards</t>
    </r>
    <r>
      <rPr>
        <sz val="11"/>
        <color theme="1"/>
        <rFont val="Calibri"/>
        <family val="2"/>
        <scheme val="minor"/>
      </rPr>
      <t xml:space="preserve"> - Alternate assessment/grade-level standards
</t>
    </r>
    <r>
      <rPr>
        <b/>
        <sz val="11"/>
        <color theme="1"/>
        <rFont val="Calibri"/>
        <family val="2"/>
        <scheme val="minor"/>
      </rPr>
      <t>AlternativeAssessmentModifiedStandards</t>
    </r>
    <r>
      <rPr>
        <sz val="11"/>
        <color theme="1"/>
        <rFont val="Calibri"/>
        <family val="2"/>
        <scheme val="minor"/>
      </rPr>
      <t xml:space="preserve"> - Alternative assessment/modified standards
</t>
    </r>
    <r>
      <rPr>
        <b/>
        <sz val="11"/>
        <color theme="1"/>
        <rFont val="Calibri"/>
        <family val="2"/>
        <scheme val="minor"/>
      </rPr>
      <t>AptitudeTest</t>
    </r>
    <r>
      <rPr>
        <sz val="11"/>
        <color theme="1"/>
        <rFont val="Calibri"/>
        <family val="2"/>
        <scheme val="minor"/>
      </rPr>
      <t xml:space="preserve"> - Aptitude Test
</t>
    </r>
    <r>
      <rPr>
        <b/>
        <sz val="11"/>
        <color theme="1"/>
        <rFont val="Calibri"/>
        <family val="2"/>
        <scheme val="minor"/>
      </rPr>
      <t>Benchmark</t>
    </r>
    <r>
      <rPr>
        <sz val="11"/>
        <color theme="1"/>
        <rFont val="Calibri"/>
        <family val="2"/>
        <scheme val="minor"/>
      </rPr>
      <t xml:space="preserve"> - Benchmark
</t>
    </r>
    <r>
      <rPr>
        <b/>
        <sz val="11"/>
        <color theme="1"/>
        <rFont val="Calibri"/>
        <family val="2"/>
        <scheme val="minor"/>
      </rPr>
      <t>CognitiveAndPerceptualSkills</t>
    </r>
    <r>
      <rPr>
        <sz val="11"/>
        <color theme="1"/>
        <rFont val="Calibri"/>
        <family val="2"/>
        <scheme val="minor"/>
      </rPr>
      <t xml:space="preserve"> - Cognitive and perceptual skills test
</t>
    </r>
    <r>
      <rPr>
        <b/>
        <sz val="11"/>
        <color theme="1"/>
        <rFont val="Calibri"/>
        <family val="2"/>
        <scheme val="minor"/>
      </rPr>
      <t>ComputerAdaptiveTest</t>
    </r>
    <r>
      <rPr>
        <sz val="11"/>
        <color theme="1"/>
        <rFont val="Calibri"/>
        <family val="2"/>
        <scheme val="minor"/>
      </rPr>
      <t xml:space="preserve"> - Computer Adaptive Test
</t>
    </r>
    <r>
      <rPr>
        <b/>
        <sz val="11"/>
        <color theme="1"/>
        <rFont val="Calibri"/>
        <family val="2"/>
        <scheme val="minor"/>
      </rPr>
      <t>DevelopmentalObservation</t>
    </r>
    <r>
      <rPr>
        <sz val="11"/>
        <color theme="1"/>
        <rFont val="Calibri"/>
        <family val="2"/>
        <scheme val="minor"/>
      </rPr>
      <t xml:space="preserve"> - Developmental observation
</t>
    </r>
    <r>
      <rPr>
        <b/>
        <sz val="11"/>
        <color theme="1"/>
        <rFont val="Calibri"/>
        <family val="2"/>
        <scheme val="minor"/>
      </rPr>
      <t>Diagnostic</t>
    </r>
    <r>
      <rPr>
        <sz val="11"/>
        <color theme="1"/>
        <rFont val="Calibri"/>
        <family val="2"/>
        <scheme val="minor"/>
      </rPr>
      <t xml:space="preserve"> - Diagnostic
</t>
    </r>
    <r>
      <rPr>
        <b/>
        <sz val="11"/>
        <color theme="1"/>
        <rFont val="Calibri"/>
        <family val="2"/>
        <scheme val="minor"/>
      </rPr>
      <t>DirectAssessment</t>
    </r>
    <r>
      <rPr>
        <sz val="11"/>
        <color theme="1"/>
        <rFont val="Calibri"/>
        <family val="2"/>
        <scheme val="minor"/>
      </rPr>
      <t xml:space="preserve"> - Direct Assessment
</t>
    </r>
    <r>
      <rPr>
        <b/>
        <sz val="11"/>
        <color theme="1"/>
        <rFont val="Calibri"/>
        <family val="2"/>
        <scheme val="minor"/>
      </rPr>
      <t>Formative</t>
    </r>
    <r>
      <rPr>
        <sz val="11"/>
        <color theme="1"/>
        <rFont val="Calibri"/>
        <family val="2"/>
        <scheme val="minor"/>
      </rPr>
      <t xml:space="preserve"> - Formative
</t>
    </r>
    <r>
      <rPr>
        <b/>
        <sz val="11"/>
        <color theme="1"/>
        <rFont val="Calibri"/>
        <family val="2"/>
        <scheme val="minor"/>
      </rPr>
      <t>GrowthMeasure</t>
    </r>
    <r>
      <rPr>
        <sz val="11"/>
        <color theme="1"/>
        <rFont val="Calibri"/>
        <family val="2"/>
        <scheme val="minor"/>
      </rPr>
      <t xml:space="preserve"> - Growth Measure
</t>
    </r>
    <r>
      <rPr>
        <b/>
        <sz val="11"/>
        <color theme="1"/>
        <rFont val="Calibri"/>
        <family val="2"/>
        <scheme val="minor"/>
      </rPr>
      <t>Interim</t>
    </r>
    <r>
      <rPr>
        <sz val="11"/>
        <color theme="1"/>
        <rFont val="Calibri"/>
        <family val="2"/>
        <scheme val="minor"/>
      </rPr>
      <t xml:space="preserve"> - Interim
</t>
    </r>
    <r>
      <rPr>
        <b/>
        <sz val="11"/>
        <color theme="1"/>
        <rFont val="Calibri"/>
        <family val="2"/>
        <scheme val="minor"/>
      </rPr>
      <t>KindergartenReadiness</t>
    </r>
    <r>
      <rPr>
        <sz val="11"/>
        <color theme="1"/>
        <rFont val="Calibri"/>
        <family val="2"/>
        <scheme val="minor"/>
      </rPr>
      <t xml:space="preserve"> - Kindergarten Readiness
</t>
    </r>
    <r>
      <rPr>
        <b/>
        <sz val="11"/>
        <color theme="1"/>
        <rFont val="Calibri"/>
        <family val="2"/>
        <scheme val="minor"/>
      </rPr>
      <t>LanguageProficiency</t>
    </r>
    <r>
      <rPr>
        <sz val="11"/>
        <color theme="1"/>
        <rFont val="Calibri"/>
        <family val="2"/>
        <scheme val="minor"/>
      </rPr>
      <t xml:space="preserve"> - Language proficiency test
</t>
    </r>
    <r>
      <rPr>
        <b/>
        <sz val="11"/>
        <color theme="1"/>
        <rFont val="Calibri"/>
        <family val="2"/>
        <scheme val="minor"/>
      </rPr>
      <t>MentalAbility</t>
    </r>
    <r>
      <rPr>
        <sz val="11"/>
        <color theme="1"/>
        <rFont val="Calibri"/>
        <family val="2"/>
        <scheme val="minor"/>
      </rPr>
      <t xml:space="preserve"> - Mental ability (intelligence) test
</t>
    </r>
    <r>
      <rPr>
        <b/>
        <sz val="11"/>
        <color theme="1"/>
        <rFont val="Calibri"/>
        <family val="2"/>
        <scheme val="minor"/>
      </rPr>
      <t>Observation</t>
    </r>
    <r>
      <rPr>
        <sz val="11"/>
        <color theme="1"/>
        <rFont val="Calibri"/>
        <family val="2"/>
        <scheme val="minor"/>
      </rPr>
      <t xml:space="preserve"> - Observation
</t>
    </r>
    <r>
      <rPr>
        <b/>
        <sz val="11"/>
        <color theme="1"/>
        <rFont val="Calibri"/>
        <family val="2"/>
        <scheme val="minor"/>
      </rPr>
      <t>ParentReport</t>
    </r>
    <r>
      <rPr>
        <sz val="11"/>
        <color theme="1"/>
        <rFont val="Calibri"/>
        <family val="2"/>
        <scheme val="minor"/>
      </rPr>
      <t xml:space="preserve"> - Parent Report
</t>
    </r>
    <r>
      <rPr>
        <b/>
        <sz val="11"/>
        <color theme="1"/>
        <rFont val="Calibri"/>
        <family val="2"/>
        <scheme val="minor"/>
      </rPr>
      <t>PerformanceAssessment</t>
    </r>
    <r>
      <rPr>
        <sz val="11"/>
        <color theme="1"/>
        <rFont val="Calibri"/>
        <family val="2"/>
        <scheme val="minor"/>
      </rPr>
      <t xml:space="preserve"> - Performance assessment
</t>
    </r>
    <r>
      <rPr>
        <b/>
        <sz val="11"/>
        <color theme="1"/>
        <rFont val="Calibri"/>
        <family val="2"/>
        <scheme val="minor"/>
      </rPr>
      <t>PortfolioAssessment</t>
    </r>
    <r>
      <rPr>
        <sz val="11"/>
        <color theme="1"/>
        <rFont val="Calibri"/>
        <family val="2"/>
        <scheme val="minor"/>
      </rPr>
      <t xml:space="preserve"> - Portfolio assessment
</t>
    </r>
    <r>
      <rPr>
        <b/>
        <sz val="11"/>
        <color theme="1"/>
        <rFont val="Calibri"/>
        <family val="2"/>
        <scheme val="minor"/>
      </rPr>
      <t>PrekindergartenReadiness</t>
    </r>
    <r>
      <rPr>
        <sz val="11"/>
        <color theme="1"/>
        <rFont val="Calibri"/>
        <family val="2"/>
        <scheme val="minor"/>
      </rPr>
      <t xml:space="preserve"> - Prekindergarten Readiness
</t>
    </r>
    <r>
      <rPr>
        <b/>
        <sz val="11"/>
        <color theme="1"/>
        <rFont val="Calibri"/>
        <family val="2"/>
        <scheme val="minor"/>
      </rPr>
      <t>ReadingReadiness</t>
    </r>
    <r>
      <rPr>
        <sz val="11"/>
        <color theme="1"/>
        <rFont val="Calibri"/>
        <family val="2"/>
        <scheme val="minor"/>
      </rPr>
      <t xml:space="preserve"> - Reading readiness test
</t>
    </r>
    <r>
      <rPr>
        <b/>
        <sz val="11"/>
        <color theme="1"/>
        <rFont val="Calibri"/>
        <family val="2"/>
        <scheme val="minor"/>
      </rPr>
      <t>Screening</t>
    </r>
    <r>
      <rPr>
        <sz val="11"/>
        <color theme="1"/>
        <rFont val="Calibri"/>
        <family val="2"/>
        <scheme val="minor"/>
      </rPr>
      <t xml:space="preserve"> - Screening
</t>
    </r>
    <r>
      <rPr>
        <b/>
        <sz val="11"/>
        <color theme="1"/>
        <rFont val="Calibri"/>
        <family val="2"/>
        <scheme val="minor"/>
      </rPr>
      <t>TeacherReport</t>
    </r>
    <r>
      <rPr>
        <sz val="11"/>
        <color theme="1"/>
        <rFont val="Calibri"/>
        <family val="2"/>
        <scheme val="minor"/>
      </rPr>
      <t xml:space="preserve"> - Teacher Report
</t>
    </r>
    <r>
      <rPr>
        <b/>
        <sz val="11"/>
        <color theme="1"/>
        <rFont val="Calibri"/>
        <family val="2"/>
        <scheme val="minor"/>
      </rPr>
      <t>Other</t>
    </r>
    <r>
      <rPr>
        <sz val="11"/>
        <color theme="1"/>
        <rFont val="Calibri"/>
        <family val="2"/>
        <scheme val="minor"/>
      </rPr>
      <t xml:space="preserve"> - Other
</t>
    </r>
  </si>
  <si>
    <r>
      <t>REGASSWOACC</t>
    </r>
    <r>
      <rPr>
        <sz val="11"/>
        <color theme="1"/>
        <rFont val="Calibri"/>
        <family val="2"/>
        <scheme val="minor"/>
      </rPr>
      <t xml:space="preserve"> - Regular assessments based on grade-level achievement standards without accommodations
</t>
    </r>
    <r>
      <rPr>
        <b/>
        <sz val="11"/>
        <color theme="1"/>
        <rFont val="Calibri"/>
        <family val="2"/>
        <scheme val="minor"/>
      </rPr>
      <t>REGASSWACC</t>
    </r>
    <r>
      <rPr>
        <sz val="11"/>
        <color theme="1"/>
        <rFont val="Calibri"/>
        <family val="2"/>
        <scheme val="minor"/>
      </rPr>
      <t xml:space="preserve"> - Regular assessments based on grade-level achievement standards with accommodations
</t>
    </r>
    <r>
      <rPr>
        <b/>
        <sz val="11"/>
        <color theme="1"/>
        <rFont val="Calibri"/>
        <family val="2"/>
        <scheme val="minor"/>
      </rPr>
      <t>ALTASSGRADELVL</t>
    </r>
    <r>
      <rPr>
        <sz val="11"/>
        <color theme="1"/>
        <rFont val="Calibri"/>
        <family val="2"/>
        <scheme val="minor"/>
      </rPr>
      <t xml:space="preserve"> - Alternate assessments based on grade-level achievement standards
</t>
    </r>
    <r>
      <rPr>
        <b/>
        <sz val="11"/>
        <color theme="1"/>
        <rFont val="Calibri"/>
        <family val="2"/>
        <scheme val="minor"/>
      </rPr>
      <t>ALTASSMODACH</t>
    </r>
    <r>
      <rPr>
        <sz val="11"/>
        <color theme="1"/>
        <rFont val="Calibri"/>
        <family val="2"/>
        <scheme val="minor"/>
      </rPr>
      <t xml:space="preserve"> - Alternate assessments based on modified achievement standards
</t>
    </r>
    <r>
      <rPr>
        <b/>
        <sz val="11"/>
        <color theme="1"/>
        <rFont val="Calibri"/>
        <family val="2"/>
        <scheme val="minor"/>
      </rPr>
      <t>ALTASSALTACH</t>
    </r>
    <r>
      <rPr>
        <sz val="11"/>
        <color theme="1"/>
        <rFont val="Calibri"/>
        <family val="2"/>
        <scheme val="minor"/>
      </rPr>
      <t xml:space="preserve"> - Alternate assessments based on alternate achievement standards
</t>
    </r>
    <r>
      <rPr>
        <b/>
        <sz val="11"/>
        <color theme="1"/>
        <rFont val="Calibri"/>
        <family val="2"/>
        <scheme val="minor"/>
      </rPr>
      <t>AgeLevelWithoutAccommodations</t>
    </r>
    <r>
      <rPr>
        <sz val="11"/>
        <color theme="1"/>
        <rFont val="Calibri"/>
        <family val="2"/>
        <scheme val="minor"/>
      </rPr>
      <t xml:space="preserve"> - Assessment based on age level standards without accommodations
</t>
    </r>
    <r>
      <rPr>
        <b/>
        <sz val="11"/>
        <color theme="1"/>
        <rFont val="Calibri"/>
        <family val="2"/>
        <scheme val="minor"/>
      </rPr>
      <t>AgeLevelWithAccommodations</t>
    </r>
    <r>
      <rPr>
        <sz val="11"/>
        <color theme="1"/>
        <rFont val="Calibri"/>
        <family val="2"/>
        <scheme val="minor"/>
      </rPr>
      <t xml:space="preserve"> - Assessment based on age level standards with accommodations
</t>
    </r>
    <r>
      <rPr>
        <b/>
        <sz val="11"/>
        <color theme="1"/>
        <rFont val="Calibri"/>
        <family val="2"/>
        <scheme val="minor"/>
      </rPr>
      <t>BelowAgeLevelWithoutAccommodations</t>
    </r>
    <r>
      <rPr>
        <sz val="11"/>
        <color theme="1"/>
        <rFont val="Calibri"/>
        <family val="2"/>
        <scheme val="minor"/>
      </rPr>
      <t xml:space="preserve"> - Assessment based on standards below age level without accommodations
</t>
    </r>
    <r>
      <rPr>
        <b/>
        <sz val="11"/>
        <color theme="1"/>
        <rFont val="Calibri"/>
        <family val="2"/>
        <scheme val="minor"/>
      </rPr>
      <t>BelowAgeLevelWithAccommodations</t>
    </r>
    <r>
      <rPr>
        <sz val="11"/>
        <color theme="1"/>
        <rFont val="Calibri"/>
        <family val="2"/>
        <scheme val="minor"/>
      </rPr>
      <t xml:space="preserve"> - Assessment based on standards below age level with accommodations
</t>
    </r>
  </si>
  <si>
    <r>
      <t>DailyAttendance</t>
    </r>
    <r>
      <rPr>
        <sz val="11"/>
        <color theme="1"/>
        <rFont val="Calibri"/>
        <family val="2"/>
        <scheme val="minor"/>
      </rPr>
      <t xml:space="preserve"> - Daily attendance
</t>
    </r>
    <r>
      <rPr>
        <b/>
        <sz val="11"/>
        <color theme="1"/>
        <rFont val="Calibri"/>
        <family val="2"/>
        <scheme val="minor"/>
      </rPr>
      <t>ClassSectionAttendance</t>
    </r>
    <r>
      <rPr>
        <sz val="11"/>
        <color theme="1"/>
        <rFont val="Calibri"/>
        <family val="2"/>
        <scheme val="minor"/>
      </rPr>
      <t xml:space="preserve"> - Class/section attendance
</t>
    </r>
    <r>
      <rPr>
        <b/>
        <sz val="11"/>
        <color theme="1"/>
        <rFont val="Calibri"/>
        <family val="2"/>
        <scheme val="minor"/>
      </rPr>
      <t>ProgramAttendance</t>
    </r>
    <r>
      <rPr>
        <sz val="11"/>
        <color theme="1"/>
        <rFont val="Calibri"/>
        <family val="2"/>
        <scheme val="minor"/>
      </rPr>
      <t xml:space="preserve"> - Program attendance
</t>
    </r>
    <r>
      <rPr>
        <b/>
        <sz val="11"/>
        <color theme="1"/>
        <rFont val="Calibri"/>
        <family val="2"/>
        <scheme val="minor"/>
      </rPr>
      <t>ExtracurricularAttendance</t>
    </r>
    <r>
      <rPr>
        <sz val="11"/>
        <color theme="1"/>
        <rFont val="Calibri"/>
        <family val="2"/>
        <scheme val="minor"/>
      </rPr>
      <t xml:space="preserve"> - Extracurricular attendance
</t>
    </r>
  </si>
  <si>
    <r>
      <t>Present</t>
    </r>
    <r>
      <rPr>
        <sz val="11"/>
        <color theme="1"/>
        <rFont val="Calibri"/>
        <family val="2"/>
        <scheme val="minor"/>
      </rPr>
      <t xml:space="preserve"> - Present
</t>
    </r>
    <r>
      <rPr>
        <b/>
        <sz val="11"/>
        <color theme="1"/>
        <rFont val="Calibri"/>
        <family val="2"/>
        <scheme val="minor"/>
      </rPr>
      <t>ExcusedAbsence</t>
    </r>
    <r>
      <rPr>
        <sz val="11"/>
        <color theme="1"/>
        <rFont val="Calibri"/>
        <family val="2"/>
        <scheme val="minor"/>
      </rPr>
      <t xml:space="preserve"> - Excused Absence
</t>
    </r>
    <r>
      <rPr>
        <b/>
        <sz val="11"/>
        <color theme="1"/>
        <rFont val="Calibri"/>
        <family val="2"/>
        <scheme val="minor"/>
      </rPr>
      <t>UnexcusedAbsence</t>
    </r>
    <r>
      <rPr>
        <sz val="11"/>
        <color theme="1"/>
        <rFont val="Calibri"/>
        <family val="2"/>
        <scheme val="minor"/>
      </rPr>
      <t xml:space="preserve"> - Unexcused Absence
</t>
    </r>
    <r>
      <rPr>
        <b/>
        <sz val="11"/>
        <color theme="1"/>
        <rFont val="Calibri"/>
        <family val="2"/>
        <scheme val="minor"/>
      </rPr>
      <t>Tardy</t>
    </r>
    <r>
      <rPr>
        <sz val="11"/>
        <color theme="1"/>
        <rFont val="Calibri"/>
        <family val="2"/>
        <scheme val="minor"/>
      </rPr>
      <t xml:space="preserve"> - Tardy
</t>
    </r>
    <r>
      <rPr>
        <b/>
        <sz val="11"/>
        <color theme="1"/>
        <rFont val="Calibri"/>
        <family val="2"/>
        <scheme val="minor"/>
      </rPr>
      <t>EarlyDeparture</t>
    </r>
    <r>
      <rPr>
        <sz val="11"/>
        <color theme="1"/>
        <rFont val="Calibri"/>
        <family val="2"/>
        <scheme val="minor"/>
      </rPr>
      <t xml:space="preserve"> - Early Departure
</t>
    </r>
  </si>
  <si>
    <r>
      <t>Eligibility</t>
    </r>
    <r>
      <rPr>
        <sz val="11"/>
        <color theme="1"/>
        <rFont val="Calibri"/>
        <family val="2"/>
        <scheme val="minor"/>
      </rPr>
      <t xml:space="preserve"> - Eligibility for homeless services
</t>
    </r>
    <r>
      <rPr>
        <b/>
        <sz val="11"/>
        <color theme="1"/>
        <rFont val="Calibri"/>
        <family val="2"/>
        <scheme val="minor"/>
      </rPr>
      <t>SchoolSelection</t>
    </r>
    <r>
      <rPr>
        <sz val="11"/>
        <color theme="1"/>
        <rFont val="Calibri"/>
        <family val="2"/>
        <scheme val="minor"/>
      </rPr>
      <t xml:space="preserve"> - School selection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SchoolRecords</t>
    </r>
    <r>
      <rPr>
        <sz val="11"/>
        <color theme="1"/>
        <rFont val="Calibri"/>
        <family val="2"/>
        <scheme val="minor"/>
      </rPr>
      <t xml:space="preserve"> - School records
</t>
    </r>
    <r>
      <rPr>
        <b/>
        <sz val="11"/>
        <color theme="1"/>
        <rFont val="Calibri"/>
        <family val="2"/>
        <scheme val="minor"/>
      </rPr>
      <t>Immunizations</t>
    </r>
    <r>
      <rPr>
        <sz val="11"/>
        <color theme="1"/>
        <rFont val="Calibri"/>
        <family val="2"/>
        <scheme val="minor"/>
      </rPr>
      <t xml:space="preserve"> - Immunizations
</t>
    </r>
    <r>
      <rPr>
        <b/>
        <sz val="11"/>
        <color theme="1"/>
        <rFont val="Calibri"/>
        <family val="2"/>
        <scheme val="minor"/>
      </rPr>
      <t>OtherMedicalRecords</t>
    </r>
    <r>
      <rPr>
        <sz val="11"/>
        <color theme="1"/>
        <rFont val="Calibri"/>
        <family val="2"/>
        <scheme val="minor"/>
      </rPr>
      <t xml:space="preserve"> - Other medical records
</t>
    </r>
    <r>
      <rPr>
        <b/>
        <sz val="11"/>
        <color theme="1"/>
        <rFont val="Calibri"/>
        <family val="2"/>
        <scheme val="minor"/>
      </rPr>
      <t>OtherBarriers</t>
    </r>
    <r>
      <rPr>
        <sz val="11"/>
        <color theme="1"/>
        <rFont val="Calibri"/>
        <family val="2"/>
        <scheme val="minor"/>
      </rPr>
      <t xml:space="preserve"> - Other barriers
</t>
    </r>
  </si>
  <si>
    <r>
      <t>FaceToFaceContact</t>
    </r>
    <r>
      <rPr>
        <sz val="11"/>
        <color theme="1"/>
        <rFont val="Calibri"/>
        <family val="2"/>
        <scheme val="minor"/>
      </rPr>
      <t xml:space="preserve"> - Face-to-Face Contact
</t>
    </r>
    <r>
      <rPr>
        <b/>
        <sz val="11"/>
        <color theme="1"/>
        <rFont val="Calibri"/>
        <family val="2"/>
        <scheme val="minor"/>
      </rPr>
      <t>EventBased</t>
    </r>
    <r>
      <rPr>
        <sz val="11"/>
        <color theme="1"/>
        <rFont val="Calibri"/>
        <family val="2"/>
        <scheme val="minor"/>
      </rPr>
      <t xml:space="preserve"> - Event-based
</t>
    </r>
    <r>
      <rPr>
        <b/>
        <sz val="11"/>
        <color theme="1"/>
        <rFont val="Calibri"/>
        <family val="2"/>
        <scheme val="minor"/>
      </rPr>
      <t>TimeBased</t>
    </r>
    <r>
      <rPr>
        <sz val="11"/>
        <color theme="1"/>
        <rFont val="Calibri"/>
        <family val="2"/>
        <scheme val="minor"/>
      </rPr>
      <t xml:space="preserve"> - Time-based
</t>
    </r>
  </si>
  <si>
    <r>
      <t>Rotation</t>
    </r>
    <r>
      <rPr>
        <sz val="11"/>
        <color theme="1"/>
        <rFont val="Calibri"/>
        <family val="2"/>
        <scheme val="minor"/>
      </rPr>
      <t xml:space="preserve"> - Rotation model
</t>
    </r>
    <r>
      <rPr>
        <b/>
        <sz val="11"/>
        <color theme="1"/>
        <rFont val="Calibri"/>
        <family val="2"/>
        <scheme val="minor"/>
      </rPr>
      <t>FlexModel</t>
    </r>
    <r>
      <rPr>
        <sz val="11"/>
        <color theme="1"/>
        <rFont val="Calibri"/>
        <family val="2"/>
        <scheme val="minor"/>
      </rPr>
      <t xml:space="preserve"> - Flex model
</t>
    </r>
    <r>
      <rPr>
        <b/>
        <sz val="11"/>
        <color theme="1"/>
        <rFont val="Calibri"/>
        <family val="2"/>
        <scheme val="minor"/>
      </rPr>
      <t>ALaCarte</t>
    </r>
    <r>
      <rPr>
        <sz val="11"/>
        <color theme="1"/>
        <rFont val="Calibri"/>
        <family val="2"/>
        <scheme val="minor"/>
      </rPr>
      <t xml:space="preserve"> - A La Carte model
</t>
    </r>
    <r>
      <rPr>
        <b/>
        <sz val="11"/>
        <color theme="1"/>
        <rFont val="Calibri"/>
        <family val="2"/>
        <scheme val="minor"/>
      </rPr>
      <t>EnrichedVirtual</t>
    </r>
    <r>
      <rPr>
        <sz val="11"/>
        <color theme="1"/>
        <rFont val="Calibri"/>
        <family val="2"/>
        <scheme val="minor"/>
      </rPr>
      <t xml:space="preserve"> - Enriched Virtual model
</t>
    </r>
  </si>
  <si>
    <r>
      <t>13700</t>
    </r>
    <r>
      <rPr>
        <sz val="11"/>
        <color theme="1"/>
        <rFont val="Calibri"/>
        <family val="2"/>
        <scheme val="minor"/>
      </rPr>
      <t xml:space="preserve"> - Administrative building
</t>
    </r>
    <r>
      <rPr>
        <b/>
        <sz val="11"/>
        <color theme="1"/>
        <rFont val="Calibri"/>
        <family val="2"/>
        <scheme val="minor"/>
      </rPr>
      <t>13699</t>
    </r>
    <r>
      <rPr>
        <sz val="11"/>
        <color theme="1"/>
        <rFont val="Calibri"/>
        <family val="2"/>
        <scheme val="minor"/>
      </rPr>
      <t xml:space="preserve"> - Alternative school
</t>
    </r>
    <r>
      <rPr>
        <b/>
        <sz val="11"/>
        <color theme="1"/>
        <rFont val="Calibri"/>
        <family val="2"/>
        <scheme val="minor"/>
      </rP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02803</t>
    </r>
    <r>
      <rPr>
        <sz val="11"/>
        <color theme="1"/>
        <rFont val="Calibri"/>
        <family val="2"/>
        <scheme val="minor"/>
      </rPr>
      <t xml:space="preserve"> - Chapel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13698</t>
    </r>
    <r>
      <rPr>
        <sz val="11"/>
        <color theme="1"/>
        <rFont val="Calibri"/>
        <family val="2"/>
        <scheme val="minor"/>
      </rPr>
      <t xml:space="preserve"> - Grade level school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02806</t>
    </r>
    <r>
      <rPr>
        <sz val="11"/>
        <color theme="1"/>
        <rFont val="Calibri"/>
        <family val="2"/>
        <scheme val="minor"/>
      </rPr>
      <t xml:space="preserve"> - Holding school
</t>
    </r>
    <r>
      <rPr>
        <b/>
        <sz val="11"/>
        <color theme="1"/>
        <rFont val="Calibri"/>
        <family val="2"/>
        <scheme val="minor"/>
      </rPr>
      <t>02804</t>
    </r>
    <r>
      <rPr>
        <sz val="11"/>
        <color theme="1"/>
        <rFont val="Calibri"/>
        <family val="2"/>
        <scheme val="minor"/>
      </rPr>
      <t xml:space="preserve"> - Investment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02805</t>
    </r>
    <r>
      <rPr>
        <sz val="11"/>
        <color theme="1"/>
        <rFont val="Calibri"/>
        <family val="2"/>
        <scheme val="minor"/>
      </rPr>
      <t xml:space="preserve"> - Not in use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02802</t>
    </r>
    <r>
      <rPr>
        <sz val="11"/>
        <color theme="1"/>
        <rFont val="Calibri"/>
        <family val="2"/>
        <scheme val="minor"/>
      </rPr>
      <t xml:space="preserve"> - Operations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</si>
  <si>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EmergencyDay</t>
    </r>
    <r>
      <rPr>
        <sz val="11"/>
        <color theme="1"/>
        <rFont val="Calibri"/>
        <family val="2"/>
        <scheme val="minor"/>
      </rPr>
      <t xml:space="preserve"> - Emergency day
</t>
    </r>
    <r>
      <rPr>
        <b/>
        <sz val="11"/>
        <color theme="1"/>
        <rFont val="Calibri"/>
        <family val="2"/>
        <scheme val="minor"/>
      </rPr>
      <t>Holiday</t>
    </r>
    <r>
      <rPr>
        <sz val="11"/>
        <color theme="1"/>
        <rFont val="Calibri"/>
        <family val="2"/>
        <scheme val="minor"/>
      </rPr>
      <t xml:space="preserve"> - Holiday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Strike</t>
    </r>
    <r>
      <rPr>
        <sz val="11"/>
        <color theme="1"/>
        <rFont val="Calibri"/>
        <family val="2"/>
        <scheme val="minor"/>
      </rPr>
      <t xml:space="preserve"> - Strike
</t>
    </r>
    <r>
      <rPr>
        <b/>
        <sz val="11"/>
        <color theme="1"/>
        <rFont val="Calibri"/>
        <family val="2"/>
        <scheme val="minor"/>
      </rPr>
      <t>LateArrivalEarlyDismissal</t>
    </r>
    <r>
      <rPr>
        <sz val="11"/>
        <color theme="1"/>
        <rFont val="Calibri"/>
        <family val="2"/>
        <scheme val="minor"/>
      </rPr>
      <t xml:space="preserve"> - Student late arrival/early dismissal
</t>
    </r>
    <r>
      <rPr>
        <b/>
        <sz val="11"/>
        <color theme="1"/>
        <rFont val="Calibri"/>
        <family val="2"/>
        <scheme val="minor"/>
      </rPr>
      <t>TeacherOnlyDay</t>
    </r>
    <r>
      <rPr>
        <sz val="11"/>
        <color theme="1"/>
        <rFont val="Calibri"/>
        <family val="2"/>
        <scheme val="minor"/>
      </rPr>
      <t xml:space="preserve"> - Teacher only day
</t>
    </r>
  </si>
  <si>
    <r>
      <t>OnCampus</t>
    </r>
    <r>
      <rPr>
        <sz val="11"/>
        <color theme="1"/>
        <rFont val="Calibri"/>
        <family val="2"/>
        <scheme val="minor"/>
      </rPr>
      <t xml:space="preserve"> - On campus
</t>
    </r>
    <r>
      <rPr>
        <b/>
        <sz val="11"/>
        <color theme="1"/>
        <rFont val="Calibri"/>
        <family val="2"/>
        <scheme val="minor"/>
      </rPr>
      <t>OffCampusWFamily</t>
    </r>
    <r>
      <rPr>
        <sz val="11"/>
        <color theme="1"/>
        <rFont val="Calibri"/>
        <family val="2"/>
        <scheme val="minor"/>
      </rPr>
      <t xml:space="preserve"> - Off campus, with family
</t>
    </r>
    <r>
      <rPr>
        <b/>
        <sz val="11"/>
        <color theme="1"/>
        <rFont val="Calibri"/>
        <family val="2"/>
        <scheme val="minor"/>
      </rPr>
      <t>OffCampusWOFamily</t>
    </r>
    <r>
      <rPr>
        <sz val="11"/>
        <color theme="1"/>
        <rFont val="Calibri"/>
        <family val="2"/>
        <scheme val="minor"/>
      </rPr>
      <t xml:space="preserve"> - Off campus, without family
</t>
    </r>
    <r>
      <rPr>
        <b/>
        <sz val="11"/>
        <color theme="1"/>
        <rFont val="Calibri"/>
        <family val="2"/>
        <scheme val="minor"/>
      </rPr>
      <t>Unknown</t>
    </r>
    <r>
      <rPr>
        <sz val="11"/>
        <color theme="1"/>
        <rFont val="Calibri"/>
        <family val="2"/>
        <scheme val="minor"/>
      </rPr>
      <t xml:space="preserve"> - Unknown
</t>
    </r>
  </si>
  <si>
    <r>
      <t>IncludedAsGraduated</t>
    </r>
    <r>
      <rPr>
        <sz val="11"/>
        <color theme="1"/>
        <rFont val="Calibri"/>
        <family val="2"/>
        <scheme val="minor"/>
      </rPr>
      <t xml:space="preserve"> - Included in computation as graduated 
</t>
    </r>
    <r>
      <rPr>
        <b/>
        <sz val="11"/>
        <color theme="1"/>
        <rFont val="Calibri"/>
        <family val="2"/>
        <scheme val="minor"/>
      </rPr>
      <t>NotIncludedAsGraduated</t>
    </r>
    <r>
      <rPr>
        <sz val="11"/>
        <color theme="1"/>
        <rFont val="Calibri"/>
        <family val="2"/>
        <scheme val="minor"/>
      </rPr>
      <t xml:space="preserve"> - Included in computation as not graduated.
</t>
    </r>
  </si>
  <si>
    <r>
      <t>01</t>
    </r>
    <r>
      <rPr>
        <sz val="11"/>
        <color theme="1"/>
        <rFont val="Calibri"/>
        <family val="2"/>
        <scheme val="minor"/>
      </rPr>
      <t xml:space="preserve"> - Agriculture, Food &amp; Natural Resources
</t>
    </r>
    <r>
      <rPr>
        <b/>
        <sz val="11"/>
        <color theme="1"/>
        <rFont val="Calibri"/>
        <family val="2"/>
        <scheme val="minor"/>
      </rPr>
      <t>02</t>
    </r>
    <r>
      <rPr>
        <sz val="11"/>
        <color theme="1"/>
        <rFont val="Calibri"/>
        <family val="2"/>
        <scheme val="minor"/>
      </rPr>
      <t xml:space="preserve"> - Architecture &amp; Construction
</t>
    </r>
    <r>
      <rPr>
        <b/>
        <sz val="11"/>
        <color theme="1"/>
        <rFont val="Calibri"/>
        <family val="2"/>
        <scheme val="minor"/>
      </rPr>
      <t>03</t>
    </r>
    <r>
      <rPr>
        <sz val="11"/>
        <color theme="1"/>
        <rFont val="Calibri"/>
        <family val="2"/>
        <scheme val="minor"/>
      </rPr>
      <t xml:space="preserve"> - Arts, A/V Technology &amp; Communications
</t>
    </r>
    <r>
      <rPr>
        <b/>
        <sz val="11"/>
        <color theme="1"/>
        <rFont val="Calibri"/>
        <family val="2"/>
        <scheme val="minor"/>
      </rPr>
      <t>04</t>
    </r>
    <r>
      <rPr>
        <sz val="11"/>
        <color theme="1"/>
        <rFont val="Calibri"/>
        <family val="2"/>
        <scheme val="minor"/>
      </rPr>
      <t xml:space="preserve"> - Business Management &amp; Administration
</t>
    </r>
    <r>
      <rPr>
        <b/>
        <sz val="11"/>
        <color theme="1"/>
        <rFont val="Calibri"/>
        <family val="2"/>
        <scheme val="minor"/>
      </rPr>
      <t>05</t>
    </r>
    <r>
      <rPr>
        <sz val="11"/>
        <color theme="1"/>
        <rFont val="Calibri"/>
        <family val="2"/>
        <scheme val="minor"/>
      </rPr>
      <t xml:space="preserve"> - Education &amp; Training
</t>
    </r>
    <r>
      <rPr>
        <b/>
        <sz val="11"/>
        <color theme="1"/>
        <rFont val="Calibri"/>
        <family val="2"/>
        <scheme val="minor"/>
      </rPr>
      <t>06</t>
    </r>
    <r>
      <rPr>
        <sz val="11"/>
        <color theme="1"/>
        <rFont val="Calibri"/>
        <family val="2"/>
        <scheme val="minor"/>
      </rPr>
      <t xml:space="preserve"> - Finance
</t>
    </r>
    <r>
      <rPr>
        <b/>
        <sz val="11"/>
        <color theme="1"/>
        <rFont val="Calibri"/>
        <family val="2"/>
        <scheme val="minor"/>
      </rPr>
      <t>07</t>
    </r>
    <r>
      <rPr>
        <sz val="11"/>
        <color theme="1"/>
        <rFont val="Calibri"/>
        <family val="2"/>
        <scheme val="minor"/>
      </rPr>
      <t xml:space="preserve"> - Government &amp; Public Administration
</t>
    </r>
    <r>
      <rPr>
        <b/>
        <sz val="11"/>
        <color theme="1"/>
        <rFont val="Calibri"/>
        <family val="2"/>
        <scheme val="minor"/>
      </rPr>
      <t>08</t>
    </r>
    <r>
      <rPr>
        <sz val="11"/>
        <color theme="1"/>
        <rFont val="Calibri"/>
        <family val="2"/>
        <scheme val="minor"/>
      </rPr>
      <t xml:space="preserve"> - Health Science
</t>
    </r>
    <r>
      <rPr>
        <b/>
        <sz val="11"/>
        <color theme="1"/>
        <rFont val="Calibri"/>
        <family val="2"/>
        <scheme val="minor"/>
      </rPr>
      <t>09</t>
    </r>
    <r>
      <rPr>
        <sz val="11"/>
        <color theme="1"/>
        <rFont val="Calibri"/>
        <family val="2"/>
        <scheme val="minor"/>
      </rPr>
      <t xml:space="preserve"> - Hospitality &amp; Tourism
</t>
    </r>
    <r>
      <rPr>
        <b/>
        <sz val="11"/>
        <color theme="1"/>
        <rFont val="Calibri"/>
        <family val="2"/>
        <scheme val="minor"/>
      </rPr>
      <t>10</t>
    </r>
    <r>
      <rPr>
        <sz val="11"/>
        <color theme="1"/>
        <rFont val="Calibri"/>
        <family val="2"/>
        <scheme val="minor"/>
      </rPr>
      <t xml:space="preserve"> - Human Services
</t>
    </r>
    <r>
      <rPr>
        <b/>
        <sz val="11"/>
        <color theme="1"/>
        <rFont val="Calibri"/>
        <family val="2"/>
        <scheme val="minor"/>
      </rPr>
      <t>11</t>
    </r>
    <r>
      <rPr>
        <sz val="11"/>
        <color theme="1"/>
        <rFont val="Calibri"/>
        <family val="2"/>
        <scheme val="minor"/>
      </rPr>
      <t xml:space="preserve"> - Information Technology
</t>
    </r>
    <r>
      <rPr>
        <b/>
        <sz val="11"/>
        <color theme="1"/>
        <rFont val="Calibri"/>
        <family val="2"/>
        <scheme val="minor"/>
      </rPr>
      <t>12</t>
    </r>
    <r>
      <rPr>
        <sz val="11"/>
        <color theme="1"/>
        <rFont val="Calibri"/>
        <family val="2"/>
        <scheme val="minor"/>
      </rPr>
      <t xml:space="preserve"> - Law, Public Safety, Corrections &amp; Security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Marketing
</t>
    </r>
    <r>
      <rPr>
        <b/>
        <sz val="11"/>
        <color theme="1"/>
        <rFont val="Calibri"/>
        <family val="2"/>
        <scheme val="minor"/>
      </rPr>
      <t>15</t>
    </r>
    <r>
      <rPr>
        <sz val="11"/>
        <color theme="1"/>
        <rFont val="Calibri"/>
        <family val="2"/>
        <scheme val="minor"/>
      </rPr>
      <t xml:space="preserve"> - Science, Technology, Engineering &amp; Mathematics
</t>
    </r>
    <r>
      <rPr>
        <b/>
        <sz val="11"/>
        <color theme="1"/>
        <rFont val="Calibri"/>
        <family val="2"/>
        <scheme val="minor"/>
      </rPr>
      <t>16</t>
    </r>
    <r>
      <rPr>
        <sz val="11"/>
        <color theme="1"/>
        <rFont val="Calibri"/>
        <family val="2"/>
        <scheme val="minor"/>
      </rPr>
      <t xml:space="preserve"> - Transportation, Distribution &amp; Logistics
</t>
    </r>
  </si>
  <si>
    <r>
      <t>Education</t>
    </r>
    <r>
      <rPr>
        <sz val="11"/>
        <color theme="1"/>
        <rFont val="Calibri"/>
        <family val="2"/>
        <scheme val="minor"/>
      </rPr>
      <t xml:space="preserve"> - Education plan
</t>
    </r>
    <r>
      <rPr>
        <b/>
        <sz val="11"/>
        <color theme="1"/>
        <rFont val="Calibri"/>
        <family val="2"/>
        <scheme val="minor"/>
      </rPr>
      <t>Career</t>
    </r>
    <r>
      <rPr>
        <sz val="11"/>
        <color theme="1"/>
        <rFont val="Calibri"/>
        <family val="2"/>
        <scheme val="minor"/>
      </rPr>
      <t xml:space="preserve"> - Career plan
</t>
    </r>
    <r>
      <rPr>
        <b/>
        <sz val="11"/>
        <color theme="1"/>
        <rFont val="Calibri"/>
        <family val="2"/>
        <scheme val="minor"/>
      </rPr>
      <t>Both</t>
    </r>
    <r>
      <rPr>
        <sz val="11"/>
        <color theme="1"/>
        <rFont val="Calibri"/>
        <family val="2"/>
        <scheme val="minor"/>
      </rPr>
      <t xml:space="preserve"> - Both education and career plan
</t>
    </r>
    <r>
      <rPr>
        <b/>
        <sz val="11"/>
        <color theme="1"/>
        <rFont val="Calibri"/>
        <family val="2"/>
        <scheme val="minor"/>
      </rPr>
      <t>Other</t>
    </r>
    <r>
      <rPr>
        <sz val="11"/>
        <color theme="1"/>
        <rFont val="Calibri"/>
        <family val="2"/>
        <scheme val="minor"/>
      </rPr>
      <t xml:space="preserve"> - Other
</t>
    </r>
  </si>
  <si>
    <r>
      <t>Underrepresented</t>
    </r>
    <r>
      <rPr>
        <sz val="11"/>
        <color theme="1"/>
        <rFont val="Calibri"/>
        <family val="2"/>
        <scheme val="minor"/>
      </rPr>
      <t xml:space="preserve"> - Members of an underrepresented gender group
</t>
    </r>
    <r>
      <rPr>
        <b/>
        <sz val="11"/>
        <color theme="1"/>
        <rFont val="Calibri"/>
        <family val="2"/>
        <scheme val="minor"/>
      </rPr>
      <t>NotUnderrepresented</t>
    </r>
    <r>
      <rPr>
        <sz val="11"/>
        <color theme="1"/>
        <rFont val="Calibri"/>
        <family val="2"/>
        <scheme val="minor"/>
      </rPr>
      <t xml:space="preserve"> - Not members of an underrepresented gender group
</t>
    </r>
  </si>
  <si>
    <r>
      <t>Assoc/Pub-R-S</t>
    </r>
    <r>
      <rPr>
        <sz val="11"/>
        <color theme="1"/>
        <rFont val="Calibri"/>
        <family val="2"/>
        <scheme val="minor"/>
      </rPr>
      <t xml:space="preserve"> - Associate's--Public Rural-serving Small
</t>
    </r>
    <r>
      <rPr>
        <b/>
        <sz val="11"/>
        <color theme="1"/>
        <rFont val="Calibri"/>
        <family val="2"/>
        <scheme val="minor"/>
      </rPr>
      <t>Assoc/Pub-R-M</t>
    </r>
    <r>
      <rPr>
        <sz val="11"/>
        <color theme="1"/>
        <rFont val="Calibri"/>
        <family val="2"/>
        <scheme val="minor"/>
      </rPr>
      <t xml:space="preserve"> - Associate's--Public Rural-serving Medium
</t>
    </r>
    <r>
      <rPr>
        <b/>
        <sz val="11"/>
        <color theme="1"/>
        <rFont val="Calibri"/>
        <family val="2"/>
        <scheme val="minor"/>
      </rPr>
      <t>Assoc/Pub-R-L</t>
    </r>
    <r>
      <rPr>
        <sz val="11"/>
        <color theme="1"/>
        <rFont val="Calibri"/>
        <family val="2"/>
        <scheme val="minor"/>
      </rPr>
      <t xml:space="preserve"> - Associate's--Public Rural-serving Large
</t>
    </r>
    <r>
      <rPr>
        <b/>
        <sz val="11"/>
        <color theme="1"/>
        <rFont val="Calibri"/>
        <family val="2"/>
        <scheme val="minor"/>
      </rPr>
      <t>Assoc/Pub-S-SC</t>
    </r>
    <r>
      <rPr>
        <sz val="11"/>
        <color theme="1"/>
        <rFont val="Calibri"/>
        <family val="2"/>
        <scheme val="minor"/>
      </rPr>
      <t xml:space="preserve"> - Associate's--Public Suburban-serving Single Campus
</t>
    </r>
    <r>
      <rPr>
        <b/>
        <sz val="11"/>
        <color theme="1"/>
        <rFont val="Calibri"/>
        <family val="2"/>
        <scheme val="minor"/>
      </rPr>
      <t>Assoc/Pub-S-MC</t>
    </r>
    <r>
      <rPr>
        <sz val="11"/>
        <color theme="1"/>
        <rFont val="Calibri"/>
        <family val="2"/>
        <scheme val="minor"/>
      </rPr>
      <t xml:space="preserve"> - Associate's--Public Suburban-serving Multicampus
</t>
    </r>
    <r>
      <rPr>
        <b/>
        <sz val="11"/>
        <color theme="1"/>
        <rFont val="Calibri"/>
        <family val="2"/>
        <scheme val="minor"/>
      </rPr>
      <t>Assoc/Pub-U-SC</t>
    </r>
    <r>
      <rPr>
        <sz val="11"/>
        <color theme="1"/>
        <rFont val="Calibri"/>
        <family val="2"/>
        <scheme val="minor"/>
      </rPr>
      <t xml:space="preserve"> - Associate's--Public Urban-serving Single Campus
</t>
    </r>
    <r>
      <rPr>
        <b/>
        <sz val="11"/>
        <color theme="1"/>
        <rFont val="Calibri"/>
        <family val="2"/>
        <scheme val="minor"/>
      </rPr>
      <t>Assoc/Pub-U-MC</t>
    </r>
    <r>
      <rPr>
        <sz val="11"/>
        <color theme="1"/>
        <rFont val="Calibri"/>
        <family val="2"/>
        <scheme val="minor"/>
      </rPr>
      <t xml:space="preserve"> - Associate's--Public Urban-serving Multicampus
</t>
    </r>
    <r>
      <rPr>
        <b/>
        <sz val="11"/>
        <color theme="1"/>
        <rFont val="Calibri"/>
        <family val="2"/>
        <scheme val="minor"/>
      </rPr>
      <t>Assoc/Pub-Spec</t>
    </r>
    <r>
      <rPr>
        <sz val="11"/>
        <color theme="1"/>
        <rFont val="Calibri"/>
        <family val="2"/>
        <scheme val="minor"/>
      </rPr>
      <t xml:space="preserve"> - Associate's--Public Special Use
</t>
    </r>
    <r>
      <rPr>
        <b/>
        <sz val="11"/>
        <color theme="1"/>
        <rFont val="Calibri"/>
        <family val="2"/>
        <scheme val="minor"/>
      </rPr>
      <t>Assoc/PrivNFP</t>
    </r>
    <r>
      <rPr>
        <sz val="11"/>
        <color theme="1"/>
        <rFont val="Calibri"/>
        <family val="2"/>
        <scheme val="minor"/>
      </rPr>
      <t xml:space="preserve"> - Associate's--Private Not-for-profit
</t>
    </r>
    <r>
      <rPr>
        <b/>
        <sz val="11"/>
        <color theme="1"/>
        <rFont val="Calibri"/>
        <family val="2"/>
        <scheme val="minor"/>
      </rPr>
      <t>Assoc/PrivFP</t>
    </r>
    <r>
      <rPr>
        <sz val="11"/>
        <color theme="1"/>
        <rFont val="Calibri"/>
        <family val="2"/>
        <scheme val="minor"/>
      </rPr>
      <t xml:space="preserve"> - Associate's--Private For-profit
</t>
    </r>
    <r>
      <rPr>
        <b/>
        <sz val="11"/>
        <color theme="1"/>
        <rFont val="Calibri"/>
        <family val="2"/>
        <scheme val="minor"/>
      </rPr>
      <t>Assoc/Pub2in4</t>
    </r>
    <r>
      <rPr>
        <sz val="11"/>
        <color theme="1"/>
        <rFont val="Calibri"/>
        <family val="2"/>
        <scheme val="minor"/>
      </rPr>
      <t xml:space="preserve"> - Associate's--Public 2-year Colleges under 4-year Universities
</t>
    </r>
    <r>
      <rPr>
        <b/>
        <sz val="11"/>
        <color theme="1"/>
        <rFont val="Calibri"/>
        <family val="2"/>
        <scheme val="minor"/>
      </rPr>
      <t>Assoc/Pub4</t>
    </r>
    <r>
      <rPr>
        <sz val="11"/>
        <color theme="1"/>
        <rFont val="Calibri"/>
        <family val="2"/>
        <scheme val="minor"/>
      </rPr>
      <t xml:space="preserve"> - Associate's--Public 4-year Primarily Associate's
</t>
    </r>
    <r>
      <rPr>
        <b/>
        <sz val="11"/>
        <color theme="1"/>
        <rFont val="Calibri"/>
        <family val="2"/>
        <scheme val="minor"/>
      </rPr>
      <t>Assoc/PrivNFP4</t>
    </r>
    <r>
      <rPr>
        <sz val="11"/>
        <color theme="1"/>
        <rFont val="Calibri"/>
        <family val="2"/>
        <scheme val="minor"/>
      </rPr>
      <t xml:space="preserve"> - Associate's--Private Not-for-profit 4-year Primarily Associate's
</t>
    </r>
    <r>
      <rPr>
        <b/>
        <sz val="11"/>
        <color theme="1"/>
        <rFont val="Calibri"/>
        <family val="2"/>
        <scheme val="minor"/>
      </rPr>
      <t>Assoc/PrivFP4</t>
    </r>
    <r>
      <rPr>
        <sz val="11"/>
        <color theme="1"/>
        <rFont val="Calibri"/>
        <family val="2"/>
        <scheme val="minor"/>
      </rPr>
      <t xml:space="preserve"> - Associate's--Private For-profit 4-year Primarily Associate's
</t>
    </r>
    <r>
      <rPr>
        <b/>
        <sz val="11"/>
        <color theme="1"/>
        <rFont val="Calibri"/>
        <family val="2"/>
        <scheme val="minor"/>
      </rPr>
      <t>RU/VH</t>
    </r>
    <r>
      <rPr>
        <sz val="11"/>
        <color theme="1"/>
        <rFont val="Calibri"/>
        <family val="2"/>
        <scheme val="minor"/>
      </rPr>
      <t xml:space="preserve"> - Research Universities (very high research activity)
</t>
    </r>
    <r>
      <rPr>
        <b/>
        <sz val="11"/>
        <color theme="1"/>
        <rFont val="Calibri"/>
        <family val="2"/>
        <scheme val="minor"/>
      </rPr>
      <t>RU/H</t>
    </r>
    <r>
      <rPr>
        <sz val="11"/>
        <color theme="1"/>
        <rFont val="Calibri"/>
        <family val="2"/>
        <scheme val="minor"/>
      </rPr>
      <t xml:space="preserve"> - Research Universities (high research activity)
</t>
    </r>
    <r>
      <rPr>
        <b/>
        <sz val="11"/>
        <color theme="1"/>
        <rFont val="Calibri"/>
        <family val="2"/>
        <scheme val="minor"/>
      </rPr>
      <t>DRU</t>
    </r>
    <r>
      <rPr>
        <sz val="11"/>
        <color theme="1"/>
        <rFont val="Calibri"/>
        <family val="2"/>
        <scheme val="minor"/>
      </rPr>
      <t xml:space="preserve"> - Doctoral/Research Universities
</t>
    </r>
    <r>
      <rPr>
        <b/>
        <sz val="11"/>
        <color theme="1"/>
        <rFont val="Calibri"/>
        <family val="2"/>
        <scheme val="minor"/>
      </rPr>
      <t>Masters/L</t>
    </r>
    <r>
      <rPr>
        <sz val="11"/>
        <color theme="1"/>
        <rFont val="Calibri"/>
        <family val="2"/>
        <scheme val="minor"/>
      </rPr>
      <t xml:space="preserve"> - Master's Colleges and Universities (larger programs)
</t>
    </r>
    <r>
      <rPr>
        <b/>
        <sz val="11"/>
        <color theme="1"/>
        <rFont val="Calibri"/>
        <family val="2"/>
        <scheme val="minor"/>
      </rPr>
      <t>Masters/M</t>
    </r>
    <r>
      <rPr>
        <sz val="11"/>
        <color theme="1"/>
        <rFont val="Calibri"/>
        <family val="2"/>
        <scheme val="minor"/>
      </rPr>
      <t xml:space="preserve"> - Master's Colleges and Universities (medium programs)
</t>
    </r>
    <r>
      <rPr>
        <b/>
        <sz val="11"/>
        <color theme="1"/>
        <rFont val="Calibri"/>
        <family val="2"/>
        <scheme val="minor"/>
      </rPr>
      <t>Masters/S</t>
    </r>
    <r>
      <rPr>
        <sz val="11"/>
        <color theme="1"/>
        <rFont val="Calibri"/>
        <family val="2"/>
        <scheme val="minor"/>
      </rPr>
      <t xml:space="preserve"> - Master's Colleges and Universities (smaller programs)
</t>
    </r>
    <r>
      <rPr>
        <b/>
        <sz val="11"/>
        <color theme="1"/>
        <rFont val="Calibri"/>
        <family val="2"/>
        <scheme val="minor"/>
      </rPr>
      <t>Bac/A&amp;S</t>
    </r>
    <r>
      <rPr>
        <sz val="11"/>
        <color theme="1"/>
        <rFont val="Calibri"/>
        <family val="2"/>
        <scheme val="minor"/>
      </rPr>
      <t xml:space="preserve"> - Baccalaureate Colleges--Arts &amp; Sciences
</t>
    </r>
    <r>
      <rPr>
        <b/>
        <sz val="11"/>
        <color theme="1"/>
        <rFont val="Calibri"/>
        <family val="2"/>
        <scheme val="minor"/>
      </rPr>
      <t>Bac/Diverse</t>
    </r>
    <r>
      <rPr>
        <sz val="11"/>
        <color theme="1"/>
        <rFont val="Calibri"/>
        <family val="2"/>
        <scheme val="minor"/>
      </rPr>
      <t xml:space="preserve"> - Baccalaureate Colleges--Diverse Fields
</t>
    </r>
    <r>
      <rPr>
        <b/>
        <sz val="11"/>
        <color theme="1"/>
        <rFont val="Calibri"/>
        <family val="2"/>
        <scheme val="minor"/>
      </rPr>
      <t>Bac/Assoc</t>
    </r>
    <r>
      <rPr>
        <sz val="11"/>
        <color theme="1"/>
        <rFont val="Calibri"/>
        <family val="2"/>
        <scheme val="minor"/>
      </rPr>
      <t xml:space="preserve"> - Baccalaureate/Associate's Colleges
</t>
    </r>
    <r>
      <rPr>
        <b/>
        <sz val="11"/>
        <color theme="1"/>
        <rFont val="Calibri"/>
        <family val="2"/>
        <scheme val="minor"/>
      </rPr>
      <t>Spec/Faith</t>
    </r>
    <r>
      <rPr>
        <sz val="11"/>
        <color theme="1"/>
        <rFont val="Calibri"/>
        <family val="2"/>
        <scheme val="minor"/>
      </rPr>
      <t xml:space="preserve"> - Special Focus Institutions--Theological seminaries, Bible colleges, other faith-related institutions
</t>
    </r>
    <r>
      <rPr>
        <b/>
        <sz val="11"/>
        <color theme="1"/>
        <rFont val="Calibri"/>
        <family val="2"/>
        <scheme val="minor"/>
      </rPr>
      <t>Spec/Med</t>
    </r>
    <r>
      <rPr>
        <sz val="11"/>
        <color theme="1"/>
        <rFont val="Calibri"/>
        <family val="2"/>
        <scheme val="minor"/>
      </rPr>
      <t xml:space="preserve"> - Special Focus Institutions--Medical schools and medical centers
</t>
    </r>
    <r>
      <rPr>
        <b/>
        <sz val="11"/>
        <color theme="1"/>
        <rFont val="Calibri"/>
        <family val="2"/>
        <scheme val="minor"/>
      </rPr>
      <t>Spec/Health</t>
    </r>
    <r>
      <rPr>
        <sz val="11"/>
        <color theme="1"/>
        <rFont val="Calibri"/>
        <family val="2"/>
        <scheme val="minor"/>
      </rPr>
      <t xml:space="preserve"> - Special Focus Institutions--Other health professions schools
</t>
    </r>
    <r>
      <rPr>
        <b/>
        <sz val="11"/>
        <color theme="1"/>
        <rFont val="Calibri"/>
        <family val="2"/>
        <scheme val="minor"/>
      </rPr>
      <t>Spec/Engg</t>
    </r>
    <r>
      <rPr>
        <sz val="11"/>
        <color theme="1"/>
        <rFont val="Calibri"/>
        <family val="2"/>
        <scheme val="minor"/>
      </rPr>
      <t xml:space="preserve"> - Special Focus Institutions--Schools of engineering
</t>
    </r>
    <r>
      <rPr>
        <b/>
        <sz val="11"/>
        <color theme="1"/>
        <rFont val="Calibri"/>
        <family val="2"/>
        <scheme val="minor"/>
      </rPr>
      <t>Spec/Tech</t>
    </r>
    <r>
      <rPr>
        <sz val="11"/>
        <color theme="1"/>
        <rFont val="Calibri"/>
        <family val="2"/>
        <scheme val="minor"/>
      </rPr>
      <t xml:space="preserve"> - Special Focus Institutions--Other technology-related schools
</t>
    </r>
    <r>
      <rPr>
        <b/>
        <sz val="11"/>
        <color theme="1"/>
        <rFont val="Calibri"/>
        <family val="2"/>
        <scheme val="minor"/>
      </rPr>
      <t>Spec/Bus</t>
    </r>
    <r>
      <rPr>
        <sz val="11"/>
        <color theme="1"/>
        <rFont val="Calibri"/>
        <family val="2"/>
        <scheme val="minor"/>
      </rPr>
      <t xml:space="preserve"> - Special Focus Institutions--Schools of business and management
</t>
    </r>
    <r>
      <rPr>
        <b/>
        <sz val="11"/>
        <color theme="1"/>
        <rFont val="Calibri"/>
        <family val="2"/>
        <scheme val="minor"/>
      </rPr>
      <t>Spec/Arts</t>
    </r>
    <r>
      <rPr>
        <sz val="11"/>
        <color theme="1"/>
        <rFont val="Calibri"/>
        <family val="2"/>
        <scheme val="minor"/>
      </rPr>
      <t xml:space="preserve"> - Special Focus Institutions--Schools of art, music, and design
</t>
    </r>
    <r>
      <rPr>
        <b/>
        <sz val="11"/>
        <color theme="1"/>
        <rFont val="Calibri"/>
        <family val="2"/>
        <scheme val="minor"/>
      </rPr>
      <t>Spec/Law</t>
    </r>
    <r>
      <rPr>
        <sz val="11"/>
        <color theme="1"/>
        <rFont val="Calibri"/>
        <family val="2"/>
        <scheme val="minor"/>
      </rPr>
      <t xml:space="preserve"> - Special Focus Institutions--Schools of law
</t>
    </r>
    <r>
      <rPr>
        <b/>
        <sz val="11"/>
        <color theme="1"/>
        <rFont val="Calibri"/>
        <family val="2"/>
        <scheme val="minor"/>
      </rPr>
      <t>Spec/Other</t>
    </r>
    <r>
      <rPr>
        <sz val="11"/>
        <color theme="1"/>
        <rFont val="Calibri"/>
        <family val="2"/>
        <scheme val="minor"/>
      </rPr>
      <t xml:space="preserve"> - Special Focus Institutions-Other special-focus institutions
</t>
    </r>
    <r>
      <rPr>
        <b/>
        <sz val="11"/>
        <color theme="1"/>
        <rFont val="Calibri"/>
        <family val="2"/>
        <scheme val="minor"/>
      </rPr>
      <t>Tribal</t>
    </r>
    <r>
      <rPr>
        <sz val="11"/>
        <color theme="1"/>
        <rFont val="Calibri"/>
        <family val="2"/>
        <scheme val="minor"/>
      </rPr>
      <t xml:space="preserve"> - Tribal Colleges
</t>
    </r>
  </si>
  <si>
    <r>
      <t>State</t>
    </r>
    <r>
      <rPr>
        <sz val="11"/>
        <color theme="1"/>
        <rFont val="Calibri"/>
        <family val="2"/>
        <scheme val="minor"/>
      </rPr>
      <t xml:space="preserve"> - State board of education
</t>
    </r>
    <r>
      <rPr>
        <b/>
        <sz val="11"/>
        <color theme="1"/>
        <rFont val="Calibri"/>
        <family val="2"/>
        <scheme val="minor"/>
      </rPr>
      <t>PublicCharterBoard</t>
    </r>
    <r>
      <rPr>
        <sz val="11"/>
        <color theme="1"/>
        <rFont val="Calibri"/>
        <family val="2"/>
        <scheme val="minor"/>
      </rPr>
      <t xml:space="preserve"> - Public charter school board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</si>
  <si>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r>
      <t>CMO</t>
    </r>
    <r>
      <rPr>
        <sz val="11"/>
        <color theme="1"/>
        <rFont val="Calibri"/>
        <family val="2"/>
        <scheme val="minor"/>
      </rPr>
      <t xml:space="preserve"> - Charter Management Organization
</t>
    </r>
    <r>
      <rPr>
        <b/>
        <sz val="11"/>
        <color theme="1"/>
        <rFont val="Calibri"/>
        <family val="2"/>
        <scheme val="minor"/>
      </rPr>
      <t>EMO</t>
    </r>
    <r>
      <rPr>
        <sz val="11"/>
        <color theme="1"/>
        <rFont val="Calibri"/>
        <family val="2"/>
        <scheme val="minor"/>
      </rPr>
      <t xml:space="preserve"> - Education Management Organization
</t>
    </r>
    <r>
      <rPr>
        <b/>
        <sz val="11"/>
        <color theme="1"/>
        <rFont val="Calibri"/>
        <family val="2"/>
        <scheme val="minor"/>
      </rPr>
      <t>Other</t>
    </r>
    <r>
      <rPr>
        <sz val="11"/>
        <color theme="1"/>
        <rFont val="Calibri"/>
        <family val="2"/>
        <scheme val="minor"/>
      </rPr>
      <t xml:space="preserve"> - Other Management Organization
</t>
    </r>
  </si>
  <si>
    <r>
      <t>School</t>
    </r>
    <r>
      <rPr>
        <sz val="11"/>
        <color theme="1"/>
        <rFont val="Calibri"/>
        <family val="2"/>
        <scheme val="minor"/>
      </rPr>
      <t xml:space="preserve"> - School Charter
</t>
    </r>
    <r>
      <rPr>
        <b/>
        <sz val="11"/>
        <color theme="1"/>
        <rFont val="Calibri"/>
        <family val="2"/>
        <scheme val="minor"/>
      </rPr>
      <t>CollegeUniversity</t>
    </r>
    <r>
      <rPr>
        <sz val="11"/>
        <color theme="1"/>
        <rFont val="Calibri"/>
        <family val="2"/>
        <scheme val="minor"/>
      </rPr>
      <t xml:space="preserve"> - College/University Charter
</t>
    </r>
    <r>
      <rPr>
        <b/>
        <sz val="11"/>
        <color theme="1"/>
        <rFont val="Calibri"/>
        <family val="2"/>
        <scheme val="minor"/>
      </rPr>
      <t>NA</t>
    </r>
    <r>
      <rPr>
        <sz val="11"/>
        <color theme="1"/>
        <rFont val="Calibri"/>
        <family val="2"/>
        <scheme val="minor"/>
      </rPr>
      <t xml:space="preserve"> - Not a Charter School
</t>
    </r>
  </si>
  <si>
    <r>
      <t>01</t>
    </r>
    <r>
      <rPr>
        <sz val="11"/>
        <color theme="1"/>
        <rFont val="Calibri"/>
        <family val="2"/>
        <scheme val="minor"/>
      </rPr>
      <t xml:space="preserve"> - Infant/toddler
</t>
    </r>
    <r>
      <rPr>
        <b/>
        <sz val="11"/>
        <color theme="1"/>
        <rFont val="Calibri"/>
        <family val="2"/>
        <scheme val="minor"/>
      </rPr>
      <t>02</t>
    </r>
    <r>
      <rPr>
        <sz val="11"/>
        <color theme="1"/>
        <rFont val="Calibri"/>
        <family val="2"/>
        <scheme val="minor"/>
      </rPr>
      <t xml:space="preserve"> - Preschool
</t>
    </r>
    <r>
      <rPr>
        <b/>
        <sz val="11"/>
        <color theme="1"/>
        <rFont val="Calibri"/>
        <family val="2"/>
        <scheme val="minor"/>
      </rPr>
      <t>03</t>
    </r>
    <r>
      <rPr>
        <sz val="11"/>
        <color theme="1"/>
        <rFont val="Calibri"/>
        <family val="2"/>
        <scheme val="minor"/>
      </rPr>
      <t xml:space="preserve"> - Family child care home
</t>
    </r>
    <r>
      <rPr>
        <b/>
        <sz val="11"/>
        <color theme="1"/>
        <rFont val="Calibri"/>
        <family val="2"/>
        <scheme val="minor"/>
      </rPr>
      <t>04</t>
    </r>
    <r>
      <rPr>
        <sz val="11"/>
        <color theme="1"/>
        <rFont val="Calibri"/>
        <family val="2"/>
        <scheme val="minor"/>
      </rPr>
      <t xml:space="preserve"> - Home visitor
</t>
    </r>
    <r>
      <rPr>
        <b/>
        <sz val="11"/>
        <color theme="1"/>
        <rFont val="Calibri"/>
        <family val="2"/>
        <scheme val="minor"/>
      </rPr>
      <t>06</t>
    </r>
    <r>
      <rPr>
        <sz val="11"/>
        <color theme="1"/>
        <rFont val="Calibri"/>
        <family val="2"/>
        <scheme val="minor"/>
      </rPr>
      <t xml:space="preserve"> - Other
</t>
    </r>
    <r>
      <rPr>
        <b/>
        <sz val="11"/>
        <color theme="1"/>
        <rFont val="Calibri"/>
        <family val="2"/>
        <scheme val="minor"/>
      </rPr>
      <t>07</t>
    </r>
    <r>
      <rPr>
        <sz val="11"/>
        <color theme="1"/>
        <rFont val="Calibri"/>
        <family val="2"/>
        <scheme val="minor"/>
      </rPr>
      <t xml:space="preserve"> - Bilingual
</t>
    </r>
    <r>
      <rPr>
        <b/>
        <sz val="11"/>
        <color theme="1"/>
        <rFont val="Calibri"/>
        <family val="2"/>
        <scheme val="minor"/>
      </rPr>
      <t>99</t>
    </r>
    <r>
      <rPr>
        <sz val="11"/>
        <color theme="1"/>
        <rFont val="Calibri"/>
        <family val="2"/>
        <scheme val="minor"/>
      </rPr>
      <t xml:space="preserve"> - No current CDA indicated
</t>
    </r>
  </si>
  <si>
    <r>
      <t>FurtherEvaluationNeeded</t>
    </r>
    <r>
      <rPr>
        <sz val="11"/>
        <color theme="1"/>
        <rFont val="Calibri"/>
        <family val="2"/>
        <scheme val="minor"/>
      </rPr>
      <t xml:space="preserve"> - Further evaluation needed
</t>
    </r>
    <r>
      <rPr>
        <b/>
        <sz val="11"/>
        <color theme="1"/>
        <rFont val="Calibri"/>
        <family val="2"/>
        <scheme val="minor"/>
      </rPr>
      <t>NoFurtherEvaluationNeeded</t>
    </r>
    <r>
      <rPr>
        <sz val="11"/>
        <color theme="1"/>
        <rFont val="Calibri"/>
        <family val="2"/>
        <scheme val="minor"/>
      </rPr>
      <t xml:space="preserve"> - No further evaluation needed
</t>
    </r>
    <r>
      <rPr>
        <b/>
        <sz val="11"/>
        <color theme="1"/>
        <rFont val="Calibri"/>
        <family val="2"/>
        <scheme val="minor"/>
      </rPr>
      <t>NoScreeningPerformed</t>
    </r>
    <r>
      <rPr>
        <sz val="11"/>
        <color theme="1"/>
        <rFont val="Calibri"/>
        <family val="2"/>
        <scheme val="minor"/>
      </rPr>
      <t xml:space="preserve"> - No Screening Performed
</t>
    </r>
    <r>
      <rPr>
        <b/>
        <sz val="11"/>
        <color theme="1"/>
        <rFont val="Calibri"/>
        <family val="2"/>
        <scheme val="minor"/>
      </rPr>
      <t>AssessmentToolUnavailable</t>
    </r>
    <r>
      <rPr>
        <sz val="11"/>
        <color theme="1"/>
        <rFont val="Calibri"/>
        <family val="2"/>
        <scheme val="minor"/>
      </rPr>
      <t xml:space="preserve"> - Appropriate Assessment Tool Unavailable
</t>
    </r>
    <r>
      <rPr>
        <b/>
        <sz val="11"/>
        <color theme="1"/>
        <rFont val="Calibri"/>
        <family val="2"/>
        <scheme val="minor"/>
      </rPr>
      <t>PersonnelUnavailable</t>
    </r>
    <r>
      <rPr>
        <sz val="11"/>
        <color theme="1"/>
        <rFont val="Calibri"/>
        <family val="2"/>
        <scheme val="minor"/>
      </rPr>
      <t xml:space="preserve"> - Personnel Unavailable
</t>
    </r>
  </si>
  <si>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r>
      <rPr>
        <b/>
        <sz val="11"/>
        <color theme="1"/>
        <rFont val="Calibri"/>
        <family val="2"/>
        <scheme val="minor"/>
      </rPr>
      <t>Program</t>
    </r>
    <r>
      <rPr>
        <sz val="11"/>
        <color theme="1"/>
        <rFont val="Calibri"/>
        <family val="2"/>
        <scheme val="minor"/>
      </rPr>
      <t xml:space="preserve"> - Program-assigned number
</t>
    </r>
  </si>
  <si>
    <r>
      <t>01</t>
    </r>
    <r>
      <rPr>
        <sz val="11"/>
        <color theme="1"/>
        <rFont val="Calibri"/>
        <family val="2"/>
        <scheme val="minor"/>
      </rPr>
      <t xml:space="preserve"> - Does not show functioning expected at age - does not include immediate foundational skills
</t>
    </r>
    <r>
      <rPr>
        <b/>
        <sz val="11"/>
        <color theme="1"/>
        <rFont val="Calibri"/>
        <family val="2"/>
        <scheme val="minor"/>
      </rPr>
      <t>02</t>
    </r>
    <r>
      <rPr>
        <sz val="11"/>
        <color theme="1"/>
        <rFont val="Calibri"/>
        <family val="2"/>
        <scheme val="minor"/>
      </rPr>
      <t xml:space="preserve"> - Occasionally uses immediate foundational skills across settings and situations
</t>
    </r>
    <r>
      <rPr>
        <b/>
        <sz val="11"/>
        <color theme="1"/>
        <rFont val="Calibri"/>
        <family val="2"/>
        <scheme val="minor"/>
      </rPr>
      <t>03</t>
    </r>
    <r>
      <rPr>
        <sz val="11"/>
        <color theme="1"/>
        <rFont val="Calibri"/>
        <family val="2"/>
        <scheme val="minor"/>
      </rPr>
      <t xml:space="preserve"> - Does not show functioning expected at age - uses immediate foundational skills
</t>
    </r>
    <r>
      <rPr>
        <b/>
        <sz val="11"/>
        <color theme="1"/>
        <rFont val="Calibri"/>
        <family val="2"/>
        <scheme val="minor"/>
      </rPr>
      <t>04</t>
    </r>
    <r>
      <rPr>
        <sz val="11"/>
        <color theme="1"/>
        <rFont val="Calibri"/>
        <family val="2"/>
        <scheme val="minor"/>
      </rPr>
      <t xml:space="preserve"> - Shows occasional age-appropriate functioning across settings and situations
</t>
    </r>
    <r>
      <rPr>
        <b/>
        <sz val="11"/>
        <color theme="1"/>
        <rFont val="Calibri"/>
        <family val="2"/>
        <scheme val="minor"/>
      </rPr>
      <t>05</t>
    </r>
    <r>
      <rPr>
        <sz val="11"/>
        <color theme="1"/>
        <rFont val="Calibri"/>
        <family val="2"/>
        <scheme val="minor"/>
      </rPr>
      <t xml:space="preserve"> - Shows functioning expected at age some of the time and/or in some settings and situations
</t>
    </r>
    <r>
      <rPr>
        <b/>
        <sz val="11"/>
        <color theme="1"/>
        <rFont val="Calibri"/>
        <family val="2"/>
        <scheme val="minor"/>
      </rPr>
      <t>06</t>
    </r>
    <r>
      <rPr>
        <sz val="11"/>
        <color theme="1"/>
        <rFont val="Calibri"/>
        <family val="2"/>
        <scheme val="minor"/>
      </rPr>
      <t xml:space="preserve"> - Functioning generally is considered appropriate for age but there are some significant concerns
</t>
    </r>
    <r>
      <rPr>
        <b/>
        <sz val="11"/>
        <color theme="1"/>
        <rFont val="Calibri"/>
        <family val="2"/>
        <scheme val="minor"/>
      </rPr>
      <t>07</t>
    </r>
    <r>
      <rPr>
        <sz val="11"/>
        <color theme="1"/>
        <rFont val="Calibri"/>
        <family val="2"/>
        <scheme val="minor"/>
      </rPr>
      <t xml:space="preserve"> - Shows functioning expected for age in all or almost all everyday situations
</t>
    </r>
  </si>
  <si>
    <r>
      <t>PrimaryEnrollment</t>
    </r>
    <r>
      <rPr>
        <sz val="11"/>
        <color theme="1"/>
        <rFont val="Calibri"/>
        <family val="2"/>
        <scheme val="minor"/>
      </rPr>
      <t xml:space="preserve"> - Primary enrollment
</t>
    </r>
    <r>
      <rPr>
        <b/>
        <sz val="11"/>
        <color theme="1"/>
        <rFont val="Calibri"/>
        <family val="2"/>
        <scheme val="minor"/>
      </rPr>
      <t>AdditionalEnrollment</t>
    </r>
    <r>
      <rPr>
        <sz val="11"/>
        <color theme="1"/>
        <rFont val="Calibri"/>
        <family val="2"/>
        <scheme val="minor"/>
      </rPr>
      <t xml:space="preserve"> - Additional enrollment
</t>
    </r>
    <r>
      <rPr>
        <b/>
        <sz val="11"/>
        <color theme="1"/>
        <rFont val="Calibri"/>
        <family val="2"/>
        <scheme val="minor"/>
      </rPr>
      <t>PrimaryCompletion</t>
    </r>
    <r>
      <rPr>
        <sz val="11"/>
        <color theme="1"/>
        <rFont val="Calibri"/>
        <family val="2"/>
        <scheme val="minor"/>
      </rPr>
      <t xml:space="preserve"> - Primary completion
</t>
    </r>
    <r>
      <rPr>
        <b/>
        <sz val="11"/>
        <color theme="1"/>
        <rFont val="Calibri"/>
        <family val="2"/>
        <scheme val="minor"/>
      </rPr>
      <t>AdditionalCompletion</t>
    </r>
    <r>
      <rPr>
        <sz val="11"/>
        <color theme="1"/>
        <rFont val="Calibri"/>
        <family val="2"/>
        <scheme val="minor"/>
      </rPr>
      <t xml:space="preserve"> - Additional completion
</t>
    </r>
  </si>
  <si>
    <r>
      <t>CIP1980</t>
    </r>
    <r>
      <rPr>
        <sz val="11"/>
        <color theme="1"/>
        <rFont val="Calibri"/>
        <family val="2"/>
        <scheme val="minor"/>
      </rPr>
      <t xml:space="preserve"> - CIP 1980
</t>
    </r>
    <r>
      <rPr>
        <b/>
        <sz val="11"/>
        <color theme="1"/>
        <rFont val="Calibri"/>
        <family val="2"/>
        <scheme val="minor"/>
      </rPr>
      <t>CIP1985</t>
    </r>
    <r>
      <rPr>
        <sz val="11"/>
        <color theme="1"/>
        <rFont val="Calibri"/>
        <family val="2"/>
        <scheme val="minor"/>
      </rPr>
      <t xml:space="preserve"> - CIP 1985
</t>
    </r>
    <r>
      <rPr>
        <b/>
        <sz val="11"/>
        <color theme="1"/>
        <rFont val="Calibri"/>
        <family val="2"/>
        <scheme val="minor"/>
      </rPr>
      <t>CIP1990</t>
    </r>
    <r>
      <rPr>
        <sz val="11"/>
        <color theme="1"/>
        <rFont val="Calibri"/>
        <family val="2"/>
        <scheme val="minor"/>
      </rPr>
      <t xml:space="preserve"> - CIP 1990
</t>
    </r>
    <r>
      <rPr>
        <b/>
        <sz val="11"/>
        <color theme="1"/>
        <rFont val="Calibri"/>
        <family val="2"/>
        <scheme val="minor"/>
      </rPr>
      <t>CIP2000</t>
    </r>
    <r>
      <rPr>
        <sz val="11"/>
        <color theme="1"/>
        <rFont val="Calibri"/>
        <family val="2"/>
        <scheme val="minor"/>
      </rPr>
      <t xml:space="preserve"> - CIP 2000
</t>
    </r>
    <r>
      <rPr>
        <b/>
        <sz val="11"/>
        <color theme="1"/>
        <rFont val="Calibri"/>
        <family val="2"/>
        <scheme val="minor"/>
      </rPr>
      <t>CIP2010</t>
    </r>
    <r>
      <rPr>
        <sz val="11"/>
        <color theme="1"/>
        <rFont val="Calibri"/>
        <family val="2"/>
        <scheme val="minor"/>
      </rPr>
      <t xml:space="preserve"> - CIP 2010
</t>
    </r>
  </si>
  <si>
    <r>
      <t>03187</t>
    </r>
    <r>
      <rPr>
        <sz val="11"/>
        <color theme="1"/>
        <rFont val="Calibri"/>
        <family val="2"/>
        <scheme val="minor"/>
      </rPr>
      <t xml:space="preserve"> - Administrative staff
</t>
    </r>
    <r>
      <rPr>
        <b/>
        <sz val="11"/>
        <color theme="1"/>
        <rFont val="Calibri"/>
        <family val="2"/>
        <scheme val="minor"/>
      </rPr>
      <t>73071</t>
    </r>
    <r>
      <rPr>
        <sz val="11"/>
        <color theme="1"/>
        <rFont val="Calibri"/>
        <family val="2"/>
        <scheme val="minor"/>
      </rPr>
      <t xml:space="preserve"> - Co-teacher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73073</t>
    </r>
    <r>
      <rPr>
        <sz val="11"/>
        <color theme="1"/>
        <rFont val="Calibri"/>
        <family val="2"/>
        <scheme val="minor"/>
      </rPr>
      <t xml:space="preserve"> - Course Proctor
</t>
    </r>
    <r>
      <rPr>
        <b/>
        <sz val="11"/>
        <color theme="1"/>
        <rFont val="Calibri"/>
        <family val="2"/>
        <scheme val="minor"/>
      </rPr>
      <t>05973</t>
    </r>
    <r>
      <rPr>
        <sz val="11"/>
        <color theme="1"/>
        <rFont val="Calibri"/>
        <family val="2"/>
        <scheme val="minor"/>
      </rPr>
      <t xml:space="preserve"> - Instructor of record
</t>
    </r>
    <r>
      <rPr>
        <b/>
        <sz val="11"/>
        <color theme="1"/>
        <rFont val="Calibri"/>
        <family val="2"/>
        <scheme val="minor"/>
      </rPr>
      <t>01234</t>
    </r>
    <r>
      <rPr>
        <sz val="11"/>
        <color theme="1"/>
        <rFont val="Calibri"/>
        <family val="2"/>
        <scheme val="minor"/>
      </rPr>
      <t xml:space="preserve"> - Intern
</t>
    </r>
    <r>
      <rPr>
        <b/>
        <sz val="11"/>
        <color theme="1"/>
        <rFont val="Calibri"/>
        <family val="2"/>
        <scheme val="minor"/>
      </rPr>
      <t>73072</t>
    </r>
    <r>
      <rPr>
        <sz val="11"/>
        <color theme="1"/>
        <rFont val="Calibri"/>
        <family val="2"/>
        <scheme val="minor"/>
      </rPr>
      <t xml:space="preserve"> - Lead Team Teacher
</t>
    </r>
    <r>
      <rPr>
        <b/>
        <sz val="11"/>
        <color theme="1"/>
        <rFont val="Calibri"/>
        <family val="2"/>
        <scheme val="minor"/>
      </rPr>
      <t>00069</t>
    </r>
    <r>
      <rPr>
        <sz val="11"/>
        <color theme="1"/>
        <rFont val="Calibri"/>
        <family val="2"/>
        <scheme val="minor"/>
      </rPr>
      <t xml:space="preserve"> - Non-instructional staff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00059</t>
    </r>
    <r>
      <rPr>
        <sz val="11"/>
        <color theme="1"/>
        <rFont val="Calibri"/>
        <family val="2"/>
        <scheme val="minor"/>
      </rPr>
      <t xml:space="preserve"> - Paraprofessionals/teacher aides
</t>
    </r>
    <r>
      <rPr>
        <b/>
        <sz val="11"/>
        <color theme="1"/>
        <rFont val="Calibri"/>
        <family val="2"/>
        <scheme val="minor"/>
      </rPr>
      <t>05971</t>
    </r>
    <r>
      <rPr>
        <sz val="11"/>
        <color theme="1"/>
        <rFont val="Calibri"/>
        <family val="2"/>
        <scheme val="minor"/>
      </rPr>
      <t xml:space="preserve"> - Primary instructor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05972</t>
    </r>
    <r>
      <rPr>
        <sz val="11"/>
        <color theme="1"/>
        <rFont val="Calibri"/>
        <family val="2"/>
        <scheme val="minor"/>
      </rPr>
      <t xml:space="preserve"> - Secondary instructor
</t>
    </r>
    <r>
      <rPr>
        <b/>
        <sz val="11"/>
        <color theme="1"/>
        <rFont val="Calibri"/>
        <family val="2"/>
        <scheme val="minor"/>
      </rPr>
      <t>73074</t>
    </r>
    <r>
      <rPr>
        <sz val="11"/>
        <color theme="1"/>
        <rFont val="Calibri"/>
        <family val="2"/>
        <scheme val="minor"/>
      </rPr>
      <t xml:space="preserve"> - Special Education Consultant
</t>
    </r>
    <r>
      <rPr>
        <b/>
        <sz val="11"/>
        <color theme="1"/>
        <rFont val="Calibri"/>
        <family val="2"/>
        <scheme val="minor"/>
      </rPr>
      <t>00080</t>
    </r>
    <r>
      <rPr>
        <sz val="11"/>
        <color theme="1"/>
        <rFont val="Calibri"/>
        <family val="2"/>
        <scheme val="minor"/>
      </rPr>
      <t xml:space="preserve"> - Student teachers
</t>
    </r>
    <r>
      <rPr>
        <b/>
        <sz val="11"/>
        <color theme="1"/>
        <rFont val="Calibri"/>
        <family val="2"/>
        <scheme val="minor"/>
      </rPr>
      <t>01382</t>
    </r>
    <r>
      <rPr>
        <sz val="11"/>
        <color theme="1"/>
        <rFont val="Calibri"/>
        <family val="2"/>
        <scheme val="minor"/>
      </rPr>
      <t xml:space="preserve"> - Volunteer/no contract
</t>
    </r>
  </si>
  <si>
    <r>
      <t>01</t>
    </r>
    <r>
      <rPr>
        <sz val="11"/>
        <color theme="1"/>
        <rFont val="Calibri"/>
        <family val="2"/>
        <scheme val="minor"/>
      </rPr>
      <t xml:space="preserve"> - Death
</t>
    </r>
    <r>
      <rPr>
        <b/>
        <sz val="11"/>
        <color theme="1"/>
        <rFont val="Calibri"/>
        <family val="2"/>
        <scheme val="minor"/>
      </rPr>
      <t>02</t>
    </r>
    <r>
      <rPr>
        <sz val="11"/>
        <color theme="1"/>
        <rFont val="Calibri"/>
        <family val="2"/>
        <scheme val="minor"/>
      </rPr>
      <t xml:space="preserve"> - Total and permanent disability
</t>
    </r>
    <r>
      <rPr>
        <b/>
        <sz val="11"/>
        <color theme="1"/>
        <rFont val="Calibri"/>
        <family val="2"/>
        <scheme val="minor"/>
      </rPr>
      <t>03</t>
    </r>
    <r>
      <rPr>
        <sz val="11"/>
        <color theme="1"/>
        <rFont val="Calibri"/>
        <family val="2"/>
        <scheme val="minor"/>
      </rPr>
      <t xml:space="preserve"> - Service in the armed forces
</t>
    </r>
    <r>
      <rPr>
        <b/>
        <sz val="11"/>
        <color theme="1"/>
        <rFont val="Calibri"/>
        <family val="2"/>
        <scheme val="minor"/>
      </rPr>
      <t>04</t>
    </r>
    <r>
      <rPr>
        <sz val="11"/>
        <color theme="1"/>
        <rFont val="Calibri"/>
        <family val="2"/>
        <scheme val="minor"/>
      </rPr>
      <t xml:space="preserve"> - Service with a foreign aid service of the federal government
</t>
    </r>
    <r>
      <rPr>
        <b/>
        <sz val="11"/>
        <color theme="1"/>
        <rFont val="Calibri"/>
        <family val="2"/>
        <scheme val="minor"/>
      </rPr>
      <t>05</t>
    </r>
    <r>
      <rPr>
        <sz val="11"/>
        <color theme="1"/>
        <rFont val="Calibri"/>
        <family val="2"/>
        <scheme val="minor"/>
      </rPr>
      <t xml:space="preserve"> - Service on official church missions
</t>
    </r>
  </si>
  <si>
    <r>
      <t>Library</t>
    </r>
    <r>
      <rPr>
        <sz val="11"/>
        <color theme="1"/>
        <rFont val="Calibri"/>
        <family val="2"/>
        <scheme val="minor"/>
      </rPr>
      <t xml:space="preserve"> - Library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ChildDevelopmentCenter</t>
    </r>
    <r>
      <rPr>
        <sz val="11"/>
        <color theme="1"/>
        <rFont val="Calibri"/>
        <family val="2"/>
        <scheme val="minor"/>
      </rPr>
      <t xml:space="preserve"> - Child development center
</t>
    </r>
    <r>
      <rPr>
        <b/>
        <sz val="11"/>
        <color theme="1"/>
        <rFont val="Calibri"/>
        <family val="2"/>
        <scheme val="minor"/>
      </rPr>
      <t>Hospital</t>
    </r>
    <r>
      <rPr>
        <sz val="11"/>
        <color theme="1"/>
        <rFont val="Calibri"/>
        <family val="2"/>
        <scheme val="minor"/>
      </rPr>
      <t xml:space="preserve"> - Hospital
</t>
    </r>
    <r>
      <rPr>
        <b/>
        <sz val="11"/>
        <color theme="1"/>
        <rFont val="Calibri"/>
        <family val="2"/>
        <scheme val="minor"/>
      </rPr>
      <t>PublicK12School</t>
    </r>
    <r>
      <rPr>
        <sz val="11"/>
        <color theme="1"/>
        <rFont val="Calibri"/>
        <family val="2"/>
        <scheme val="minor"/>
      </rPr>
      <t xml:space="preserve"> - Public K12 School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</si>
  <si>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r>
      <t>All</t>
    </r>
    <r>
      <rPr>
        <sz val="11"/>
        <color theme="1"/>
        <rFont val="Calibri"/>
        <family val="2"/>
        <scheme val="minor"/>
      </rPr>
      <t xml:space="preserve"> - All
</t>
    </r>
    <r>
      <rPr>
        <b/>
        <sz val="11"/>
        <color theme="1"/>
        <rFont val="Calibri"/>
        <family val="2"/>
        <scheme val="minor"/>
      </rPr>
      <t>AtLeast</t>
    </r>
    <r>
      <rPr>
        <sz val="11"/>
        <color theme="1"/>
        <rFont val="Calibri"/>
        <family val="2"/>
        <scheme val="minor"/>
      </rPr>
      <t xml:space="preserve"> - At Least
</t>
    </r>
  </si>
  <si>
    <r>
      <t>01</t>
    </r>
    <r>
      <rPr>
        <sz val="11"/>
        <color theme="1"/>
        <rFont val="Calibri"/>
        <family val="2"/>
        <scheme val="minor"/>
      </rPr>
      <t xml:space="preserve"> - Providing services for the duration of the term
</t>
    </r>
    <r>
      <rPr>
        <b/>
        <sz val="11"/>
        <color theme="1"/>
        <rFont val="Calibri"/>
        <family val="2"/>
        <scheme val="minor"/>
      </rPr>
      <t>02</t>
    </r>
    <r>
      <rPr>
        <sz val="11"/>
        <color theme="1"/>
        <rFont val="Calibri"/>
        <family val="2"/>
        <scheme val="minor"/>
      </rPr>
      <t xml:space="preserve"> - Providing services for an additional year -comparable services are not available
</t>
    </r>
    <r>
      <rPr>
        <b/>
        <sz val="11"/>
        <color theme="1"/>
        <rFont val="Calibri"/>
        <family val="2"/>
        <scheme val="minor"/>
      </rPr>
      <t>03</t>
    </r>
    <r>
      <rPr>
        <sz val="11"/>
        <color theme="1"/>
        <rFont val="Calibri"/>
        <family val="2"/>
        <scheme val="minor"/>
      </rPr>
      <t xml:space="preserve"> - Serving secondary students through credit accrual programs
</t>
    </r>
  </si>
  <si>
    <r>
      <t>Multi-year</t>
    </r>
    <r>
      <rPr>
        <sz val="11"/>
        <color theme="1"/>
        <rFont val="Calibri"/>
        <family val="2"/>
        <scheme val="minor"/>
      </rPr>
      <t xml:space="preserve"> - Multi-year
</t>
    </r>
    <r>
      <rPr>
        <b/>
        <sz val="11"/>
        <color theme="1"/>
        <rFont val="Calibri"/>
        <family val="2"/>
        <scheme val="minor"/>
      </rPr>
      <t>Annual</t>
    </r>
    <r>
      <rPr>
        <sz val="11"/>
        <color theme="1"/>
        <rFont val="Calibri"/>
        <family val="2"/>
        <scheme val="minor"/>
      </rPr>
      <t xml:space="preserve"> - Annual
</t>
    </r>
    <r>
      <rPr>
        <b/>
        <sz val="11"/>
        <color theme="1"/>
        <rFont val="Calibri"/>
        <family val="2"/>
        <scheme val="minor"/>
      </rPr>
      <t>LessThanAnnual</t>
    </r>
    <r>
      <rPr>
        <sz val="11"/>
        <color theme="1"/>
        <rFont val="Calibri"/>
        <family val="2"/>
        <scheme val="minor"/>
      </rPr>
      <t xml:space="preserve"> - Less than annual
</t>
    </r>
    <r>
      <rPr>
        <b/>
        <sz val="11"/>
        <color theme="1"/>
        <rFont val="Calibri"/>
        <family val="2"/>
        <scheme val="minor"/>
      </rPr>
      <t>NotApplicable</t>
    </r>
    <r>
      <rPr>
        <sz val="11"/>
        <color theme="1"/>
        <rFont val="Calibri"/>
        <family val="2"/>
        <scheme val="minor"/>
      </rPr>
      <t xml:space="preserve"> - Not applicable
</t>
    </r>
  </si>
  <si>
    <r>
      <t>Public</t>
    </r>
    <r>
      <rPr>
        <sz val="11"/>
        <color theme="1"/>
        <rFont val="Calibri"/>
        <family val="2"/>
        <scheme val="minor"/>
      </rPr>
      <t xml:space="preserve"> - Public
</t>
    </r>
    <r>
      <rPr>
        <b/>
        <sz val="11"/>
        <color theme="1"/>
        <rFont val="Calibri"/>
        <family val="2"/>
        <scheme val="minor"/>
      </rPr>
      <t>PrivateNFP</t>
    </r>
    <r>
      <rPr>
        <sz val="11"/>
        <color theme="1"/>
        <rFont val="Calibri"/>
        <family val="2"/>
        <scheme val="minor"/>
      </rPr>
      <t xml:space="preserve"> - Private, not for profit
</t>
    </r>
    <r>
      <rPr>
        <b/>
        <sz val="11"/>
        <color theme="1"/>
        <rFont val="Calibri"/>
        <family val="2"/>
        <scheme val="minor"/>
      </rPr>
      <t>PrivateFP</t>
    </r>
    <r>
      <rPr>
        <sz val="11"/>
        <color theme="1"/>
        <rFont val="Calibri"/>
        <family val="2"/>
        <scheme val="minor"/>
      </rPr>
      <t xml:space="preserve"> - Private, for profit
</t>
    </r>
  </si>
  <si>
    <r>
      <t>Prison</t>
    </r>
    <r>
      <rPr>
        <sz val="11"/>
        <color theme="1"/>
        <rFont val="Calibri"/>
        <family val="2"/>
        <scheme val="minor"/>
      </rPr>
      <t xml:space="preserve"> - Prison, Penitentiary or Correctional Institution
</t>
    </r>
    <r>
      <rPr>
        <b/>
        <sz val="11"/>
        <color theme="1"/>
        <rFont val="Calibri"/>
        <family val="2"/>
        <scheme val="minor"/>
      </rPr>
      <t>Jail</t>
    </r>
    <r>
      <rPr>
        <sz val="11"/>
        <color theme="1"/>
        <rFont val="Calibri"/>
        <family val="2"/>
        <scheme val="minor"/>
      </rPr>
      <t xml:space="preserve"> - Jail
</t>
    </r>
    <r>
      <rPr>
        <b/>
        <sz val="11"/>
        <color theme="1"/>
        <rFont val="Calibri"/>
        <family val="2"/>
        <scheme val="minor"/>
      </rPr>
      <t>JuvenileFacility</t>
    </r>
    <r>
      <rPr>
        <sz val="11"/>
        <color theme="1"/>
        <rFont val="Calibri"/>
        <family val="2"/>
        <scheme val="minor"/>
      </rPr>
      <t xml:space="preserve"> - Juvenile Facility
</t>
    </r>
    <r>
      <rPr>
        <b/>
        <sz val="11"/>
        <color theme="1"/>
        <rFont val="Calibri"/>
        <family val="2"/>
        <scheme val="minor"/>
      </rPr>
      <t>CommunityCorrections</t>
    </r>
    <r>
      <rPr>
        <sz val="11"/>
        <color theme="1"/>
        <rFont val="Calibri"/>
        <family val="2"/>
        <scheme val="minor"/>
      </rPr>
      <t xml:space="preserve"> - Community Corrections
</t>
    </r>
    <r>
      <rPr>
        <b/>
        <sz val="11"/>
        <color theme="1"/>
        <rFont val="Calibri"/>
        <family val="2"/>
        <scheme val="minor"/>
      </rPr>
      <t>Other</t>
    </r>
    <r>
      <rPr>
        <sz val="11"/>
        <color theme="1"/>
        <rFont val="Calibri"/>
        <family val="2"/>
        <scheme val="minor"/>
      </rPr>
      <t xml:space="preserve"> - Other Institution
</t>
    </r>
  </si>
  <si>
    <r>
      <t>CA1</t>
    </r>
    <r>
      <rPr>
        <sz val="11"/>
        <color theme="1"/>
        <rFont val="Calibri"/>
        <family val="2"/>
        <scheme val="minor"/>
      </rPr>
      <t xml:space="preserve"> - Required implementation of a new research-based curriculum or instructional program
</t>
    </r>
    <r>
      <rPr>
        <b/>
        <sz val="11"/>
        <color theme="1"/>
        <rFont val="Calibri"/>
        <family val="2"/>
        <scheme val="minor"/>
      </rPr>
      <t>CA2</t>
    </r>
    <r>
      <rPr>
        <sz val="11"/>
        <color theme="1"/>
        <rFont val="Calibri"/>
        <family val="2"/>
        <scheme val="minor"/>
      </rPr>
      <t xml:space="preserve"> - Extension of the school year or school day 
</t>
    </r>
    <r>
      <rPr>
        <b/>
        <sz val="11"/>
        <color theme="1"/>
        <rFont val="Calibri"/>
        <family val="2"/>
        <scheme val="minor"/>
      </rPr>
      <t>CA3</t>
    </r>
    <r>
      <rPr>
        <sz val="11"/>
        <color theme="1"/>
        <rFont val="Calibri"/>
        <family val="2"/>
        <scheme val="minor"/>
      </rPr>
      <t xml:space="preserve"> - Replacement of staff members relevant to the school's low performance
</t>
    </r>
    <r>
      <rPr>
        <b/>
        <sz val="11"/>
        <color theme="1"/>
        <rFont val="Calibri"/>
        <family val="2"/>
        <scheme val="minor"/>
      </rPr>
      <t>CA4</t>
    </r>
    <r>
      <rPr>
        <sz val="11"/>
        <color theme="1"/>
        <rFont val="Calibri"/>
        <family val="2"/>
        <scheme val="minor"/>
      </rPr>
      <t xml:space="preserve"> - Significant decrease in management authority at the school level
</t>
    </r>
    <r>
      <rPr>
        <b/>
        <sz val="11"/>
        <color theme="1"/>
        <rFont val="Calibri"/>
        <family val="2"/>
        <scheme val="minor"/>
      </rPr>
      <t>CA5</t>
    </r>
    <r>
      <rPr>
        <sz val="11"/>
        <color theme="1"/>
        <rFont val="Calibri"/>
        <family val="2"/>
        <scheme val="minor"/>
      </rPr>
      <t xml:space="preserve"> - Replacement of the principal
</t>
    </r>
    <r>
      <rPr>
        <b/>
        <sz val="11"/>
        <color theme="1"/>
        <rFont val="Calibri"/>
        <family val="2"/>
        <scheme val="minor"/>
      </rPr>
      <t>CA6</t>
    </r>
    <r>
      <rPr>
        <sz val="11"/>
        <color theme="1"/>
        <rFont val="Calibri"/>
        <family val="2"/>
        <scheme val="minor"/>
      </rPr>
      <t xml:space="preserve"> - Restructuring of the internal organization of the school
</t>
    </r>
    <r>
      <rPr>
        <b/>
        <sz val="11"/>
        <color theme="1"/>
        <rFont val="Calibri"/>
        <family val="2"/>
        <scheme val="minor"/>
      </rPr>
      <t>CA7</t>
    </r>
    <r>
      <rPr>
        <sz val="11"/>
        <color theme="1"/>
        <rFont val="Calibri"/>
        <family val="2"/>
        <scheme val="minor"/>
      </rPr>
      <t xml:space="preserve"> - Appointment of an outside expert to advise the school
</t>
    </r>
  </si>
  <si>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 REPUBLIC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MACEDONIA, THE FORMER YUGOSLAV REPUBLIC OF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SWAZILAND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</si>
  <si>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r>
      <t>AuditedCourse</t>
    </r>
    <r>
      <rPr>
        <sz val="11"/>
        <color theme="1"/>
        <rFont val="Calibri"/>
        <family val="2"/>
        <scheme val="minor"/>
      </rPr>
      <t xml:space="preserve"> - Audited or visited the course
</t>
    </r>
    <r>
      <rPr>
        <b/>
        <sz val="11"/>
        <color theme="1"/>
        <rFont val="Calibri"/>
        <family val="2"/>
        <scheme val="minor"/>
      </rPr>
      <t>HonorsGrade</t>
    </r>
    <r>
      <rPr>
        <sz val="11"/>
        <color theme="1"/>
        <rFont val="Calibri"/>
        <family val="2"/>
        <scheme val="minor"/>
      </rPr>
      <t xml:space="preserve"> - Honors grade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IncompleteNotResolvedFail</t>
    </r>
    <r>
      <rPr>
        <sz val="11"/>
        <color theme="1"/>
        <rFont val="Calibri"/>
        <family val="2"/>
        <scheme val="minor"/>
      </rPr>
      <t xml:space="preserve"> - Incomplete Not Resolved Fail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NotYetReported</t>
    </r>
    <r>
      <rPr>
        <sz val="11"/>
        <color theme="1"/>
        <rFont val="Calibri"/>
        <family val="2"/>
        <scheme val="minor"/>
      </rPr>
      <t xml:space="preserve"> - Not Yet Reported
</t>
    </r>
    <r>
      <rPr>
        <b/>
        <sz val="11"/>
        <color theme="1"/>
        <rFont val="Calibri"/>
        <family val="2"/>
        <scheme val="minor"/>
      </rPr>
      <t>OtherFail</t>
    </r>
    <r>
      <rPr>
        <sz val="11"/>
        <color theme="1"/>
        <rFont val="Calibri"/>
        <family val="2"/>
        <scheme val="minor"/>
      </rPr>
      <t xml:space="preserve"> - Other Fail
</t>
    </r>
    <r>
      <rPr>
        <b/>
        <sz val="11"/>
        <color theme="1"/>
        <rFont val="Calibri"/>
        <family val="2"/>
        <scheme val="minor"/>
      </rPr>
      <t>OtherPass</t>
    </r>
    <r>
      <rPr>
        <sz val="11"/>
        <color theme="1"/>
        <rFont val="Calibri"/>
        <family val="2"/>
        <scheme val="minor"/>
      </rPr>
      <t xml:space="preserve"> - Other Pass
</t>
    </r>
    <r>
      <rPr>
        <b/>
        <sz val="11"/>
        <color theme="1"/>
        <rFont val="Calibri"/>
        <family val="2"/>
        <scheme val="minor"/>
      </rPr>
      <t>PassFailFail</t>
    </r>
    <r>
      <rPr>
        <sz val="11"/>
        <color theme="1"/>
        <rFont val="Calibri"/>
        <family val="2"/>
        <scheme val="minor"/>
      </rPr>
      <t xml:space="preserve"> - Pass-Fail : Fail
</t>
    </r>
    <r>
      <rPr>
        <b/>
        <sz val="11"/>
        <color theme="1"/>
        <rFont val="Calibri"/>
        <family val="2"/>
        <scheme val="minor"/>
      </rPr>
      <t>PassFailPass</t>
    </r>
    <r>
      <rPr>
        <sz val="11"/>
        <color theme="1"/>
        <rFont val="Calibri"/>
        <family val="2"/>
        <scheme val="minor"/>
      </rPr>
      <t xml:space="preserve"> - Pass-Fail : Pass
</t>
    </r>
    <r>
      <rPr>
        <b/>
        <sz val="11"/>
        <color theme="1"/>
        <rFont val="Calibri"/>
        <family val="2"/>
        <scheme val="minor"/>
      </rPr>
      <t>TransferNoGrade</t>
    </r>
    <r>
      <rPr>
        <sz val="11"/>
        <color theme="1"/>
        <rFont val="Calibri"/>
        <family val="2"/>
        <scheme val="minor"/>
      </rPr>
      <t xml:space="preserve"> - Transfer No Grade
</t>
    </r>
    <r>
      <rPr>
        <b/>
        <sz val="11"/>
        <color theme="1"/>
        <rFont val="Calibri"/>
        <family val="2"/>
        <scheme val="minor"/>
      </rPr>
      <t>Withdrew</t>
    </r>
    <r>
      <rPr>
        <sz val="11"/>
        <color theme="1"/>
        <rFont val="Calibri"/>
        <family val="2"/>
        <scheme val="minor"/>
      </rPr>
      <t xml:space="preserve"> - Withdrew
</t>
    </r>
    <r>
      <rPr>
        <b/>
        <sz val="11"/>
        <color theme="1"/>
        <rFont val="Calibri"/>
        <family val="2"/>
        <scheme val="minor"/>
      </rPr>
      <t>WithdrewFailing</t>
    </r>
    <r>
      <rPr>
        <sz val="11"/>
        <color theme="1"/>
        <rFont val="Calibri"/>
        <family val="2"/>
        <scheme val="minor"/>
      </rPr>
      <t xml:space="preserve"> - Withdrew failing
</t>
    </r>
    <r>
      <rPr>
        <b/>
        <sz val="11"/>
        <color theme="1"/>
        <rFont val="Calibri"/>
        <family val="2"/>
        <scheme val="minor"/>
      </rPr>
      <t>WithdrewNoPenalty</t>
    </r>
    <r>
      <rPr>
        <sz val="11"/>
        <color theme="1"/>
        <rFont val="Calibri"/>
        <family val="2"/>
        <scheme val="minor"/>
      </rPr>
      <t xml:space="preserve"> - Withdrew No Penalty
</t>
    </r>
    <r>
      <rPr>
        <b/>
        <sz val="11"/>
        <color theme="1"/>
        <rFont val="Calibri"/>
        <family val="2"/>
        <scheme val="minor"/>
      </rPr>
      <t>WithdrewPassing</t>
    </r>
    <r>
      <rPr>
        <sz val="11"/>
        <color theme="1"/>
        <rFont val="Calibri"/>
        <family val="2"/>
        <scheme val="minor"/>
      </rPr>
      <t xml:space="preserve"> - Withdrew passing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</si>
  <si>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PT</t>
    </r>
    <r>
      <rPr>
        <sz val="11"/>
        <color theme="1"/>
        <rFont val="Calibri"/>
        <family val="2"/>
        <scheme val="minor"/>
      </rPr>
      <t xml:space="preserve"> - Professional or technical credential
</t>
    </r>
    <r>
      <rPr>
        <b/>
        <sz val="11"/>
        <color theme="1"/>
        <rFont val="Calibri"/>
        <family val="2"/>
        <scheme val="minor"/>
      </rPr>
      <t>OT</t>
    </r>
    <r>
      <rPr>
        <sz val="11"/>
        <color theme="1"/>
        <rFont val="Calibri"/>
        <family val="2"/>
        <scheme val="minor"/>
      </rPr>
      <t xml:space="preserve"> - Other
</t>
    </r>
  </si>
  <si>
    <r>
      <t>Intermediate</t>
    </r>
    <r>
      <rPr>
        <sz val="11"/>
        <color theme="1"/>
        <rFont val="Calibri"/>
        <family val="2"/>
        <scheme val="minor"/>
      </rPr>
      <t xml:space="preserve"> - Intermediate agency course code
</t>
    </r>
    <r>
      <rPr>
        <b/>
        <sz val="11"/>
        <color theme="1"/>
        <rFont val="Calibri"/>
        <family val="2"/>
        <scheme val="minor"/>
      </rPr>
      <t>LEA</t>
    </r>
    <r>
      <rPr>
        <sz val="11"/>
        <color theme="1"/>
        <rFont val="Calibri"/>
        <family val="2"/>
        <scheme val="minor"/>
      </rPr>
      <t xml:space="preserve"> - LEA course code
</t>
    </r>
    <r>
      <rPr>
        <b/>
        <sz val="11"/>
        <color theme="1"/>
        <rFont val="Calibri"/>
        <family val="2"/>
        <scheme val="minor"/>
      </rPr>
      <t>NCES</t>
    </r>
    <r>
      <rPr>
        <sz val="11"/>
        <color theme="1"/>
        <rFont val="Calibri"/>
        <family val="2"/>
        <scheme val="minor"/>
      </rPr>
      <t xml:space="preserve"> - NCES Pilot Standard National Course Classification System for Secondary Education Codes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SCED</t>
    </r>
    <r>
      <rPr>
        <sz val="11"/>
        <color theme="1"/>
        <rFont val="Calibri"/>
        <family val="2"/>
        <scheme val="minor"/>
      </rPr>
      <t xml:space="preserve"> - School Codes for the Exchange of Data (SCED) course code
</t>
    </r>
    <r>
      <rPr>
        <b/>
        <sz val="11"/>
        <color theme="1"/>
        <rFont val="Calibri"/>
        <family val="2"/>
        <scheme val="minor"/>
      </rPr>
      <t>School</t>
    </r>
    <r>
      <rPr>
        <sz val="11"/>
        <color theme="1"/>
        <rFont val="Calibri"/>
        <family val="2"/>
        <scheme val="minor"/>
      </rPr>
      <t xml:space="preserve"> - School course code
</t>
    </r>
    <r>
      <rPr>
        <b/>
        <sz val="11"/>
        <color theme="1"/>
        <rFont val="Calibri"/>
        <family val="2"/>
        <scheme val="minor"/>
      </rPr>
      <t>State</t>
    </r>
    <r>
      <rPr>
        <sz val="11"/>
        <color theme="1"/>
        <rFont val="Calibri"/>
        <family val="2"/>
        <scheme val="minor"/>
      </rPr>
      <t xml:space="preserve"> - State course code
</t>
    </r>
    <r>
      <rPr>
        <b/>
        <sz val="11"/>
        <color theme="1"/>
        <rFont val="Calibri"/>
        <family val="2"/>
        <scheme val="minor"/>
      </rPr>
      <t>University</t>
    </r>
    <r>
      <rPr>
        <sz val="11"/>
        <color theme="1"/>
        <rFont val="Calibri"/>
        <family val="2"/>
        <scheme val="minor"/>
      </rPr>
      <t xml:space="preserve"> - University course code
</t>
    </r>
  </si>
  <si>
    <r>
      <t>Regular</t>
    </r>
    <r>
      <rPr>
        <sz val="11"/>
        <color theme="1"/>
        <rFont val="Calibri"/>
        <family val="2"/>
        <scheme val="minor"/>
      </rPr>
      <t xml:space="preserve"> - Regular/general enrollment
</t>
    </r>
    <r>
      <rPr>
        <b/>
        <sz val="11"/>
        <color theme="1"/>
        <rFont val="Calibri"/>
        <family val="2"/>
        <scheme val="minor"/>
      </rPr>
      <t>Major</t>
    </r>
    <r>
      <rPr>
        <sz val="11"/>
        <color theme="1"/>
        <rFont val="Calibri"/>
        <family val="2"/>
        <scheme val="minor"/>
      </rPr>
      <t xml:space="preserve"> - Credit associated with the student's major
</t>
    </r>
    <r>
      <rPr>
        <b/>
        <sz val="11"/>
        <color theme="1"/>
        <rFont val="Calibri"/>
        <family val="2"/>
        <scheme val="minor"/>
      </rPr>
      <t>AcademicRenewal</t>
    </r>
    <r>
      <rPr>
        <sz val="11"/>
        <color theme="1"/>
        <rFont val="Calibri"/>
        <family val="2"/>
        <scheme val="minor"/>
      </rPr>
      <t xml:space="preserve"> - Academic Renewal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AdvancedStanding</t>
    </r>
    <r>
      <rPr>
        <sz val="11"/>
        <color theme="1"/>
        <rFont val="Calibri"/>
        <family val="2"/>
        <scheme val="minor"/>
      </rPr>
      <t xml:space="preserve"> - Advanced Standing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ContinuingEducation</t>
    </r>
    <r>
      <rPr>
        <sz val="11"/>
        <color theme="1"/>
        <rFont val="Calibri"/>
        <family val="2"/>
        <scheme val="minor"/>
      </rPr>
      <t xml:space="preserve"> - Continuing Education
</t>
    </r>
    <r>
      <rPr>
        <b/>
        <sz val="11"/>
        <color theme="1"/>
        <rFont val="Calibri"/>
        <family val="2"/>
        <scheme val="minor"/>
      </rPr>
      <t>Exemption</t>
    </r>
    <r>
      <rPr>
        <sz val="11"/>
        <color theme="1"/>
        <rFont val="Calibri"/>
        <family val="2"/>
        <scheme val="minor"/>
      </rPr>
      <t xml:space="preserve"> - Exemption
</t>
    </r>
    <r>
      <rPr>
        <b/>
        <sz val="11"/>
        <color theme="1"/>
        <rFont val="Calibri"/>
        <family val="2"/>
        <scheme val="minor"/>
      </rPr>
      <t>Equivalence</t>
    </r>
    <r>
      <rPr>
        <sz val="11"/>
        <color theme="1"/>
        <rFont val="Calibri"/>
        <family val="2"/>
        <scheme val="minor"/>
      </rPr>
      <t xml:space="preserve"> - Equivalence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CreditByExam</t>
    </r>
    <r>
      <rPr>
        <sz val="11"/>
        <color theme="1"/>
        <rFont val="Calibri"/>
        <family val="2"/>
        <scheme val="minor"/>
      </rPr>
      <t xml:space="preserve"> - Credit granted from successful score on a standardized test of comprehension or proficiency.
</t>
    </r>
    <r>
      <rPr>
        <b/>
        <sz val="11"/>
        <color theme="1"/>
        <rFont val="Calibri"/>
        <family val="2"/>
        <scheme val="minor"/>
      </rPr>
      <t>HighSchoolTransferCredit</t>
    </r>
    <r>
      <rPr>
        <sz val="11"/>
        <color theme="1"/>
        <rFont val="Calibri"/>
        <family val="2"/>
        <scheme val="minor"/>
      </rPr>
      <t xml:space="preserve"> - Credit from a high school course is transferred to the college.
</t>
    </r>
    <r>
      <rPr>
        <b/>
        <sz val="11"/>
        <color theme="1"/>
        <rFont val="Calibri"/>
        <family val="2"/>
        <scheme val="minor"/>
      </rPr>
      <t>HighSchoolCreditOnly</t>
    </r>
    <r>
      <rPr>
        <sz val="11"/>
        <color theme="1"/>
        <rFont val="Calibri"/>
        <family val="2"/>
        <scheme val="minor"/>
      </rPr>
      <t xml:space="preserve"> - Credit from a college course is transferred back to high school and not counted by the college.
</t>
    </r>
    <r>
      <rPr>
        <b/>
        <sz val="11"/>
        <color theme="1"/>
        <rFont val="Calibri"/>
        <family val="2"/>
        <scheme val="minor"/>
      </rPr>
      <t>HighSchoolDualCredit</t>
    </r>
    <r>
      <rPr>
        <sz val="11"/>
        <color theme="1"/>
        <rFont val="Calibri"/>
        <family val="2"/>
        <scheme val="minor"/>
      </rPr>
      <t xml:space="preserve"> - Credit from a college course is counted at both the college and high school.
</t>
    </r>
    <r>
      <rPr>
        <b/>
        <sz val="11"/>
        <color theme="1"/>
        <rFont val="Calibri"/>
        <family val="2"/>
        <scheme val="minor"/>
      </rPr>
      <t>JuniorHighSchoolCredit</t>
    </r>
    <r>
      <rPr>
        <sz val="11"/>
        <color theme="1"/>
        <rFont val="Calibri"/>
        <family val="2"/>
        <scheme val="minor"/>
      </rPr>
      <t xml:space="preserve"> - Credit from a junior high school course is counted at the high school.
</t>
    </r>
  </si>
  <si>
    <r>
      <t>Undergraduate</t>
    </r>
    <r>
      <rPr>
        <sz val="11"/>
        <color theme="1"/>
        <rFont val="Calibri"/>
        <family val="2"/>
        <scheme val="minor"/>
      </rPr>
      <t xml:space="preserve"> - Undergraduate
</t>
    </r>
    <r>
      <rPr>
        <b/>
        <sz val="11"/>
        <color theme="1"/>
        <rFont val="Calibri"/>
        <family val="2"/>
        <scheme val="minor"/>
      </rPr>
      <t>Ungraded</t>
    </r>
    <r>
      <rPr>
        <sz val="11"/>
        <color theme="1"/>
        <rFont val="Calibri"/>
        <family val="2"/>
        <scheme val="minor"/>
      </rPr>
      <t xml:space="preserve"> - Ungraded
</t>
    </r>
    <r>
      <rPr>
        <b/>
        <sz val="11"/>
        <color theme="1"/>
        <rFont val="Calibri"/>
        <family val="2"/>
        <scheme val="minor"/>
      </rPr>
      <t>LowerDivision</t>
    </r>
    <r>
      <rPr>
        <sz val="11"/>
        <color theme="1"/>
        <rFont val="Calibri"/>
        <family val="2"/>
        <scheme val="minor"/>
      </rPr>
      <t xml:space="preserve"> - Lower division credit (associated with first/second year)
</t>
    </r>
    <r>
      <rPr>
        <b/>
        <sz val="11"/>
        <color theme="1"/>
        <rFont val="Calibri"/>
        <family val="2"/>
        <scheme val="minor"/>
      </rPr>
      <t>UpperDivision</t>
    </r>
    <r>
      <rPr>
        <sz val="11"/>
        <color theme="1"/>
        <rFont val="Calibri"/>
        <family val="2"/>
        <scheme val="minor"/>
      </rPr>
      <t xml:space="preserve"> - Higher or upper division credit (associated with third or fourth year)
</t>
    </r>
    <r>
      <rPr>
        <b/>
        <sz val="11"/>
        <color theme="1"/>
        <rFont val="Calibri"/>
        <family val="2"/>
        <scheme val="minor"/>
      </rPr>
      <t>Vocational</t>
    </r>
    <r>
      <rPr>
        <sz val="11"/>
        <color theme="1"/>
        <rFont val="Calibri"/>
        <family val="2"/>
        <scheme val="minor"/>
      </rPr>
      <t xml:space="preserve"> - Vocational/technical credit
</t>
    </r>
    <r>
      <rPr>
        <b/>
        <sz val="11"/>
        <color theme="1"/>
        <rFont val="Calibri"/>
        <family val="2"/>
        <scheme val="minor"/>
      </rPr>
      <t>TechnicalPreparatory</t>
    </r>
    <r>
      <rPr>
        <sz val="11"/>
        <color theme="1"/>
        <rFont val="Calibri"/>
        <family val="2"/>
        <scheme val="minor"/>
      </rPr>
      <t xml:space="preserve"> - Technical preparatory credit
</t>
    </r>
    <r>
      <rPr>
        <b/>
        <sz val="11"/>
        <color theme="1"/>
        <rFont val="Calibri"/>
        <family val="2"/>
        <scheme val="minor"/>
      </rPr>
      <t>Graduate</t>
    </r>
    <r>
      <rPr>
        <sz val="11"/>
        <color theme="1"/>
        <rFont val="Calibri"/>
        <family val="2"/>
        <scheme val="minor"/>
      </rPr>
      <t xml:space="preserve"> - Graduate level credit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 Professional
</t>
    </r>
  </si>
  <si>
    <r>
      <t>NoCredit</t>
    </r>
    <r>
      <rPr>
        <sz val="11"/>
        <color theme="1"/>
        <rFont val="Calibri"/>
        <family val="2"/>
        <scheme val="minor"/>
      </rPr>
      <t xml:space="preserve"> - No Credit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Units</t>
    </r>
    <r>
      <rPr>
        <sz val="11"/>
        <color theme="1"/>
        <rFont val="Calibri"/>
        <family val="2"/>
        <scheme val="minor"/>
      </rPr>
      <t xml:space="preserve"> - Units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ContinuingEducationUnits</t>
    </r>
    <r>
      <rPr>
        <sz val="11"/>
        <color theme="1"/>
        <rFont val="Calibri"/>
        <family val="2"/>
        <scheme val="minor"/>
      </rPr>
      <t xml:space="preserve"> - Continuing Education Units 
</t>
    </r>
    <r>
      <rPr>
        <b/>
        <sz val="11"/>
        <color theme="1"/>
        <rFont val="Calibri"/>
        <family val="2"/>
        <scheme val="minor"/>
      </rPr>
      <t>ClockHours</t>
    </r>
    <r>
      <rPr>
        <sz val="11"/>
        <color theme="1"/>
        <rFont val="Calibri"/>
        <family val="2"/>
        <scheme val="minor"/>
      </rPr>
      <t xml:space="preserve"> - Clock Hours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Unreported</t>
    </r>
    <r>
      <rPr>
        <sz val="11"/>
        <color theme="1"/>
        <rFont val="Calibri"/>
        <family val="2"/>
        <scheme val="minor"/>
      </rPr>
      <t xml:space="preserve"> - Unreported
</t>
    </r>
  </si>
  <si>
    <r>
      <t>Applicable</t>
    </r>
    <r>
      <rPr>
        <sz val="11"/>
        <color theme="1"/>
        <rFont val="Calibri"/>
        <family val="2"/>
        <scheme val="minor"/>
      </rPr>
      <t xml:space="preserve"> - Applicable in GPA
</t>
    </r>
    <r>
      <rPr>
        <b/>
        <sz val="11"/>
        <color theme="1"/>
        <rFont val="Calibri"/>
        <family val="2"/>
        <scheme val="minor"/>
      </rPr>
      <t>NotApplicable</t>
    </r>
    <r>
      <rPr>
        <sz val="11"/>
        <color theme="1"/>
        <rFont val="Calibri"/>
        <family val="2"/>
        <scheme val="minor"/>
      </rPr>
      <t xml:space="preserve"> - Not Applicable in GPA
</t>
    </r>
    <r>
      <rPr>
        <b/>
        <sz val="11"/>
        <color theme="1"/>
        <rFont val="Calibri"/>
        <family val="2"/>
        <scheme val="minor"/>
      </rPr>
      <t>Weighted</t>
    </r>
    <r>
      <rPr>
        <sz val="11"/>
        <color theme="1"/>
        <rFont val="Calibri"/>
        <family val="2"/>
        <scheme val="minor"/>
      </rPr>
      <t xml:space="preserve"> - Weighted in GPA
</t>
    </r>
  </si>
  <si>
    <r>
      <t>Honors</t>
    </r>
    <r>
      <rPr>
        <sz val="11"/>
        <color theme="1"/>
        <rFont val="Calibri"/>
        <family val="2"/>
        <scheme val="minor"/>
      </rPr>
      <t xml:space="preserve"> - Honors
</t>
    </r>
    <r>
      <rPr>
        <b/>
        <sz val="11"/>
        <color theme="1"/>
        <rFont val="Calibri"/>
        <family val="2"/>
        <scheme val="minor"/>
      </rPr>
      <t>HonorsOption</t>
    </r>
    <r>
      <rPr>
        <sz val="11"/>
        <color theme="1"/>
        <rFont val="Calibri"/>
        <family val="2"/>
        <scheme val="minor"/>
      </rPr>
      <t xml:space="preserve"> - Honors option
</t>
    </r>
  </si>
  <si>
    <r>
      <t>Lecture</t>
    </r>
    <r>
      <rPr>
        <sz val="11"/>
        <color theme="1"/>
        <rFont val="Calibri"/>
        <family val="2"/>
        <scheme val="minor"/>
      </rPr>
      <t xml:space="preserve"> - Lecture
</t>
    </r>
    <r>
      <rPr>
        <b/>
        <sz val="11"/>
        <color theme="1"/>
        <rFont val="Calibri"/>
        <family val="2"/>
        <scheme val="minor"/>
      </rPr>
      <t>Laboratory</t>
    </r>
    <r>
      <rPr>
        <sz val="11"/>
        <color theme="1"/>
        <rFont val="Calibri"/>
        <family val="2"/>
        <scheme val="minor"/>
      </rPr>
      <t xml:space="preserve"> - Laboratory
</t>
    </r>
    <r>
      <rPr>
        <b/>
        <sz val="11"/>
        <color theme="1"/>
        <rFont val="Calibri"/>
        <family val="2"/>
        <scheme val="minor"/>
      </rPr>
      <t>Seminar</t>
    </r>
    <r>
      <rPr>
        <sz val="11"/>
        <color theme="1"/>
        <rFont val="Calibri"/>
        <family val="2"/>
        <scheme val="minor"/>
      </rPr>
      <t xml:space="preserve"> - Seminar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PrivateStudy</t>
    </r>
    <r>
      <rPr>
        <sz val="11"/>
        <color theme="1"/>
        <rFont val="Calibri"/>
        <family val="2"/>
        <scheme val="minor"/>
      </rPr>
      <t xml:space="preserve"> - Private Study
</t>
    </r>
    <r>
      <rPr>
        <b/>
        <sz val="11"/>
        <color theme="1"/>
        <rFont val="Calibri"/>
        <family val="2"/>
        <scheme val="minor"/>
      </rPr>
      <t>PracticeTeaching</t>
    </r>
    <r>
      <rPr>
        <sz val="11"/>
        <color theme="1"/>
        <rFont val="Calibri"/>
        <family val="2"/>
        <scheme val="minor"/>
      </rPr>
      <t xml:space="preserve"> - Practice Teaching
</t>
    </r>
    <r>
      <rPr>
        <b/>
        <sz val="11"/>
        <color theme="1"/>
        <rFont val="Calibri"/>
        <family val="2"/>
        <scheme val="minor"/>
      </rPr>
      <t>Internship</t>
    </r>
    <r>
      <rPr>
        <sz val="11"/>
        <color theme="1"/>
        <rFont val="Calibri"/>
        <family val="2"/>
        <scheme val="minor"/>
      </rPr>
      <t xml:space="preserve"> - Internship
</t>
    </r>
    <r>
      <rPr>
        <b/>
        <sz val="11"/>
        <color theme="1"/>
        <rFont val="Calibri"/>
        <family val="2"/>
        <scheme val="minor"/>
      </rPr>
      <t>Practicum</t>
    </r>
    <r>
      <rPr>
        <sz val="11"/>
        <color theme="1"/>
        <rFont val="Calibri"/>
        <family val="2"/>
        <scheme val="minor"/>
      </rPr>
      <t xml:space="preserve"> - Practicum
</t>
    </r>
    <r>
      <rPr>
        <b/>
        <sz val="11"/>
        <color theme="1"/>
        <rFont val="Calibri"/>
        <family val="2"/>
        <scheme val="minor"/>
      </rPr>
      <t>ApprenticeshipExternship</t>
    </r>
    <r>
      <rPr>
        <sz val="11"/>
        <color theme="1"/>
        <rFont val="Calibri"/>
        <family val="2"/>
        <scheme val="minor"/>
      </rPr>
      <t xml:space="preserve"> - Apprenticeship Externship
</t>
    </r>
    <r>
      <rPr>
        <b/>
        <sz val="11"/>
        <color theme="1"/>
        <rFont val="Calibri"/>
        <family val="2"/>
        <scheme val="minor"/>
      </rPr>
      <t>AppliedInstruction</t>
    </r>
    <r>
      <rPr>
        <sz val="11"/>
        <color theme="1"/>
        <rFont val="Calibri"/>
        <family val="2"/>
        <scheme val="minor"/>
      </rPr>
      <t xml:space="preserve"> - Applied Instruction
</t>
    </r>
    <r>
      <rPr>
        <b/>
        <sz val="11"/>
        <color theme="1"/>
        <rFont val="Calibri"/>
        <family val="2"/>
        <scheme val="minor"/>
      </rPr>
      <t>Residency</t>
    </r>
    <r>
      <rPr>
        <sz val="11"/>
        <color theme="1"/>
        <rFont val="Calibri"/>
        <family val="2"/>
        <scheme val="minor"/>
      </rPr>
      <t xml:space="preserve"> - Residency
</t>
    </r>
    <r>
      <rPr>
        <b/>
        <sz val="11"/>
        <color theme="1"/>
        <rFont val="Calibri"/>
        <family val="2"/>
        <scheme val="minor"/>
      </rPr>
      <t>ClinicalRotationInstruction</t>
    </r>
    <r>
      <rPr>
        <sz val="11"/>
        <color theme="1"/>
        <rFont val="Calibri"/>
        <family val="2"/>
        <scheme val="minor"/>
      </rPr>
      <t xml:space="preserve"> - Clinical Rotation Instruction
</t>
    </r>
    <r>
      <rPr>
        <b/>
        <sz val="11"/>
        <color theme="1"/>
        <rFont val="Calibri"/>
        <family val="2"/>
        <scheme val="minor"/>
      </rPr>
      <t>SelfPaced</t>
    </r>
    <r>
      <rPr>
        <sz val="11"/>
        <color theme="1"/>
        <rFont val="Calibri"/>
        <family val="2"/>
        <scheme val="minor"/>
      </rPr>
      <t xml:space="preserve"> - Self Paced
</t>
    </r>
    <r>
      <rPr>
        <b/>
        <sz val="11"/>
        <color theme="1"/>
        <rFont val="Calibri"/>
        <family val="2"/>
        <scheme val="minor"/>
      </rPr>
      <t>FieldStudy</t>
    </r>
    <r>
      <rPr>
        <sz val="11"/>
        <color theme="1"/>
        <rFont val="Calibri"/>
        <family val="2"/>
        <scheme val="minor"/>
      </rPr>
      <t xml:space="preserve"> - Field Study
</t>
    </r>
    <r>
      <rPr>
        <b/>
        <sz val="11"/>
        <color theme="1"/>
        <rFont val="Calibri"/>
        <family val="2"/>
        <scheme val="minor"/>
      </rPr>
      <t>InternetInstruction</t>
    </r>
    <r>
      <rPr>
        <sz val="11"/>
        <color theme="1"/>
        <rFont val="Calibri"/>
        <family val="2"/>
        <scheme val="minor"/>
      </rPr>
      <t xml:space="preserve"> - Internet Instruction
</t>
    </r>
    <r>
      <rPr>
        <b/>
        <sz val="11"/>
        <color theme="1"/>
        <rFont val="Calibri"/>
        <family val="2"/>
        <scheme val="minor"/>
      </rPr>
      <t>InteractiveVideo</t>
    </r>
    <r>
      <rPr>
        <sz val="11"/>
        <color theme="1"/>
        <rFont val="Calibri"/>
        <family val="2"/>
        <scheme val="minor"/>
      </rPr>
      <t xml:space="preserve"> - Interactive Video
</t>
    </r>
    <r>
      <rPr>
        <b/>
        <sz val="11"/>
        <color theme="1"/>
        <rFont val="Calibri"/>
        <family val="2"/>
        <scheme val="minor"/>
      </rPr>
      <t>Videotape</t>
    </r>
    <r>
      <rPr>
        <sz val="11"/>
        <color theme="1"/>
        <rFont val="Calibri"/>
        <family val="2"/>
        <scheme val="minor"/>
      </rPr>
      <t xml:space="preserve"> - Videotape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OtherDistanceLearning</t>
    </r>
    <r>
      <rPr>
        <sz val="11"/>
        <color theme="1"/>
        <rFont val="Calibri"/>
        <family val="2"/>
        <scheme val="minor"/>
      </rPr>
      <t xml:space="preserve"> - Other Distance Learning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ComputerBasedInstruction</t>
    </r>
    <r>
      <rPr>
        <sz val="11"/>
        <color theme="1"/>
        <rFont val="Calibri"/>
        <family val="2"/>
        <scheme val="minor"/>
      </rPr>
      <t xml:space="preserve"> - Computer Based Instruction
</t>
    </r>
    <r>
      <rPr>
        <b/>
        <sz val="11"/>
        <color theme="1"/>
        <rFont val="Calibri"/>
        <family val="2"/>
        <scheme val="minor"/>
      </rPr>
      <t>CompressedVideo</t>
    </r>
    <r>
      <rPr>
        <sz val="11"/>
        <color theme="1"/>
        <rFont val="Calibri"/>
        <family val="2"/>
        <scheme val="minor"/>
      </rPr>
      <t xml:space="preserve"> - Compressed Video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WorkStudy</t>
    </r>
    <r>
      <rPr>
        <sz val="11"/>
        <color theme="1"/>
        <rFont val="Calibri"/>
        <family val="2"/>
        <scheme val="minor"/>
      </rPr>
      <t xml:space="preserve"> - Work Study
</t>
    </r>
  </si>
  <si>
    <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 campus (e.g., branch campus, etc.)
</t>
    </r>
    <r>
      <rPr>
        <b/>
        <sz val="11"/>
        <color theme="1"/>
        <rFont val="Calibri"/>
        <family val="2"/>
        <scheme val="minor"/>
      </rPr>
      <t>Extension</t>
    </r>
    <r>
      <rPr>
        <sz val="11"/>
        <color theme="1"/>
        <rFont val="Calibri"/>
        <family val="2"/>
        <scheme val="minor"/>
      </rPr>
      <t xml:space="preserve"> - Extension center or site
</t>
    </r>
    <r>
      <rPr>
        <b/>
        <sz val="11"/>
        <color theme="1"/>
        <rFont val="Calibri"/>
        <family val="2"/>
        <scheme val="minor"/>
      </rPr>
      <t>StudyAbroad</t>
    </r>
    <r>
      <rPr>
        <sz val="11"/>
        <color theme="1"/>
        <rFont val="Calibri"/>
        <family val="2"/>
        <scheme val="minor"/>
      </rPr>
      <t xml:space="preserve"> - Study abroad
</t>
    </r>
    <r>
      <rPr>
        <b/>
        <sz val="11"/>
        <color theme="1"/>
        <rFont val="Calibri"/>
        <family val="2"/>
        <scheme val="minor"/>
      </rPr>
      <t>Correctional</t>
    </r>
    <r>
      <rPr>
        <sz val="11"/>
        <color theme="1"/>
        <rFont val="Calibri"/>
        <family val="2"/>
        <scheme val="minor"/>
      </rPr>
      <t xml:space="preserve"> - Correctional institution
</t>
    </r>
    <r>
      <rPr>
        <b/>
        <sz val="11"/>
        <color theme="1"/>
        <rFont val="Calibri"/>
        <family val="2"/>
        <scheme val="minor"/>
      </rPr>
      <t>Military</t>
    </r>
    <r>
      <rPr>
        <sz val="11"/>
        <color theme="1"/>
        <rFont val="Calibri"/>
        <family val="2"/>
        <scheme val="minor"/>
      </rPr>
      <t xml:space="preserve"> - Military Base
</t>
    </r>
    <r>
      <rPr>
        <b/>
        <sz val="11"/>
        <color theme="1"/>
        <rFont val="Calibri"/>
        <family val="2"/>
        <scheme val="minor"/>
      </rPr>
      <t>Telecommunication</t>
    </r>
    <r>
      <rPr>
        <sz val="11"/>
        <color theme="1"/>
        <rFont val="Calibri"/>
        <family val="2"/>
        <scheme val="minor"/>
      </rPr>
      <t xml:space="preserve"> - Instructional telecommunications
</t>
    </r>
    <r>
      <rPr>
        <b/>
        <sz val="11"/>
        <color theme="1"/>
        <rFont val="Calibri"/>
        <family val="2"/>
        <scheme val="minor"/>
      </rPr>
      <t>Auxiliary</t>
    </r>
    <r>
      <rPr>
        <sz val="11"/>
        <color theme="1"/>
        <rFont val="Calibri"/>
        <family val="2"/>
        <scheme val="minor"/>
      </rPr>
      <t xml:space="preserve"> - Auxiliary
</t>
    </r>
    <r>
      <rPr>
        <b/>
        <sz val="11"/>
        <color theme="1"/>
        <rFont val="Calibri"/>
        <family val="2"/>
        <scheme val="minor"/>
      </rPr>
      <t>ClinicHospital</t>
    </r>
    <r>
      <rPr>
        <sz val="11"/>
        <color theme="1"/>
        <rFont val="Calibri"/>
        <family val="2"/>
        <scheme val="minor"/>
      </rPr>
      <t xml:space="preserve"> - Clinic or hospital
</t>
    </r>
  </si>
  <si>
    <r>
      <t>Asynchronous</t>
    </r>
    <r>
      <rPr>
        <sz val="11"/>
        <color theme="1"/>
        <rFont val="Calibri"/>
        <family val="2"/>
        <scheme val="minor"/>
      </rPr>
      <t xml:space="preserve"> - Asynchronous
</t>
    </r>
    <r>
      <rPr>
        <b/>
        <sz val="11"/>
        <color theme="1"/>
        <rFont val="Calibri"/>
        <family val="2"/>
        <scheme val="minor"/>
      </rPr>
      <t>Synchronous</t>
    </r>
    <r>
      <rPr>
        <sz val="11"/>
        <color theme="1"/>
        <rFont val="Calibri"/>
        <family val="2"/>
        <scheme val="minor"/>
      </rPr>
      <t xml:space="preserve"> - Synchronous
</t>
    </r>
  </si>
  <si>
    <r>
      <t>00568</t>
    </r>
    <r>
      <rPr>
        <sz val="11"/>
        <color theme="1"/>
        <rFont val="Calibri"/>
        <family val="2"/>
        <scheme val="minor"/>
      </rPr>
      <t xml:space="preserve"> - Remedial course
</t>
    </r>
    <r>
      <rPr>
        <b/>
        <sz val="11"/>
        <color theme="1"/>
        <rFont val="Calibri"/>
        <family val="2"/>
        <scheme val="minor"/>
      </rPr>
      <t>00569</t>
    </r>
    <r>
      <rPr>
        <sz val="11"/>
        <color theme="1"/>
        <rFont val="Calibri"/>
        <family val="2"/>
        <scheme val="minor"/>
      </rPr>
      <t xml:space="preserve"> - Students with disabilities course
</t>
    </r>
    <r>
      <rPr>
        <b/>
        <sz val="11"/>
        <color theme="1"/>
        <rFont val="Calibri"/>
        <family val="2"/>
        <scheme val="minor"/>
      </rPr>
      <t>00570</t>
    </r>
    <r>
      <rPr>
        <sz val="11"/>
        <color theme="1"/>
        <rFont val="Calibri"/>
        <family val="2"/>
        <scheme val="minor"/>
      </rPr>
      <t xml:space="preserve"> - Basic course
</t>
    </r>
    <r>
      <rPr>
        <b/>
        <sz val="11"/>
        <color theme="1"/>
        <rFont val="Calibri"/>
        <family val="2"/>
        <scheme val="minor"/>
      </rPr>
      <t>00571</t>
    </r>
    <r>
      <rPr>
        <sz val="11"/>
        <color theme="1"/>
        <rFont val="Calibri"/>
        <family val="2"/>
        <scheme val="minor"/>
      </rPr>
      <t xml:space="preserve"> - General course
</t>
    </r>
    <r>
      <rPr>
        <b/>
        <sz val="11"/>
        <color theme="1"/>
        <rFont val="Calibri"/>
        <family val="2"/>
        <scheme val="minor"/>
      </rPr>
      <t>00572</t>
    </r>
    <r>
      <rPr>
        <sz val="11"/>
        <color theme="1"/>
        <rFont val="Calibri"/>
        <family val="2"/>
        <scheme val="minor"/>
      </rPr>
      <t xml:space="preserve"> - Honors level course
</t>
    </r>
    <r>
      <rPr>
        <b/>
        <sz val="11"/>
        <color theme="1"/>
        <rFont val="Calibri"/>
        <family val="2"/>
        <scheme val="minor"/>
      </rPr>
      <t>00573</t>
    </r>
    <r>
      <rPr>
        <sz val="11"/>
        <color theme="1"/>
        <rFont val="Calibri"/>
        <family val="2"/>
        <scheme val="minor"/>
      </rPr>
      <t xml:space="preserve"> - Gifted and talented course
</t>
    </r>
    <r>
      <rPr>
        <b/>
        <sz val="11"/>
        <color theme="1"/>
        <rFont val="Calibri"/>
        <family val="2"/>
        <scheme val="minor"/>
      </rPr>
      <t>00574</t>
    </r>
    <r>
      <rPr>
        <sz val="11"/>
        <color theme="1"/>
        <rFont val="Calibri"/>
        <family val="2"/>
        <scheme val="minor"/>
      </rPr>
      <t xml:space="preserve"> - International Baccalaureate course
</t>
    </r>
    <r>
      <rPr>
        <b/>
        <sz val="11"/>
        <color theme="1"/>
        <rFont val="Calibri"/>
        <family val="2"/>
        <scheme val="minor"/>
      </rPr>
      <t>00575</t>
    </r>
    <r>
      <rPr>
        <sz val="11"/>
        <color theme="1"/>
        <rFont val="Calibri"/>
        <family val="2"/>
        <scheme val="minor"/>
      </rPr>
      <t xml:space="preserve"> - Advanced placement course
</t>
    </r>
    <r>
      <rPr>
        <b/>
        <sz val="11"/>
        <color theme="1"/>
        <rFont val="Calibri"/>
        <family val="2"/>
        <scheme val="minor"/>
      </rPr>
      <t>00576</t>
    </r>
    <r>
      <rPr>
        <sz val="11"/>
        <color theme="1"/>
        <rFont val="Calibri"/>
        <family val="2"/>
        <scheme val="minor"/>
      </rPr>
      <t xml:space="preserve"> - College-level course
</t>
    </r>
    <r>
      <rPr>
        <b/>
        <sz val="11"/>
        <color theme="1"/>
        <rFont val="Calibri"/>
        <family val="2"/>
        <scheme val="minor"/>
      </rPr>
      <t>00577</t>
    </r>
    <r>
      <rPr>
        <sz val="11"/>
        <color theme="1"/>
        <rFont val="Calibri"/>
        <family val="2"/>
        <scheme val="minor"/>
      </rPr>
      <t xml:space="preserve"> - Untracked course
</t>
    </r>
    <r>
      <rPr>
        <b/>
        <sz val="11"/>
        <color theme="1"/>
        <rFont val="Calibri"/>
        <family val="2"/>
        <scheme val="minor"/>
      </rPr>
      <t>00578</t>
    </r>
    <r>
      <rPr>
        <sz val="11"/>
        <color theme="1"/>
        <rFont val="Calibri"/>
        <family val="2"/>
        <scheme val="minor"/>
      </rPr>
      <t xml:space="preserve"> - English Language Learner (ELL) course
</t>
    </r>
    <r>
      <rPr>
        <b/>
        <sz val="11"/>
        <color theme="1"/>
        <rFont val="Calibri"/>
        <family val="2"/>
        <scheme val="minor"/>
      </rPr>
      <t>00579</t>
    </r>
    <r>
      <rPr>
        <sz val="11"/>
        <color theme="1"/>
        <rFont val="Calibri"/>
        <family val="2"/>
        <scheme val="minor"/>
      </rPr>
      <t xml:space="preserve"> - Accepted as a high school equivalent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73044</t>
    </r>
    <r>
      <rPr>
        <sz val="11"/>
        <color theme="1"/>
        <rFont val="Calibri"/>
        <family val="2"/>
        <scheme val="minor"/>
      </rPr>
      <t xml:space="preserve"> - Career and technical education general course
</t>
    </r>
    <r>
      <rPr>
        <b/>
        <sz val="11"/>
        <color theme="1"/>
        <rFont val="Calibri"/>
        <family val="2"/>
        <scheme val="minor"/>
      </rPr>
      <t>73045</t>
    </r>
    <r>
      <rPr>
        <sz val="11"/>
        <color theme="1"/>
        <rFont val="Calibri"/>
        <family val="2"/>
        <scheme val="minor"/>
      </rPr>
      <t xml:space="preserve"> - Career and technical education dual-credit course
</t>
    </r>
  </si>
  <si>
    <r>
      <t>Accelerated</t>
    </r>
    <r>
      <rPr>
        <sz val="11"/>
        <color theme="1"/>
        <rFont val="Calibri"/>
        <family val="2"/>
        <scheme val="minor"/>
      </rPr>
      <t xml:space="preserve"> - Accelerated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Basic</t>
    </r>
    <r>
      <rPr>
        <sz val="11"/>
        <color theme="1"/>
        <rFont val="Calibri"/>
        <family val="2"/>
        <scheme val="minor"/>
      </rPr>
      <t xml:space="preserve"> - Basic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CollegeLevel</t>
    </r>
    <r>
      <rPr>
        <sz val="11"/>
        <color theme="1"/>
        <rFont val="Calibri"/>
        <family val="2"/>
        <scheme val="minor"/>
      </rPr>
      <t xml:space="preserve"> - College Level
</t>
    </r>
    <r>
      <rPr>
        <b/>
        <sz val="11"/>
        <color theme="1"/>
        <rFont val="Calibri"/>
        <family val="2"/>
        <scheme val="minor"/>
      </rPr>
      <t>CollegePreparatory</t>
    </r>
    <r>
      <rPr>
        <sz val="11"/>
        <color theme="1"/>
        <rFont val="Calibri"/>
        <family val="2"/>
        <scheme val="minor"/>
      </rPr>
      <t xml:space="preserve"> - College Preparatory
</t>
    </r>
    <r>
      <rPr>
        <b/>
        <sz val="11"/>
        <color theme="1"/>
        <rFont val="Calibri"/>
        <family val="2"/>
        <scheme val="minor"/>
      </rPr>
      <t>GiftedTalented</t>
    </r>
    <r>
      <rPr>
        <sz val="11"/>
        <color theme="1"/>
        <rFont val="Calibri"/>
        <family val="2"/>
        <scheme val="minor"/>
      </rPr>
      <t xml:space="preserve"> - Gifted and Talented
</t>
    </r>
    <r>
      <rPr>
        <b/>
        <sz val="11"/>
        <color theme="1"/>
        <rFont val="Calibri"/>
        <family val="2"/>
        <scheme val="minor"/>
      </rPr>
      <t>Honors</t>
    </r>
    <r>
      <rPr>
        <sz val="11"/>
        <color theme="1"/>
        <rFont val="Calibri"/>
        <family val="2"/>
        <scheme val="minor"/>
      </rPr>
      <t xml:space="preserve"> - Honors
</t>
    </r>
    <r>
      <rPr>
        <b/>
        <sz val="11"/>
        <color theme="1"/>
        <rFont val="Calibri"/>
        <family val="2"/>
        <scheme val="minor"/>
      </rPr>
      <t>NonAcademic</t>
    </r>
    <r>
      <rPr>
        <sz val="11"/>
        <color theme="1"/>
        <rFont val="Calibri"/>
        <family val="2"/>
        <scheme val="minor"/>
      </rPr>
      <t xml:space="preserve"> - Non-Academic
</t>
    </r>
    <r>
      <rPr>
        <b/>
        <sz val="11"/>
        <color theme="1"/>
        <rFont val="Calibri"/>
        <family val="2"/>
        <scheme val="minor"/>
      </rPr>
      <t>SpecialEducation</t>
    </r>
    <r>
      <rPr>
        <sz val="11"/>
        <color theme="1"/>
        <rFont val="Calibri"/>
        <family val="2"/>
        <scheme val="minor"/>
      </rPr>
      <t xml:space="preserve"> - Special Education
</t>
    </r>
    <r>
      <rPr>
        <b/>
        <sz val="11"/>
        <color theme="1"/>
        <rFont val="Calibri"/>
        <family val="2"/>
        <scheme val="minor"/>
      </rPr>
      <t>TechnicalPreparatory</t>
    </r>
    <r>
      <rPr>
        <sz val="11"/>
        <color theme="1"/>
        <rFont val="Calibri"/>
        <family val="2"/>
        <scheme val="minor"/>
      </rPr>
      <t xml:space="preserve"> - Technical Preparatory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LowerDivision</t>
    </r>
    <r>
      <rPr>
        <sz val="11"/>
        <color theme="1"/>
        <rFont val="Calibri"/>
        <family val="2"/>
        <scheme val="minor"/>
      </rPr>
      <t xml:space="preserve"> - Lower division
</t>
    </r>
    <r>
      <rPr>
        <b/>
        <sz val="11"/>
        <color theme="1"/>
        <rFont val="Calibri"/>
        <family val="2"/>
        <scheme val="minor"/>
      </rPr>
      <t>UpperDivision</t>
    </r>
    <r>
      <rPr>
        <sz val="11"/>
        <color theme="1"/>
        <rFont val="Calibri"/>
        <family val="2"/>
        <scheme val="minor"/>
      </rPr>
      <t xml:space="preserve"> - Upper division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Graduate/Professional
</t>
    </r>
    <r>
      <rPr>
        <b/>
        <sz val="11"/>
        <color theme="1"/>
        <rFont val="Calibri"/>
        <family val="2"/>
        <scheme val="minor"/>
      </rPr>
      <t>Regents</t>
    </r>
    <r>
      <rPr>
        <sz val="11"/>
        <color theme="1"/>
        <rFont val="Calibri"/>
        <family val="2"/>
        <scheme val="minor"/>
      </rPr>
      <t xml:space="preserve"> - Regents
</t>
    </r>
    <r>
      <rPr>
        <b/>
        <sz val="11"/>
        <color theme="1"/>
        <rFont val="Calibri"/>
        <family val="2"/>
        <scheme val="minor"/>
      </rPr>
      <t>Remedial</t>
    </r>
    <r>
      <rPr>
        <sz val="11"/>
        <color theme="1"/>
        <rFont val="Calibri"/>
        <family val="2"/>
        <scheme val="minor"/>
      </rPr>
      <t xml:space="preserve"> - Remedial/Developmental
</t>
    </r>
  </si>
  <si>
    <r>
      <t>RepeatCounted</t>
    </r>
    <r>
      <rPr>
        <sz val="11"/>
        <color theme="1"/>
        <rFont val="Calibri"/>
        <family val="2"/>
        <scheme val="minor"/>
      </rPr>
      <t xml:space="preserve"> - Repeated, counted in grade point average
</t>
    </r>
    <r>
      <rPr>
        <b/>
        <sz val="11"/>
        <color theme="1"/>
        <rFont val="Calibri"/>
        <family val="2"/>
        <scheme val="minor"/>
      </rPr>
      <t>RepeatNotCounted</t>
    </r>
    <r>
      <rPr>
        <sz val="11"/>
        <color theme="1"/>
        <rFont val="Calibri"/>
        <family val="2"/>
        <scheme val="minor"/>
      </rPr>
      <t xml:space="preserve"> - Repeated, not counted in grade point average
</t>
    </r>
    <r>
      <rPr>
        <b/>
        <sz val="11"/>
        <color theme="1"/>
        <rFont val="Calibri"/>
        <family val="2"/>
        <scheme val="minor"/>
      </rPr>
      <t>ReplacementCounted</t>
    </r>
    <r>
      <rPr>
        <sz val="11"/>
        <color theme="1"/>
        <rFont val="Calibri"/>
        <family val="2"/>
        <scheme val="minor"/>
      </rPr>
      <t xml:space="preserve"> - Replacement counted
</t>
    </r>
    <r>
      <rPr>
        <b/>
        <sz val="11"/>
        <color theme="1"/>
        <rFont val="Calibri"/>
        <family val="2"/>
        <scheme val="minor"/>
      </rPr>
      <t>ReplacedNotCounted</t>
    </r>
    <r>
      <rPr>
        <sz val="11"/>
        <color theme="1"/>
        <rFont val="Calibri"/>
        <family val="2"/>
        <scheme val="minor"/>
      </rPr>
      <t xml:space="preserve"> - Replacement not counted
</t>
    </r>
    <r>
      <rPr>
        <b/>
        <sz val="11"/>
        <color theme="1"/>
        <rFont val="Calibri"/>
        <family val="2"/>
        <scheme val="minor"/>
      </rPr>
      <t>RepeatOtherInstitution</t>
    </r>
    <r>
      <rPr>
        <sz val="11"/>
        <color theme="1"/>
        <rFont val="Calibri"/>
        <family val="2"/>
        <scheme val="minor"/>
      </rPr>
      <t xml:space="preserve"> - Repeated, other institution
</t>
    </r>
    <r>
      <rPr>
        <b/>
        <sz val="11"/>
        <color theme="1"/>
        <rFont val="Calibri"/>
        <family val="2"/>
        <scheme val="minor"/>
      </rPr>
      <t>NotCountedOther</t>
    </r>
    <r>
      <rPr>
        <sz val="11"/>
        <color theme="1"/>
        <rFont val="Calibri"/>
        <family val="2"/>
        <scheme val="minor"/>
      </rPr>
      <t xml:space="preserve"> - Other, not counted in GPA (e.g., used for academic forgiveness or clemency).
</t>
    </r>
  </si>
  <si>
    <r>
      <t>Pre-registered</t>
    </r>
    <r>
      <rPr>
        <sz val="11"/>
        <color theme="1"/>
        <rFont val="Calibri"/>
        <family val="2"/>
        <scheme val="minor"/>
      </rPr>
      <t xml:space="preserve"> - Pre-registered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WaitListed</t>
    </r>
    <r>
      <rPr>
        <sz val="11"/>
        <color theme="1"/>
        <rFont val="Calibri"/>
        <family val="2"/>
        <scheme val="minor"/>
      </rPr>
      <t xml:space="preserve"> - Wait Listed
</t>
    </r>
    <r>
      <rPr>
        <b/>
        <sz val="11"/>
        <color theme="1"/>
        <rFont val="Calibri"/>
        <family val="2"/>
        <scheme val="minor"/>
      </rPr>
      <t>Dropped</t>
    </r>
    <r>
      <rPr>
        <sz val="11"/>
        <color theme="1"/>
        <rFont val="Calibri"/>
        <family val="2"/>
        <scheme val="minor"/>
      </rPr>
      <t xml:space="preserve"> - Dropped
</t>
    </r>
    <r>
      <rPr>
        <b/>
        <sz val="11"/>
        <color theme="1"/>
        <rFont val="Calibri"/>
        <family val="2"/>
        <scheme val="minor"/>
      </rPr>
      <t>Completed</t>
    </r>
    <r>
      <rPr>
        <sz val="11"/>
        <color theme="1"/>
        <rFont val="Calibri"/>
        <family val="2"/>
        <scheme val="minor"/>
      </rPr>
      <t xml:space="preserve"> - Completed
</t>
    </r>
  </si>
  <si>
    <r>
      <t>NewEnrollment</t>
    </r>
    <r>
      <rPr>
        <sz val="11"/>
        <color theme="1"/>
        <rFont val="Calibri"/>
        <family val="2"/>
        <scheme val="minor"/>
      </rPr>
      <t xml:space="preserve"> - New Enrollment
</t>
    </r>
    <r>
      <rPr>
        <b/>
        <sz val="11"/>
        <color theme="1"/>
        <rFont val="Calibri"/>
        <family val="2"/>
        <scheme val="minor"/>
      </rPr>
      <t>Transfer</t>
    </r>
    <r>
      <rPr>
        <sz val="11"/>
        <color theme="1"/>
        <rFont val="Calibri"/>
        <family val="2"/>
        <scheme val="minor"/>
      </rPr>
      <t xml:space="preserve"> - Transfer
</t>
    </r>
  </si>
  <si>
    <r>
      <t>Transfer</t>
    </r>
    <r>
      <rPr>
        <sz val="11"/>
        <color theme="1"/>
        <rFont val="Calibri"/>
        <family val="2"/>
        <scheme val="minor"/>
      </rPr>
      <t xml:space="preserve"> - Student transferred to another Class Section of the same course in the same educational institution.
</t>
    </r>
    <r>
      <rPr>
        <b/>
        <sz val="11"/>
        <color theme="1"/>
        <rFont val="Calibri"/>
        <family val="2"/>
        <scheme val="minor"/>
      </rPr>
      <t>CompletedForCredit</t>
    </r>
    <r>
      <rPr>
        <sz val="11"/>
        <color theme="1"/>
        <rFont val="Calibri"/>
        <family val="2"/>
        <scheme val="minor"/>
      </rPr>
      <t xml:space="preserve"> - Class Section completed, student received credit for the course.
</t>
    </r>
    <r>
      <rPr>
        <b/>
        <sz val="11"/>
        <color theme="1"/>
        <rFont val="Calibri"/>
        <family val="2"/>
        <scheme val="minor"/>
      </rPr>
      <t>CompletedNoCredit</t>
    </r>
    <r>
      <rPr>
        <sz val="11"/>
        <color theme="1"/>
        <rFont val="Calibri"/>
        <family val="2"/>
        <scheme val="minor"/>
      </rPr>
      <t xml:space="preserve"> - Class Section completed, student did not receive credit for the course.
</t>
    </r>
    <r>
      <rPr>
        <b/>
        <sz val="11"/>
        <color theme="1"/>
        <rFont val="Calibri"/>
        <family val="2"/>
        <scheme val="minor"/>
      </rPr>
      <t>Incomplete</t>
    </r>
    <r>
      <rPr>
        <sz val="11"/>
        <color theme="1"/>
        <rFont val="Calibri"/>
        <family val="2"/>
        <scheme val="minor"/>
      </rPr>
      <t xml:space="preserve"> - Class Section completed, student did not complete the work required to complete the course.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</si>
  <si>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</si>
  <si>
    <r>
      <t>MaleOnly</t>
    </r>
    <r>
      <rPr>
        <sz val="11"/>
        <color theme="1"/>
        <rFont val="Calibri"/>
        <family val="2"/>
        <scheme val="minor"/>
      </rPr>
      <t xml:space="preserve"> - Male-only
</t>
    </r>
    <r>
      <rPr>
        <b/>
        <sz val="11"/>
        <color theme="1"/>
        <rFont val="Calibri"/>
        <family val="2"/>
        <scheme val="minor"/>
      </rPr>
      <t>FemaleOnly</t>
    </r>
    <r>
      <rPr>
        <sz val="11"/>
        <color theme="1"/>
        <rFont val="Calibri"/>
        <family val="2"/>
        <scheme val="minor"/>
      </rPr>
      <t xml:space="preserve"> - Female-only
</t>
    </r>
    <r>
      <rPr>
        <b/>
        <sz val="11"/>
        <color theme="1"/>
        <rFont val="Calibri"/>
        <family val="2"/>
        <scheme val="minor"/>
      </rPr>
      <t>NotSingleSex</t>
    </r>
    <r>
      <rPr>
        <sz val="11"/>
        <color theme="1"/>
        <rFont val="Calibri"/>
        <family val="2"/>
        <scheme val="minor"/>
      </rPr>
      <t xml:space="preserve"> - Not a single-sex class
</t>
    </r>
  </si>
  <si>
    <r>
      <t>Certification</t>
    </r>
    <r>
      <rPr>
        <sz val="11"/>
        <color theme="1"/>
        <rFont val="Calibri"/>
        <family val="2"/>
        <scheme val="minor"/>
      </rPr>
      <t xml:space="preserve"> - Certification
</t>
    </r>
    <r>
      <rPr>
        <b/>
        <sz val="11"/>
        <color theme="1"/>
        <rFont val="Calibri"/>
        <family val="2"/>
        <scheme val="minor"/>
      </rPr>
      <t>Endorsement</t>
    </r>
    <r>
      <rPr>
        <sz val="11"/>
        <color theme="1"/>
        <rFont val="Calibri"/>
        <family val="2"/>
        <scheme val="minor"/>
      </rPr>
      <t xml:space="preserve"> - Endorsement
</t>
    </r>
    <r>
      <rPr>
        <b/>
        <sz val="11"/>
        <color theme="1"/>
        <rFont val="Calibri"/>
        <family val="2"/>
        <scheme val="minor"/>
      </rPr>
      <t>Licensure</t>
    </r>
    <r>
      <rPr>
        <sz val="11"/>
        <color theme="1"/>
        <rFont val="Calibri"/>
        <family val="2"/>
        <scheme val="minor"/>
      </rPr>
      <t xml:space="preserve"> - Licensure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Registration</t>
    </r>
    <r>
      <rPr>
        <sz val="11"/>
        <color theme="1"/>
        <rFont val="Calibri"/>
        <family val="2"/>
        <scheme val="minor"/>
      </rPr>
      <t xml:space="preserve"> - Registration
</t>
    </r>
  </si>
  <si>
    <r>
      <t>00</t>
    </r>
    <r>
      <rPr>
        <sz val="11"/>
        <color theme="1"/>
        <rFont val="Calibri"/>
        <family val="2"/>
        <scheme val="minor"/>
      </rPr>
      <t xml:space="preserve"> - None
</t>
    </r>
    <r>
      <rPr>
        <b/>
        <sz val="11"/>
        <color theme="1"/>
        <rFont val="Calibri"/>
        <family val="2"/>
        <scheme val="minor"/>
      </rPr>
      <t>01</t>
    </r>
    <r>
      <rPr>
        <sz val="11"/>
        <color theme="1"/>
        <rFont val="Calibri"/>
        <family val="2"/>
        <scheme val="minor"/>
      </rPr>
      <t xml:space="preserve"> - Undergraduate hours applied towards graduate degree
</t>
    </r>
    <r>
      <rPr>
        <b/>
        <sz val="11"/>
        <color theme="1"/>
        <rFont val="Calibri"/>
        <family val="2"/>
        <scheme val="minor"/>
      </rPr>
      <t>02</t>
    </r>
    <r>
      <rPr>
        <sz val="11"/>
        <color theme="1"/>
        <rFont val="Calibri"/>
        <family val="2"/>
        <scheme val="minor"/>
      </rPr>
      <t xml:space="preserve"> - Credit hours taken at the postbaccalaureate level
</t>
    </r>
    <r>
      <rPr>
        <b/>
        <sz val="11"/>
        <color theme="1"/>
        <rFont val="Calibri"/>
        <family val="2"/>
        <scheme val="minor"/>
      </rPr>
      <t>03</t>
    </r>
    <r>
      <rPr>
        <sz val="11"/>
        <color theme="1"/>
        <rFont val="Calibri"/>
        <family val="2"/>
        <scheme val="minor"/>
      </rPr>
      <t xml:space="preserve"> - Credit hours taken as unclassified student
</t>
    </r>
    <r>
      <rPr>
        <b/>
        <sz val="11"/>
        <color theme="1"/>
        <rFont val="Calibri"/>
        <family val="2"/>
        <scheme val="minor"/>
      </rPr>
      <t>04</t>
    </r>
    <r>
      <rPr>
        <sz val="11"/>
        <color theme="1"/>
        <rFont val="Calibri"/>
        <family val="2"/>
        <scheme val="minor"/>
      </rPr>
      <t xml:space="preserve"> - Credit hours taken as an independent student
</t>
    </r>
    <r>
      <rPr>
        <b/>
        <sz val="11"/>
        <color theme="1"/>
        <rFont val="Calibri"/>
        <family val="2"/>
        <scheme val="minor"/>
      </rPr>
      <t>05</t>
    </r>
    <r>
      <rPr>
        <sz val="11"/>
        <color theme="1"/>
        <rFont val="Calibri"/>
        <family val="2"/>
        <scheme val="minor"/>
      </rPr>
      <t xml:space="preserve"> - Credit hours taken as traveling scholar at another university
</t>
    </r>
    <r>
      <rPr>
        <b/>
        <sz val="11"/>
        <color theme="1"/>
        <rFont val="Calibri"/>
        <family val="2"/>
        <scheme val="minor"/>
      </rPr>
      <t>06</t>
    </r>
    <r>
      <rPr>
        <sz val="11"/>
        <color theme="1"/>
        <rFont val="Calibri"/>
        <family val="2"/>
        <scheme val="minor"/>
      </rPr>
      <t xml:space="preserve"> - Credit hours taken at master's level
</t>
    </r>
    <r>
      <rPr>
        <b/>
        <sz val="11"/>
        <color theme="1"/>
        <rFont val="Calibri"/>
        <family val="2"/>
        <scheme val="minor"/>
      </rPr>
      <t>07</t>
    </r>
    <r>
      <rPr>
        <sz val="11"/>
        <color theme="1"/>
        <rFont val="Calibri"/>
        <family val="2"/>
        <scheme val="minor"/>
      </rPr>
      <t xml:space="preserve"> - Credit hours taken as a master's student in one program, applied towards another master's program
</t>
    </r>
    <r>
      <rPr>
        <b/>
        <sz val="11"/>
        <color theme="1"/>
        <rFont val="Calibri"/>
        <family val="2"/>
        <scheme val="minor"/>
      </rPr>
      <t>98</t>
    </r>
    <r>
      <rPr>
        <sz val="11"/>
        <color theme="1"/>
        <rFont val="Calibri"/>
        <family val="2"/>
        <scheme val="minor"/>
      </rPr>
      <t xml:space="preserve"> - Unknown
</t>
    </r>
    <r>
      <rPr>
        <b/>
        <sz val="11"/>
        <color theme="1"/>
        <rFont val="Calibri"/>
        <family val="2"/>
        <scheme val="minor"/>
      </rPr>
      <t>99</t>
    </r>
    <r>
      <rPr>
        <sz val="11"/>
        <color theme="1"/>
        <rFont val="Calibri"/>
        <family val="2"/>
        <scheme val="minor"/>
      </rPr>
      <t xml:space="preserve"> - Other
</t>
    </r>
  </si>
  <si>
    <r>
      <t>00585</t>
    </r>
    <r>
      <rPr>
        <sz val="11"/>
        <color theme="1"/>
        <rFont val="Calibri"/>
        <family val="2"/>
        <scheme val="minor"/>
      </rPr>
      <t xml:space="preserve"> - Carnegie unit
</t>
    </r>
    <r>
      <rPr>
        <b/>
        <sz val="11"/>
        <color theme="1"/>
        <rFont val="Calibri"/>
        <family val="2"/>
        <scheme val="minor"/>
      </rPr>
      <t>00586</t>
    </r>
    <r>
      <rPr>
        <sz val="11"/>
        <color theme="1"/>
        <rFont val="Calibri"/>
        <family val="2"/>
        <scheme val="minor"/>
      </rPr>
      <t xml:space="preserve"> - Semester hour credit
</t>
    </r>
    <r>
      <rPr>
        <b/>
        <sz val="11"/>
        <color theme="1"/>
        <rFont val="Calibri"/>
        <family val="2"/>
        <scheme val="minor"/>
      </rPr>
      <t>00587</t>
    </r>
    <r>
      <rPr>
        <sz val="11"/>
        <color theme="1"/>
        <rFont val="Calibri"/>
        <family val="2"/>
        <scheme val="minor"/>
      </rPr>
      <t xml:space="preserve"> - Trimester hour credit
</t>
    </r>
    <r>
      <rPr>
        <b/>
        <sz val="11"/>
        <color theme="1"/>
        <rFont val="Calibri"/>
        <family val="2"/>
        <scheme val="minor"/>
      </rPr>
      <t>00588</t>
    </r>
    <r>
      <rPr>
        <sz val="11"/>
        <color theme="1"/>
        <rFont val="Calibri"/>
        <family val="2"/>
        <scheme val="minor"/>
      </rPr>
      <t xml:space="preserve"> - Quarter hour credit
</t>
    </r>
    <r>
      <rPr>
        <b/>
        <sz val="11"/>
        <color theme="1"/>
        <rFont val="Calibri"/>
        <family val="2"/>
        <scheme val="minor"/>
      </rPr>
      <t>00589</t>
    </r>
    <r>
      <rPr>
        <sz val="11"/>
        <color theme="1"/>
        <rFont val="Calibri"/>
        <family val="2"/>
        <scheme val="minor"/>
      </rPr>
      <t xml:space="preserve"> - Quinmester hour credit
</t>
    </r>
    <r>
      <rPr>
        <b/>
        <sz val="11"/>
        <color theme="1"/>
        <rFont val="Calibri"/>
        <family val="2"/>
        <scheme val="minor"/>
      </rPr>
      <t>00590</t>
    </r>
    <r>
      <rPr>
        <sz val="11"/>
        <color theme="1"/>
        <rFont val="Calibri"/>
        <family val="2"/>
        <scheme val="minor"/>
      </rPr>
      <t xml:space="preserve"> - Mini-term hour credit
</t>
    </r>
    <r>
      <rPr>
        <b/>
        <sz val="11"/>
        <color theme="1"/>
        <rFont val="Calibri"/>
        <family val="2"/>
        <scheme val="minor"/>
      </rPr>
      <t>00591</t>
    </r>
    <r>
      <rPr>
        <sz val="11"/>
        <color theme="1"/>
        <rFont val="Calibri"/>
        <family val="2"/>
        <scheme val="minor"/>
      </rPr>
      <t xml:space="preserve"> - Summer term hour credit
</t>
    </r>
    <r>
      <rPr>
        <b/>
        <sz val="11"/>
        <color theme="1"/>
        <rFont val="Calibri"/>
        <family val="2"/>
        <scheme val="minor"/>
      </rPr>
      <t>00592</t>
    </r>
    <r>
      <rPr>
        <sz val="11"/>
        <color theme="1"/>
        <rFont val="Calibri"/>
        <family val="2"/>
        <scheme val="minor"/>
      </rPr>
      <t xml:space="preserve"> - Intersession hour credit
</t>
    </r>
    <r>
      <rPr>
        <b/>
        <sz val="11"/>
        <color theme="1"/>
        <rFont val="Calibri"/>
        <family val="2"/>
        <scheme val="minor"/>
      </rPr>
      <t>00595</t>
    </r>
    <r>
      <rPr>
        <sz val="11"/>
        <color theme="1"/>
        <rFont val="Calibri"/>
        <family val="2"/>
        <scheme val="minor"/>
      </rPr>
      <t xml:space="preserve"> - Long session hour credit
</t>
    </r>
    <r>
      <rPr>
        <b/>
        <sz val="11"/>
        <color theme="1"/>
        <rFont val="Calibri"/>
        <family val="2"/>
        <scheme val="minor"/>
      </rPr>
      <t>00596</t>
    </r>
    <r>
      <rPr>
        <sz val="11"/>
        <color theme="1"/>
        <rFont val="Calibri"/>
        <family val="2"/>
        <scheme val="minor"/>
      </rPr>
      <t xml:space="preserve"> - Twelve month hour credit
</t>
    </r>
    <r>
      <rPr>
        <b/>
        <sz val="11"/>
        <color theme="1"/>
        <rFont val="Calibri"/>
        <family val="2"/>
        <scheme val="minor"/>
      </rPr>
      <t>00597</t>
    </r>
    <r>
      <rPr>
        <sz val="11"/>
        <color theme="1"/>
        <rFont val="Calibri"/>
        <family val="2"/>
        <scheme val="minor"/>
      </rPr>
      <t xml:space="preserve"> - Career and Technical Education credit
</t>
    </r>
    <r>
      <rPr>
        <b/>
        <sz val="11"/>
        <color theme="1"/>
        <rFont val="Calibri"/>
        <family val="2"/>
        <scheme val="minor"/>
      </rPr>
      <t>73062</t>
    </r>
    <r>
      <rPr>
        <sz val="11"/>
        <color theme="1"/>
        <rFont val="Calibri"/>
        <family val="2"/>
        <scheme val="minor"/>
      </rPr>
      <t xml:space="preserve"> - Adult high school credit
</t>
    </r>
    <r>
      <rPr>
        <b/>
        <sz val="11"/>
        <color theme="1"/>
        <rFont val="Calibri"/>
        <family val="2"/>
        <scheme val="minor"/>
      </rPr>
      <t>00599</t>
    </r>
    <r>
      <rPr>
        <sz val="11"/>
        <color theme="1"/>
        <rFont val="Calibri"/>
        <family val="2"/>
        <scheme val="minor"/>
      </rPr>
      <t xml:space="preserve"> - Credit by examination
</t>
    </r>
    <r>
      <rPr>
        <b/>
        <sz val="11"/>
        <color theme="1"/>
        <rFont val="Calibri"/>
        <family val="2"/>
        <scheme val="minor"/>
      </rPr>
      <t>00600</t>
    </r>
    <r>
      <rPr>
        <sz val="11"/>
        <color theme="1"/>
        <rFont val="Calibri"/>
        <family val="2"/>
        <scheme val="minor"/>
      </rPr>
      <t xml:space="preserve"> - Correspondence credit
</t>
    </r>
    <r>
      <rPr>
        <b/>
        <sz val="11"/>
        <color theme="1"/>
        <rFont val="Calibri"/>
        <family val="2"/>
        <scheme val="minor"/>
      </rPr>
      <t>00601</t>
    </r>
    <r>
      <rPr>
        <sz val="11"/>
        <color theme="1"/>
        <rFont val="Calibri"/>
        <family val="2"/>
        <scheme val="minor"/>
      </rPr>
      <t xml:space="preserve"> - Converted occupational experience credit
</t>
    </r>
    <r>
      <rPr>
        <b/>
        <sz val="11"/>
        <color theme="1"/>
        <rFont val="Calibri"/>
        <family val="2"/>
        <scheme val="minor"/>
      </rPr>
      <t>09999</t>
    </r>
    <r>
      <rPr>
        <sz val="11"/>
        <color theme="1"/>
        <rFont val="Calibri"/>
        <family val="2"/>
        <scheme val="minor"/>
      </rPr>
      <t xml:space="preserve"> - Other
</t>
    </r>
  </si>
  <si>
    <r>
      <t>LEA</t>
    </r>
    <r>
      <rPr>
        <sz val="11"/>
        <color theme="1"/>
        <rFont val="Calibri"/>
        <family val="2"/>
        <scheme val="minor"/>
      </rPr>
      <t xml:space="preserve"> - Local Education Agency (LEA) curriculum framework
</t>
    </r>
    <r>
      <rPr>
        <b/>
        <sz val="11"/>
        <color theme="1"/>
        <rFont val="Calibri"/>
        <family val="2"/>
        <scheme val="minor"/>
      </rPr>
      <t>NationalStandard</t>
    </r>
    <r>
      <rPr>
        <sz val="11"/>
        <color theme="1"/>
        <rFont val="Calibri"/>
        <family val="2"/>
        <scheme val="minor"/>
      </rPr>
      <t xml:space="preserve"> - National curriculum standard
</t>
    </r>
    <r>
      <rPr>
        <b/>
        <sz val="11"/>
        <color theme="1"/>
        <rFont val="Calibri"/>
        <family val="2"/>
        <scheme val="minor"/>
      </rPr>
      <t>PrivateOrReligious</t>
    </r>
    <r>
      <rPr>
        <sz val="11"/>
        <color theme="1"/>
        <rFont val="Calibri"/>
        <family val="2"/>
        <scheme val="minor"/>
      </rPr>
      <t xml:space="preserve"> - Private, religious curriculum
</t>
    </r>
    <r>
      <rPr>
        <b/>
        <sz val="11"/>
        <color theme="1"/>
        <rFont val="Calibri"/>
        <family val="2"/>
        <scheme val="minor"/>
      </rPr>
      <t>School</t>
    </r>
    <r>
      <rPr>
        <sz val="11"/>
        <color theme="1"/>
        <rFont val="Calibri"/>
        <family val="2"/>
        <scheme val="minor"/>
      </rPr>
      <t xml:space="preserve"> - School curriculum framework
</t>
    </r>
    <r>
      <rPr>
        <b/>
        <sz val="11"/>
        <color theme="1"/>
        <rFont val="Calibri"/>
        <family val="2"/>
        <scheme val="minor"/>
      </rPr>
      <t>State</t>
    </r>
    <r>
      <rPr>
        <sz val="11"/>
        <color theme="1"/>
        <rFont val="Calibri"/>
        <family val="2"/>
        <scheme val="minor"/>
      </rPr>
      <t xml:space="preserve"> - State curriculum framework
</t>
    </r>
    <r>
      <rPr>
        <b/>
        <sz val="11"/>
        <color theme="1"/>
        <rFont val="Calibri"/>
        <family val="2"/>
        <scheme val="minor"/>
      </rPr>
      <t>Other</t>
    </r>
    <r>
      <rPr>
        <sz val="11"/>
        <color theme="1"/>
        <rFont val="Calibri"/>
        <family val="2"/>
        <scheme val="minor"/>
      </rPr>
      <t xml:space="preserve"> - Other
</t>
    </r>
  </si>
  <si>
    <r>
      <t>Mother</t>
    </r>
    <r>
      <rPr>
        <sz val="11"/>
        <color theme="1"/>
        <rFont val="Calibri"/>
        <family val="2"/>
        <scheme val="minor"/>
      </rPr>
      <t xml:space="preserve"> - Mother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Grandparent</t>
    </r>
    <r>
      <rPr>
        <sz val="11"/>
        <color theme="1"/>
        <rFont val="Calibri"/>
        <family val="2"/>
        <scheme val="minor"/>
      </rPr>
      <t xml:space="preserve"> - Grandparent
</t>
    </r>
    <r>
      <rPr>
        <b/>
        <sz val="11"/>
        <color theme="1"/>
        <rFont val="Calibri"/>
        <family val="2"/>
        <scheme val="minor"/>
      </rPr>
      <t>Aunt</t>
    </r>
    <r>
      <rPr>
        <sz val="11"/>
        <color theme="1"/>
        <rFont val="Calibri"/>
        <family val="2"/>
        <scheme val="minor"/>
      </rPr>
      <t xml:space="preserve"> - Aunt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Sibling</t>
    </r>
    <r>
      <rPr>
        <sz val="11"/>
        <color theme="1"/>
        <rFont val="Calibri"/>
        <family val="2"/>
        <scheme val="minor"/>
      </rPr>
      <t xml:space="preserve"> - Sibling
</t>
    </r>
    <r>
      <rPr>
        <b/>
        <sz val="11"/>
        <color theme="1"/>
        <rFont val="Calibri"/>
        <family val="2"/>
        <scheme val="minor"/>
      </rPr>
      <t>FosterParent</t>
    </r>
    <r>
      <rPr>
        <sz val="11"/>
        <color theme="1"/>
        <rFont val="Calibri"/>
        <family val="2"/>
        <scheme val="minor"/>
      </rPr>
      <t xml:space="preserve"> - Foster parent
</t>
    </r>
    <r>
      <rPr>
        <b/>
        <sz val="11"/>
        <color theme="1"/>
        <rFont val="Calibri"/>
        <family val="2"/>
        <scheme val="minor"/>
      </rPr>
      <t>CourtSystem</t>
    </r>
    <r>
      <rPr>
        <sz val="11"/>
        <color theme="1"/>
        <rFont val="Calibri"/>
        <family val="2"/>
        <scheme val="minor"/>
      </rPr>
      <t xml:space="preserve"> - In court system - not yet in foster care
</t>
    </r>
    <r>
      <rPr>
        <b/>
        <sz val="11"/>
        <color theme="1"/>
        <rFont val="Calibri"/>
        <family val="2"/>
        <scheme val="minor"/>
      </rPr>
      <t>Other</t>
    </r>
    <r>
      <rPr>
        <sz val="11"/>
        <color theme="1"/>
        <rFont val="Calibri"/>
        <family val="2"/>
        <scheme val="minor"/>
      </rPr>
      <t xml:space="preserve"> - Other
</t>
    </r>
  </si>
  <si>
    <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01045</t>
    </r>
    <r>
      <rPr>
        <sz val="11"/>
        <color theme="1"/>
        <rFont val="Calibri"/>
        <family val="2"/>
        <scheme val="minor"/>
      </rPr>
      <t xml:space="preserve"> - High school diploma or the equivalent (e.g., GED or recognized home school)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</si>
  <si>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r>
      <t>NonWorkplace</t>
    </r>
    <r>
      <rPr>
        <sz val="11"/>
        <color theme="1"/>
        <rFont val="Calibri"/>
        <family val="2"/>
        <scheme val="minor"/>
      </rPr>
      <t xml:space="preserve"> - Non-workplace or personal
</t>
    </r>
    <r>
      <rPr>
        <b/>
        <sz val="11"/>
        <color theme="1"/>
        <rFont val="Calibri"/>
        <family val="2"/>
        <scheme val="minor"/>
      </rPr>
      <t>Workplace</t>
    </r>
    <r>
      <rPr>
        <sz val="11"/>
        <color theme="1"/>
        <rFont val="Calibri"/>
        <family val="2"/>
        <scheme val="minor"/>
      </rPr>
      <t xml:space="preserve"> - Workplace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CHIP</t>
    </r>
    <r>
      <rPr>
        <sz val="11"/>
        <color theme="1"/>
        <rFont val="Calibri"/>
        <family val="2"/>
        <scheme val="minor"/>
      </rPr>
      <t xml:space="preserve"> - Children's health insurance program
</t>
    </r>
    <r>
      <rPr>
        <b/>
        <sz val="11"/>
        <color theme="1"/>
        <rFont val="Calibri"/>
        <family val="2"/>
        <scheme val="minor"/>
      </rPr>
      <t>StateOnlyFunded</t>
    </r>
    <r>
      <rPr>
        <sz val="11"/>
        <color theme="1"/>
        <rFont val="Calibri"/>
        <family val="2"/>
        <scheme val="minor"/>
      </rPr>
      <t xml:space="preserve"> - State-only funded insurance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Military</t>
    </r>
    <r>
      <rPr>
        <sz val="11"/>
        <color theme="1"/>
        <rFont val="Calibri"/>
        <family val="2"/>
        <scheme val="minor"/>
      </rPr>
      <t xml:space="preserve"> - Military medical
</t>
    </r>
    <r>
      <rPr>
        <b/>
        <sz val="11"/>
        <color theme="1"/>
        <rFont val="Calibri"/>
        <family val="2"/>
        <scheme val="minor"/>
      </rPr>
      <t>Veteran</t>
    </r>
    <r>
      <rPr>
        <sz val="11"/>
        <color theme="1"/>
        <rFont val="Calibri"/>
        <family val="2"/>
        <scheme val="minor"/>
      </rPr>
      <t xml:space="preserve"> - Veteran's medical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</si>
  <si>
    <r>
      <t>NoTreatmentNeeded</t>
    </r>
    <r>
      <rPr>
        <sz val="11"/>
        <color theme="1"/>
        <rFont val="Calibri"/>
        <family val="2"/>
        <scheme val="minor"/>
      </rPr>
      <t xml:space="preserve"> - No Treatment Needed
</t>
    </r>
    <r>
      <rPr>
        <b/>
        <sz val="11"/>
        <color theme="1"/>
        <rFont val="Calibri"/>
        <family val="2"/>
        <scheme val="minor"/>
      </rPr>
      <t>TreatmentNeeded</t>
    </r>
    <r>
      <rPr>
        <sz val="11"/>
        <color theme="1"/>
        <rFont val="Calibri"/>
        <family val="2"/>
        <scheme val="minor"/>
      </rPr>
      <t xml:space="preserve"> - Treatment Needed
</t>
    </r>
    <r>
      <rPr>
        <b/>
        <sz val="11"/>
        <color theme="1"/>
        <rFont val="Calibri"/>
        <family val="2"/>
        <scheme val="minor"/>
      </rPr>
      <t>TreatmentReceived</t>
    </r>
    <r>
      <rPr>
        <sz val="11"/>
        <color theme="1"/>
        <rFont val="Calibri"/>
        <family val="2"/>
        <scheme val="minor"/>
      </rPr>
      <t xml:space="preserve"> - Treatment Received
</t>
    </r>
  </si>
  <si>
    <r>
      <t>Dependent</t>
    </r>
    <r>
      <rPr>
        <sz val="11"/>
        <color theme="1"/>
        <rFont val="Calibri"/>
        <family val="2"/>
        <scheme val="minor"/>
      </rPr>
      <t xml:space="preserve"> - Dependent
</t>
    </r>
    <r>
      <rPr>
        <b/>
        <sz val="11"/>
        <color theme="1"/>
        <rFont val="Calibri"/>
        <family val="2"/>
        <scheme val="minor"/>
      </rPr>
      <t>Independent</t>
    </r>
    <r>
      <rPr>
        <sz val="11"/>
        <color theme="1"/>
        <rFont val="Calibri"/>
        <family val="2"/>
        <scheme val="minor"/>
      </rPr>
      <t xml:space="preserve"> - Independent
</t>
    </r>
    <r>
      <rPr>
        <b/>
        <sz val="11"/>
        <color theme="1"/>
        <rFont val="Calibri"/>
        <family val="2"/>
        <scheme val="minor"/>
      </rPr>
      <t>Unknown</t>
    </r>
    <r>
      <rPr>
        <sz val="11"/>
        <color theme="1"/>
        <rFont val="Calibri"/>
        <family val="2"/>
        <scheme val="minor"/>
      </rPr>
      <t xml:space="preserve"> - Unknown
</t>
    </r>
  </si>
  <si>
    <r>
      <t>CollegeReady</t>
    </r>
    <r>
      <rPr>
        <sz val="11"/>
        <color theme="1"/>
        <rFont val="Calibri"/>
        <family val="2"/>
        <scheme val="minor"/>
      </rPr>
      <t xml:space="preserve"> - College Ready
</t>
    </r>
    <r>
      <rPr>
        <b/>
        <sz val="11"/>
        <color theme="1"/>
        <rFont val="Calibri"/>
        <family val="2"/>
        <scheme val="minor"/>
      </rPr>
      <t>NotCollegeReady</t>
    </r>
    <r>
      <rPr>
        <sz val="11"/>
        <color theme="1"/>
        <rFont val="Calibri"/>
        <family val="2"/>
        <scheme val="minor"/>
      </rPr>
      <t xml:space="preserve"> - Not College Ready
</t>
    </r>
  </si>
  <si>
    <r>
      <t>DevelopmentalMath</t>
    </r>
    <r>
      <rPr>
        <sz val="11"/>
        <color theme="1"/>
        <rFont val="Calibri"/>
        <family val="2"/>
        <scheme val="minor"/>
      </rPr>
      <t xml:space="preserve"> - Developmental Math
</t>
    </r>
    <r>
      <rPr>
        <b/>
        <sz val="11"/>
        <color theme="1"/>
        <rFont val="Calibri"/>
        <family val="2"/>
        <scheme val="minor"/>
      </rPr>
      <t>DevelopmentalEnglish</t>
    </r>
    <r>
      <rPr>
        <sz val="11"/>
        <color theme="1"/>
        <rFont val="Calibri"/>
        <family val="2"/>
        <scheme val="minor"/>
      </rPr>
      <t xml:space="preserve"> - Developmental English
</t>
    </r>
    <r>
      <rPr>
        <b/>
        <sz val="11"/>
        <color theme="1"/>
        <rFont val="Calibri"/>
        <family val="2"/>
        <scheme val="minor"/>
      </rPr>
      <t>DevelopmentalReading</t>
    </r>
    <r>
      <rPr>
        <sz val="11"/>
        <color theme="1"/>
        <rFont val="Calibri"/>
        <family val="2"/>
        <scheme val="minor"/>
      </rPr>
      <t xml:space="preserve"> - Developmental Reading
</t>
    </r>
    <r>
      <rPr>
        <b/>
        <sz val="11"/>
        <color theme="1"/>
        <rFont val="Calibri"/>
        <family val="2"/>
        <scheme val="minor"/>
      </rPr>
      <t>DevelopmentalEnglishReading</t>
    </r>
    <r>
      <rPr>
        <sz val="11"/>
        <color theme="1"/>
        <rFont val="Calibri"/>
        <family val="2"/>
        <scheme val="minor"/>
      </rPr>
      <t xml:space="preserve"> - Developmental English/Reading
</t>
    </r>
    <r>
      <rPr>
        <b/>
        <sz val="11"/>
        <color theme="1"/>
        <rFont val="Calibri"/>
        <family val="2"/>
        <scheme val="minor"/>
      </rPr>
      <t>DevelopmentalOther</t>
    </r>
    <r>
      <rPr>
        <sz val="11"/>
        <color theme="1"/>
        <rFont val="Calibri"/>
        <family val="2"/>
        <scheme val="minor"/>
      </rPr>
      <t xml:space="preserve"> - Developmental Other
</t>
    </r>
  </si>
  <si>
    <r>
      <t>Adaptive</t>
    </r>
    <r>
      <rPr>
        <sz val="11"/>
        <color theme="1"/>
        <rFont val="Calibri"/>
        <family val="2"/>
        <scheme val="minor"/>
      </rPr>
      <t xml:space="preserve"> - Adaptive development delay
</t>
    </r>
    <r>
      <rPr>
        <b/>
        <sz val="11"/>
        <color theme="1"/>
        <rFont val="Calibri"/>
        <family val="2"/>
        <scheme val="minor"/>
      </rPr>
      <t>Cognitive</t>
    </r>
    <r>
      <rPr>
        <sz val="11"/>
        <color theme="1"/>
        <rFont val="Calibri"/>
        <family val="2"/>
        <scheme val="minor"/>
      </rPr>
      <t xml:space="preserve"> - Cognitive development delay
</t>
    </r>
    <r>
      <rPr>
        <b/>
        <sz val="11"/>
        <color theme="1"/>
        <rFont val="Calibri"/>
        <family val="2"/>
        <scheme val="minor"/>
      </rPr>
      <t>Communication</t>
    </r>
    <r>
      <rPr>
        <sz val="11"/>
        <color theme="1"/>
        <rFont val="Calibri"/>
        <family val="2"/>
        <scheme val="minor"/>
      </rPr>
      <t xml:space="preserve"> - Communication development delay
</t>
    </r>
    <r>
      <rPr>
        <b/>
        <sz val="11"/>
        <color theme="1"/>
        <rFont val="Calibri"/>
        <family val="2"/>
        <scheme val="minor"/>
      </rPr>
      <t>NoDelay</t>
    </r>
    <r>
      <rPr>
        <sz val="11"/>
        <color theme="1"/>
        <rFont val="Calibri"/>
        <family val="2"/>
        <scheme val="minor"/>
      </rPr>
      <t xml:space="preserve"> - No delay, needs follow-up
</t>
    </r>
    <r>
      <rPr>
        <b/>
        <sz val="11"/>
        <color theme="1"/>
        <rFont val="Calibri"/>
        <family val="2"/>
        <scheme val="minor"/>
      </rPr>
      <t>None</t>
    </r>
    <r>
      <rPr>
        <sz val="11"/>
        <color theme="1"/>
        <rFont val="Calibri"/>
        <family val="2"/>
        <scheme val="minor"/>
      </rPr>
      <t xml:space="preserve"> - None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Physical</t>
    </r>
    <r>
      <rPr>
        <sz val="11"/>
        <color theme="1"/>
        <rFont val="Calibri"/>
        <family val="2"/>
        <scheme val="minor"/>
      </rPr>
      <t xml:space="preserve"> - Physical development delay
</t>
    </r>
    <r>
      <rPr>
        <b/>
        <sz val="11"/>
        <color theme="1"/>
        <rFont val="Calibri"/>
        <family val="2"/>
        <scheme val="minor"/>
      </rPr>
      <t>SocialEmotional</t>
    </r>
    <r>
      <rPr>
        <sz val="11"/>
        <color theme="1"/>
        <rFont val="Calibri"/>
        <family val="2"/>
        <scheme val="minor"/>
      </rPr>
      <t xml:space="preserve"> - Social or emotional development delay
</t>
    </r>
    <r>
      <rPr>
        <b/>
        <sz val="11"/>
        <color theme="1"/>
        <rFont val="Calibri"/>
        <family val="2"/>
        <scheme val="minor"/>
      </rPr>
      <t>NoDelayDetected</t>
    </r>
    <r>
      <rPr>
        <sz val="11"/>
        <color theme="1"/>
        <rFont val="Calibri"/>
        <family val="2"/>
        <scheme val="minor"/>
      </rPr>
      <t xml:space="preserve"> - No delay detected
</t>
    </r>
    <r>
      <rPr>
        <b/>
        <sz val="11"/>
        <color theme="1"/>
        <rFont val="Calibri"/>
        <family val="2"/>
        <scheme val="minor"/>
      </rPr>
      <t>EstablishedCondition</t>
    </r>
    <r>
      <rPr>
        <sz val="11"/>
        <color theme="1"/>
        <rFont val="Calibri"/>
        <family val="2"/>
        <scheme val="minor"/>
      </rPr>
      <t xml:space="preserve"> - Established condition
</t>
    </r>
    <r>
      <rPr>
        <b/>
        <sz val="11"/>
        <color theme="1"/>
        <rFont val="Calibri"/>
        <family val="2"/>
        <scheme val="minor"/>
      </rPr>
      <t>AtRisk</t>
    </r>
    <r>
      <rPr>
        <sz val="11"/>
        <color theme="1"/>
        <rFont val="Calibri"/>
        <family val="2"/>
        <scheme val="minor"/>
      </rPr>
      <t xml:space="preserve"> - At-risk of developing delay
</t>
    </r>
  </si>
  <si>
    <r>
      <t>Block</t>
    </r>
    <r>
      <rPr>
        <sz val="11"/>
        <color theme="1"/>
        <rFont val="Calibri"/>
        <family val="2"/>
        <scheme val="minor"/>
      </rPr>
      <t xml:space="preserve"> - Block
</t>
    </r>
    <r>
      <rPr>
        <b/>
        <sz val="11"/>
        <color theme="1"/>
        <rFont val="Calibri"/>
        <family val="2"/>
        <scheme val="minor"/>
      </rPr>
      <t>RemoveBlock</t>
    </r>
    <r>
      <rPr>
        <sz val="11"/>
        <color theme="1"/>
        <rFont val="Calibri"/>
        <family val="2"/>
        <scheme val="minor"/>
      </rPr>
      <t xml:space="preserve"> - Remove Block
</t>
    </r>
  </si>
  <si>
    <r>
      <t>Permanent</t>
    </r>
    <r>
      <rPr>
        <sz val="11"/>
        <color theme="1"/>
        <rFont val="Calibri"/>
        <family val="2"/>
        <scheme val="minor"/>
      </rPr>
      <t xml:space="preserve"> - Disability has been confirmed as a permanent disability
</t>
    </r>
    <r>
      <rPr>
        <b/>
        <sz val="11"/>
        <color theme="1"/>
        <rFont val="Calibri"/>
        <family val="2"/>
        <scheme val="minor"/>
      </rPr>
      <t>Temporary</t>
    </r>
    <r>
      <rPr>
        <sz val="11"/>
        <color theme="1"/>
        <rFont val="Calibri"/>
        <family val="2"/>
        <scheme val="minor"/>
      </rPr>
      <t xml:space="preserve"> - Disability has been confirmed as a temporary disability
</t>
    </r>
  </si>
  <si>
    <r>
      <t>00</t>
    </r>
    <r>
      <rPr>
        <sz val="11"/>
        <color theme="1"/>
        <rFont val="Calibri"/>
        <family val="2"/>
        <scheme val="minor"/>
      </rPr>
      <t xml:space="preserve"> - No disability or impairment known or reported
</t>
    </r>
    <r>
      <rPr>
        <b/>
        <sz val="11"/>
        <color theme="1"/>
        <rFont val="Calibri"/>
        <family val="2"/>
        <scheme val="minor"/>
      </rPr>
      <t>01</t>
    </r>
    <r>
      <rPr>
        <sz val="11"/>
        <color theme="1"/>
        <rFont val="Calibri"/>
        <family val="2"/>
        <scheme val="minor"/>
      </rPr>
      <t xml:space="preserve"> - Blindness or Visual Impairment
</t>
    </r>
    <r>
      <rPr>
        <b/>
        <sz val="11"/>
        <color theme="1"/>
        <rFont val="Calibri"/>
        <family val="2"/>
        <scheme val="minor"/>
      </rPr>
      <t>02</t>
    </r>
    <r>
      <rPr>
        <sz val="11"/>
        <color theme="1"/>
        <rFont val="Calibri"/>
        <family val="2"/>
        <scheme val="minor"/>
      </rPr>
      <t xml:space="preserve"> - Cerebral Palsy
</t>
    </r>
    <r>
      <rPr>
        <b/>
        <sz val="11"/>
        <color theme="1"/>
        <rFont val="Calibri"/>
        <family val="2"/>
        <scheme val="minor"/>
      </rPr>
      <t>03</t>
    </r>
    <r>
      <rPr>
        <sz val="11"/>
        <color theme="1"/>
        <rFont val="Calibri"/>
        <family val="2"/>
        <scheme val="minor"/>
      </rPr>
      <t xml:space="preserve"> - Chronic Illness
</t>
    </r>
    <r>
      <rPr>
        <b/>
        <sz val="11"/>
        <color theme="1"/>
        <rFont val="Calibri"/>
        <family val="2"/>
        <scheme val="minor"/>
      </rPr>
      <t>04</t>
    </r>
    <r>
      <rPr>
        <sz val="11"/>
        <color theme="1"/>
        <rFont val="Calibri"/>
        <family val="2"/>
        <scheme val="minor"/>
      </rPr>
      <t xml:space="preserve"> - Deafness or Hearing Impairment
</t>
    </r>
    <r>
      <rPr>
        <b/>
        <sz val="11"/>
        <color theme="1"/>
        <rFont val="Calibri"/>
        <family val="2"/>
        <scheme val="minor"/>
      </rPr>
      <t>05</t>
    </r>
    <r>
      <rPr>
        <sz val="11"/>
        <color theme="1"/>
        <rFont val="Calibri"/>
        <family val="2"/>
        <scheme val="minor"/>
      </rPr>
      <t xml:space="preserve"> - Drug or Alcohol Addiction
</t>
    </r>
    <r>
      <rPr>
        <b/>
        <sz val="11"/>
        <color theme="1"/>
        <rFont val="Calibri"/>
        <family val="2"/>
        <scheme val="minor"/>
      </rPr>
      <t>06</t>
    </r>
    <r>
      <rPr>
        <sz val="11"/>
        <color theme="1"/>
        <rFont val="Calibri"/>
        <family val="2"/>
        <scheme val="minor"/>
      </rPr>
      <t xml:space="preserve"> - Emotionally/Psychologically Disabled: e.g., schizophrenia or depression
</t>
    </r>
    <r>
      <rPr>
        <b/>
        <sz val="11"/>
        <color theme="1"/>
        <rFont val="Calibri"/>
        <family val="2"/>
        <scheme val="minor"/>
      </rPr>
      <t>07</t>
    </r>
    <r>
      <rPr>
        <sz val="11"/>
        <color theme="1"/>
        <rFont val="Calibri"/>
        <family val="2"/>
        <scheme val="minor"/>
      </rPr>
      <t xml:space="preserve"> - Epilepsy or Seizure Disorders
</t>
    </r>
    <r>
      <rPr>
        <b/>
        <sz val="11"/>
        <color theme="1"/>
        <rFont val="Calibri"/>
        <family val="2"/>
        <scheme val="minor"/>
      </rPr>
      <t>08</t>
    </r>
    <r>
      <rPr>
        <sz val="11"/>
        <color theme="1"/>
        <rFont val="Calibri"/>
        <family val="2"/>
        <scheme val="minor"/>
      </rPr>
      <t xml:space="preserve"> - Intellectual Disability
</t>
    </r>
    <r>
      <rPr>
        <b/>
        <sz val="11"/>
        <color theme="1"/>
        <rFont val="Calibri"/>
        <family val="2"/>
        <scheme val="minor"/>
      </rPr>
      <t>09</t>
    </r>
    <r>
      <rPr>
        <sz val="11"/>
        <color theme="1"/>
        <rFont val="Calibri"/>
        <family val="2"/>
        <scheme val="minor"/>
      </rPr>
      <t xml:space="preserve"> - Orthopedic Impairment
</t>
    </r>
    <r>
      <rPr>
        <b/>
        <sz val="11"/>
        <color theme="1"/>
        <rFont val="Calibri"/>
        <family val="2"/>
        <scheme val="minor"/>
      </rPr>
      <t>10</t>
    </r>
    <r>
      <rPr>
        <sz val="11"/>
        <color theme="1"/>
        <rFont val="Calibri"/>
        <family val="2"/>
        <scheme val="minor"/>
      </rPr>
      <t xml:space="preserve"> - Specific learning disability
</t>
    </r>
    <r>
      <rPr>
        <b/>
        <sz val="11"/>
        <color theme="1"/>
        <rFont val="Calibri"/>
        <family val="2"/>
        <scheme val="minor"/>
      </rPr>
      <t>11</t>
    </r>
    <r>
      <rPr>
        <sz val="11"/>
        <color theme="1"/>
        <rFont val="Calibri"/>
        <family val="2"/>
        <scheme val="minor"/>
      </rPr>
      <t xml:space="preserve"> - Speech or Language impairment
</t>
    </r>
    <r>
      <rPr>
        <b/>
        <sz val="11"/>
        <color theme="1"/>
        <rFont val="Calibri"/>
        <family val="2"/>
        <scheme val="minor"/>
      </rPr>
      <t>99</t>
    </r>
    <r>
      <rPr>
        <sz val="11"/>
        <color theme="1"/>
        <rFont val="Calibri"/>
        <family val="2"/>
        <scheme val="minor"/>
      </rPr>
      <t xml:space="preserve"> - Other type of impairment
</t>
    </r>
  </si>
  <si>
    <r>
      <t>01</t>
    </r>
    <r>
      <rPr>
        <sz val="11"/>
        <color theme="1"/>
        <rFont val="Calibri"/>
        <family val="2"/>
        <scheme val="minor"/>
      </rPr>
      <t xml:space="preserve"> - By physician
</t>
    </r>
    <r>
      <rPr>
        <b/>
        <sz val="11"/>
        <color theme="1"/>
        <rFont val="Calibri"/>
        <family val="2"/>
        <scheme val="minor"/>
      </rPr>
      <t>02</t>
    </r>
    <r>
      <rPr>
        <sz val="11"/>
        <color theme="1"/>
        <rFont val="Calibri"/>
        <family val="2"/>
        <scheme val="minor"/>
      </rPr>
      <t xml:space="preserve"> - By health care provider
</t>
    </r>
    <r>
      <rPr>
        <b/>
        <sz val="11"/>
        <color theme="1"/>
        <rFont val="Calibri"/>
        <family val="2"/>
        <scheme val="minor"/>
      </rPr>
      <t>03</t>
    </r>
    <r>
      <rPr>
        <sz val="11"/>
        <color theme="1"/>
        <rFont val="Calibri"/>
        <family val="2"/>
        <scheme val="minor"/>
      </rPr>
      <t xml:space="preserve"> - By school psychologist or other psychologist
</t>
    </r>
    <r>
      <rPr>
        <b/>
        <sz val="11"/>
        <color theme="1"/>
        <rFont val="Calibri"/>
        <family val="2"/>
        <scheme val="minor"/>
      </rPr>
      <t>04</t>
    </r>
    <r>
      <rPr>
        <sz val="11"/>
        <color theme="1"/>
        <rFont val="Calibri"/>
        <family val="2"/>
        <scheme val="minor"/>
      </rPr>
      <t xml:space="preserve"> - By licensed physical therapist
</t>
    </r>
    <r>
      <rPr>
        <b/>
        <sz val="11"/>
        <color theme="1"/>
        <rFont val="Calibri"/>
        <family val="2"/>
        <scheme val="minor"/>
      </rPr>
      <t>05</t>
    </r>
    <r>
      <rPr>
        <sz val="11"/>
        <color theme="1"/>
        <rFont val="Calibri"/>
        <family val="2"/>
        <scheme val="minor"/>
      </rPr>
      <t xml:space="preserve"> - Self-reported
</t>
    </r>
    <r>
      <rPr>
        <b/>
        <sz val="11"/>
        <color theme="1"/>
        <rFont val="Calibri"/>
        <family val="2"/>
        <scheme val="minor"/>
      </rPr>
      <t>06</t>
    </r>
    <r>
      <rPr>
        <sz val="11"/>
        <color theme="1"/>
        <rFont val="Calibri"/>
        <family val="2"/>
        <scheme val="minor"/>
      </rPr>
      <t xml:space="preserve"> - By social service or other type of agency
</t>
    </r>
    <r>
      <rPr>
        <b/>
        <sz val="11"/>
        <color theme="1"/>
        <rFont val="Calibri"/>
        <family val="2"/>
        <scheme val="minor"/>
      </rPr>
      <t>97</t>
    </r>
    <r>
      <rPr>
        <sz val="11"/>
        <color theme="1"/>
        <rFont val="Calibri"/>
        <family val="2"/>
        <scheme val="minor"/>
      </rPr>
      <t xml:space="preserve"> - Not applicable to the student
</t>
    </r>
    <r>
      <rPr>
        <b/>
        <sz val="11"/>
        <color theme="1"/>
        <rFont val="Calibri"/>
        <family val="2"/>
        <scheme val="minor"/>
      </rPr>
      <t>98</t>
    </r>
    <r>
      <rPr>
        <sz val="11"/>
        <color theme="1"/>
        <rFont val="Calibri"/>
        <family val="2"/>
        <scheme val="minor"/>
      </rPr>
      <t xml:space="preserve"> - Unknown or Unreported
</t>
    </r>
    <r>
      <rPr>
        <b/>
        <sz val="11"/>
        <color theme="1"/>
        <rFont val="Calibri"/>
        <family val="2"/>
        <scheme val="minor"/>
      </rPr>
      <t>99</t>
    </r>
    <r>
      <rPr>
        <sz val="11"/>
        <color theme="1"/>
        <rFont val="Calibri"/>
        <family val="2"/>
        <scheme val="minor"/>
      </rPr>
      <t xml:space="preserve"> - Other
</t>
    </r>
  </si>
  <si>
    <r>
      <t>03071</t>
    </r>
    <r>
      <rPr>
        <sz val="11"/>
        <color theme="1"/>
        <rFont val="Calibri"/>
        <family val="2"/>
        <scheme val="minor"/>
      </rPr>
      <t xml:space="preserve"> - Bus suspension
</t>
    </r>
    <r>
      <rPr>
        <b/>
        <sz val="11"/>
        <color theme="1"/>
        <rFont val="Calibri"/>
        <family val="2"/>
        <scheme val="minor"/>
      </rPr>
      <t>03072</t>
    </r>
    <r>
      <rPr>
        <sz val="11"/>
        <color theme="1"/>
        <rFont val="Calibri"/>
        <family val="2"/>
        <scheme val="minor"/>
      </rPr>
      <t xml:space="preserve"> - Change of placement (long-term)
</t>
    </r>
    <r>
      <rPr>
        <b/>
        <sz val="11"/>
        <color theme="1"/>
        <rFont val="Calibri"/>
        <family val="2"/>
        <scheme val="minor"/>
      </rPr>
      <t>03073</t>
    </r>
    <r>
      <rPr>
        <sz val="11"/>
        <color theme="1"/>
        <rFont val="Calibri"/>
        <family val="2"/>
        <scheme val="minor"/>
      </rPr>
      <t xml:space="preserve"> - Change of placement (reassignment), pending an expulsion hearing
</t>
    </r>
    <r>
      <rPr>
        <b/>
        <sz val="11"/>
        <color theme="1"/>
        <rFont val="Calibri"/>
        <family val="2"/>
        <scheme val="minor"/>
      </rPr>
      <t>03074</t>
    </r>
    <r>
      <rPr>
        <sz val="11"/>
        <color theme="1"/>
        <rFont val="Calibri"/>
        <family val="2"/>
        <scheme val="minor"/>
      </rPr>
      <t xml:space="preserve"> - Change of placement (reassignment), resulting from an expulsion hearing
</t>
    </r>
    <r>
      <rPr>
        <b/>
        <sz val="11"/>
        <color theme="1"/>
        <rFont val="Calibri"/>
        <family val="2"/>
        <scheme val="minor"/>
      </rPr>
      <t>03075</t>
    </r>
    <r>
      <rPr>
        <sz val="11"/>
        <color theme="1"/>
        <rFont val="Calibri"/>
        <family val="2"/>
        <scheme val="minor"/>
      </rPr>
      <t xml:space="preserve"> - Change of placement (reassignment), temporary
</t>
    </r>
    <r>
      <rPr>
        <b/>
        <sz val="11"/>
        <color theme="1"/>
        <rFont val="Calibri"/>
        <family val="2"/>
        <scheme val="minor"/>
      </rPr>
      <t>03076</t>
    </r>
    <r>
      <rPr>
        <sz val="11"/>
        <color theme="1"/>
        <rFont val="Calibri"/>
        <family val="2"/>
        <scheme val="minor"/>
      </rPr>
      <t xml:space="preserve"> - Community service
</t>
    </r>
    <r>
      <rPr>
        <b/>
        <sz val="11"/>
        <color theme="1"/>
        <rFont val="Calibri"/>
        <family val="2"/>
        <scheme val="minor"/>
      </rPr>
      <t>03077</t>
    </r>
    <r>
      <rPr>
        <sz val="11"/>
        <color theme="1"/>
        <rFont val="Calibri"/>
        <family val="2"/>
        <scheme val="minor"/>
      </rPr>
      <t xml:space="preserve"> - Conference with and warning to student
</t>
    </r>
    <r>
      <rPr>
        <b/>
        <sz val="11"/>
        <color theme="1"/>
        <rFont val="Calibri"/>
        <family val="2"/>
        <scheme val="minor"/>
      </rPr>
      <t>03078</t>
    </r>
    <r>
      <rPr>
        <sz val="11"/>
        <color theme="1"/>
        <rFont val="Calibri"/>
        <family val="2"/>
        <scheme val="minor"/>
      </rPr>
      <t xml:space="preserve"> - Conference with and warning to student and parent/guardian
</t>
    </r>
    <r>
      <rPr>
        <b/>
        <sz val="11"/>
        <color theme="1"/>
        <rFont val="Calibri"/>
        <family val="2"/>
        <scheme val="minor"/>
      </rPr>
      <t>03079</t>
    </r>
    <r>
      <rPr>
        <sz val="11"/>
        <color theme="1"/>
        <rFont val="Calibri"/>
        <family val="2"/>
        <scheme val="minor"/>
      </rPr>
      <t xml:space="preserve"> - Confiscation of contraband
</t>
    </r>
    <r>
      <rPr>
        <b/>
        <sz val="11"/>
        <color theme="1"/>
        <rFont val="Calibri"/>
        <family val="2"/>
        <scheme val="minor"/>
      </rPr>
      <t>03080</t>
    </r>
    <r>
      <rPr>
        <sz val="11"/>
        <color theme="1"/>
        <rFont val="Calibri"/>
        <family val="2"/>
        <scheme val="minor"/>
      </rPr>
      <t xml:space="preserve"> - Conflict resolution or anger management services mandated
</t>
    </r>
    <r>
      <rPr>
        <b/>
        <sz val="11"/>
        <color theme="1"/>
        <rFont val="Calibri"/>
        <family val="2"/>
        <scheme val="minor"/>
      </rPr>
      <t>03081</t>
    </r>
    <r>
      <rPr>
        <sz val="11"/>
        <color theme="1"/>
        <rFont val="Calibri"/>
        <family val="2"/>
        <scheme val="minor"/>
      </rPr>
      <t xml:space="preserve"> - Corporal punishment
</t>
    </r>
    <r>
      <rPr>
        <b/>
        <sz val="11"/>
        <color theme="1"/>
        <rFont val="Calibri"/>
        <family val="2"/>
        <scheme val="minor"/>
      </rPr>
      <t>03082</t>
    </r>
    <r>
      <rPr>
        <sz val="11"/>
        <color theme="1"/>
        <rFont val="Calibri"/>
        <family val="2"/>
        <scheme val="minor"/>
      </rPr>
      <t xml:space="preserve"> - Counseling mandated
</t>
    </r>
    <r>
      <rPr>
        <b/>
        <sz val="11"/>
        <color theme="1"/>
        <rFont val="Calibri"/>
        <family val="2"/>
        <scheme val="minor"/>
      </rPr>
      <t>03083</t>
    </r>
    <r>
      <rPr>
        <sz val="11"/>
        <color theme="1"/>
        <rFont val="Calibri"/>
        <family val="2"/>
        <scheme val="minor"/>
      </rPr>
      <t xml:space="preserve"> - Demerit
</t>
    </r>
    <r>
      <rPr>
        <b/>
        <sz val="11"/>
        <color theme="1"/>
        <rFont val="Calibri"/>
        <family val="2"/>
        <scheme val="minor"/>
      </rPr>
      <t>03084</t>
    </r>
    <r>
      <rPr>
        <sz val="11"/>
        <color theme="1"/>
        <rFont val="Calibri"/>
        <family val="2"/>
        <scheme val="minor"/>
      </rPr>
      <t xml:space="preserve"> - Detention
</t>
    </r>
    <r>
      <rPr>
        <b/>
        <sz val="11"/>
        <color theme="1"/>
        <rFont val="Calibri"/>
        <family val="2"/>
        <scheme val="minor"/>
      </rPr>
      <t>03085</t>
    </r>
    <r>
      <rPr>
        <sz val="11"/>
        <color theme="1"/>
        <rFont val="Calibri"/>
        <family val="2"/>
        <scheme val="minor"/>
      </rPr>
      <t xml:space="preserve"> - Expulsion recommendation
</t>
    </r>
    <r>
      <rPr>
        <b/>
        <sz val="11"/>
        <color theme="1"/>
        <rFont val="Calibri"/>
        <family val="2"/>
        <scheme val="minor"/>
      </rPr>
      <t>03086</t>
    </r>
    <r>
      <rPr>
        <sz val="11"/>
        <color theme="1"/>
        <rFont val="Calibri"/>
        <family val="2"/>
        <scheme val="minor"/>
      </rPr>
      <t xml:space="preserve"> - Expulsion with services
</t>
    </r>
    <r>
      <rPr>
        <b/>
        <sz val="11"/>
        <color theme="1"/>
        <rFont val="Calibri"/>
        <family val="2"/>
        <scheme val="minor"/>
      </rPr>
      <t>03087</t>
    </r>
    <r>
      <rPr>
        <sz val="11"/>
        <color theme="1"/>
        <rFont val="Calibri"/>
        <family val="2"/>
        <scheme val="minor"/>
      </rPr>
      <t xml:space="preserve"> - Expulsion without services
</t>
    </r>
    <r>
      <rPr>
        <b/>
        <sz val="11"/>
        <color theme="1"/>
        <rFont val="Calibri"/>
        <family val="2"/>
        <scheme val="minor"/>
      </rPr>
      <t>03088</t>
    </r>
    <r>
      <rPr>
        <sz val="11"/>
        <color theme="1"/>
        <rFont val="Calibri"/>
        <family val="2"/>
        <scheme val="minor"/>
      </rPr>
      <t xml:space="preserve"> - Juvenile justice referral
</t>
    </r>
    <r>
      <rPr>
        <b/>
        <sz val="11"/>
        <color theme="1"/>
        <rFont val="Calibri"/>
        <family val="2"/>
        <scheme val="minor"/>
      </rPr>
      <t>03089</t>
    </r>
    <r>
      <rPr>
        <sz val="11"/>
        <color theme="1"/>
        <rFont val="Calibri"/>
        <family val="2"/>
        <scheme val="minor"/>
      </rPr>
      <t xml:space="preserve"> - Law enforcement referral
</t>
    </r>
    <r>
      <rPr>
        <b/>
        <sz val="11"/>
        <color theme="1"/>
        <rFont val="Calibri"/>
        <family val="2"/>
        <scheme val="minor"/>
      </rPr>
      <t>03090</t>
    </r>
    <r>
      <rPr>
        <sz val="11"/>
        <color theme="1"/>
        <rFont val="Calibri"/>
        <family val="2"/>
        <scheme val="minor"/>
      </rPr>
      <t xml:space="preserve"> - Letter of apology
</t>
    </r>
    <r>
      <rPr>
        <b/>
        <sz val="11"/>
        <color theme="1"/>
        <rFont val="Calibri"/>
        <family val="2"/>
        <scheme val="minor"/>
      </rPr>
      <t>03091</t>
    </r>
    <r>
      <rPr>
        <sz val="11"/>
        <color theme="1"/>
        <rFont val="Calibri"/>
        <family val="2"/>
        <scheme val="minor"/>
      </rPr>
      <t xml:space="preserve"> - Loss of privileges
</t>
    </r>
    <r>
      <rPr>
        <b/>
        <sz val="11"/>
        <color theme="1"/>
        <rFont val="Calibri"/>
        <family val="2"/>
        <scheme val="minor"/>
      </rPr>
      <t>13357</t>
    </r>
    <r>
      <rPr>
        <sz val="11"/>
        <color theme="1"/>
        <rFont val="Calibri"/>
        <family val="2"/>
        <scheme val="minor"/>
      </rPr>
      <t xml:space="preserve"> - Mechanical Restraint
</t>
    </r>
    <r>
      <rPr>
        <b/>
        <sz val="11"/>
        <color theme="1"/>
        <rFont val="Calibri"/>
        <family val="2"/>
        <scheme val="minor"/>
      </rPr>
      <t>03105</t>
    </r>
    <r>
      <rPr>
        <sz val="11"/>
        <color theme="1"/>
        <rFont val="Calibri"/>
        <family val="2"/>
        <scheme val="minor"/>
      </rPr>
      <t xml:space="preserve"> - No action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03092</t>
    </r>
    <r>
      <rPr>
        <sz val="11"/>
        <color theme="1"/>
        <rFont val="Calibri"/>
        <family val="2"/>
        <scheme val="minor"/>
      </rPr>
      <t xml:space="preserve"> - Physical activity
</t>
    </r>
    <r>
      <rPr>
        <b/>
        <sz val="11"/>
        <color theme="1"/>
        <rFont val="Calibri"/>
        <family val="2"/>
        <scheme val="minor"/>
      </rPr>
      <t>13358</t>
    </r>
    <r>
      <rPr>
        <sz val="11"/>
        <color theme="1"/>
        <rFont val="Calibri"/>
        <family val="2"/>
        <scheme val="minor"/>
      </rPr>
      <t xml:space="preserve"> - Physical Restraint
</t>
    </r>
    <r>
      <rPr>
        <b/>
        <sz val="11"/>
        <color theme="1"/>
        <rFont val="Calibri"/>
        <family val="2"/>
        <scheme val="minor"/>
      </rPr>
      <t>03158</t>
    </r>
    <r>
      <rPr>
        <sz val="11"/>
        <color theme="1"/>
        <rFont val="Calibri"/>
        <family val="2"/>
        <scheme val="minor"/>
      </rPr>
      <t xml:space="preserve"> - Removal by a hearing officer
</t>
    </r>
    <r>
      <rPr>
        <b/>
        <sz val="11"/>
        <color theme="1"/>
        <rFont val="Calibri"/>
        <family val="2"/>
        <scheme val="minor"/>
      </rPr>
      <t>03093</t>
    </r>
    <r>
      <rPr>
        <sz val="11"/>
        <color theme="1"/>
        <rFont val="Calibri"/>
        <family val="2"/>
        <scheme val="minor"/>
      </rPr>
      <t xml:space="preserve"> - Reprimand
</t>
    </r>
    <r>
      <rPr>
        <b/>
        <sz val="11"/>
        <color theme="1"/>
        <rFont val="Calibri"/>
        <family val="2"/>
        <scheme val="minor"/>
      </rPr>
      <t>03094</t>
    </r>
    <r>
      <rPr>
        <sz val="11"/>
        <color theme="1"/>
        <rFont val="Calibri"/>
        <family val="2"/>
        <scheme val="minor"/>
      </rPr>
      <t xml:space="preserve"> - Restitution
</t>
    </r>
    <r>
      <rPr>
        <b/>
        <sz val="11"/>
        <color theme="1"/>
        <rFont val="Calibri"/>
        <family val="2"/>
        <scheme val="minor"/>
      </rPr>
      <t>03095</t>
    </r>
    <r>
      <rPr>
        <sz val="11"/>
        <color theme="1"/>
        <rFont val="Calibri"/>
        <family val="2"/>
        <scheme val="minor"/>
      </rPr>
      <t xml:space="preserve"> - Saturday school
</t>
    </r>
    <r>
      <rPr>
        <b/>
        <sz val="11"/>
        <color theme="1"/>
        <rFont val="Calibri"/>
        <family val="2"/>
        <scheme val="minor"/>
      </rPr>
      <t>03096</t>
    </r>
    <r>
      <rPr>
        <sz val="11"/>
        <color theme="1"/>
        <rFont val="Calibri"/>
        <family val="2"/>
        <scheme val="minor"/>
      </rPr>
      <t xml:space="preserve"> - School probation
</t>
    </r>
    <r>
      <rPr>
        <b/>
        <sz val="11"/>
        <color theme="1"/>
        <rFont val="Calibri"/>
        <family val="2"/>
        <scheme val="minor"/>
      </rPr>
      <t>13359</t>
    </r>
    <r>
      <rPr>
        <sz val="11"/>
        <color theme="1"/>
        <rFont val="Calibri"/>
        <family val="2"/>
        <scheme val="minor"/>
      </rPr>
      <t xml:space="preserve"> - Seclusion
</t>
    </r>
    <r>
      <rPr>
        <b/>
        <sz val="11"/>
        <color theme="1"/>
        <rFont val="Calibri"/>
        <family val="2"/>
        <scheme val="minor"/>
      </rPr>
      <t>03097</t>
    </r>
    <r>
      <rPr>
        <sz val="11"/>
        <color theme="1"/>
        <rFont val="Calibri"/>
        <family val="2"/>
        <scheme val="minor"/>
      </rPr>
      <t xml:space="preserve"> - Substance abuse counseling mandated
</t>
    </r>
    <r>
      <rPr>
        <b/>
        <sz val="11"/>
        <color theme="1"/>
        <rFont val="Calibri"/>
        <family val="2"/>
        <scheme val="minor"/>
      </rPr>
      <t>03098</t>
    </r>
    <r>
      <rPr>
        <sz val="11"/>
        <color theme="1"/>
        <rFont val="Calibri"/>
        <family val="2"/>
        <scheme val="minor"/>
      </rPr>
      <t xml:space="preserve"> - Substance abuse treatment mandated
</t>
    </r>
    <r>
      <rPr>
        <b/>
        <sz val="11"/>
        <color theme="1"/>
        <rFont val="Calibri"/>
        <family val="2"/>
        <scheme val="minor"/>
      </rPr>
      <t>03099</t>
    </r>
    <r>
      <rPr>
        <sz val="11"/>
        <color theme="1"/>
        <rFont val="Calibri"/>
        <family val="2"/>
        <scheme val="minor"/>
      </rPr>
      <t xml:space="preserve"> - Suspension after school
</t>
    </r>
    <r>
      <rPr>
        <b/>
        <sz val="11"/>
        <color theme="1"/>
        <rFont val="Calibri"/>
        <family val="2"/>
        <scheme val="minor"/>
      </rPr>
      <t>03100</t>
    </r>
    <r>
      <rPr>
        <sz val="11"/>
        <color theme="1"/>
        <rFont val="Calibri"/>
        <family val="2"/>
        <scheme val="minor"/>
      </rPr>
      <t xml:space="preserve"> - Suspension, in-school
</t>
    </r>
    <r>
      <rPr>
        <b/>
        <sz val="11"/>
        <color theme="1"/>
        <rFont val="Calibri"/>
        <family val="2"/>
        <scheme val="minor"/>
      </rPr>
      <t>03154</t>
    </r>
    <r>
      <rPr>
        <sz val="11"/>
        <color theme="1"/>
        <rFont val="Calibri"/>
        <family val="2"/>
        <scheme val="minor"/>
      </rPr>
      <t xml:space="preserve"> - Suspension, out of school, greater than 10 consecutive school days
</t>
    </r>
    <r>
      <rPr>
        <b/>
        <sz val="11"/>
        <color theme="1"/>
        <rFont val="Calibri"/>
        <family val="2"/>
        <scheme val="minor"/>
      </rPr>
      <t>03155</t>
    </r>
    <r>
      <rPr>
        <sz val="11"/>
        <color theme="1"/>
        <rFont val="Calibri"/>
        <family val="2"/>
        <scheme val="minor"/>
      </rPr>
      <t xml:space="preserve"> - Suspension, out of school, separate days cumulating to more than 10 school days
</t>
    </r>
    <r>
      <rPr>
        <b/>
        <sz val="11"/>
        <color theme="1"/>
        <rFont val="Calibri"/>
        <family val="2"/>
        <scheme val="minor"/>
      </rPr>
      <t>03101</t>
    </r>
    <r>
      <rPr>
        <sz val="11"/>
        <color theme="1"/>
        <rFont val="Calibri"/>
        <family val="2"/>
        <scheme val="minor"/>
      </rPr>
      <t xml:space="preserve"> - Suspension, out-of-school, with services
</t>
    </r>
    <r>
      <rPr>
        <b/>
        <sz val="11"/>
        <color theme="1"/>
        <rFont val="Calibri"/>
        <family val="2"/>
        <scheme val="minor"/>
      </rPr>
      <t>03102</t>
    </r>
    <r>
      <rPr>
        <sz val="11"/>
        <color theme="1"/>
        <rFont val="Calibri"/>
        <family val="2"/>
        <scheme val="minor"/>
      </rPr>
      <t xml:space="preserve"> - Suspension, out-of-school, without services
</t>
    </r>
    <r>
      <rPr>
        <b/>
        <sz val="11"/>
        <color theme="1"/>
        <rFont val="Calibri"/>
        <family val="2"/>
        <scheme val="minor"/>
      </rPr>
      <t>03157</t>
    </r>
    <r>
      <rPr>
        <sz val="11"/>
        <color theme="1"/>
        <rFont val="Calibri"/>
        <family val="2"/>
        <scheme val="minor"/>
      </rPr>
      <t xml:space="preserve"> - Unilateral removal - drug incident
</t>
    </r>
    <r>
      <rPr>
        <b/>
        <sz val="11"/>
        <color theme="1"/>
        <rFont val="Calibri"/>
        <family val="2"/>
        <scheme val="minor"/>
      </rPr>
      <t>03156</t>
    </r>
    <r>
      <rPr>
        <sz val="11"/>
        <color theme="1"/>
        <rFont val="Calibri"/>
        <family val="2"/>
        <scheme val="minor"/>
      </rPr>
      <t xml:space="preserve"> - Unilateral removal - weapon incident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03103</t>
    </r>
    <r>
      <rPr>
        <sz val="11"/>
        <color theme="1"/>
        <rFont val="Calibri"/>
        <family val="2"/>
        <scheme val="minor"/>
      </rPr>
      <t xml:space="preserve"> - Unsatisfactory behavior grade
</t>
    </r>
    <r>
      <rPr>
        <b/>
        <sz val="11"/>
        <color theme="1"/>
        <rFont val="Calibri"/>
        <family val="2"/>
        <scheme val="minor"/>
      </rPr>
      <t>03104</t>
    </r>
    <r>
      <rPr>
        <sz val="11"/>
        <color theme="1"/>
        <rFont val="Calibri"/>
        <family val="2"/>
        <scheme val="minor"/>
      </rPr>
      <t xml:space="preserve"> - Work detail
</t>
    </r>
  </si>
  <si>
    <r>
      <t>01</t>
    </r>
    <r>
      <rPr>
        <sz val="11"/>
        <color theme="1"/>
        <rFont val="Calibri"/>
        <family val="2"/>
        <scheme val="minor"/>
      </rPr>
      <t xml:space="preserve"> - No Difference
</t>
    </r>
    <r>
      <rPr>
        <b/>
        <sz val="11"/>
        <color theme="1"/>
        <rFont val="Calibri"/>
        <family val="2"/>
        <scheme val="minor"/>
      </rPr>
      <t>02</t>
    </r>
    <r>
      <rPr>
        <sz val="11"/>
        <color theme="1"/>
        <rFont val="Calibri"/>
        <family val="2"/>
        <scheme val="minor"/>
      </rPr>
      <t xml:space="preserve"> - Term Modified By District
</t>
    </r>
    <r>
      <rPr>
        <b/>
        <sz val="11"/>
        <color theme="1"/>
        <rFont val="Calibri"/>
        <family val="2"/>
        <scheme val="minor"/>
      </rPr>
      <t>03</t>
    </r>
    <r>
      <rPr>
        <sz val="11"/>
        <color theme="1"/>
        <rFont val="Calibri"/>
        <family val="2"/>
        <scheme val="minor"/>
      </rPr>
      <t xml:space="preserve"> - Term Modified By Court Order
</t>
    </r>
    <r>
      <rPr>
        <b/>
        <sz val="11"/>
        <color theme="1"/>
        <rFont val="Calibri"/>
        <family val="2"/>
        <scheme val="minor"/>
      </rPr>
      <t>04</t>
    </r>
    <r>
      <rPr>
        <sz val="11"/>
        <color theme="1"/>
        <rFont val="Calibri"/>
        <family val="2"/>
        <scheme val="minor"/>
      </rPr>
      <t xml:space="preserve"> - Term Modified By Mutual Agreement
</t>
    </r>
    <r>
      <rPr>
        <b/>
        <sz val="11"/>
        <color theme="1"/>
        <rFont val="Calibri"/>
        <family val="2"/>
        <scheme val="minor"/>
      </rPr>
      <t>05</t>
    </r>
    <r>
      <rPr>
        <sz val="11"/>
        <color theme="1"/>
        <rFont val="Calibri"/>
        <family val="2"/>
        <scheme val="minor"/>
      </rPr>
      <t xml:space="preserve"> - Student Completed Term Requirements Sooner Than Expected
</t>
    </r>
    <r>
      <rPr>
        <b/>
        <sz val="11"/>
        <color theme="1"/>
        <rFont val="Calibri"/>
        <family val="2"/>
        <scheme val="minor"/>
      </rPr>
      <t>06</t>
    </r>
    <r>
      <rPr>
        <sz val="11"/>
        <color theme="1"/>
        <rFont val="Calibri"/>
        <family val="2"/>
        <scheme val="minor"/>
      </rPr>
      <t xml:space="preserve"> - Student Incarcerated
</t>
    </r>
    <r>
      <rPr>
        <b/>
        <sz val="11"/>
        <color theme="1"/>
        <rFont val="Calibri"/>
        <family val="2"/>
        <scheme val="minor"/>
      </rPr>
      <t>07</t>
    </r>
    <r>
      <rPr>
        <sz val="11"/>
        <color theme="1"/>
        <rFont val="Calibri"/>
        <family val="2"/>
        <scheme val="minor"/>
      </rPr>
      <t xml:space="preserve"> - Term Decreased Due To Extenuating Health-Related Circumstances
</t>
    </r>
    <r>
      <rPr>
        <b/>
        <sz val="11"/>
        <color theme="1"/>
        <rFont val="Calibri"/>
        <family val="2"/>
        <scheme val="minor"/>
      </rPr>
      <t>08</t>
    </r>
    <r>
      <rPr>
        <sz val="11"/>
        <color theme="1"/>
        <rFont val="Calibri"/>
        <family val="2"/>
        <scheme val="minor"/>
      </rPr>
      <t xml:space="preserve"> - Student Withdrew From School
</t>
    </r>
    <r>
      <rPr>
        <b/>
        <sz val="11"/>
        <color theme="1"/>
        <rFont val="Calibri"/>
        <family val="2"/>
        <scheme val="minor"/>
      </rPr>
      <t>09</t>
    </r>
    <r>
      <rPr>
        <sz val="11"/>
        <color theme="1"/>
        <rFont val="Calibri"/>
        <family val="2"/>
        <scheme val="minor"/>
      </rPr>
      <t xml:space="preserve"> - School Year Ended
</t>
    </r>
    <r>
      <rPr>
        <b/>
        <sz val="11"/>
        <color theme="1"/>
        <rFont val="Calibri"/>
        <family val="2"/>
        <scheme val="minor"/>
      </rPr>
      <t>10</t>
    </r>
    <r>
      <rPr>
        <sz val="11"/>
        <color theme="1"/>
        <rFont val="Calibri"/>
        <family val="2"/>
        <scheme val="minor"/>
      </rPr>
      <t xml:space="preserve"> - Continuation Of Previous Year's Disciplinary Action Assignment
</t>
    </r>
    <r>
      <rPr>
        <b/>
        <sz val="11"/>
        <color theme="1"/>
        <rFont val="Calibri"/>
        <family val="2"/>
        <scheme val="minor"/>
      </rPr>
      <t>11</t>
    </r>
    <r>
      <rPr>
        <sz val="11"/>
        <color theme="1"/>
        <rFont val="Calibri"/>
        <family val="2"/>
        <scheme val="minor"/>
      </rPr>
      <t xml:space="preserve"> - Term Modified By Placement Program Due To Student Behavior While In The Placement
</t>
    </r>
    <r>
      <rPr>
        <b/>
        <sz val="11"/>
        <color theme="1"/>
        <rFont val="Calibri"/>
        <family val="2"/>
        <scheme val="minor"/>
      </rPr>
      <t>12</t>
    </r>
    <r>
      <rPr>
        <sz val="11"/>
        <color theme="1"/>
        <rFont val="Calibri"/>
        <family val="2"/>
        <scheme val="minor"/>
      </rPr>
      <t xml:space="preserve"> - Other
</t>
    </r>
  </si>
  <si>
    <r>
      <t>EXPNOTMODNOALT</t>
    </r>
    <r>
      <rPr>
        <sz val="11"/>
        <color theme="1"/>
        <rFont val="Calibri"/>
        <family val="2"/>
        <scheme val="minor"/>
      </rPr>
      <t xml:space="preserve"> - One year expulsion and no educational services
</t>
    </r>
    <r>
      <rPr>
        <b/>
        <sz val="11"/>
        <color theme="1"/>
        <rFont val="Calibri"/>
        <family val="2"/>
        <scheme val="minor"/>
      </rPr>
      <t>EXPMODALT</t>
    </r>
    <r>
      <rPr>
        <sz val="11"/>
        <color theme="1"/>
        <rFont val="Calibri"/>
        <family val="2"/>
        <scheme val="minor"/>
      </rPr>
      <t xml:space="preserve"> - Expulsion modified to less than one year with educational services
</t>
    </r>
    <r>
      <rPr>
        <b/>
        <sz val="11"/>
        <color theme="1"/>
        <rFont val="Calibri"/>
        <family val="2"/>
        <scheme val="minor"/>
      </rPr>
      <t>EXPMODNOALT</t>
    </r>
    <r>
      <rPr>
        <sz val="11"/>
        <color theme="1"/>
        <rFont val="Calibri"/>
        <family val="2"/>
        <scheme val="minor"/>
      </rPr>
      <t xml:space="preserve"> - Expulsion modified to less than one year without educational services
</t>
    </r>
    <r>
      <rPr>
        <b/>
        <sz val="11"/>
        <color theme="1"/>
        <rFont val="Calibri"/>
        <family val="2"/>
        <scheme val="minor"/>
      </rPr>
      <t>EXPALT</t>
    </r>
    <r>
      <rPr>
        <sz val="11"/>
        <color theme="1"/>
        <rFont val="Calibri"/>
        <family val="2"/>
        <scheme val="minor"/>
      </rPr>
      <t xml:space="preserve"> - One year expulsion and educational services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</si>
  <si>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OutOfSchool</t>
    </r>
    <r>
      <rPr>
        <sz val="11"/>
        <color theme="1"/>
        <rFont val="Calibri"/>
        <family val="2"/>
        <scheme val="minor"/>
      </rPr>
      <t xml:space="preserve"> - Out of School Suspensions/Expulsions
</t>
    </r>
    <r>
      <rPr>
        <b/>
        <sz val="11"/>
        <color theme="1"/>
        <rFont val="Calibri"/>
        <family val="2"/>
        <scheme val="minor"/>
      </rPr>
      <t>InSchool</t>
    </r>
    <r>
      <rPr>
        <sz val="11"/>
        <color theme="1"/>
        <rFont val="Calibri"/>
        <family val="2"/>
        <scheme val="minor"/>
      </rPr>
      <t xml:space="preserve"> - In School Suspensions
</t>
    </r>
  </si>
  <si>
    <r>
      <t>DrugRelated</t>
    </r>
    <r>
      <rPr>
        <sz val="11"/>
        <color theme="1"/>
        <rFont val="Calibri"/>
        <family val="2"/>
        <scheme val="minor"/>
      </rPr>
      <t xml:space="preserve"> - Illicit drug related
</t>
    </r>
    <r>
      <rPr>
        <b/>
        <sz val="11"/>
        <color theme="1"/>
        <rFont val="Calibri"/>
        <family val="2"/>
        <scheme val="minor"/>
      </rPr>
      <t>AlcoholRelated</t>
    </r>
    <r>
      <rPr>
        <sz val="11"/>
        <color theme="1"/>
        <rFont val="Calibri"/>
        <family val="2"/>
        <scheme val="minor"/>
      </rPr>
      <t xml:space="preserve"> - Alcohol related
</t>
    </r>
    <r>
      <rPr>
        <b/>
        <sz val="11"/>
        <color theme="1"/>
        <rFont val="Calibri"/>
        <family val="2"/>
        <scheme val="minor"/>
      </rPr>
      <t>WeaponsPossession</t>
    </r>
    <r>
      <rPr>
        <sz val="11"/>
        <color theme="1"/>
        <rFont val="Calibri"/>
        <family val="2"/>
        <scheme val="minor"/>
      </rPr>
      <t xml:space="preserve"> - Weapons possession
</t>
    </r>
    <r>
      <rPr>
        <b/>
        <sz val="11"/>
        <color theme="1"/>
        <rFont val="Calibri"/>
        <family val="2"/>
        <scheme val="minor"/>
      </rPr>
      <t>WithPhysicalInjury</t>
    </r>
    <r>
      <rPr>
        <sz val="11"/>
        <color theme="1"/>
        <rFont val="Calibri"/>
        <family val="2"/>
        <scheme val="minor"/>
      </rPr>
      <t xml:space="preserve"> - Violent Incident (with Physical Injury)
</t>
    </r>
    <r>
      <rPr>
        <b/>
        <sz val="11"/>
        <color theme="1"/>
        <rFont val="Calibri"/>
        <family val="2"/>
        <scheme val="minor"/>
      </rPr>
      <t>WithoutPhysicalInjury</t>
    </r>
    <r>
      <rPr>
        <sz val="11"/>
        <color theme="1"/>
        <rFont val="Calibri"/>
        <family val="2"/>
        <scheme val="minor"/>
      </rPr>
      <t xml:space="preserve"> - Violent Incident (without Physical Injury)
</t>
    </r>
    <r>
      <rPr>
        <b/>
        <sz val="11"/>
        <color theme="1"/>
        <rFont val="Calibri"/>
        <family val="2"/>
        <scheme val="minor"/>
      </rPr>
      <t>Other</t>
    </r>
    <r>
      <rPr>
        <sz val="11"/>
        <color theme="1"/>
        <rFont val="Calibri"/>
        <family val="2"/>
        <scheme val="minor"/>
      </rPr>
      <t xml:space="preserve"> - Other reasons for out of school suspensions related to drug use and violence
</t>
    </r>
  </si>
  <si>
    <r>
      <t>EnrolledExclusively</t>
    </r>
    <r>
      <rPr>
        <sz val="11"/>
        <color theme="1"/>
        <rFont val="Calibri"/>
        <family val="2"/>
        <scheme val="minor"/>
      </rPr>
      <t xml:space="preserve"> - Enrolled exclusively in distance education courses
</t>
    </r>
    <r>
      <rPr>
        <b/>
        <sz val="11"/>
        <color theme="1"/>
        <rFont val="Calibri"/>
        <family val="2"/>
        <scheme val="minor"/>
      </rPr>
      <t>EnrolledInSome</t>
    </r>
    <r>
      <rPr>
        <sz val="11"/>
        <color theme="1"/>
        <rFont val="Calibri"/>
        <family val="2"/>
        <scheme val="minor"/>
      </rPr>
      <t xml:space="preserve"> - Enrolled in some but not all distance education courses
</t>
    </r>
    <r>
      <rPr>
        <b/>
        <sz val="11"/>
        <color theme="1"/>
        <rFont val="Calibri"/>
        <family val="2"/>
        <scheme val="minor"/>
      </rPr>
      <t>NotEnrolled</t>
    </r>
    <r>
      <rPr>
        <sz val="11"/>
        <color theme="1"/>
        <rFont val="Calibri"/>
        <family val="2"/>
        <scheme val="minor"/>
      </rPr>
      <t xml:space="preserve"> - Not enrolled in distance education courses
</t>
    </r>
  </si>
  <si>
    <r>
      <t>True</t>
    </r>
    <r>
      <rPr>
        <sz val="11"/>
        <color theme="1"/>
        <rFont val="Calibri"/>
        <family val="2"/>
        <scheme val="minor"/>
      </rPr>
      <t xml:space="preserve"> - Student was admitted as a doctoral candidate
</t>
    </r>
    <r>
      <rPr>
        <b/>
        <sz val="11"/>
        <color theme="1"/>
        <rFont val="Calibri"/>
        <family val="2"/>
        <scheme val="minor"/>
      </rPr>
      <t>False</t>
    </r>
    <r>
      <rPr>
        <sz val="11"/>
        <color theme="1"/>
        <rFont val="Calibri"/>
        <family val="2"/>
        <scheme val="minor"/>
      </rPr>
      <t xml:space="preserve"> - Student was not admitted as a doctoral candidate
</t>
    </r>
  </si>
  <si>
    <r>
      <t>Qualifying</t>
    </r>
    <r>
      <rPr>
        <sz val="11"/>
        <color theme="1"/>
        <rFont val="Calibri"/>
        <family val="2"/>
        <scheme val="minor"/>
      </rPr>
      <t xml:space="preserve"> - Qualifying exam
</t>
    </r>
    <r>
      <rPr>
        <b/>
        <sz val="11"/>
        <color theme="1"/>
        <rFont val="Calibri"/>
        <family val="2"/>
        <scheme val="minor"/>
      </rPr>
      <t>OralComprehensive</t>
    </r>
    <r>
      <rPr>
        <sz val="11"/>
        <color theme="1"/>
        <rFont val="Calibri"/>
        <family val="2"/>
        <scheme val="minor"/>
      </rPr>
      <t xml:space="preserve"> - Oral comprehensive exam
</t>
    </r>
    <r>
      <rPr>
        <b/>
        <sz val="11"/>
        <color theme="1"/>
        <rFont val="Calibri"/>
        <family val="2"/>
        <scheme val="minor"/>
      </rPr>
      <t>WrittenComprehensive</t>
    </r>
    <r>
      <rPr>
        <sz val="11"/>
        <color theme="1"/>
        <rFont val="Calibri"/>
        <family val="2"/>
        <scheme val="minor"/>
      </rPr>
      <t xml:space="preserve"> - Written comprehensive exam
</t>
    </r>
    <r>
      <rPr>
        <b/>
        <sz val="11"/>
        <color theme="1"/>
        <rFont val="Calibri"/>
        <family val="2"/>
        <scheme val="minor"/>
      </rPr>
      <t>Candidacy</t>
    </r>
    <r>
      <rPr>
        <sz val="11"/>
        <color theme="1"/>
        <rFont val="Calibri"/>
        <family val="2"/>
        <scheme val="minor"/>
      </rPr>
      <t xml:space="preserve"> - Candidacy exam
</t>
    </r>
    <r>
      <rPr>
        <b/>
        <sz val="11"/>
        <color theme="1"/>
        <rFont val="Calibri"/>
        <family val="2"/>
        <scheme val="minor"/>
      </rPr>
      <t>Other</t>
    </r>
    <r>
      <rPr>
        <sz val="11"/>
        <color theme="1"/>
        <rFont val="Calibri"/>
        <family val="2"/>
        <scheme val="minor"/>
      </rPr>
      <t xml:space="preserve"> - Other departmental or institutional exam
</t>
    </r>
  </si>
  <si>
    <r>
      <t>SpecializedKnowledge</t>
    </r>
    <r>
      <rPr>
        <sz val="11"/>
        <color theme="1"/>
        <rFont val="Calibri"/>
        <family val="2"/>
        <scheme val="minor"/>
      </rPr>
      <t xml:space="preserve"> - Specialized Knowledge
</t>
    </r>
    <r>
      <rPr>
        <b/>
        <sz val="11"/>
        <color theme="1"/>
        <rFont val="Calibri"/>
        <family val="2"/>
        <scheme val="minor"/>
      </rPr>
      <t>BroadAndIntegrativeKnowledge</t>
    </r>
    <r>
      <rPr>
        <sz val="11"/>
        <color theme="1"/>
        <rFont val="Calibri"/>
        <family val="2"/>
        <scheme val="minor"/>
      </rPr>
      <t xml:space="preserve"> - Broad and Integrative Knowledge
</t>
    </r>
    <r>
      <rPr>
        <b/>
        <sz val="11"/>
        <color theme="1"/>
        <rFont val="Calibri"/>
        <family val="2"/>
        <scheme val="minor"/>
      </rPr>
      <t>IntellectualSkills</t>
    </r>
    <r>
      <rPr>
        <sz val="11"/>
        <color theme="1"/>
        <rFont val="Calibri"/>
        <family val="2"/>
        <scheme val="minor"/>
      </rPr>
      <t xml:space="preserve"> - Intellectual Skills
</t>
    </r>
    <r>
      <rPr>
        <b/>
        <sz val="11"/>
        <color theme="1"/>
        <rFont val="Calibri"/>
        <family val="2"/>
        <scheme val="minor"/>
      </rPr>
      <t>AppliedAndCollaborativeLearning</t>
    </r>
    <r>
      <rPr>
        <sz val="11"/>
        <color theme="1"/>
        <rFont val="Calibri"/>
        <family val="2"/>
        <scheme val="minor"/>
      </rPr>
      <t xml:space="preserve"> - Applied and Collaborative Learning
</t>
    </r>
    <r>
      <rPr>
        <b/>
        <sz val="11"/>
        <color theme="1"/>
        <rFont val="Calibri"/>
        <family val="2"/>
        <scheme val="minor"/>
      </rPr>
      <t>CivicAndGlobalLearning</t>
    </r>
    <r>
      <rPr>
        <sz val="11"/>
        <color theme="1"/>
        <rFont val="Calibri"/>
        <family val="2"/>
        <scheme val="minor"/>
      </rPr>
      <t xml:space="preserve"> - Civic and Global Learning
</t>
    </r>
  </si>
  <si>
    <r>
      <t>ChildDevelopmentAssociate</t>
    </r>
    <r>
      <rPr>
        <sz val="11"/>
        <color theme="1"/>
        <rFont val="Calibri"/>
        <family val="2"/>
        <scheme val="minor"/>
      </rPr>
      <t xml:space="preserve"> - Child Development Associate (CDA)
</t>
    </r>
    <r>
      <rPr>
        <b/>
        <sz val="11"/>
        <color theme="1"/>
        <rFont val="Calibri"/>
        <family val="2"/>
        <scheme val="minor"/>
      </rPr>
      <t>DirectorsLevelCredential</t>
    </r>
    <r>
      <rPr>
        <sz val="11"/>
        <color theme="1"/>
        <rFont val="Calibri"/>
        <family val="2"/>
        <scheme val="minor"/>
      </rPr>
      <t xml:space="preserve"> - Directors Level Credential
</t>
    </r>
    <r>
      <rPr>
        <b/>
        <sz val="11"/>
        <color theme="1"/>
        <rFont val="Calibri"/>
        <family val="2"/>
        <scheme val="minor"/>
      </rPr>
      <t>StateInfantToddler</t>
    </r>
    <r>
      <rPr>
        <sz val="11"/>
        <color theme="1"/>
        <rFont val="Calibri"/>
        <family val="2"/>
        <scheme val="minor"/>
      </rPr>
      <t xml:space="preserve"> - State Awarded Credential for Infant/Toddler
</t>
    </r>
    <r>
      <rPr>
        <b/>
        <sz val="11"/>
        <color theme="1"/>
        <rFont val="Calibri"/>
        <family val="2"/>
        <scheme val="minor"/>
      </rPr>
      <t>StatePreschool</t>
    </r>
    <r>
      <rPr>
        <sz val="11"/>
        <color theme="1"/>
        <rFont val="Calibri"/>
        <family val="2"/>
        <scheme val="minor"/>
      </rPr>
      <t xml:space="preserve"> - State Awarded Preschool Credential
</t>
    </r>
    <r>
      <rPr>
        <b/>
        <sz val="11"/>
        <color theme="1"/>
        <rFont val="Calibri"/>
        <family val="2"/>
        <scheme val="minor"/>
      </rPr>
      <t>StateSchoolAge</t>
    </r>
    <r>
      <rPr>
        <sz val="11"/>
        <color theme="1"/>
        <rFont val="Calibri"/>
        <family val="2"/>
        <scheme val="minor"/>
      </rPr>
      <t xml:space="preserve"> - State Awarded School-Age Credential
</t>
    </r>
    <r>
      <rPr>
        <b/>
        <sz val="11"/>
        <color theme="1"/>
        <rFont val="Calibri"/>
        <family val="2"/>
        <scheme val="minor"/>
      </rPr>
      <t>Other</t>
    </r>
    <r>
      <rPr>
        <sz val="11"/>
        <color theme="1"/>
        <rFont val="Calibri"/>
        <family val="2"/>
        <scheme val="minor"/>
      </rPr>
      <t xml:space="preserve"> - Other
</t>
    </r>
  </si>
  <si>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StatePreschool</t>
    </r>
    <r>
      <rPr>
        <sz val="11"/>
        <color theme="1"/>
        <rFont val="Calibri"/>
        <family val="2"/>
        <scheme val="minor"/>
      </rPr>
      <t xml:space="preserve"> - State Preschool
</t>
    </r>
    <r>
      <rPr>
        <b/>
        <sz val="11"/>
        <color theme="1"/>
        <rFont val="Calibri"/>
        <family val="2"/>
        <scheme val="minor"/>
      </rPr>
      <t>PublicPreschool</t>
    </r>
    <r>
      <rPr>
        <sz val="11"/>
        <color theme="1"/>
        <rFont val="Calibri"/>
        <family val="2"/>
        <scheme val="minor"/>
      </rPr>
      <t xml:space="preserve"> - Public Preschool
</t>
    </r>
    <r>
      <rPr>
        <b/>
        <sz val="11"/>
        <color theme="1"/>
        <rFont val="Calibri"/>
        <family val="2"/>
        <scheme val="minor"/>
      </rPr>
      <t>PrivatePreschool</t>
    </r>
    <r>
      <rPr>
        <sz val="11"/>
        <color theme="1"/>
        <rFont val="Calibri"/>
        <family val="2"/>
        <scheme val="minor"/>
      </rPr>
      <t xml:space="preserve"> - Private Preschool
</t>
    </r>
    <r>
      <rPr>
        <b/>
        <sz val="11"/>
        <color theme="1"/>
        <rFont val="Calibri"/>
        <family val="2"/>
        <scheme val="minor"/>
      </rPr>
      <t>EarlyChildhoodSpecialEducation</t>
    </r>
    <r>
      <rPr>
        <sz val="11"/>
        <color theme="1"/>
        <rFont val="Calibri"/>
        <family val="2"/>
        <scheme val="minor"/>
      </rPr>
      <t xml:space="preserve"> - Early Childhood Special Education (619)
</t>
    </r>
    <r>
      <rPr>
        <b/>
        <sz val="11"/>
        <color theme="1"/>
        <rFont val="Calibri"/>
        <family val="2"/>
        <scheme val="minor"/>
      </rPr>
      <t>HomeVisiting</t>
    </r>
    <r>
      <rPr>
        <sz val="11"/>
        <color theme="1"/>
        <rFont val="Calibri"/>
        <family val="2"/>
        <scheme val="minor"/>
      </rPr>
      <t xml:space="preserve"> - Home Visiting
</t>
    </r>
    <r>
      <rPr>
        <b/>
        <sz val="11"/>
        <color theme="1"/>
        <rFont val="Calibri"/>
        <family val="2"/>
        <scheme val="minor"/>
      </rPr>
      <t>ChildCare</t>
    </r>
    <r>
      <rPr>
        <sz val="11"/>
        <color theme="1"/>
        <rFont val="Calibri"/>
        <family val="2"/>
        <scheme val="minor"/>
      </rPr>
      <t xml:space="preserve"> - Child Care
</t>
    </r>
    <r>
      <rPr>
        <b/>
        <sz val="11"/>
        <color theme="1"/>
        <rFont val="Calibri"/>
        <family val="2"/>
        <scheme val="minor"/>
      </rPr>
      <t>EarlyInterventionPartC</t>
    </r>
    <r>
      <rPr>
        <sz val="11"/>
        <color theme="1"/>
        <rFont val="Calibri"/>
        <family val="2"/>
        <scheme val="minor"/>
      </rPr>
      <t xml:space="preserve"> - Early Intervention Services Part C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</si>
  <si>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17</t>
    </r>
    <r>
      <rPr>
        <sz val="11"/>
        <color theme="1"/>
        <rFont val="Calibri"/>
        <family val="2"/>
        <scheme val="minor"/>
      </rPr>
      <t xml:space="preserve"> - Behavioral health
</t>
    </r>
    <r>
      <rPr>
        <b/>
        <sz val="11"/>
        <color theme="1"/>
        <rFont val="Calibri"/>
        <family val="2"/>
        <scheme val="minor"/>
      </rPr>
      <t>18</t>
    </r>
    <r>
      <rPr>
        <sz val="11"/>
        <color theme="1"/>
        <rFont val="Calibri"/>
        <family val="2"/>
        <scheme val="minor"/>
      </rPr>
      <t xml:space="preserve"> - Transportation
</t>
    </r>
    <r>
      <rPr>
        <b/>
        <sz val="11"/>
        <color theme="1"/>
        <rFont val="Calibri"/>
        <family val="2"/>
        <scheme val="minor"/>
      </rPr>
      <t>98</t>
    </r>
    <r>
      <rPr>
        <sz val="11"/>
        <color theme="1"/>
        <rFont val="Calibri"/>
        <family val="2"/>
        <scheme val="minor"/>
      </rPr>
      <t xml:space="preserve"> - None
</t>
    </r>
    <r>
      <rPr>
        <b/>
        <sz val="11"/>
        <color theme="1"/>
        <rFont val="Calibri"/>
        <family val="2"/>
        <scheme val="minor"/>
      </rPr>
      <t>99</t>
    </r>
    <r>
      <rPr>
        <sz val="11"/>
        <color theme="1"/>
        <rFont val="Calibri"/>
        <family val="2"/>
        <scheme val="minor"/>
      </rPr>
      <t xml:space="preserve"> - Other
</t>
    </r>
  </si>
  <si>
    <r>
      <t>HomeBased</t>
    </r>
    <r>
      <rPr>
        <sz val="11"/>
        <color theme="1"/>
        <rFont val="Calibri"/>
        <family val="2"/>
        <scheme val="minor"/>
      </rPr>
      <t xml:space="preserve"> - Home-based (Child's Home)
</t>
    </r>
    <r>
      <rPr>
        <b/>
        <sz val="11"/>
        <color theme="1"/>
        <rFont val="Calibri"/>
        <family val="2"/>
        <scheme val="minor"/>
      </rPr>
      <t>CommunityBased</t>
    </r>
    <r>
      <rPr>
        <sz val="11"/>
        <color theme="1"/>
        <rFont val="Calibri"/>
        <family val="2"/>
        <scheme val="minor"/>
      </rPr>
      <t xml:space="preserve"> - Community-based (outside the child's home)
</t>
    </r>
    <r>
      <rPr>
        <b/>
        <sz val="11"/>
        <color theme="1"/>
        <rFont val="Calibri"/>
        <family val="2"/>
        <scheme val="minor"/>
      </rPr>
      <t>CenterBased</t>
    </r>
    <r>
      <rPr>
        <sz val="11"/>
        <color theme="1"/>
        <rFont val="Calibri"/>
        <family val="2"/>
        <scheme val="minor"/>
      </rPr>
      <t xml:space="preserve"> - Center-based (including a school setting)
</t>
    </r>
    <r>
      <rPr>
        <b/>
        <sz val="11"/>
        <color theme="1"/>
        <rFont val="Calibri"/>
        <family val="2"/>
        <scheme val="minor"/>
      </rPr>
      <t>CenterBasedSpecial</t>
    </r>
    <r>
      <rPr>
        <sz val="11"/>
        <color theme="1"/>
        <rFont val="Calibri"/>
        <family val="2"/>
        <scheme val="minor"/>
      </rPr>
      <t xml:space="preserve"> - Center-based for children with special needs
</t>
    </r>
    <r>
      <rPr>
        <b/>
        <sz val="11"/>
        <color theme="1"/>
        <rFont val="Calibri"/>
        <family val="2"/>
        <scheme val="minor"/>
      </rPr>
      <t>FamilyChildCare</t>
    </r>
    <r>
      <rPr>
        <sz val="11"/>
        <color theme="1"/>
        <rFont val="Calibri"/>
        <family val="2"/>
        <scheme val="minor"/>
      </rPr>
      <t xml:space="preserve"> - Family Child Care Home (Provider's Home)
</t>
    </r>
    <r>
      <rPr>
        <b/>
        <sz val="11"/>
        <color theme="1"/>
        <rFont val="Calibri"/>
        <family val="2"/>
        <scheme val="minor"/>
      </rPr>
      <t>MultiSetting</t>
    </r>
    <r>
      <rPr>
        <sz val="11"/>
        <color theme="1"/>
        <rFont val="Calibri"/>
        <family val="2"/>
        <scheme val="minor"/>
      </rPr>
      <t xml:space="preserve"> - Multi-setting
</t>
    </r>
    <r>
      <rPr>
        <b/>
        <sz val="11"/>
        <color theme="1"/>
        <rFont val="Calibri"/>
        <family val="2"/>
        <scheme val="minor"/>
      </rPr>
      <t>LocallyDesigned</t>
    </r>
    <r>
      <rPr>
        <sz val="11"/>
        <color theme="1"/>
        <rFont val="Calibri"/>
        <family val="2"/>
        <scheme val="minor"/>
      </rPr>
      <t xml:space="preserve"> - Locally designed
</t>
    </r>
  </si>
  <si>
    <r>
      <t>01</t>
    </r>
    <r>
      <rPr>
        <sz val="11"/>
        <color theme="1"/>
        <rFont val="Calibri"/>
        <family val="2"/>
        <scheme val="minor"/>
      </rPr>
      <t xml:space="preserve"> - Creative curriculum infants/toddlers
</t>
    </r>
    <r>
      <rPr>
        <b/>
        <sz val="11"/>
        <color theme="1"/>
        <rFont val="Calibri"/>
        <family val="2"/>
        <scheme val="minor"/>
      </rPr>
      <t>02</t>
    </r>
    <r>
      <rPr>
        <sz val="11"/>
        <color theme="1"/>
        <rFont val="Calibri"/>
        <family val="2"/>
        <scheme val="minor"/>
      </rPr>
      <t xml:space="preserve"> - Creative curriculum preschool
</t>
    </r>
    <r>
      <rPr>
        <b/>
        <sz val="11"/>
        <color theme="1"/>
        <rFont val="Calibri"/>
        <family val="2"/>
        <scheme val="minor"/>
      </rPr>
      <t>03</t>
    </r>
    <r>
      <rPr>
        <sz val="11"/>
        <color theme="1"/>
        <rFont val="Calibri"/>
        <family val="2"/>
        <scheme val="minor"/>
      </rPr>
      <t xml:space="preserve"> - Creative curriculum family child care
</t>
    </r>
    <r>
      <rPr>
        <b/>
        <sz val="11"/>
        <color theme="1"/>
        <rFont val="Calibri"/>
        <family val="2"/>
        <scheme val="minor"/>
      </rPr>
      <t>04</t>
    </r>
    <r>
      <rPr>
        <sz val="11"/>
        <color theme="1"/>
        <rFont val="Calibri"/>
        <family val="2"/>
        <scheme val="minor"/>
      </rPr>
      <t xml:space="preserve"> - Highscope preschoolers
</t>
    </r>
    <r>
      <rPr>
        <b/>
        <sz val="11"/>
        <color theme="1"/>
        <rFont val="Calibri"/>
        <family val="2"/>
        <scheme val="minor"/>
      </rPr>
      <t>05</t>
    </r>
    <r>
      <rPr>
        <sz val="11"/>
        <color theme="1"/>
        <rFont val="Calibri"/>
        <family val="2"/>
        <scheme val="minor"/>
      </rPr>
      <t xml:space="preserve"> - Highscope infants/toddlers
</t>
    </r>
    <r>
      <rPr>
        <b/>
        <sz val="11"/>
        <color theme="1"/>
        <rFont val="Calibri"/>
        <family val="2"/>
        <scheme val="minor"/>
      </rPr>
      <t>06</t>
    </r>
    <r>
      <rPr>
        <sz val="11"/>
        <color theme="1"/>
        <rFont val="Calibri"/>
        <family val="2"/>
        <scheme val="minor"/>
      </rPr>
      <t xml:space="preserve"> - Montessori curriculum
</t>
    </r>
    <r>
      <rPr>
        <b/>
        <sz val="11"/>
        <color theme="1"/>
        <rFont val="Calibri"/>
        <family val="2"/>
        <scheme val="minor"/>
      </rPr>
      <t>07</t>
    </r>
    <r>
      <rPr>
        <sz val="11"/>
        <color theme="1"/>
        <rFont val="Calibri"/>
        <family val="2"/>
        <scheme val="minor"/>
      </rPr>
      <t xml:space="preserve"> - Locally designed curriculum
</t>
    </r>
    <r>
      <rPr>
        <b/>
        <sz val="11"/>
        <color theme="1"/>
        <rFont val="Calibri"/>
        <family val="2"/>
        <scheme val="minor"/>
      </rPr>
      <t>08</t>
    </r>
    <r>
      <rPr>
        <sz val="11"/>
        <color theme="1"/>
        <rFont val="Calibri"/>
        <family val="2"/>
        <scheme val="minor"/>
      </rPr>
      <t xml:space="preserve"> - Other curriculum
</t>
    </r>
    <r>
      <rPr>
        <b/>
        <sz val="11"/>
        <color theme="1"/>
        <rFont val="Calibri"/>
        <family val="2"/>
        <scheme val="minor"/>
      </rPr>
      <t>09</t>
    </r>
    <r>
      <rPr>
        <sz val="11"/>
        <color theme="1"/>
        <rFont val="Calibri"/>
        <family val="2"/>
        <scheme val="minor"/>
      </rPr>
      <t xml:space="preserve"> - None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</si>
  <si>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</si>
  <si>
    <r>
      <t>Teacher</t>
    </r>
    <r>
      <rPr>
        <sz val="11"/>
        <color theme="1"/>
        <rFont val="Calibri"/>
        <family val="2"/>
        <scheme val="minor"/>
      </rPr>
      <t xml:space="preserve"> - Teacher
</t>
    </r>
    <r>
      <rPr>
        <b/>
        <sz val="11"/>
        <color theme="1"/>
        <rFont val="Calibri"/>
        <family val="2"/>
        <scheme val="minor"/>
      </rPr>
      <t>AssistanceTeacher</t>
    </r>
    <r>
      <rPr>
        <sz val="11"/>
        <color theme="1"/>
        <rFont val="Calibri"/>
        <family val="2"/>
        <scheme val="minor"/>
      </rPr>
      <t xml:space="preserve"> - Assistance Teacher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NonTeachingLeadership</t>
    </r>
    <r>
      <rPr>
        <sz val="11"/>
        <color theme="1"/>
        <rFont val="Calibri"/>
        <family val="2"/>
        <scheme val="minor"/>
      </rPr>
      <t xml:space="preserve"> - Non-teaching Leadership
</t>
    </r>
    <r>
      <rPr>
        <b/>
        <sz val="11"/>
        <color theme="1"/>
        <rFont val="Calibri"/>
        <family val="2"/>
        <scheme val="minor"/>
      </rPr>
      <t>NonTeacherOther</t>
    </r>
    <r>
      <rPr>
        <sz val="11"/>
        <color theme="1"/>
        <rFont val="Calibri"/>
        <family val="2"/>
        <scheme val="minor"/>
      </rPr>
      <t xml:space="preserve"> - Non-teacher Other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ABAAide</t>
    </r>
    <r>
      <rPr>
        <sz val="11"/>
        <color theme="1"/>
        <rFont val="Calibri"/>
        <family val="2"/>
        <scheme val="minor"/>
      </rPr>
      <t xml:space="preserve"> - Applied Behavior Analysis (ABA) Aide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VisionRehabTherapist</t>
    </r>
    <r>
      <rPr>
        <sz val="11"/>
        <color theme="1"/>
        <rFont val="Calibri"/>
        <family val="2"/>
        <scheme val="minor"/>
      </rPr>
      <t xml:space="preserve"> - Vision Rehabilitation Therapist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ContractStaff</t>
    </r>
    <r>
      <rPr>
        <sz val="11"/>
        <color theme="1"/>
        <rFont val="Calibri"/>
        <family val="2"/>
        <scheme val="minor"/>
      </rPr>
      <t xml:space="preserve"> - Contract Staff
</t>
    </r>
  </si>
  <si>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</si>
  <si>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CCDF</t>
    </r>
    <r>
      <rPr>
        <sz val="11"/>
        <color theme="1"/>
        <rFont val="Calibri"/>
        <family val="2"/>
        <scheme val="minor"/>
      </rPr>
      <t xml:space="preserve"> - Office of Child Care-CCDF
</t>
    </r>
    <r>
      <rPr>
        <b/>
        <sz val="11"/>
        <color theme="1"/>
        <rFont val="Calibri"/>
        <family val="2"/>
        <scheme val="minor"/>
      </rPr>
      <t>EarlyInterventionPartC</t>
    </r>
    <r>
      <rPr>
        <sz val="11"/>
        <color theme="1"/>
        <rFont val="Calibri"/>
        <family val="2"/>
        <scheme val="minor"/>
      </rPr>
      <t xml:space="preserve"> - Early Intevention Part C
</t>
    </r>
    <r>
      <rPr>
        <b/>
        <sz val="11"/>
        <color theme="1"/>
        <rFont val="Calibri"/>
        <family val="2"/>
        <scheme val="minor"/>
      </rPr>
      <t>PartB619</t>
    </r>
    <r>
      <rPr>
        <sz val="11"/>
        <color theme="1"/>
        <rFont val="Calibri"/>
        <family val="2"/>
        <scheme val="minor"/>
      </rPr>
      <t xml:space="preserve"> - Special Education Preschool Part B 619
</t>
    </r>
    <r>
      <rPr>
        <b/>
        <sz val="11"/>
        <color theme="1"/>
        <rFont val="Calibri"/>
        <family val="2"/>
        <scheme val="minor"/>
      </rPr>
      <t>TitleI</t>
    </r>
    <r>
      <rPr>
        <sz val="11"/>
        <color theme="1"/>
        <rFont val="Calibri"/>
        <family val="2"/>
        <scheme val="minor"/>
      </rPr>
      <t xml:space="preserve"> - Title I
</t>
    </r>
    <r>
      <rPr>
        <b/>
        <sz val="11"/>
        <color theme="1"/>
        <rFont val="Calibri"/>
        <family val="2"/>
        <scheme val="minor"/>
      </rPr>
      <t>MIECHV</t>
    </r>
    <r>
      <rPr>
        <sz val="11"/>
        <color theme="1"/>
        <rFont val="Calibri"/>
        <family val="2"/>
        <scheme val="minor"/>
      </rPr>
      <t xml:space="preserve"> - Maternal, Infant, and Early Childhood Home Visiting (MIECHV)
</t>
    </r>
    <r>
      <rPr>
        <b/>
        <sz val="11"/>
        <color theme="1"/>
        <rFont val="Calibri"/>
        <family val="2"/>
        <scheme val="minor"/>
      </rPr>
      <t>TitleVMCH</t>
    </r>
    <r>
      <rPr>
        <sz val="11"/>
        <color theme="1"/>
        <rFont val="Calibri"/>
        <family val="2"/>
        <scheme val="minor"/>
      </rPr>
      <t xml:space="preserve"> - Title V Maternal and Child Health (MCH)
</t>
    </r>
    <r>
      <rPr>
        <b/>
        <sz val="11"/>
        <color theme="1"/>
        <rFont val="Calibri"/>
        <family val="2"/>
        <scheme val="minor"/>
      </rPr>
      <t>PartB611IDEA</t>
    </r>
    <r>
      <rPr>
        <sz val="11"/>
        <color theme="1"/>
        <rFont val="Calibri"/>
        <family val="2"/>
        <scheme val="minor"/>
      </rPr>
      <t xml:space="preserve"> - Part B 611 Individuals with Disabilities Education Act (IDEA)
</t>
    </r>
    <r>
      <rPr>
        <b/>
        <sz val="11"/>
        <color theme="1"/>
        <rFont val="Calibri"/>
        <family val="2"/>
        <scheme val="minor"/>
      </rPr>
      <t>PartDIDEA</t>
    </r>
    <r>
      <rPr>
        <sz val="11"/>
        <color theme="1"/>
        <rFont val="Calibri"/>
        <family val="2"/>
        <scheme val="minor"/>
      </rPr>
      <t xml:space="preserve"> - Part D Individuals with Disabilities Education Act (IDEA)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SCHIP</t>
    </r>
    <r>
      <rPr>
        <sz val="11"/>
        <color theme="1"/>
        <rFont val="Calibri"/>
        <family val="2"/>
        <scheme val="minor"/>
      </rPr>
      <t xml:space="preserve"> - State Children's Health Insurance Program (SCHIP)
</t>
    </r>
    <r>
      <rPr>
        <b/>
        <sz val="11"/>
        <color theme="1"/>
        <rFont val="Calibri"/>
        <family val="2"/>
        <scheme val="minor"/>
      </rPr>
      <t>WIC</t>
    </r>
    <r>
      <rPr>
        <sz val="11"/>
        <color theme="1"/>
        <rFont val="Calibri"/>
        <family val="2"/>
        <scheme val="minor"/>
      </rPr>
      <t xml:space="preserve"> - Special Supplemental Nutrition Program for Women Infants and Children (WIC)
</t>
    </r>
    <r>
      <rPr>
        <b/>
        <sz val="11"/>
        <color theme="1"/>
        <rFont val="Calibri"/>
        <family val="2"/>
        <scheme val="minor"/>
      </rPr>
      <t>TANF</t>
    </r>
    <r>
      <rPr>
        <sz val="11"/>
        <color theme="1"/>
        <rFont val="Calibri"/>
        <family val="2"/>
        <scheme val="minor"/>
      </rPr>
      <t xml:space="preserve"> - Temporary Assistance for Needy Families (TANF)
</t>
    </r>
    <r>
      <rPr>
        <b/>
        <sz val="11"/>
        <color theme="1"/>
        <rFont val="Calibri"/>
        <family val="2"/>
        <scheme val="minor"/>
      </rPr>
      <t>TitleVHomeVisiting</t>
    </r>
    <r>
      <rPr>
        <sz val="11"/>
        <color theme="1"/>
        <rFont val="Calibri"/>
        <family val="2"/>
        <scheme val="minor"/>
      </rPr>
      <t xml:space="preserve"> - Title V Home Visiting
</t>
    </r>
    <r>
      <rPr>
        <b/>
        <sz val="11"/>
        <color theme="1"/>
        <rFont val="Calibri"/>
        <family val="2"/>
        <scheme val="minor"/>
      </rPr>
      <t>SSBG</t>
    </r>
    <r>
      <rPr>
        <sz val="11"/>
        <color theme="1"/>
        <rFont val="Calibri"/>
        <family val="2"/>
        <scheme val="minor"/>
      </rPr>
      <t xml:space="preserve"> - Social Services Block Grant (SSBG)
</t>
    </r>
    <r>
      <rPr>
        <b/>
        <sz val="11"/>
        <color theme="1"/>
        <rFont val="Calibri"/>
        <family val="2"/>
        <scheme val="minor"/>
      </rPr>
      <t>ChampusTricare</t>
    </r>
    <r>
      <rPr>
        <sz val="11"/>
        <color theme="1"/>
        <rFont val="Calibri"/>
        <family val="2"/>
        <scheme val="minor"/>
      </rPr>
      <t xml:space="preserve"> - Champus/Tricare
</t>
    </r>
    <r>
      <rPr>
        <b/>
        <sz val="11"/>
        <color theme="1"/>
        <rFont val="Calibri"/>
        <family val="2"/>
        <scheme val="minor"/>
      </rPr>
      <t>ImpactAid</t>
    </r>
    <r>
      <rPr>
        <sz val="11"/>
        <color theme="1"/>
        <rFont val="Calibri"/>
        <family val="2"/>
        <scheme val="minor"/>
      </rPr>
      <t xml:space="preserve"> - Impact Aid
</t>
    </r>
    <r>
      <rPr>
        <b/>
        <sz val="11"/>
        <color theme="1"/>
        <rFont val="Calibri"/>
        <family val="2"/>
        <scheme val="minor"/>
      </rPr>
      <t>FamilyPreservation</t>
    </r>
    <r>
      <rPr>
        <sz val="11"/>
        <color theme="1"/>
        <rFont val="Calibri"/>
        <family val="2"/>
        <scheme val="minor"/>
      </rPr>
      <t xml:space="preserve"> - Family Preservation
</t>
    </r>
    <r>
      <rPr>
        <b/>
        <sz val="11"/>
        <color theme="1"/>
        <rFont val="Calibri"/>
        <family val="2"/>
        <scheme val="minor"/>
      </rPr>
      <t>DropoutPrevention</t>
    </r>
    <r>
      <rPr>
        <sz val="11"/>
        <color theme="1"/>
        <rFont val="Calibri"/>
        <family val="2"/>
        <scheme val="minor"/>
      </rPr>
      <t xml:space="preserve"> - Dropout Prevention
</t>
    </r>
    <r>
      <rPr>
        <b/>
        <sz val="11"/>
        <color theme="1"/>
        <rFont val="Calibri"/>
        <family val="2"/>
        <scheme val="minor"/>
      </rPr>
      <t>JuvenileJustice</t>
    </r>
    <r>
      <rPr>
        <sz val="11"/>
        <color theme="1"/>
        <rFont val="Calibri"/>
        <family val="2"/>
        <scheme val="minor"/>
      </rPr>
      <t xml:space="preserve"> - Juvenile Justice
</t>
    </r>
    <r>
      <rPr>
        <b/>
        <sz val="11"/>
        <color theme="1"/>
        <rFont val="Calibri"/>
        <family val="2"/>
        <scheme val="minor"/>
      </rPr>
      <t>Other</t>
    </r>
    <r>
      <rPr>
        <sz val="11"/>
        <color theme="1"/>
        <rFont val="Calibri"/>
        <family val="2"/>
        <scheme val="minor"/>
      </rPr>
      <t xml:space="preserve"> - Other
</t>
    </r>
  </si>
  <si>
    <r>
      <t>Infants</t>
    </r>
    <r>
      <rPr>
        <sz val="11"/>
        <color theme="1"/>
        <rFont val="Calibri"/>
        <family val="2"/>
        <scheme val="minor"/>
      </rPr>
      <t xml:space="preserve"> - Meets or exceeds standards for infants
</t>
    </r>
    <r>
      <rPr>
        <b/>
        <sz val="11"/>
        <color theme="1"/>
        <rFont val="Calibri"/>
        <family val="2"/>
        <scheme val="minor"/>
      </rPr>
      <t>Toddlers</t>
    </r>
    <r>
      <rPr>
        <sz val="11"/>
        <color theme="1"/>
        <rFont val="Calibri"/>
        <family val="2"/>
        <scheme val="minor"/>
      </rPr>
      <t xml:space="preserve"> - Meets or exceeds standards for toddlers
</t>
    </r>
    <r>
      <rPr>
        <b/>
        <sz val="11"/>
        <color theme="1"/>
        <rFont val="Calibri"/>
        <family val="2"/>
        <scheme val="minor"/>
      </rPr>
      <t>Preschoolers</t>
    </r>
    <r>
      <rPr>
        <sz val="11"/>
        <color theme="1"/>
        <rFont val="Calibri"/>
        <family val="2"/>
        <scheme val="minor"/>
      </rPr>
      <t xml:space="preserve"> - Meets or exceeds standards for preschoolers
</t>
    </r>
    <r>
      <rPr>
        <b/>
        <sz val="11"/>
        <color theme="1"/>
        <rFont val="Calibri"/>
        <family val="2"/>
        <scheme val="minor"/>
      </rPr>
      <t>School-Age</t>
    </r>
    <r>
      <rPr>
        <sz val="11"/>
        <color theme="1"/>
        <rFont val="Calibri"/>
        <family val="2"/>
        <scheme val="minor"/>
      </rPr>
      <t xml:space="preserve"> - Meets or exceeds standards for school-age
</t>
    </r>
  </si>
  <si>
    <r>
      <t>LEA</t>
    </r>
    <r>
      <rPr>
        <sz val="11"/>
        <color theme="1"/>
        <rFont val="Calibri"/>
        <family val="2"/>
        <scheme val="minor"/>
      </rPr>
      <t xml:space="preserve"> - LEA
</t>
    </r>
    <r>
      <rPr>
        <b/>
        <sz val="11"/>
        <color theme="1"/>
        <rFont val="Calibri"/>
        <family val="2"/>
        <scheme val="minor"/>
      </rPr>
      <t>CountyLevyTax</t>
    </r>
    <r>
      <rPr>
        <sz val="11"/>
        <color theme="1"/>
        <rFont val="Calibri"/>
        <family val="2"/>
        <scheme val="minor"/>
      </rPr>
      <t xml:space="preserve"> - County Levy Tax
</t>
    </r>
    <r>
      <rPr>
        <b/>
        <sz val="11"/>
        <color theme="1"/>
        <rFont val="Calibri"/>
        <family val="2"/>
        <scheme val="minor"/>
      </rPr>
      <t>Foundations</t>
    </r>
    <r>
      <rPr>
        <sz val="11"/>
        <color theme="1"/>
        <rFont val="Calibri"/>
        <family val="2"/>
        <scheme val="minor"/>
      </rPr>
      <t xml:space="preserve"> - Foundations
</t>
    </r>
    <r>
      <rPr>
        <b/>
        <sz val="11"/>
        <color theme="1"/>
        <rFont val="Calibri"/>
        <family val="2"/>
        <scheme val="minor"/>
      </rPr>
      <t>SpecialFundRaising</t>
    </r>
    <r>
      <rPr>
        <sz val="11"/>
        <color theme="1"/>
        <rFont val="Calibri"/>
        <family val="2"/>
        <scheme val="minor"/>
      </rPr>
      <t xml:space="preserve"> - Special Fund Raising
</t>
    </r>
    <r>
      <rPr>
        <b/>
        <sz val="11"/>
        <color theme="1"/>
        <rFont val="Calibri"/>
        <family val="2"/>
        <scheme val="minor"/>
      </rPr>
      <t>LocalGovernment</t>
    </r>
    <r>
      <rPr>
        <sz val="11"/>
        <color theme="1"/>
        <rFont val="Calibri"/>
        <family val="2"/>
        <scheme val="minor"/>
      </rPr>
      <t xml:space="preserve"> - Local Government
</t>
    </r>
    <r>
      <rPr>
        <b/>
        <sz val="11"/>
        <color theme="1"/>
        <rFont val="Calibri"/>
        <family val="2"/>
        <scheme val="minor"/>
      </rPr>
      <t>CashDonations</t>
    </r>
    <r>
      <rPr>
        <sz val="11"/>
        <color theme="1"/>
        <rFont val="Calibri"/>
        <family val="2"/>
        <scheme val="minor"/>
      </rPr>
      <t xml:space="preserve"> - Cash Donations
</t>
    </r>
    <r>
      <rPr>
        <b/>
        <sz val="11"/>
        <color theme="1"/>
        <rFont val="Calibri"/>
        <family val="2"/>
        <scheme val="minor"/>
      </rPr>
      <t>UnitedWay</t>
    </r>
    <r>
      <rPr>
        <sz val="11"/>
        <color theme="1"/>
        <rFont val="Calibri"/>
        <family val="2"/>
        <scheme val="minor"/>
      </rPr>
      <t xml:space="preserve"> - United Way
</t>
    </r>
    <r>
      <rPr>
        <b/>
        <sz val="11"/>
        <color theme="1"/>
        <rFont val="Calibri"/>
        <family val="2"/>
        <scheme val="minor"/>
      </rPr>
      <t>PrivateInsurance</t>
    </r>
    <r>
      <rPr>
        <sz val="11"/>
        <color theme="1"/>
        <rFont val="Calibri"/>
        <family val="2"/>
        <scheme val="minor"/>
      </rPr>
      <t xml:space="preserve"> - Private Insurance
</t>
    </r>
    <r>
      <rPr>
        <b/>
        <sz val="11"/>
        <color theme="1"/>
        <rFont val="Calibri"/>
        <family val="2"/>
        <scheme val="minor"/>
      </rPr>
      <t>FamilyFees</t>
    </r>
    <r>
      <rPr>
        <sz val="11"/>
        <color theme="1"/>
        <rFont val="Calibri"/>
        <family val="2"/>
        <scheme val="minor"/>
      </rPr>
      <t xml:space="preserve"> - Family Fees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</si>
  <si>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Head Start
</t>
    </r>
    <r>
      <rPr>
        <b/>
        <sz val="11"/>
        <color theme="1"/>
        <rFont val="Calibri"/>
        <family val="2"/>
        <scheme val="minor"/>
      </rPr>
      <t>02</t>
    </r>
    <r>
      <rPr>
        <sz val="11"/>
        <color theme="1"/>
        <rFont val="Calibri"/>
        <family val="2"/>
        <scheme val="minor"/>
      </rPr>
      <t xml:space="preserve"> - Early Head Start
</t>
    </r>
    <r>
      <rPr>
        <b/>
        <sz val="11"/>
        <color theme="1"/>
        <rFont val="Calibri"/>
        <family val="2"/>
        <scheme val="minor"/>
      </rPr>
      <t>03</t>
    </r>
    <r>
      <rPr>
        <sz val="11"/>
        <color theme="1"/>
        <rFont val="Calibri"/>
        <family val="2"/>
        <scheme val="minor"/>
      </rPr>
      <t xml:space="preserve"> - Office of Child Care-CCDF
</t>
    </r>
    <r>
      <rPr>
        <b/>
        <sz val="11"/>
        <color theme="1"/>
        <rFont val="Calibri"/>
        <family val="2"/>
        <scheme val="minor"/>
      </rPr>
      <t>04</t>
    </r>
    <r>
      <rPr>
        <sz val="11"/>
        <color theme="1"/>
        <rFont val="Calibri"/>
        <family val="2"/>
        <scheme val="minor"/>
      </rPr>
      <t xml:space="preserve"> - Early Intervention Part C
</t>
    </r>
    <r>
      <rPr>
        <b/>
        <sz val="11"/>
        <color theme="1"/>
        <rFont val="Calibri"/>
        <family val="2"/>
        <scheme val="minor"/>
      </rPr>
      <t>05</t>
    </r>
    <r>
      <rPr>
        <sz val="11"/>
        <color theme="1"/>
        <rFont val="Calibri"/>
        <family val="2"/>
        <scheme val="minor"/>
      </rPr>
      <t xml:space="preserve"> - Special Education Preschool Part B 619
</t>
    </r>
    <r>
      <rPr>
        <b/>
        <sz val="11"/>
        <color theme="1"/>
        <rFont val="Calibri"/>
        <family val="2"/>
        <scheme val="minor"/>
      </rPr>
      <t>99</t>
    </r>
    <r>
      <rPr>
        <sz val="11"/>
        <color theme="1"/>
        <rFont val="Calibri"/>
        <family val="2"/>
        <scheme val="minor"/>
      </rPr>
      <t xml:space="preserve"> - Other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</si>
  <si>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No</t>
    </r>
    <r>
      <rPr>
        <sz val="11"/>
        <color theme="1"/>
        <rFont val="Calibri"/>
        <family val="2"/>
        <scheme val="minor"/>
      </rPr>
      <t xml:space="preserve"> - No
</t>
    </r>
    <r>
      <rPr>
        <b/>
        <sz val="11"/>
        <color theme="1"/>
        <rFont val="Calibri"/>
        <family val="2"/>
        <scheme val="minor"/>
      </rPr>
      <t>Other</t>
    </r>
    <r>
      <rPr>
        <sz val="11"/>
        <color theme="1"/>
        <rFont val="Calibri"/>
        <family val="2"/>
        <scheme val="minor"/>
      </rPr>
      <t xml:space="preserve"> - Other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</si>
  <si>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NA</t>
    </r>
    <r>
      <rPr>
        <sz val="11"/>
        <color theme="1"/>
        <rFont val="Calibri"/>
        <family val="2"/>
        <scheme val="minor"/>
      </rPr>
      <t xml:space="preserve"> - Not applicable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</si>
  <si>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t>
    </r>
    <r>
      <rPr>
        <b/>
        <sz val="11"/>
        <color theme="1"/>
        <rFont val="Calibri"/>
        <family val="2"/>
        <scheme val="minor"/>
      </rPr>
      <t>05</t>
    </r>
    <r>
      <rPr>
        <sz val="11"/>
        <color theme="1"/>
        <rFont val="Calibri"/>
        <family val="2"/>
        <scheme val="minor"/>
      </rPr>
      <t xml:space="preserve"> - Documenting and Assessing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08</t>
    </r>
    <r>
      <rPr>
        <sz val="11"/>
        <color theme="1"/>
        <rFont val="Calibri"/>
        <family val="2"/>
        <scheme val="minor"/>
      </rPr>
      <t xml:space="preserve"> - Working with Diverse Populations
</t>
    </r>
    <r>
      <rPr>
        <b/>
        <sz val="11"/>
        <color theme="1"/>
        <rFont val="Calibri"/>
        <family val="2"/>
        <scheme val="minor"/>
      </rPr>
      <t>99</t>
    </r>
    <r>
      <rPr>
        <sz val="11"/>
        <color theme="1"/>
        <rFont val="Calibri"/>
        <family val="2"/>
        <scheme val="minor"/>
      </rPr>
      <t xml:space="preserve"> - Other
</t>
    </r>
  </si>
  <si>
    <r>
      <t>Age</t>
    </r>
    <r>
      <rPr>
        <sz val="11"/>
        <color theme="1"/>
        <rFont val="Calibri"/>
        <family val="2"/>
        <scheme val="minor"/>
      </rPr>
      <t xml:space="preserve"> - Age
</t>
    </r>
    <r>
      <rPr>
        <b/>
        <sz val="11"/>
        <color theme="1"/>
        <rFont val="Calibri"/>
        <family val="2"/>
        <scheme val="minor"/>
      </rPr>
      <t>FamilyIncome</t>
    </r>
    <r>
      <rPr>
        <sz val="11"/>
        <color theme="1"/>
        <rFont val="Calibri"/>
        <family val="2"/>
        <scheme val="minor"/>
      </rPr>
      <t xml:space="preserve"> - Family income
</t>
    </r>
    <r>
      <rPr>
        <b/>
        <sz val="11"/>
        <color theme="1"/>
        <rFont val="Calibri"/>
        <family val="2"/>
        <scheme val="minor"/>
      </rPr>
      <t>DisabilityStatus</t>
    </r>
    <r>
      <rPr>
        <sz val="11"/>
        <color theme="1"/>
        <rFont val="Calibri"/>
        <family val="2"/>
        <scheme val="minor"/>
      </rPr>
      <t xml:space="preserve"> - Disability Status
</t>
    </r>
    <r>
      <rPr>
        <b/>
        <sz val="11"/>
        <color theme="1"/>
        <rFont val="Calibri"/>
        <family val="2"/>
        <scheme val="minor"/>
      </rPr>
      <t>SSSI</t>
    </r>
    <r>
      <rPr>
        <sz val="11"/>
        <color theme="1"/>
        <rFont val="Calibri"/>
        <family val="2"/>
        <scheme val="minor"/>
      </rPr>
      <t xml:space="preserve"> - Supplemental social security income
</t>
    </r>
    <r>
      <rPr>
        <b/>
        <sz val="11"/>
        <color theme="1"/>
        <rFont val="Calibri"/>
        <family val="2"/>
        <scheme val="minor"/>
      </rPr>
      <t>WIC</t>
    </r>
    <r>
      <rPr>
        <sz val="11"/>
        <color theme="1"/>
        <rFont val="Calibri"/>
        <family val="2"/>
        <scheme val="minor"/>
      </rPr>
      <t xml:space="preserve"> - Women, infants, and children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OtherPublicAssistance</t>
    </r>
    <r>
      <rPr>
        <sz val="11"/>
        <color theme="1"/>
        <rFont val="Calibri"/>
        <family val="2"/>
        <scheme val="minor"/>
      </rPr>
      <t xml:space="preserve"> - Other public assistance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MilitaryFamily</t>
    </r>
    <r>
      <rPr>
        <sz val="11"/>
        <color theme="1"/>
        <rFont val="Calibri"/>
        <family val="2"/>
        <scheme val="minor"/>
      </rPr>
      <t xml:space="preserve"> - Military family
</t>
    </r>
    <r>
      <rPr>
        <b/>
        <sz val="11"/>
        <color theme="1"/>
        <rFont val="Calibri"/>
        <family val="2"/>
        <scheme val="minor"/>
      </rPr>
      <t>ELL</t>
    </r>
    <r>
      <rPr>
        <sz val="11"/>
        <color theme="1"/>
        <rFont val="Calibri"/>
        <family val="2"/>
        <scheme val="minor"/>
      </rPr>
      <t xml:space="preserve"> - Home language other than English
</t>
    </r>
    <r>
      <rPr>
        <b/>
        <sz val="11"/>
        <color theme="1"/>
        <rFont val="Calibri"/>
        <family val="2"/>
        <scheme val="minor"/>
      </rPr>
      <t>OtherFamilyRisk</t>
    </r>
    <r>
      <rPr>
        <sz val="11"/>
        <color theme="1"/>
        <rFont val="Calibri"/>
        <family val="2"/>
        <scheme val="minor"/>
      </rPr>
      <t xml:space="preserve"> - Other family risk factors
</t>
    </r>
    <r>
      <rPr>
        <b/>
        <sz val="11"/>
        <color theme="1"/>
        <rFont val="Calibri"/>
        <family val="2"/>
        <scheme val="minor"/>
      </rPr>
      <t>OtherChildRisk</t>
    </r>
    <r>
      <rPr>
        <sz val="11"/>
        <color theme="1"/>
        <rFont val="Calibri"/>
        <family val="2"/>
        <scheme val="minor"/>
      </rPr>
      <t xml:space="preserve"> - Other child risk factors
</t>
    </r>
    <r>
      <rPr>
        <b/>
        <sz val="11"/>
        <color theme="1"/>
        <rFont val="Calibri"/>
        <family val="2"/>
        <scheme val="minor"/>
      </rPr>
      <t>AtRisk</t>
    </r>
    <r>
      <rPr>
        <sz val="11"/>
        <color theme="1"/>
        <rFont val="Calibri"/>
        <family val="2"/>
        <scheme val="minor"/>
      </rPr>
      <t xml:space="preserve"> - At-risk of having a substantial developmental delay
</t>
    </r>
    <r>
      <rPr>
        <b/>
        <sz val="11"/>
        <color theme="1"/>
        <rFont val="Calibri"/>
        <family val="2"/>
        <scheme val="minor"/>
      </rPr>
      <t>Other</t>
    </r>
    <r>
      <rPr>
        <sz val="11"/>
        <color theme="1"/>
        <rFont val="Calibri"/>
        <family val="2"/>
        <scheme val="minor"/>
      </rPr>
      <t xml:space="preserve"> - Other
</t>
    </r>
  </si>
  <si>
    <r>
      <t>Pending</t>
    </r>
    <r>
      <rPr>
        <sz val="11"/>
        <color theme="1"/>
        <rFont val="Calibri"/>
        <family val="2"/>
        <scheme val="minor"/>
      </rPr>
      <t xml:space="preserve"> - Pending
</t>
    </r>
    <r>
      <rPr>
        <b/>
        <sz val="11"/>
        <color theme="1"/>
        <rFont val="Calibri"/>
        <family val="2"/>
        <scheme val="minor"/>
      </rPr>
      <t>NotEligible</t>
    </r>
    <r>
      <rPr>
        <sz val="11"/>
        <color theme="1"/>
        <rFont val="Calibri"/>
        <family val="2"/>
        <scheme val="minor"/>
      </rPr>
      <t xml:space="preserve"> - Not found eligible
</t>
    </r>
    <r>
      <rPr>
        <b/>
        <sz val="11"/>
        <color theme="1"/>
        <rFont val="Calibri"/>
        <family val="2"/>
        <scheme val="minor"/>
      </rPr>
      <t>Eligible</t>
    </r>
    <r>
      <rPr>
        <sz val="11"/>
        <color theme="1"/>
        <rFont val="Calibri"/>
        <family val="2"/>
        <scheme val="minor"/>
      </rPr>
      <t xml:space="preserve"> - Found eligible
</t>
    </r>
    <r>
      <rPr>
        <b/>
        <sz val="11"/>
        <color theme="1"/>
        <rFont val="Calibri"/>
        <family val="2"/>
        <scheme val="minor"/>
      </rPr>
      <t>NotActive</t>
    </r>
    <r>
      <rPr>
        <sz val="11"/>
        <color theme="1"/>
        <rFont val="Calibri"/>
        <family val="2"/>
        <scheme val="minor"/>
      </rPr>
      <t xml:space="preserve"> - Not yet active
</t>
    </r>
  </si>
  <si>
    <r>
      <t>Unlicensed</t>
    </r>
    <r>
      <rPr>
        <sz val="11"/>
        <color theme="1"/>
        <rFont val="Calibri"/>
        <family val="2"/>
        <scheme val="minor"/>
      </rPr>
      <t xml:space="preserve"> - Unlicensed
</t>
    </r>
    <r>
      <rPr>
        <b/>
        <sz val="11"/>
        <color theme="1"/>
        <rFont val="Calibri"/>
        <family val="2"/>
        <scheme val="minor"/>
      </rPr>
      <t>ExemptRegulated</t>
    </r>
    <r>
      <rPr>
        <sz val="11"/>
        <color theme="1"/>
        <rFont val="Calibri"/>
        <family val="2"/>
        <scheme val="minor"/>
      </rPr>
      <t xml:space="preserve"> - Exempt - regulated
</t>
    </r>
    <r>
      <rPr>
        <b/>
        <sz val="11"/>
        <color theme="1"/>
        <rFont val="Calibri"/>
        <family val="2"/>
        <scheme val="minor"/>
      </rPr>
      <t>ExemptUnregulated</t>
    </r>
    <r>
      <rPr>
        <sz val="11"/>
        <color theme="1"/>
        <rFont val="Calibri"/>
        <family val="2"/>
        <scheme val="minor"/>
      </rPr>
      <t xml:space="preserve"> - Exempt - unregulated
</t>
    </r>
    <r>
      <rPr>
        <b/>
        <sz val="11"/>
        <color theme="1"/>
        <rFont val="Calibri"/>
        <family val="2"/>
        <scheme val="minor"/>
      </rPr>
      <t>Licensed</t>
    </r>
    <r>
      <rPr>
        <sz val="11"/>
        <color theme="1"/>
        <rFont val="Calibri"/>
        <family val="2"/>
        <scheme val="minor"/>
      </rPr>
      <t xml:space="preserve"> - Licensed
</t>
    </r>
  </si>
  <si>
    <r>
      <t>ABAAide</t>
    </r>
    <r>
      <rPr>
        <sz val="11"/>
        <color theme="1"/>
        <rFont val="Calibri"/>
        <family val="2"/>
        <scheme val="minor"/>
      </rPr>
      <t xml:space="preserve"> - Applied Behavior Analysis (ABA) Aide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ContractStaff</t>
    </r>
    <r>
      <rPr>
        <sz val="11"/>
        <color theme="1"/>
        <rFont val="Calibri"/>
        <family val="2"/>
        <scheme val="minor"/>
      </rPr>
      <t xml:space="preserve"> - Contract Staff
</t>
    </r>
    <r>
      <rPr>
        <b/>
        <sz val="11"/>
        <color theme="1"/>
        <rFont val="Calibri"/>
        <family val="2"/>
        <scheme val="minor"/>
      </rPr>
      <t>HomeVisitor</t>
    </r>
    <r>
      <rPr>
        <sz val="11"/>
        <color theme="1"/>
        <rFont val="Calibri"/>
        <family val="2"/>
        <scheme val="minor"/>
      </rPr>
      <t xml:space="preserve"> - Home Visitor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VisionRehabTherapist</t>
    </r>
    <r>
      <rPr>
        <sz val="11"/>
        <color theme="1"/>
        <rFont val="Calibri"/>
        <family val="2"/>
        <scheme val="minor"/>
      </rPr>
      <t xml:space="preserve"> - Vision Rehabilitation Therapist
</t>
    </r>
  </si>
  <si>
    <r>
      <t>MentalHealth</t>
    </r>
    <r>
      <rPr>
        <sz val="11"/>
        <color theme="1"/>
        <rFont val="Calibri"/>
        <family val="2"/>
        <scheme val="minor"/>
      </rPr>
      <t xml:space="preserve"> - Mental health
</t>
    </r>
    <r>
      <rPr>
        <b/>
        <sz val="11"/>
        <color theme="1"/>
        <rFont val="Calibri"/>
        <family val="2"/>
        <scheme val="minor"/>
      </rPr>
      <t>Nutritional</t>
    </r>
    <r>
      <rPr>
        <sz val="11"/>
        <color theme="1"/>
        <rFont val="Calibri"/>
        <family val="2"/>
        <scheme val="minor"/>
      </rPr>
      <t xml:space="preserve"> - Nutritional
</t>
    </r>
    <r>
      <rPr>
        <b/>
        <sz val="11"/>
        <color theme="1"/>
        <rFont val="Calibri"/>
        <family val="2"/>
        <scheme val="minor"/>
      </rPr>
      <t>Educational</t>
    </r>
    <r>
      <rPr>
        <sz val="11"/>
        <color theme="1"/>
        <rFont val="Calibri"/>
        <family val="2"/>
        <scheme val="minor"/>
      </rPr>
      <t xml:space="preserve"> - Educational
</t>
    </r>
    <r>
      <rPr>
        <b/>
        <sz val="11"/>
        <color theme="1"/>
        <rFont val="Calibri"/>
        <family val="2"/>
        <scheme val="minor"/>
      </rPr>
      <t>PhysicalRehabilitation</t>
    </r>
    <r>
      <rPr>
        <sz val="11"/>
        <color theme="1"/>
        <rFont val="Calibri"/>
        <family val="2"/>
        <scheme val="minor"/>
      </rPr>
      <t xml:space="preserve"> - Physical rehabilitation
</t>
    </r>
    <r>
      <rPr>
        <b/>
        <sz val="11"/>
        <color theme="1"/>
        <rFont val="Calibri"/>
        <family val="2"/>
        <scheme val="minor"/>
      </rPr>
      <t>DentalHealth</t>
    </r>
    <r>
      <rPr>
        <sz val="11"/>
        <color theme="1"/>
        <rFont val="Calibri"/>
        <family val="2"/>
        <scheme val="minor"/>
      </rPr>
      <t xml:space="preserve"> - Dental Health
</t>
    </r>
    <r>
      <rPr>
        <b/>
        <sz val="11"/>
        <color theme="1"/>
        <rFont val="Calibri"/>
        <family val="2"/>
        <scheme val="minor"/>
      </rPr>
      <t>Other</t>
    </r>
    <r>
      <rPr>
        <sz val="11"/>
        <color theme="1"/>
        <rFont val="Calibri"/>
        <family val="2"/>
        <scheme val="minor"/>
      </rPr>
      <t xml:space="preserve"> - Other
</t>
    </r>
  </si>
  <si>
    <r>
      <t>StatePartCAppropriations</t>
    </r>
    <r>
      <rPr>
        <sz val="11"/>
        <color theme="1"/>
        <rFont val="Calibri"/>
        <family val="2"/>
        <scheme val="minor"/>
      </rPr>
      <t xml:space="preserve"> - State Part C Appropriations
</t>
    </r>
    <r>
      <rPr>
        <b/>
        <sz val="11"/>
        <color theme="1"/>
        <rFont val="Calibri"/>
        <family val="2"/>
        <scheme val="minor"/>
      </rPr>
      <t>StateGeneralFunds</t>
    </r>
    <r>
      <rPr>
        <sz val="11"/>
        <color theme="1"/>
        <rFont val="Calibri"/>
        <family val="2"/>
        <scheme val="minor"/>
      </rPr>
      <t xml:space="preserve"> - State General Funds
</t>
    </r>
    <r>
      <rPr>
        <b/>
        <sz val="11"/>
        <color theme="1"/>
        <rFont val="Calibri"/>
        <family val="2"/>
        <scheme val="minor"/>
      </rPr>
      <t>TitleVStateFunds</t>
    </r>
    <r>
      <rPr>
        <sz val="11"/>
        <color theme="1"/>
        <rFont val="Calibri"/>
        <family val="2"/>
        <scheme val="minor"/>
      </rPr>
      <t xml:space="preserve"> - Title V State Funds
</t>
    </r>
    <r>
      <rPr>
        <b/>
        <sz val="11"/>
        <color theme="1"/>
        <rFont val="Calibri"/>
        <family val="2"/>
        <scheme val="minor"/>
      </rPr>
      <t>CSHCNStateFunds</t>
    </r>
    <r>
      <rPr>
        <sz val="11"/>
        <color theme="1"/>
        <rFont val="Calibri"/>
        <family val="2"/>
        <scheme val="minor"/>
      </rPr>
      <t xml:space="preserve"> - CSHCN State Funds
</t>
    </r>
    <r>
      <rPr>
        <b/>
        <sz val="11"/>
        <color theme="1"/>
        <rFont val="Calibri"/>
        <family val="2"/>
        <scheme val="minor"/>
      </rPr>
      <t>StateSpecialEducationFunds</t>
    </r>
    <r>
      <rPr>
        <sz val="11"/>
        <color theme="1"/>
        <rFont val="Calibri"/>
        <family val="2"/>
        <scheme val="minor"/>
      </rPr>
      <t xml:space="preserve"> - State Special Education Funds
</t>
    </r>
    <r>
      <rPr>
        <b/>
        <sz val="11"/>
        <color theme="1"/>
        <rFont val="Calibri"/>
        <family val="2"/>
        <scheme val="minor"/>
      </rPr>
      <t>StateChildCareFunds</t>
    </r>
    <r>
      <rPr>
        <sz val="11"/>
        <color theme="1"/>
        <rFont val="Calibri"/>
        <family val="2"/>
        <scheme val="minor"/>
      </rPr>
      <t xml:space="preserve"> - State Child Care Funds
</t>
    </r>
    <r>
      <rPr>
        <b/>
        <sz val="11"/>
        <color theme="1"/>
        <rFont val="Calibri"/>
        <family val="2"/>
        <scheme val="minor"/>
      </rPr>
      <t>LotteryFunds</t>
    </r>
    <r>
      <rPr>
        <sz val="11"/>
        <color theme="1"/>
        <rFont val="Calibri"/>
        <family val="2"/>
        <scheme val="minor"/>
      </rPr>
      <t xml:space="preserve"> - Lottery Funds
</t>
    </r>
    <r>
      <rPr>
        <b/>
        <sz val="11"/>
        <color theme="1"/>
        <rFont val="Calibri"/>
        <family val="2"/>
        <scheme val="minor"/>
      </rPr>
      <t>TobaccoFunds</t>
    </r>
    <r>
      <rPr>
        <sz val="11"/>
        <color theme="1"/>
        <rFont val="Calibri"/>
        <family val="2"/>
        <scheme val="minor"/>
      </rPr>
      <t xml:space="preserve"> - Tobacco Funds
</t>
    </r>
    <r>
      <rPr>
        <b/>
        <sz val="11"/>
        <color theme="1"/>
        <rFont val="Calibri"/>
        <family val="2"/>
        <scheme val="minor"/>
      </rPr>
      <t>StateHomeVisiting</t>
    </r>
    <r>
      <rPr>
        <sz val="11"/>
        <color theme="1"/>
        <rFont val="Calibri"/>
        <family val="2"/>
        <scheme val="minor"/>
      </rPr>
      <t xml:space="preserve"> - State Home Visiting
</t>
    </r>
    <r>
      <rPr>
        <b/>
        <sz val="11"/>
        <color theme="1"/>
        <rFont val="Calibri"/>
        <family val="2"/>
        <scheme val="minor"/>
      </rPr>
      <t>StateDevelopmentalDisabilitiesFund</t>
    </r>
    <r>
      <rPr>
        <sz val="11"/>
        <color theme="1"/>
        <rFont val="Calibri"/>
        <family val="2"/>
        <scheme val="minor"/>
      </rPr>
      <t xml:space="preserve"> - State Developmental Disabilities Fund
</t>
    </r>
    <r>
      <rPr>
        <b/>
        <sz val="11"/>
        <color theme="1"/>
        <rFont val="Calibri"/>
        <family val="2"/>
        <scheme val="minor"/>
      </rPr>
      <t>StateMentalHealthFunds</t>
    </r>
    <r>
      <rPr>
        <sz val="11"/>
        <color theme="1"/>
        <rFont val="Calibri"/>
        <family val="2"/>
        <scheme val="minor"/>
      </rPr>
      <t xml:space="preserve"> - State Mental Health Funds
</t>
    </r>
    <r>
      <rPr>
        <b/>
        <sz val="11"/>
        <color theme="1"/>
        <rFont val="Calibri"/>
        <family val="2"/>
        <scheme val="minor"/>
      </rPr>
      <t>DeafBlindSchools</t>
    </r>
    <r>
      <rPr>
        <sz val="11"/>
        <color theme="1"/>
        <rFont val="Calibri"/>
        <family val="2"/>
        <scheme val="minor"/>
      </rPr>
      <t xml:space="preserve"> - Deaf Blind Schools
</t>
    </r>
    <r>
      <rPr>
        <b/>
        <sz val="11"/>
        <color theme="1"/>
        <rFont val="Calibri"/>
        <family val="2"/>
        <scheme val="minor"/>
      </rPr>
      <t>SSBGStateSupplement</t>
    </r>
    <r>
      <rPr>
        <sz val="11"/>
        <color theme="1"/>
        <rFont val="Calibri"/>
        <family val="2"/>
        <scheme val="minor"/>
      </rPr>
      <t xml:space="preserve"> - SSBG State Supplement
</t>
    </r>
    <r>
      <rPr>
        <b/>
        <sz val="11"/>
        <color theme="1"/>
        <rFont val="Calibri"/>
        <family val="2"/>
        <scheme val="minor"/>
      </rPr>
      <t>StatePreK</t>
    </r>
    <r>
      <rPr>
        <sz val="11"/>
        <color theme="1"/>
        <rFont val="Calibri"/>
        <family val="2"/>
        <scheme val="minor"/>
      </rPr>
      <t xml:space="preserve"> - State Pre-K
</t>
    </r>
    <r>
      <rPr>
        <b/>
        <sz val="11"/>
        <color theme="1"/>
        <rFont val="Calibri"/>
        <family val="2"/>
        <scheme val="minor"/>
      </rPr>
      <t>HeadStartStateSupplementalFund</t>
    </r>
    <r>
      <rPr>
        <sz val="11"/>
        <color theme="1"/>
        <rFont val="Calibri"/>
        <family val="2"/>
        <scheme val="minor"/>
      </rPr>
      <t xml:space="preserve"> - Head Start State Supplemental Fund
</t>
    </r>
    <r>
      <rPr>
        <b/>
        <sz val="11"/>
        <color theme="1"/>
        <rFont val="Calibri"/>
        <family val="2"/>
        <scheme val="minor"/>
      </rPr>
      <t>StatePublicEducationFund</t>
    </r>
    <r>
      <rPr>
        <sz val="11"/>
        <color theme="1"/>
        <rFont val="Calibri"/>
        <family val="2"/>
        <scheme val="minor"/>
      </rPr>
      <t xml:space="preserve"> - State Public Education Fund
</t>
    </r>
    <r>
      <rPr>
        <b/>
        <sz val="11"/>
        <color theme="1"/>
        <rFont val="Calibri"/>
        <family val="2"/>
        <scheme val="minor"/>
      </rPr>
      <t>OtherStateFunds</t>
    </r>
    <r>
      <rPr>
        <sz val="11"/>
        <color theme="1"/>
        <rFont val="Calibri"/>
        <family val="2"/>
        <scheme val="minor"/>
      </rPr>
      <t xml:space="preserve"> - Other State Funds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</si>
  <si>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99</t>
    </r>
    <r>
      <rPr>
        <sz val="11"/>
        <color theme="1"/>
        <rFont val="Calibri"/>
        <family val="2"/>
        <scheme val="minor"/>
      </rPr>
      <t xml:space="preserve"> - Other
</t>
    </r>
  </si>
  <si>
    <r>
      <t>1</t>
    </r>
    <r>
      <rPr>
        <sz val="11"/>
        <color theme="1"/>
        <rFont val="Calibri"/>
        <family val="2"/>
        <scheme val="minor"/>
      </rPr>
      <t xml:space="preserve"> - Counties in metro areas of 1 million population or more
</t>
    </r>
    <r>
      <rPr>
        <b/>
        <sz val="11"/>
        <color theme="1"/>
        <rFont val="Calibri"/>
        <family val="2"/>
        <scheme val="minor"/>
      </rPr>
      <t>2</t>
    </r>
    <r>
      <rPr>
        <sz val="11"/>
        <color theme="1"/>
        <rFont val="Calibri"/>
        <family val="2"/>
        <scheme val="minor"/>
      </rPr>
      <t xml:space="preserve"> - Counties in metro areas of 250,000 to 1 million population
</t>
    </r>
    <r>
      <rPr>
        <b/>
        <sz val="11"/>
        <color theme="1"/>
        <rFont val="Calibri"/>
        <family val="2"/>
        <scheme val="minor"/>
      </rPr>
      <t>3</t>
    </r>
    <r>
      <rPr>
        <sz val="11"/>
        <color theme="1"/>
        <rFont val="Calibri"/>
        <family val="2"/>
        <scheme val="minor"/>
      </rPr>
      <t xml:space="preserve"> - Counties in metro areas of fewer than 250,000 population
</t>
    </r>
    <r>
      <rPr>
        <b/>
        <sz val="11"/>
        <color theme="1"/>
        <rFont val="Calibri"/>
        <family val="2"/>
        <scheme val="minor"/>
      </rPr>
      <t>4</t>
    </r>
    <r>
      <rPr>
        <sz val="11"/>
        <color theme="1"/>
        <rFont val="Calibri"/>
        <family val="2"/>
        <scheme val="minor"/>
      </rPr>
      <t xml:space="preserve"> - Urban population of 20,000 or more, adjacent to a metro area
</t>
    </r>
    <r>
      <rPr>
        <b/>
        <sz val="11"/>
        <color theme="1"/>
        <rFont val="Calibri"/>
        <family val="2"/>
        <scheme val="minor"/>
      </rPr>
      <t>5</t>
    </r>
    <r>
      <rPr>
        <sz val="11"/>
        <color theme="1"/>
        <rFont val="Calibri"/>
        <family val="2"/>
        <scheme val="minor"/>
      </rPr>
      <t xml:space="preserve"> - Urban population of 20,000 or more, not adjacent to a metro area
</t>
    </r>
    <r>
      <rPr>
        <b/>
        <sz val="11"/>
        <color theme="1"/>
        <rFont val="Calibri"/>
        <family val="2"/>
        <scheme val="minor"/>
      </rPr>
      <t>6</t>
    </r>
    <r>
      <rPr>
        <sz val="11"/>
        <color theme="1"/>
        <rFont val="Calibri"/>
        <family val="2"/>
        <scheme val="minor"/>
      </rPr>
      <t xml:space="preserve"> - Urban population of 2,500 to 19,999, adjacent to a metro area
</t>
    </r>
    <r>
      <rPr>
        <b/>
        <sz val="11"/>
        <color theme="1"/>
        <rFont val="Calibri"/>
        <family val="2"/>
        <scheme val="minor"/>
      </rPr>
      <t>7</t>
    </r>
    <r>
      <rPr>
        <sz val="11"/>
        <color theme="1"/>
        <rFont val="Calibri"/>
        <family val="2"/>
        <scheme val="minor"/>
      </rPr>
      <t xml:space="preserve"> - Urban population of 2,500 to 19,999, not adjacent to a metro area
</t>
    </r>
    <r>
      <rPr>
        <b/>
        <sz val="11"/>
        <color theme="1"/>
        <rFont val="Calibri"/>
        <family val="2"/>
        <scheme val="minor"/>
      </rPr>
      <t>8</t>
    </r>
    <r>
      <rPr>
        <sz val="11"/>
        <color theme="1"/>
        <rFont val="Calibri"/>
        <family val="2"/>
        <scheme val="minor"/>
      </rPr>
      <t xml:space="preserve"> - Completely rural or less than 2,500 urban population, adjacent to a metro area
</t>
    </r>
    <r>
      <rPr>
        <b/>
        <sz val="11"/>
        <color theme="1"/>
        <rFont val="Calibri"/>
        <family val="2"/>
        <scheme val="minor"/>
      </rPr>
      <t>9</t>
    </r>
    <r>
      <rPr>
        <sz val="11"/>
        <color theme="1"/>
        <rFont val="Calibri"/>
        <family val="2"/>
        <scheme val="minor"/>
      </rPr>
      <t xml:space="preserve"> - Completely rural or less than 2,500 urban population, not adjacent to a metro area
</t>
    </r>
  </si>
  <si>
    <r>
      <t>OfficialTranscript</t>
    </r>
    <r>
      <rPr>
        <sz val="11"/>
        <color theme="1"/>
        <rFont val="Calibri"/>
        <family val="2"/>
        <scheme val="minor"/>
      </rPr>
      <t xml:space="preserve"> - Official transcript
</t>
    </r>
    <r>
      <rPr>
        <b/>
        <sz val="11"/>
        <color theme="1"/>
        <rFont val="Calibri"/>
        <family val="2"/>
        <scheme val="minor"/>
      </rPr>
      <t>TranscriptCopy</t>
    </r>
    <r>
      <rPr>
        <sz val="11"/>
        <color theme="1"/>
        <rFont val="Calibri"/>
        <family val="2"/>
        <scheme val="minor"/>
      </rPr>
      <t xml:space="preserve"> - Transcript copy
</t>
    </r>
    <r>
      <rPr>
        <b/>
        <sz val="11"/>
        <color theme="1"/>
        <rFont val="Calibri"/>
        <family val="2"/>
        <scheme val="minor"/>
      </rPr>
      <t>DegreeCopy</t>
    </r>
    <r>
      <rPr>
        <sz val="11"/>
        <color theme="1"/>
        <rFont val="Calibri"/>
        <family val="2"/>
        <scheme val="minor"/>
      </rPr>
      <t xml:space="preserve"> - Degree copy
</t>
    </r>
    <r>
      <rPr>
        <b/>
        <sz val="11"/>
        <color theme="1"/>
        <rFont val="Calibri"/>
        <family val="2"/>
        <scheme val="minor"/>
      </rPr>
      <t>GradeReport</t>
    </r>
    <r>
      <rPr>
        <sz val="11"/>
        <color theme="1"/>
        <rFont val="Calibri"/>
        <family val="2"/>
        <scheme val="minor"/>
      </rPr>
      <t xml:space="preserve"> - Grade report
</t>
    </r>
    <r>
      <rPr>
        <b/>
        <sz val="11"/>
        <color theme="1"/>
        <rFont val="Calibri"/>
        <family val="2"/>
        <scheme val="minor"/>
      </rPr>
      <t>Other</t>
    </r>
    <r>
      <rPr>
        <sz val="11"/>
        <color theme="1"/>
        <rFont val="Calibri"/>
        <family val="2"/>
        <scheme val="minor"/>
      </rPr>
      <t xml:space="preserve"> - Other
</t>
    </r>
  </si>
  <si>
    <r>
      <t>Home</t>
    </r>
    <r>
      <rPr>
        <sz val="11"/>
        <color theme="1"/>
        <rFont val="Calibri"/>
        <family val="2"/>
        <scheme val="minor"/>
      </rPr>
      <t xml:space="preserve"> - Home/personal
</t>
    </r>
    <r>
      <rPr>
        <b/>
        <sz val="11"/>
        <color theme="1"/>
        <rFont val="Calibri"/>
        <family val="2"/>
        <scheme val="minor"/>
      </rPr>
      <t>Work</t>
    </r>
    <r>
      <rPr>
        <sz val="11"/>
        <color theme="1"/>
        <rFont val="Calibri"/>
        <family val="2"/>
        <scheme val="minor"/>
      </rPr>
      <t xml:space="preserve"> - Work
</t>
    </r>
    <r>
      <rPr>
        <b/>
        <sz val="11"/>
        <color theme="1"/>
        <rFont val="Calibri"/>
        <family val="2"/>
        <scheme val="minor"/>
      </rPr>
      <t>Organizational</t>
    </r>
    <r>
      <rPr>
        <sz val="11"/>
        <color theme="1"/>
        <rFont val="Calibri"/>
        <family val="2"/>
        <scheme val="minor"/>
      </rPr>
      <t xml:space="preserve"> - Organizational (school) address
</t>
    </r>
    <r>
      <rPr>
        <b/>
        <sz val="11"/>
        <color theme="1"/>
        <rFont val="Calibri"/>
        <family val="2"/>
        <scheme val="minor"/>
      </rPr>
      <t>Other</t>
    </r>
    <r>
      <rPr>
        <sz val="11"/>
        <color theme="1"/>
        <rFont val="Calibri"/>
        <family val="2"/>
        <scheme val="minor"/>
      </rPr>
      <t xml:space="preserve"> - Other
</t>
    </r>
  </si>
  <si>
    <r>
      <t>MetAdditionalIndicator</t>
    </r>
    <r>
      <rPr>
        <sz val="11"/>
        <color theme="1"/>
        <rFont val="Calibri"/>
        <family val="2"/>
        <scheme val="minor"/>
      </rPr>
      <t xml:space="preserve"> - Met Additional Indicator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No Students
</t>
    </r>
    <r>
      <rPr>
        <b/>
        <sz val="11"/>
        <color theme="1"/>
        <rFont val="Calibri"/>
        <family val="2"/>
        <scheme val="minor"/>
      </rPr>
      <t>NA</t>
    </r>
    <r>
      <rPr>
        <sz val="11"/>
        <color theme="1"/>
        <rFont val="Calibri"/>
        <family val="2"/>
        <scheme val="minor"/>
      </rPr>
      <t xml:space="preserve"> - Not applicable
</t>
    </r>
  </si>
  <si>
    <r>
      <t>Free</t>
    </r>
    <r>
      <rPr>
        <sz val="11"/>
        <color theme="1"/>
        <rFont val="Calibri"/>
        <family val="2"/>
        <scheme val="minor"/>
      </rPr>
      <t xml:space="preserve"> - Free
</t>
    </r>
    <r>
      <rPr>
        <b/>
        <sz val="11"/>
        <color theme="1"/>
        <rFont val="Calibri"/>
        <family val="2"/>
        <scheme val="minor"/>
      </rPr>
      <t>FullPrice</t>
    </r>
    <r>
      <rPr>
        <sz val="11"/>
        <color theme="1"/>
        <rFont val="Calibri"/>
        <family val="2"/>
        <scheme val="minor"/>
      </rPr>
      <t xml:space="preserve"> - Full price
</t>
    </r>
    <r>
      <rPr>
        <b/>
        <sz val="11"/>
        <color theme="1"/>
        <rFont val="Calibri"/>
        <family val="2"/>
        <scheme val="minor"/>
      </rPr>
      <t>ReducedPrice</t>
    </r>
    <r>
      <rPr>
        <sz val="11"/>
        <color theme="1"/>
        <rFont val="Calibri"/>
        <family val="2"/>
        <scheme val="minor"/>
      </rPr>
      <t xml:space="preserve"> - Reduced price
</t>
    </r>
    <r>
      <rPr>
        <b/>
        <sz val="11"/>
        <color theme="1"/>
        <rFont val="Calibri"/>
        <family val="2"/>
        <scheme val="minor"/>
      </rPr>
      <t>Other</t>
    </r>
    <r>
      <rPr>
        <sz val="11"/>
        <color theme="1"/>
        <rFont val="Calibri"/>
        <family val="2"/>
        <scheme val="minor"/>
      </rPr>
      <t xml:space="preserve"> - Other
</t>
    </r>
  </si>
  <si>
    <r>
      <t>Other</t>
    </r>
    <r>
      <rPr>
        <sz val="11"/>
        <color theme="1"/>
        <rFont val="Calibri"/>
        <family val="2"/>
        <scheme val="minor"/>
      </rPr>
      <t xml:space="preserve"> - Other location
</t>
    </r>
    <r>
      <rPr>
        <b/>
        <sz val="11"/>
        <color theme="1"/>
        <rFont val="Calibri"/>
        <family val="2"/>
        <scheme val="minor"/>
      </rPr>
      <t>Multiple</t>
    </r>
    <r>
      <rPr>
        <sz val="11"/>
        <color theme="1"/>
        <rFont val="Calibri"/>
        <family val="2"/>
        <scheme val="minor"/>
      </rPr>
      <t xml:space="preserve"> - Multiple locations
</t>
    </r>
    <r>
      <rPr>
        <b/>
        <sz val="11"/>
        <color theme="1"/>
        <rFont val="Calibri"/>
        <family val="2"/>
        <scheme val="minor"/>
      </rP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</si>
  <si>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01</t>
    </r>
    <r>
      <rPr>
        <sz val="11"/>
        <color theme="1"/>
        <rFont val="Calibri"/>
        <family val="2"/>
        <scheme val="minor"/>
      </rPr>
      <t xml:space="preserve"> - State UI Wage Records
</t>
    </r>
    <r>
      <rPr>
        <b/>
        <sz val="11"/>
        <color theme="1"/>
        <rFont val="Calibri"/>
        <family val="2"/>
        <scheme val="minor"/>
      </rPr>
      <t>02</t>
    </r>
    <r>
      <rPr>
        <sz val="11"/>
        <color theme="1"/>
        <rFont val="Calibri"/>
        <family val="2"/>
        <scheme val="minor"/>
      </rPr>
      <t xml:space="preserve"> - Wage Record Interchange System (WRIS II)
</t>
    </r>
    <r>
      <rPr>
        <b/>
        <sz val="11"/>
        <color theme="1"/>
        <rFont val="Calibri"/>
        <family val="2"/>
        <scheme val="minor"/>
      </rPr>
      <t>03</t>
    </r>
    <r>
      <rPr>
        <sz val="11"/>
        <color theme="1"/>
        <rFont val="Calibri"/>
        <family val="2"/>
        <scheme val="minor"/>
      </rPr>
      <t xml:space="preserve"> - Federal Employment Data Exchange System (FEDES)
</t>
    </r>
    <r>
      <rPr>
        <b/>
        <sz val="11"/>
        <color theme="1"/>
        <rFont val="Calibri"/>
        <family val="2"/>
        <scheme val="minor"/>
      </rPr>
      <t>04</t>
    </r>
    <r>
      <rPr>
        <sz val="11"/>
        <color theme="1"/>
        <rFont val="Calibri"/>
        <family val="2"/>
        <scheme val="minor"/>
      </rPr>
      <t xml:space="preserve"> - Other
</t>
    </r>
  </si>
  <si>
    <r>
      <t>Involuntary</t>
    </r>
    <r>
      <rPr>
        <sz val="11"/>
        <color theme="1"/>
        <rFont val="Calibri"/>
        <family val="2"/>
        <scheme val="minor"/>
      </rPr>
      <t xml:space="preserve"> - Involuntary separation
</t>
    </r>
    <r>
      <rPr>
        <b/>
        <sz val="11"/>
        <color theme="1"/>
        <rFont val="Calibri"/>
        <family val="2"/>
        <scheme val="minor"/>
      </rPr>
      <t>MutualAgreement</t>
    </r>
    <r>
      <rPr>
        <sz val="11"/>
        <color theme="1"/>
        <rFont val="Calibri"/>
        <family val="2"/>
        <scheme val="minor"/>
      </rPr>
      <t xml:space="preserve"> - Mutual agreement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Voluntary</t>
    </r>
    <r>
      <rPr>
        <sz val="11"/>
        <color theme="1"/>
        <rFont val="Calibri"/>
        <family val="2"/>
        <scheme val="minor"/>
      </rPr>
      <t xml:space="preserve"> - Voluntary separation
</t>
    </r>
  </si>
  <si>
    <r>
      <t>01384</t>
    </r>
    <r>
      <rPr>
        <sz val="11"/>
        <color theme="1"/>
        <rFont val="Calibri"/>
        <family val="2"/>
        <scheme val="minor"/>
      </rPr>
      <t xml:space="preserve"> - Contingent upon funding
</t>
    </r>
    <r>
      <rPr>
        <b/>
        <sz val="11"/>
        <color theme="1"/>
        <rFont val="Calibri"/>
        <family val="2"/>
        <scheme val="minor"/>
      </rPr>
      <t>01379</t>
    </r>
    <r>
      <rPr>
        <sz val="11"/>
        <color theme="1"/>
        <rFont val="Calibri"/>
        <family val="2"/>
        <scheme val="minor"/>
      </rPr>
      <t xml:space="preserve"> - Contractual
</t>
    </r>
    <r>
      <rPr>
        <b/>
        <sz val="11"/>
        <color theme="1"/>
        <rFont val="Calibri"/>
        <family val="2"/>
        <scheme val="minor"/>
      </rPr>
      <t>06071</t>
    </r>
    <r>
      <rPr>
        <sz val="11"/>
        <color theme="1"/>
        <rFont val="Calibri"/>
        <family val="2"/>
        <scheme val="minor"/>
      </rPr>
      <t xml:space="preserve"> - Employed or affiliated with outside agency part-time
</t>
    </r>
    <r>
      <rPr>
        <b/>
        <sz val="11"/>
        <color theme="1"/>
        <rFont val="Calibri"/>
        <family val="2"/>
        <scheme val="minor"/>
      </rPr>
      <t>01383</t>
    </r>
    <r>
      <rPr>
        <sz val="11"/>
        <color theme="1"/>
        <rFont val="Calibri"/>
        <family val="2"/>
        <scheme val="minor"/>
      </rPr>
      <t xml:space="preserve"> - Employed or affiliated with outside organization
</t>
    </r>
    <r>
      <rPr>
        <b/>
        <sz val="11"/>
        <color theme="1"/>
        <rFont val="Calibri"/>
        <family val="2"/>
        <scheme val="minor"/>
      </rPr>
      <t>01385</t>
    </r>
    <r>
      <rPr>
        <sz val="11"/>
        <color theme="1"/>
        <rFont val="Calibri"/>
        <family val="2"/>
        <scheme val="minor"/>
      </rPr>
      <t xml:space="preserve"> - Non-contractual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01378</t>
    </r>
    <r>
      <rPr>
        <sz val="11"/>
        <color theme="1"/>
        <rFont val="Calibri"/>
        <family val="2"/>
        <scheme val="minor"/>
      </rPr>
      <t xml:space="preserve"> - Probationary
</t>
    </r>
    <r>
      <rPr>
        <b/>
        <sz val="11"/>
        <color theme="1"/>
        <rFont val="Calibri"/>
        <family val="2"/>
        <scheme val="minor"/>
      </rPr>
      <t>06070</t>
    </r>
    <r>
      <rPr>
        <sz val="11"/>
        <color theme="1"/>
        <rFont val="Calibri"/>
        <family val="2"/>
        <scheme val="minor"/>
      </rPr>
      <t xml:space="preserve"> - Self-employed part-time
</t>
    </r>
    <r>
      <rPr>
        <b/>
        <sz val="11"/>
        <color theme="1"/>
        <rFont val="Calibri"/>
        <family val="2"/>
        <scheme val="minor"/>
      </rPr>
      <t>01380</t>
    </r>
    <r>
      <rPr>
        <sz val="11"/>
        <color theme="1"/>
        <rFont val="Calibri"/>
        <family val="2"/>
        <scheme val="minor"/>
      </rPr>
      <t xml:space="preserve"> - Substitute/temporary
</t>
    </r>
    <r>
      <rPr>
        <b/>
        <sz val="11"/>
        <color theme="1"/>
        <rFont val="Calibri"/>
        <family val="2"/>
        <scheme val="minor"/>
      </rPr>
      <t>01381</t>
    </r>
    <r>
      <rPr>
        <sz val="11"/>
        <color theme="1"/>
        <rFont val="Calibri"/>
        <family val="2"/>
        <scheme val="minor"/>
      </rPr>
      <t xml:space="preserve"> - Tenured or permanent
</t>
    </r>
    <r>
      <rPr>
        <b/>
        <sz val="11"/>
        <color theme="1"/>
        <rFont val="Calibri"/>
        <family val="2"/>
        <scheme val="minor"/>
      </rPr>
      <t>01382</t>
    </r>
    <r>
      <rPr>
        <sz val="11"/>
        <color theme="1"/>
        <rFont val="Calibri"/>
        <family val="2"/>
        <scheme val="minor"/>
      </rPr>
      <t xml:space="preserve"> - Volunteer/no contract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</si>
  <si>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</si>
  <si>
    <r>
      <t>Promotion</t>
    </r>
    <r>
      <rPr>
        <sz val="11"/>
        <color theme="1"/>
        <rFont val="Calibri"/>
        <family val="2"/>
        <scheme val="minor"/>
      </rPr>
      <t xml:space="preserve"> - Promotion
</t>
    </r>
    <r>
      <rPr>
        <b/>
        <sz val="11"/>
        <color theme="1"/>
        <rFont val="Calibri"/>
        <family val="2"/>
        <scheme val="minor"/>
      </rPr>
      <t>Retention</t>
    </r>
    <r>
      <rPr>
        <sz val="11"/>
        <color theme="1"/>
        <rFont val="Calibri"/>
        <family val="2"/>
        <scheme val="minor"/>
      </rPr>
      <t xml:space="preserve"> - Retention
</t>
    </r>
  </si>
  <si>
    <r>
      <t>01812</t>
    </r>
    <r>
      <rPr>
        <sz val="11"/>
        <color theme="1"/>
        <rFont val="Calibri"/>
        <family val="2"/>
        <scheme val="minor"/>
      </rPr>
      <t xml:space="preserve"> - Concurrently enrolled
</t>
    </r>
    <r>
      <rPr>
        <b/>
        <sz val="11"/>
        <color theme="1"/>
        <rFont val="Calibri"/>
        <family val="2"/>
        <scheme val="minor"/>
      </rPr>
      <t>01811</t>
    </r>
    <r>
      <rPr>
        <sz val="11"/>
        <color theme="1"/>
        <rFont val="Calibri"/>
        <family val="2"/>
        <scheme val="minor"/>
      </rPr>
      <t xml:space="preserve"> - Currently enrolled
</t>
    </r>
    <r>
      <rPr>
        <b/>
        <sz val="11"/>
        <color theme="1"/>
        <rFont val="Calibri"/>
        <family val="2"/>
        <scheme val="minor"/>
      </rPr>
      <t>01810</t>
    </r>
    <r>
      <rPr>
        <sz val="11"/>
        <color theme="1"/>
        <rFont val="Calibri"/>
        <family val="2"/>
        <scheme val="minor"/>
      </rPr>
      <t xml:space="preserve"> - Previously enrolled
</t>
    </r>
    <r>
      <rPr>
        <b/>
        <sz val="11"/>
        <color theme="1"/>
        <rFont val="Calibri"/>
        <family val="2"/>
        <scheme val="minor"/>
      </rPr>
      <t>01813</t>
    </r>
    <r>
      <rPr>
        <sz val="11"/>
        <color theme="1"/>
        <rFont val="Calibri"/>
        <family val="2"/>
        <scheme val="minor"/>
      </rPr>
      <t xml:space="preserve"> - Transferring (will enroll)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</si>
  <si>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</si>
  <si>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01821</t>
    </r>
    <r>
      <rPr>
        <sz val="11"/>
        <color theme="1"/>
        <rFont val="Calibri"/>
        <family val="2"/>
        <scheme val="minor"/>
      </rPr>
      <t xml:space="preserve"> - Transfer from a public school in the same local education agency
</t>
    </r>
    <r>
      <rPr>
        <b/>
        <sz val="11"/>
        <color theme="1"/>
        <rFont val="Calibri"/>
        <family val="2"/>
        <scheme val="minor"/>
      </rPr>
      <t>01822</t>
    </r>
    <r>
      <rPr>
        <sz val="11"/>
        <color theme="1"/>
        <rFont val="Calibri"/>
        <family val="2"/>
        <scheme val="minor"/>
      </rPr>
      <t xml:space="preserve"> - Transfer from a public school in a different local education agency in the same state
</t>
    </r>
    <r>
      <rPr>
        <b/>
        <sz val="11"/>
        <color theme="1"/>
        <rFont val="Calibri"/>
        <family val="2"/>
        <scheme val="minor"/>
      </rPr>
      <t>01823</t>
    </r>
    <r>
      <rPr>
        <sz val="11"/>
        <color theme="1"/>
        <rFont val="Calibri"/>
        <family val="2"/>
        <scheme val="minor"/>
      </rPr>
      <t xml:space="preserve"> - Transfer from a public school in a different state
</t>
    </r>
    <r>
      <rPr>
        <b/>
        <sz val="11"/>
        <color theme="1"/>
        <rFont val="Calibri"/>
        <family val="2"/>
        <scheme val="minor"/>
      </rPr>
      <t>01824</t>
    </r>
    <r>
      <rPr>
        <sz val="11"/>
        <color theme="1"/>
        <rFont val="Calibri"/>
        <family val="2"/>
        <scheme val="minor"/>
      </rPr>
      <t xml:space="preserve"> - Transfer from a private, non-religiously-affiliated school in the same local education agency
</t>
    </r>
    <r>
      <rPr>
        <b/>
        <sz val="11"/>
        <color theme="1"/>
        <rFont val="Calibri"/>
        <family val="2"/>
        <scheme val="minor"/>
      </rPr>
      <t>01825</t>
    </r>
    <r>
      <rPr>
        <sz val="11"/>
        <color theme="1"/>
        <rFont val="Calibri"/>
        <family val="2"/>
        <scheme val="minor"/>
      </rPr>
      <t xml:space="preserve"> - Transfer from a private, non-religiously-affiliated school in a different LEA in the same state
</t>
    </r>
    <r>
      <rPr>
        <b/>
        <sz val="11"/>
        <color theme="1"/>
        <rFont val="Calibri"/>
        <family val="2"/>
        <scheme val="minor"/>
      </rPr>
      <t>01826</t>
    </r>
    <r>
      <rPr>
        <sz val="11"/>
        <color theme="1"/>
        <rFont val="Calibri"/>
        <family val="2"/>
        <scheme val="minor"/>
      </rPr>
      <t xml:space="preserve"> - Transfer from a private, non-religiously-affiliated school in a different state
</t>
    </r>
    <r>
      <rPr>
        <b/>
        <sz val="11"/>
        <color theme="1"/>
        <rFont val="Calibri"/>
        <family val="2"/>
        <scheme val="minor"/>
      </rPr>
      <t>01827</t>
    </r>
    <r>
      <rPr>
        <sz val="11"/>
        <color theme="1"/>
        <rFont val="Calibri"/>
        <family val="2"/>
        <scheme val="minor"/>
      </rPr>
      <t xml:space="preserve"> - Transfer from a private, religiously-affiliated school in the same local education agency
</t>
    </r>
    <r>
      <rPr>
        <b/>
        <sz val="11"/>
        <color theme="1"/>
        <rFont val="Calibri"/>
        <family val="2"/>
        <scheme val="minor"/>
      </rPr>
      <t>01828</t>
    </r>
    <r>
      <rPr>
        <sz val="11"/>
        <color theme="1"/>
        <rFont val="Calibri"/>
        <family val="2"/>
        <scheme val="minor"/>
      </rPr>
      <t xml:space="preserve"> - Transfer from a private, religiously-affiliated school in a different LEA in the same state
</t>
    </r>
    <r>
      <rPr>
        <b/>
        <sz val="11"/>
        <color theme="1"/>
        <rFont val="Calibri"/>
        <family val="2"/>
        <scheme val="minor"/>
      </rPr>
      <t>01829</t>
    </r>
    <r>
      <rPr>
        <sz val="11"/>
        <color theme="1"/>
        <rFont val="Calibri"/>
        <family val="2"/>
        <scheme val="minor"/>
      </rPr>
      <t xml:space="preserve"> - Transfer from a private, religiously-affiliated school in a different state
</t>
    </r>
    <r>
      <rPr>
        <b/>
        <sz val="11"/>
        <color theme="1"/>
        <rFont val="Calibri"/>
        <family val="2"/>
        <scheme val="minor"/>
      </rPr>
      <t>01830</t>
    </r>
    <r>
      <rPr>
        <sz val="11"/>
        <color theme="1"/>
        <rFont val="Calibri"/>
        <family val="2"/>
        <scheme val="minor"/>
      </rPr>
      <t xml:space="preserve"> - Transfer from a school outside of the country
</t>
    </r>
    <r>
      <rPr>
        <b/>
        <sz val="11"/>
        <color theme="1"/>
        <rFont val="Calibri"/>
        <family val="2"/>
        <scheme val="minor"/>
      </rPr>
      <t>01831</t>
    </r>
    <r>
      <rPr>
        <sz val="11"/>
        <color theme="1"/>
        <rFont val="Calibri"/>
        <family val="2"/>
        <scheme val="minor"/>
      </rPr>
      <t xml:space="preserve"> - Transfer from an institution
</t>
    </r>
    <r>
      <rPr>
        <b/>
        <sz val="11"/>
        <color theme="1"/>
        <rFont val="Calibri"/>
        <family val="2"/>
        <scheme val="minor"/>
      </rPr>
      <t>01832</t>
    </r>
    <r>
      <rPr>
        <sz val="11"/>
        <color theme="1"/>
        <rFont val="Calibri"/>
        <family val="2"/>
        <scheme val="minor"/>
      </rPr>
      <t xml:space="preserve"> - Transfer from a charter school
</t>
    </r>
    <r>
      <rPr>
        <b/>
        <sz val="11"/>
        <color theme="1"/>
        <rFont val="Calibri"/>
        <family val="2"/>
        <scheme val="minor"/>
      </rPr>
      <t>01833</t>
    </r>
    <r>
      <rPr>
        <sz val="11"/>
        <color theme="1"/>
        <rFont val="Calibri"/>
        <family val="2"/>
        <scheme val="minor"/>
      </rPr>
      <t xml:space="preserve"> - Transfer from home schooling
</t>
    </r>
    <r>
      <rPr>
        <b/>
        <sz val="11"/>
        <color theme="1"/>
        <rFont val="Calibri"/>
        <family val="2"/>
        <scheme val="minor"/>
      </rPr>
      <t>01835</t>
    </r>
    <r>
      <rPr>
        <sz val="11"/>
        <color theme="1"/>
        <rFont val="Calibri"/>
        <family val="2"/>
        <scheme val="minor"/>
      </rPr>
      <t xml:space="preserve"> - Re-entry from the same school with no interruption of schooling
</t>
    </r>
    <r>
      <rPr>
        <b/>
        <sz val="11"/>
        <color theme="1"/>
        <rFont val="Calibri"/>
        <family val="2"/>
        <scheme val="minor"/>
      </rPr>
      <t>01836</t>
    </r>
    <r>
      <rPr>
        <sz val="11"/>
        <color theme="1"/>
        <rFont val="Calibri"/>
        <family val="2"/>
        <scheme val="minor"/>
      </rPr>
      <t xml:space="preserve"> - Re-entry after a voluntary withdrawal
</t>
    </r>
    <r>
      <rPr>
        <b/>
        <sz val="11"/>
        <color theme="1"/>
        <rFont val="Calibri"/>
        <family val="2"/>
        <scheme val="minor"/>
      </rPr>
      <t>01837</t>
    </r>
    <r>
      <rPr>
        <sz val="11"/>
        <color theme="1"/>
        <rFont val="Calibri"/>
        <family val="2"/>
        <scheme val="minor"/>
      </rPr>
      <t xml:space="preserve"> - Re-entry after an involuntary withdrawal
</t>
    </r>
    <r>
      <rPr>
        <b/>
        <sz val="11"/>
        <color theme="1"/>
        <rFont val="Calibri"/>
        <family val="2"/>
        <scheme val="minor"/>
      </rPr>
      <t>01838</t>
    </r>
    <r>
      <rPr>
        <sz val="11"/>
        <color theme="1"/>
        <rFont val="Calibri"/>
        <family val="2"/>
        <scheme val="minor"/>
      </rPr>
      <t xml:space="preserve"> - Original entry into a United States school
</t>
    </r>
    <r>
      <rPr>
        <b/>
        <sz val="11"/>
        <color theme="1"/>
        <rFont val="Calibri"/>
        <family val="2"/>
        <scheme val="minor"/>
      </rPr>
      <t>01839</t>
    </r>
    <r>
      <rPr>
        <sz val="11"/>
        <color theme="1"/>
        <rFont val="Calibri"/>
        <family val="2"/>
        <scheme val="minor"/>
      </rPr>
      <t xml:space="preserve"> - Original entry into a United States school from a foreign country with no interruption in schooling
</t>
    </r>
    <r>
      <rPr>
        <b/>
        <sz val="11"/>
        <color theme="1"/>
        <rFont val="Calibri"/>
        <family val="2"/>
        <scheme val="minor"/>
      </rPr>
      <t>01840</t>
    </r>
    <r>
      <rPr>
        <sz val="11"/>
        <color theme="1"/>
        <rFont val="Calibri"/>
        <family val="2"/>
        <scheme val="minor"/>
      </rPr>
      <t xml:space="preserve"> - Original entry into a United States school from a foreign country with an interruption in schooling
</t>
    </r>
    <r>
      <rPr>
        <b/>
        <sz val="11"/>
        <color theme="1"/>
        <rFont val="Calibri"/>
        <family val="2"/>
        <scheme val="minor"/>
      </rPr>
      <t>09999</t>
    </r>
    <r>
      <rPr>
        <sz val="11"/>
        <color theme="1"/>
        <rFont val="Calibri"/>
        <family val="2"/>
        <scheme val="minor"/>
      </rPr>
      <t xml:space="preserve"> - Other
</t>
    </r>
  </si>
  <si>
    <r>
      <t>Permanent</t>
    </r>
    <r>
      <rPr>
        <sz val="11"/>
        <color theme="1"/>
        <rFont val="Calibri"/>
        <family val="2"/>
        <scheme val="minor"/>
      </rPr>
      <t xml:space="preserve"> - Permanent
</t>
    </r>
    <r>
      <rPr>
        <b/>
        <sz val="11"/>
        <color theme="1"/>
        <rFont val="Calibri"/>
        <family val="2"/>
        <scheme val="minor"/>
      </rPr>
      <t>Temporary</t>
    </r>
    <r>
      <rPr>
        <sz val="11"/>
        <color theme="1"/>
        <rFont val="Calibri"/>
        <family val="2"/>
        <scheme val="minor"/>
      </rPr>
      <t xml:space="preserve"> - Temporary
</t>
    </r>
  </si>
  <si>
    <r>
      <t>01907</t>
    </r>
    <r>
      <rPr>
        <sz val="11"/>
        <color theme="1"/>
        <rFont val="Calibri"/>
        <family val="2"/>
        <scheme val="minor"/>
      </rPr>
      <t xml:space="preserve"> - Student is in a different public school in the same local education agency
</t>
    </r>
    <r>
      <rPr>
        <b/>
        <sz val="11"/>
        <color theme="1"/>
        <rFont val="Calibri"/>
        <family val="2"/>
        <scheme val="minor"/>
      </rPr>
      <t>01908</t>
    </r>
    <r>
      <rPr>
        <sz val="11"/>
        <color theme="1"/>
        <rFont val="Calibri"/>
        <family val="2"/>
        <scheme val="minor"/>
      </rPr>
      <t xml:space="preserve"> - Transferred to a public school in a different local education agency in the same state
</t>
    </r>
    <r>
      <rPr>
        <b/>
        <sz val="11"/>
        <color theme="1"/>
        <rFont val="Calibri"/>
        <family val="2"/>
        <scheme val="minor"/>
      </rPr>
      <t>01909</t>
    </r>
    <r>
      <rPr>
        <sz val="11"/>
        <color theme="1"/>
        <rFont val="Calibri"/>
        <family val="2"/>
        <scheme val="minor"/>
      </rPr>
      <t xml:space="preserve"> - Transferred to a public school in a different state
</t>
    </r>
    <r>
      <rPr>
        <b/>
        <sz val="11"/>
        <color theme="1"/>
        <rFont val="Calibri"/>
        <family val="2"/>
        <scheme val="minor"/>
      </rPr>
      <t>01910</t>
    </r>
    <r>
      <rPr>
        <sz val="11"/>
        <color theme="1"/>
        <rFont val="Calibri"/>
        <family val="2"/>
        <scheme val="minor"/>
      </rPr>
      <t xml:space="preserve"> - Transferred to a private, non-religiously-affiliated school in the same local education agency
</t>
    </r>
    <r>
      <rPr>
        <b/>
        <sz val="11"/>
        <color theme="1"/>
        <rFont val="Calibri"/>
        <family val="2"/>
        <scheme val="minor"/>
      </rPr>
      <t>01911</t>
    </r>
    <r>
      <rPr>
        <sz val="11"/>
        <color theme="1"/>
        <rFont val="Calibri"/>
        <family val="2"/>
        <scheme val="minor"/>
      </rPr>
      <t xml:space="preserve"> - Transferred to a private, non-religiously-affiliated school in a different LEA in the same state
</t>
    </r>
    <r>
      <rPr>
        <b/>
        <sz val="11"/>
        <color theme="1"/>
        <rFont val="Calibri"/>
        <family val="2"/>
        <scheme val="minor"/>
      </rPr>
      <t>01912</t>
    </r>
    <r>
      <rPr>
        <sz val="11"/>
        <color theme="1"/>
        <rFont val="Calibri"/>
        <family val="2"/>
        <scheme val="minor"/>
      </rPr>
      <t xml:space="preserve"> - Transferred to a private, non-religiously-affiliated school in a different state
</t>
    </r>
    <r>
      <rPr>
        <b/>
        <sz val="11"/>
        <color theme="1"/>
        <rFont val="Calibri"/>
        <family val="2"/>
        <scheme val="minor"/>
      </rPr>
      <t>01913</t>
    </r>
    <r>
      <rPr>
        <sz val="11"/>
        <color theme="1"/>
        <rFont val="Calibri"/>
        <family val="2"/>
        <scheme val="minor"/>
      </rPr>
      <t xml:space="preserve"> - Transferred to a private, religiously-affiliated school in the same local education agency
</t>
    </r>
    <r>
      <rPr>
        <b/>
        <sz val="11"/>
        <color theme="1"/>
        <rFont val="Calibri"/>
        <family val="2"/>
        <scheme val="minor"/>
      </rPr>
      <t>01914</t>
    </r>
    <r>
      <rPr>
        <sz val="11"/>
        <color theme="1"/>
        <rFont val="Calibri"/>
        <family val="2"/>
        <scheme val="minor"/>
      </rPr>
      <t xml:space="preserve"> - Transferred to a private, religiously-affiliated school in a different LEA in the same state
</t>
    </r>
    <r>
      <rPr>
        <b/>
        <sz val="11"/>
        <color theme="1"/>
        <rFont val="Calibri"/>
        <family val="2"/>
        <scheme val="minor"/>
      </rPr>
      <t>01915</t>
    </r>
    <r>
      <rPr>
        <sz val="11"/>
        <color theme="1"/>
        <rFont val="Calibri"/>
        <family val="2"/>
        <scheme val="minor"/>
      </rPr>
      <t xml:space="preserve"> - Transferred to a private, religiously-affiliated school in a different state
</t>
    </r>
    <r>
      <rPr>
        <b/>
        <sz val="11"/>
        <color theme="1"/>
        <rFont val="Calibri"/>
        <family val="2"/>
        <scheme val="minor"/>
      </rPr>
      <t>01916</t>
    </r>
    <r>
      <rPr>
        <sz val="11"/>
        <color theme="1"/>
        <rFont val="Calibri"/>
        <family val="2"/>
        <scheme val="minor"/>
      </rPr>
      <t xml:space="preserve"> - Transferred to a school outside of the country
</t>
    </r>
    <r>
      <rPr>
        <b/>
        <sz val="11"/>
        <color theme="1"/>
        <rFont val="Calibri"/>
        <family val="2"/>
        <scheme val="minor"/>
      </rPr>
      <t>01917</t>
    </r>
    <r>
      <rPr>
        <sz val="11"/>
        <color theme="1"/>
        <rFont val="Calibri"/>
        <family val="2"/>
        <scheme val="minor"/>
      </rPr>
      <t xml:space="preserve"> - Transferred to an institution
</t>
    </r>
    <r>
      <rPr>
        <b/>
        <sz val="11"/>
        <color theme="1"/>
        <rFont val="Calibri"/>
        <family val="2"/>
        <scheme val="minor"/>
      </rPr>
      <t>01918</t>
    </r>
    <r>
      <rPr>
        <sz val="11"/>
        <color theme="1"/>
        <rFont val="Calibri"/>
        <family val="2"/>
        <scheme val="minor"/>
      </rPr>
      <t xml:space="preserve"> - Transferred to home schooling
</t>
    </r>
    <r>
      <rPr>
        <b/>
        <sz val="11"/>
        <color theme="1"/>
        <rFont val="Calibri"/>
        <family val="2"/>
        <scheme val="minor"/>
      </rPr>
      <t>01919</t>
    </r>
    <r>
      <rPr>
        <sz val="11"/>
        <color theme="1"/>
        <rFont val="Calibri"/>
        <family val="2"/>
        <scheme val="minor"/>
      </rPr>
      <t xml:space="preserve"> - Transferred to a charter school
</t>
    </r>
    <r>
      <rPr>
        <b/>
        <sz val="11"/>
        <color theme="1"/>
        <rFont val="Calibri"/>
        <family val="2"/>
        <scheme val="minor"/>
      </rPr>
      <t>01921</t>
    </r>
    <r>
      <rPr>
        <sz val="11"/>
        <color theme="1"/>
        <rFont val="Calibri"/>
        <family val="2"/>
        <scheme val="minor"/>
      </rPr>
      <t xml:space="preserve"> - Graduated with regular, advanced, International Baccalaureate, or other type of diploma
</t>
    </r>
    <r>
      <rPr>
        <b/>
        <sz val="11"/>
        <color theme="1"/>
        <rFont val="Calibri"/>
        <family val="2"/>
        <scheme val="minor"/>
      </rPr>
      <t>01922</t>
    </r>
    <r>
      <rPr>
        <sz val="11"/>
        <color theme="1"/>
        <rFont val="Calibri"/>
        <family val="2"/>
        <scheme val="minor"/>
      </rPr>
      <t xml:space="preserve"> - Completed school with other credentials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01924</t>
    </r>
    <r>
      <rPr>
        <sz val="11"/>
        <color theme="1"/>
        <rFont val="Calibri"/>
        <family val="2"/>
        <scheme val="minor"/>
      </rPr>
      <t xml:space="preserve"> - Withdrawn due to illness
</t>
    </r>
    <r>
      <rPr>
        <b/>
        <sz val="11"/>
        <color theme="1"/>
        <rFont val="Calibri"/>
        <family val="2"/>
        <scheme val="minor"/>
      </rPr>
      <t>01925</t>
    </r>
    <r>
      <rPr>
        <sz val="11"/>
        <color theme="1"/>
        <rFont val="Calibri"/>
        <family val="2"/>
        <scheme val="minor"/>
      </rPr>
      <t xml:space="preserve"> - Expelled or involuntarily withdrawn
</t>
    </r>
    <r>
      <rPr>
        <b/>
        <sz val="11"/>
        <color theme="1"/>
        <rFont val="Calibri"/>
        <family val="2"/>
        <scheme val="minor"/>
      </rPr>
      <t>01926</t>
    </r>
    <r>
      <rPr>
        <sz val="11"/>
        <color theme="1"/>
        <rFont val="Calibri"/>
        <family val="2"/>
        <scheme val="minor"/>
      </rPr>
      <t xml:space="preserve"> - Reached maximum age for services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01928</t>
    </r>
    <r>
      <rPr>
        <sz val="11"/>
        <color theme="1"/>
        <rFont val="Calibri"/>
        <family val="2"/>
        <scheme val="minor"/>
      </rPr>
      <t xml:space="preserve"> - Completed grade 12, but did not meet all graduation requirements
</t>
    </r>
    <r>
      <rPr>
        <b/>
        <sz val="11"/>
        <color theme="1"/>
        <rFont val="Calibri"/>
        <family val="2"/>
        <scheme val="minor"/>
      </rPr>
      <t>01930</t>
    </r>
    <r>
      <rPr>
        <sz val="11"/>
        <color theme="1"/>
        <rFont val="Calibri"/>
        <family val="2"/>
        <scheme val="minor"/>
      </rPr>
      <t xml:space="preserve"> - Enrolled in a postsecondary early admission program, eligible to return
</t>
    </r>
    <r>
      <rPr>
        <b/>
        <sz val="11"/>
        <color theme="1"/>
        <rFont val="Calibri"/>
        <family val="2"/>
        <scheme val="minor"/>
      </rPr>
      <t>01931</t>
    </r>
    <r>
      <rPr>
        <sz val="11"/>
        <color theme="1"/>
        <rFont val="Calibri"/>
        <family val="2"/>
        <scheme val="minor"/>
      </rPr>
      <t xml:space="preserve"> - Not enrolled, unknown status
</t>
    </r>
    <r>
      <rPr>
        <b/>
        <sz val="11"/>
        <color theme="1"/>
        <rFont val="Calibri"/>
        <family val="2"/>
        <scheme val="minor"/>
      </rPr>
      <t>03499</t>
    </r>
    <r>
      <rPr>
        <sz val="11"/>
        <color theme="1"/>
        <rFont val="Calibri"/>
        <family val="2"/>
        <scheme val="minor"/>
      </rPr>
      <t xml:space="preserve"> - Student is in the same LEA, receiving education services, but is not assigned to a particular school
</t>
    </r>
    <r>
      <rPr>
        <b/>
        <sz val="11"/>
        <color theme="1"/>
        <rFont val="Calibri"/>
        <family val="2"/>
        <scheme val="minor"/>
      </rPr>
      <t>03502</t>
    </r>
    <r>
      <rPr>
        <sz val="11"/>
        <color theme="1"/>
        <rFont val="Calibri"/>
        <family val="2"/>
        <scheme val="minor"/>
      </rPr>
      <t xml:space="preserve"> - Not enrolled, eligible to return
</t>
    </r>
    <r>
      <rPr>
        <b/>
        <sz val="11"/>
        <color theme="1"/>
        <rFont val="Calibri"/>
        <family val="2"/>
        <scheme val="minor"/>
      </rPr>
      <t>03503</t>
    </r>
    <r>
      <rPr>
        <sz val="11"/>
        <color theme="1"/>
        <rFont val="Calibri"/>
        <family val="2"/>
        <scheme val="minor"/>
      </rPr>
      <t xml:space="preserve"> - Enrolled in a foreign exchange program, eligible to return
</t>
    </r>
    <r>
      <rPr>
        <b/>
        <sz val="11"/>
        <color theme="1"/>
        <rFont val="Calibri"/>
        <family val="2"/>
        <scheme val="minor"/>
      </rPr>
      <t>03504</t>
    </r>
    <r>
      <rPr>
        <sz val="11"/>
        <color theme="1"/>
        <rFont val="Calibri"/>
        <family val="2"/>
        <scheme val="minor"/>
      </rPr>
      <t xml:space="preserve"> - Withdrawn from school, under the age for compulsory attendance; eligible to return
</t>
    </r>
    <r>
      <rPr>
        <b/>
        <sz val="11"/>
        <color theme="1"/>
        <rFont val="Calibri"/>
        <family val="2"/>
        <scheme val="minor"/>
      </rPr>
      <t>03505</t>
    </r>
    <r>
      <rPr>
        <sz val="11"/>
        <color theme="1"/>
        <rFont val="Calibri"/>
        <family val="2"/>
        <scheme val="minor"/>
      </rPr>
      <t xml:space="preserve"> - Exited
</t>
    </r>
    <r>
      <rPr>
        <b/>
        <sz val="11"/>
        <color theme="1"/>
        <rFont val="Calibri"/>
        <family val="2"/>
        <scheme val="minor"/>
      </rPr>
      <t>03508</t>
    </r>
    <r>
      <rPr>
        <sz val="11"/>
        <color theme="1"/>
        <rFont val="Calibri"/>
        <family val="2"/>
        <scheme val="minor"/>
      </rPr>
      <t xml:space="preserve"> - Student is in a charter school managed by the same local education agency
</t>
    </r>
    <r>
      <rPr>
        <b/>
        <sz val="11"/>
        <color theme="1"/>
        <rFont val="Calibri"/>
        <family val="2"/>
        <scheme val="minor"/>
      </rPr>
      <t>03509</t>
    </r>
    <r>
      <rPr>
        <sz val="11"/>
        <color theme="1"/>
        <rFont val="Calibri"/>
        <family val="2"/>
        <scheme val="minor"/>
      </rPr>
      <t xml:space="preserve"> - Completed with a state-recognized equivalency certificate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73060</t>
    </r>
    <r>
      <rPr>
        <sz val="11"/>
        <color theme="1"/>
        <rFont val="Calibri"/>
        <family val="2"/>
        <scheme val="minor"/>
      </rPr>
      <t xml:space="preserve"> - Officially withdrew and enrolled in ABE, adult secondary education, or adult ESL program
</t>
    </r>
    <r>
      <rPr>
        <b/>
        <sz val="11"/>
        <color theme="1"/>
        <rFont val="Calibri"/>
        <family val="2"/>
        <scheme val="minor"/>
      </rPr>
      <t>73061</t>
    </r>
    <r>
      <rPr>
        <sz val="11"/>
        <color theme="1"/>
        <rFont val="Calibri"/>
        <family val="2"/>
        <scheme val="minor"/>
      </rPr>
      <t xml:space="preserve"> - Officially withdrew and enrolled in a workforce training program
</t>
    </r>
  </si>
  <si>
    <r>
      <t>06262</t>
    </r>
    <r>
      <rPr>
        <sz val="11"/>
        <color theme="1"/>
        <rFont val="Calibri"/>
        <family val="2"/>
        <scheme val="minor"/>
      </rPr>
      <t xml:space="preserve"> - Attempts to contact the parent and/or child were unsuccessful
</t>
    </r>
    <r>
      <rPr>
        <b/>
        <sz val="11"/>
        <color theme="1"/>
        <rFont val="Calibri"/>
        <family val="2"/>
        <scheme val="minor"/>
      </rPr>
      <t>02226</t>
    </r>
    <r>
      <rPr>
        <sz val="11"/>
        <color theme="1"/>
        <rFont val="Calibri"/>
        <family val="2"/>
        <scheme val="minor"/>
      </rPr>
      <t xml:space="preserve"> - Completion of IFSP prior to reaching maximum age for Part C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02222</t>
    </r>
    <r>
      <rPr>
        <sz val="11"/>
        <color theme="1"/>
        <rFont val="Calibri"/>
        <family val="2"/>
        <scheme val="minor"/>
      </rPr>
      <t xml:space="preserve"> - Discontinued schooling, not special education
</t>
    </r>
    <r>
      <rPr>
        <b/>
        <sz val="11"/>
        <color theme="1"/>
        <rFont val="Calibri"/>
        <family val="2"/>
        <scheme val="minor"/>
      </rPr>
      <t>02221</t>
    </r>
    <r>
      <rPr>
        <sz val="11"/>
        <color theme="1"/>
        <rFont val="Calibri"/>
        <family val="2"/>
        <scheme val="minor"/>
      </rPr>
      <t xml:space="preserve"> - Discontinued schooling, special education only
</t>
    </r>
    <r>
      <rPr>
        <b/>
        <sz val="11"/>
        <color theme="1"/>
        <rFont val="Calibri"/>
        <family val="2"/>
        <scheme val="minor"/>
      </rPr>
      <t>02227</t>
    </r>
    <r>
      <rPr>
        <sz val="11"/>
        <color theme="1"/>
        <rFont val="Calibri"/>
        <family val="2"/>
        <scheme val="minor"/>
      </rPr>
      <t xml:space="preserve"> - Eligible for IDEA, Part B
</t>
    </r>
    <r>
      <rPr>
        <b/>
        <sz val="11"/>
        <color theme="1"/>
        <rFont val="Calibri"/>
        <family val="2"/>
        <scheme val="minor"/>
      </rPr>
      <t>02224</t>
    </r>
    <r>
      <rPr>
        <sz val="11"/>
        <color theme="1"/>
        <rFont val="Calibri"/>
        <family val="2"/>
        <scheme val="minor"/>
      </rPr>
      <t xml:space="preserve"> - Expulsion
</t>
    </r>
    <r>
      <rPr>
        <b/>
        <sz val="11"/>
        <color theme="1"/>
        <rFont val="Calibri"/>
        <family val="2"/>
        <scheme val="minor"/>
      </rPr>
      <t>02212</t>
    </r>
    <r>
      <rPr>
        <sz val="11"/>
        <color theme="1"/>
        <rFont val="Calibri"/>
        <family val="2"/>
        <scheme val="minor"/>
      </rPr>
      <t xml:space="preserve"> - Graduated with a high school diploma
</t>
    </r>
    <r>
      <rPr>
        <b/>
        <sz val="11"/>
        <color theme="1"/>
        <rFont val="Calibri"/>
        <family val="2"/>
        <scheme val="minor"/>
      </rPr>
      <t>02231</t>
    </r>
    <r>
      <rPr>
        <sz val="11"/>
        <color theme="1"/>
        <rFont val="Calibri"/>
        <family val="2"/>
        <scheme val="minor"/>
      </rPr>
      <t xml:space="preserve"> - Moved out of state
</t>
    </r>
    <r>
      <rPr>
        <b/>
        <sz val="11"/>
        <color theme="1"/>
        <rFont val="Calibri"/>
        <family val="2"/>
        <scheme val="minor"/>
      </rPr>
      <t>02216</t>
    </r>
    <r>
      <rPr>
        <sz val="11"/>
        <color theme="1"/>
        <rFont val="Calibri"/>
        <family val="2"/>
        <scheme val="minor"/>
      </rPr>
      <t xml:space="preserve"> - No longer receiving special education
</t>
    </r>
    <r>
      <rPr>
        <b/>
        <sz val="11"/>
        <color theme="1"/>
        <rFont val="Calibri"/>
        <family val="2"/>
        <scheme val="minor"/>
      </rPr>
      <t>73075</t>
    </r>
    <r>
      <rPr>
        <sz val="11"/>
        <color theme="1"/>
        <rFont val="Calibri"/>
        <family val="2"/>
        <scheme val="minor"/>
      </rPr>
      <t xml:space="preserve"> - Moved within the US, not known to be continuing
</t>
    </r>
    <r>
      <rPr>
        <b/>
        <sz val="11"/>
        <color theme="1"/>
        <rFont val="Calibri"/>
        <family val="2"/>
        <scheme val="minor"/>
      </rPr>
      <t>06261</t>
    </r>
    <r>
      <rPr>
        <sz val="11"/>
        <color theme="1"/>
        <rFont val="Calibri"/>
        <family val="2"/>
        <scheme val="minor"/>
      </rPr>
      <t xml:space="preserve"> - Not eligible for Part B, exit with no referrals
</t>
    </r>
    <r>
      <rPr>
        <b/>
        <sz val="11"/>
        <color theme="1"/>
        <rFont val="Calibri"/>
        <family val="2"/>
        <scheme val="minor"/>
      </rPr>
      <t>02228</t>
    </r>
    <r>
      <rPr>
        <sz val="11"/>
        <color theme="1"/>
        <rFont val="Calibri"/>
        <family val="2"/>
        <scheme val="minor"/>
      </rPr>
      <t xml:space="preserve"> - Not eligible for Part B, exit with referrals to other programs
</t>
    </r>
    <r>
      <rPr>
        <b/>
        <sz val="11"/>
        <color theme="1"/>
        <rFont val="Calibri"/>
        <family val="2"/>
        <scheme val="minor"/>
      </rPr>
      <t>02230</t>
    </r>
    <r>
      <rPr>
        <sz val="11"/>
        <color theme="1"/>
        <rFont val="Calibri"/>
        <family val="2"/>
        <scheme val="minor"/>
      </rPr>
      <t xml:space="preserve"> - Part B eligibility not determined
</t>
    </r>
    <r>
      <rPr>
        <b/>
        <sz val="11"/>
        <color theme="1"/>
        <rFont val="Calibri"/>
        <family val="2"/>
        <scheme val="minor"/>
      </rPr>
      <t>02214</t>
    </r>
    <r>
      <rPr>
        <sz val="11"/>
        <color theme="1"/>
        <rFont val="Calibri"/>
        <family val="2"/>
        <scheme val="minor"/>
      </rPr>
      <t xml:space="preserve"> - Program completion
</t>
    </r>
    <r>
      <rPr>
        <b/>
        <sz val="11"/>
        <color theme="1"/>
        <rFont val="Calibri"/>
        <family val="2"/>
        <scheme val="minor"/>
      </rPr>
      <t>02225</t>
    </r>
    <r>
      <rPr>
        <sz val="11"/>
        <color theme="1"/>
        <rFont val="Calibri"/>
        <family val="2"/>
        <scheme val="minor"/>
      </rPr>
      <t xml:space="preserve"> - Program discontinued
</t>
    </r>
    <r>
      <rPr>
        <b/>
        <sz val="11"/>
        <color theme="1"/>
        <rFont val="Calibri"/>
        <family val="2"/>
        <scheme val="minor"/>
      </rPr>
      <t>02215</t>
    </r>
    <r>
      <rPr>
        <sz val="11"/>
        <color theme="1"/>
        <rFont val="Calibri"/>
        <family val="2"/>
        <scheme val="minor"/>
      </rPr>
      <t xml:space="preserve"> - Reached maximum age
</t>
    </r>
    <r>
      <rPr>
        <b/>
        <sz val="11"/>
        <color theme="1"/>
        <rFont val="Calibri"/>
        <family val="2"/>
        <scheme val="minor"/>
      </rPr>
      <t>02213</t>
    </r>
    <r>
      <rPr>
        <sz val="11"/>
        <color theme="1"/>
        <rFont val="Calibri"/>
        <family val="2"/>
        <scheme val="minor"/>
      </rPr>
      <t xml:space="preserve"> - Received certificate of completion, modified diploma, or finished IEP requirements
</t>
    </r>
    <r>
      <rPr>
        <b/>
        <sz val="11"/>
        <color theme="1"/>
        <rFont val="Calibri"/>
        <family val="2"/>
        <scheme val="minor"/>
      </rPr>
      <t>02217</t>
    </r>
    <r>
      <rPr>
        <sz val="11"/>
        <color theme="1"/>
        <rFont val="Calibri"/>
        <family val="2"/>
        <scheme val="minor"/>
      </rPr>
      <t xml:space="preserve"> - Refused services
</t>
    </r>
    <r>
      <rPr>
        <b/>
        <sz val="11"/>
        <color theme="1"/>
        <rFont val="Calibri"/>
        <family val="2"/>
        <scheme val="minor"/>
      </rPr>
      <t>73076</t>
    </r>
    <r>
      <rPr>
        <sz val="11"/>
        <color theme="1"/>
        <rFont val="Calibri"/>
        <family val="2"/>
        <scheme val="minor"/>
      </rPr>
      <t xml:space="preserve"> - Student data claimed in error/never attended
</t>
    </r>
    <r>
      <rPr>
        <b/>
        <sz val="11"/>
        <color theme="1"/>
        <rFont val="Calibri"/>
        <family val="2"/>
        <scheme val="minor"/>
      </rPr>
      <t>73078</t>
    </r>
    <r>
      <rPr>
        <sz val="11"/>
        <color theme="1"/>
        <rFont val="Calibri"/>
        <family val="2"/>
        <scheme val="minor"/>
      </rPr>
      <t xml:space="preserve"> - Student moved to another country, may or may not be continuing
</t>
    </r>
    <r>
      <rPr>
        <b/>
        <sz val="11"/>
        <color theme="1"/>
        <rFont val="Calibri"/>
        <family val="2"/>
        <scheme val="minor"/>
      </rPr>
      <t>73079</t>
    </r>
    <r>
      <rPr>
        <sz val="11"/>
        <color theme="1"/>
        <rFont val="Calibri"/>
        <family val="2"/>
        <scheme val="minor"/>
      </rPr>
      <t xml:space="preserve"> - Student with disabilities remaining in school to receive transitional services
</t>
    </r>
    <r>
      <rPr>
        <b/>
        <sz val="11"/>
        <color theme="1"/>
        <rFont val="Calibri"/>
        <family val="2"/>
        <scheme val="minor"/>
      </rPr>
      <t>02220</t>
    </r>
    <r>
      <rPr>
        <sz val="11"/>
        <color theme="1"/>
        <rFont val="Calibri"/>
        <family val="2"/>
        <scheme val="minor"/>
      </rPr>
      <t xml:space="preserve"> - Suspended from school
</t>
    </r>
    <r>
      <rPr>
        <b/>
        <sz val="11"/>
        <color theme="1"/>
        <rFont val="Calibri"/>
        <family val="2"/>
        <scheme val="minor"/>
      </rPr>
      <t>02406</t>
    </r>
    <r>
      <rPr>
        <sz val="11"/>
        <color theme="1"/>
        <rFont val="Calibri"/>
        <family val="2"/>
        <scheme val="minor"/>
      </rPr>
      <t xml:space="preserve"> - Transferred to another district or school, known not to be continuing in program/service
</t>
    </r>
    <r>
      <rPr>
        <b/>
        <sz val="11"/>
        <color theme="1"/>
        <rFont val="Calibri"/>
        <family val="2"/>
        <scheme val="minor"/>
      </rPr>
      <t>02218</t>
    </r>
    <r>
      <rPr>
        <sz val="11"/>
        <color theme="1"/>
        <rFont val="Calibri"/>
        <family val="2"/>
        <scheme val="minor"/>
      </rPr>
      <t xml:space="preserve"> - Transferred to another district or school, known to be continuing in program/service
</t>
    </r>
    <r>
      <rPr>
        <b/>
        <sz val="11"/>
        <color theme="1"/>
        <rFont val="Calibri"/>
        <family val="2"/>
        <scheme val="minor"/>
      </rPr>
      <t>02219</t>
    </r>
    <r>
      <rPr>
        <sz val="11"/>
        <color theme="1"/>
        <rFont val="Calibri"/>
        <family val="2"/>
        <scheme val="minor"/>
      </rPr>
      <t xml:space="preserve"> - Transferred to another district or school, not known to be continuing in program/service
</t>
    </r>
    <r>
      <rPr>
        <b/>
        <sz val="11"/>
        <color theme="1"/>
        <rFont val="Calibri"/>
        <family val="2"/>
        <scheme val="minor"/>
      </rPr>
      <t>73077</t>
    </r>
    <r>
      <rPr>
        <sz val="11"/>
        <color theme="1"/>
        <rFont val="Calibri"/>
        <family val="2"/>
        <scheme val="minor"/>
      </rPr>
      <t xml:space="preserve"> - Transferred to a juvenile or adult correctional facility where educational services are not provided
</t>
    </r>
    <r>
      <rPr>
        <b/>
        <sz val="11"/>
        <color theme="1"/>
        <rFont val="Calibri"/>
        <family val="2"/>
        <scheme val="minor"/>
      </rPr>
      <t>02233</t>
    </r>
    <r>
      <rPr>
        <sz val="11"/>
        <color theme="1"/>
        <rFont val="Calibri"/>
        <family val="2"/>
        <scheme val="minor"/>
      </rPr>
      <t xml:space="preserve"> - Unknown reason
</t>
    </r>
    <r>
      <rPr>
        <b/>
        <sz val="11"/>
        <color theme="1"/>
        <rFont val="Calibri"/>
        <family val="2"/>
        <scheme val="minor"/>
      </rPr>
      <t>02232</t>
    </r>
    <r>
      <rPr>
        <sz val="11"/>
        <color theme="1"/>
        <rFont val="Calibri"/>
        <family val="2"/>
        <scheme val="minor"/>
      </rPr>
      <t xml:space="preserve"> - Withdrawal by a parent (or guardian)
</t>
    </r>
    <r>
      <rPr>
        <b/>
        <sz val="11"/>
        <color theme="1"/>
        <rFont val="Calibri"/>
        <family val="2"/>
        <scheme val="minor"/>
      </rPr>
      <t>09999</t>
    </r>
    <r>
      <rPr>
        <sz val="11"/>
        <color theme="1"/>
        <rFont val="Calibri"/>
        <family val="2"/>
        <scheme val="minor"/>
      </rPr>
      <t xml:space="preserve"> - Other
</t>
    </r>
  </si>
  <si>
    <r>
      <t>Regulated</t>
    </r>
    <r>
      <rPr>
        <sz val="11"/>
        <color theme="1"/>
        <rFont val="Calibri"/>
        <family val="2"/>
        <scheme val="minor"/>
      </rPr>
      <t xml:space="preserve"> - Regulated
</t>
    </r>
    <r>
      <rPr>
        <b/>
        <sz val="11"/>
        <color theme="1"/>
        <rFont val="Calibri"/>
        <family val="2"/>
        <scheme val="minor"/>
      </rPr>
      <t>Unregulated</t>
    </r>
    <r>
      <rPr>
        <sz val="11"/>
        <color theme="1"/>
        <rFont val="Calibri"/>
        <family val="2"/>
        <scheme val="minor"/>
      </rPr>
      <t xml:space="preserve"> - Unregulated
</t>
    </r>
    <r>
      <rPr>
        <b/>
        <sz val="11"/>
        <color theme="1"/>
        <rFont val="Calibri"/>
        <family val="2"/>
        <scheme val="minor"/>
      </rPr>
      <t>Exempt</t>
    </r>
    <r>
      <rPr>
        <sz val="11"/>
        <color theme="1"/>
        <rFont val="Calibri"/>
        <family val="2"/>
        <scheme val="minor"/>
      </rPr>
      <t xml:space="preserve"> - Exempt
</t>
    </r>
  </si>
  <si>
    <r>
      <t>ForProfit</t>
    </r>
    <r>
      <rPr>
        <sz val="11"/>
        <color theme="1"/>
        <rFont val="Calibri"/>
        <family val="2"/>
        <scheme val="minor"/>
      </rPr>
      <t xml:space="preserve"> - For-profit facility
</t>
    </r>
    <r>
      <rPr>
        <b/>
        <sz val="11"/>
        <color theme="1"/>
        <rFont val="Calibri"/>
        <family val="2"/>
        <scheme val="minor"/>
      </rPr>
      <t>NonProfit</t>
    </r>
    <r>
      <rPr>
        <sz val="11"/>
        <color theme="1"/>
        <rFont val="Calibri"/>
        <family val="2"/>
        <scheme val="minor"/>
      </rPr>
      <t xml:space="preserve"> - Non-profit facility
</t>
    </r>
    <r>
      <rPr>
        <b/>
        <sz val="11"/>
        <color theme="1"/>
        <rFont val="Calibri"/>
        <family val="2"/>
        <scheme val="minor"/>
      </rPr>
      <t>GovernmentRun</t>
    </r>
    <r>
      <rPr>
        <sz val="11"/>
        <color theme="1"/>
        <rFont val="Calibri"/>
        <family val="2"/>
        <scheme val="minor"/>
      </rPr>
      <t xml:space="preserve"> - Government run facility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</si>
  <si>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</si>
  <si>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FAL1</t>
    </r>
    <r>
      <rPr>
        <sz val="11"/>
        <color theme="1"/>
        <rFont val="Calibri"/>
        <family val="2"/>
        <scheme val="minor"/>
      </rPr>
      <t xml:space="preserve"> - Level 1 (lowest level)
</t>
    </r>
    <r>
      <rPr>
        <b/>
        <sz val="11"/>
        <color theme="1"/>
        <rFont val="Calibri"/>
        <family val="2"/>
        <scheme val="minor"/>
      </rPr>
      <t>FAL2</t>
    </r>
    <r>
      <rPr>
        <sz val="11"/>
        <color theme="1"/>
        <rFont val="Calibri"/>
        <family val="2"/>
        <scheme val="minor"/>
      </rPr>
      <t xml:space="preserve"> - Level 2
</t>
    </r>
    <r>
      <rPr>
        <b/>
        <sz val="11"/>
        <color theme="1"/>
        <rFont val="Calibri"/>
        <family val="2"/>
        <scheme val="minor"/>
      </rPr>
      <t>FAL3</t>
    </r>
    <r>
      <rPr>
        <sz val="11"/>
        <color theme="1"/>
        <rFont val="Calibri"/>
        <family val="2"/>
        <scheme val="minor"/>
      </rPr>
      <t xml:space="preserve"> - Level 3
</t>
    </r>
    <r>
      <rPr>
        <b/>
        <sz val="11"/>
        <color theme="1"/>
        <rFont val="Calibri"/>
        <family val="2"/>
        <scheme val="minor"/>
      </rPr>
      <t>FAL4</t>
    </r>
    <r>
      <rPr>
        <sz val="11"/>
        <color theme="1"/>
        <rFont val="Calibri"/>
        <family val="2"/>
        <scheme val="minor"/>
      </rPr>
      <t xml:space="preserve"> - Level 4
</t>
    </r>
    <r>
      <rPr>
        <b/>
        <sz val="11"/>
        <color theme="1"/>
        <rFont val="Calibri"/>
        <family val="2"/>
        <scheme val="minor"/>
      </rPr>
      <t>FAL5</t>
    </r>
    <r>
      <rPr>
        <sz val="11"/>
        <color theme="1"/>
        <rFont val="Calibri"/>
        <family val="2"/>
        <scheme val="minor"/>
      </rPr>
      <t xml:space="preserve"> - Level 5
</t>
    </r>
    <r>
      <rPr>
        <b/>
        <sz val="11"/>
        <color theme="1"/>
        <rFont val="Calibri"/>
        <family val="2"/>
        <scheme val="minor"/>
      </rPr>
      <t>FAL6</t>
    </r>
    <r>
      <rPr>
        <sz val="11"/>
        <color theme="1"/>
        <rFont val="Calibri"/>
        <family val="2"/>
        <scheme val="minor"/>
      </rPr>
      <t xml:space="preserve"> - Level 6 (highest level)
</t>
    </r>
    <r>
      <rPr>
        <b/>
        <sz val="11"/>
        <color theme="1"/>
        <rFont val="Calibri"/>
        <family val="2"/>
        <scheme val="minor"/>
      </rPr>
      <t>EVALNR</t>
    </r>
    <r>
      <rPr>
        <sz val="11"/>
        <color theme="1"/>
        <rFont val="Calibri"/>
        <family val="2"/>
        <scheme val="minor"/>
      </rPr>
      <t xml:space="preserve"> - Evaluated, not ranked
</t>
    </r>
  </si>
  <si>
    <r>
      <t>RETAINED</t>
    </r>
    <r>
      <rPr>
        <sz val="11"/>
        <color theme="1"/>
        <rFont val="Calibri"/>
        <family val="2"/>
        <scheme val="minor"/>
      </rPr>
      <t xml:space="preserve"> - Retained by SEA for program administration, etc.
</t>
    </r>
    <r>
      <rPr>
        <b/>
        <sz val="11"/>
        <color theme="1"/>
        <rFont val="Calibri"/>
        <family val="2"/>
        <scheme val="minor"/>
      </rPr>
      <t>TRANSFER</t>
    </r>
    <r>
      <rPr>
        <sz val="11"/>
        <color theme="1"/>
        <rFont val="Calibri"/>
        <family val="2"/>
        <scheme val="minor"/>
      </rPr>
      <t xml:space="preserve"> - Transferred to another state agency
</t>
    </r>
    <r>
      <rPr>
        <b/>
        <sz val="11"/>
        <color theme="1"/>
        <rFont val="Calibri"/>
        <family val="2"/>
        <scheme val="minor"/>
      </rPr>
      <t>DISTNONLEA</t>
    </r>
    <r>
      <rPr>
        <sz val="11"/>
        <color theme="1"/>
        <rFont val="Calibri"/>
        <family val="2"/>
        <scheme val="minor"/>
      </rPr>
      <t xml:space="preserve"> - Distributed to entities other than LEAs
</t>
    </r>
    <r>
      <rPr>
        <b/>
        <sz val="11"/>
        <color theme="1"/>
        <rFont val="Calibri"/>
        <family val="2"/>
        <scheme val="minor"/>
      </rPr>
      <t>UNALLOC</t>
    </r>
    <r>
      <rPr>
        <sz val="11"/>
        <color theme="1"/>
        <rFont val="Calibri"/>
        <family val="2"/>
        <scheme val="minor"/>
      </rPr>
      <t xml:space="preserve"> - Unallocated or returned funds
</t>
    </r>
  </si>
  <si>
    <r>
      <t>101</t>
    </r>
    <r>
      <rPr>
        <sz val="11"/>
        <color theme="1"/>
        <rFont val="Calibri"/>
        <family val="2"/>
        <scheme val="minor"/>
      </rPr>
      <t xml:space="preserve"> - Cash in Bank
</t>
    </r>
    <r>
      <rPr>
        <b/>
        <sz val="11"/>
        <color theme="1"/>
        <rFont val="Calibri"/>
        <family val="2"/>
        <scheme val="minor"/>
      </rPr>
      <t>102</t>
    </r>
    <r>
      <rPr>
        <sz val="11"/>
        <color theme="1"/>
        <rFont val="Calibri"/>
        <family val="2"/>
        <scheme val="minor"/>
      </rPr>
      <t xml:space="preserve"> - Cash on Hand
</t>
    </r>
    <r>
      <rPr>
        <b/>
        <sz val="11"/>
        <color theme="1"/>
        <rFont val="Calibri"/>
        <family val="2"/>
        <scheme val="minor"/>
      </rPr>
      <t>103</t>
    </r>
    <r>
      <rPr>
        <sz val="11"/>
        <color theme="1"/>
        <rFont val="Calibri"/>
        <family val="2"/>
        <scheme val="minor"/>
      </rPr>
      <t xml:space="preserve"> - Petty Cash
</t>
    </r>
    <r>
      <rPr>
        <b/>
        <sz val="11"/>
        <color theme="1"/>
        <rFont val="Calibri"/>
        <family val="2"/>
        <scheme val="minor"/>
      </rPr>
      <t>104</t>
    </r>
    <r>
      <rPr>
        <sz val="11"/>
        <color theme="1"/>
        <rFont val="Calibri"/>
        <family val="2"/>
        <scheme val="minor"/>
      </rPr>
      <t xml:space="preserve"> - Change Cash
</t>
    </r>
    <r>
      <rPr>
        <b/>
        <sz val="11"/>
        <color theme="1"/>
        <rFont val="Calibri"/>
        <family val="2"/>
        <scheme val="minor"/>
      </rPr>
      <t>105</t>
    </r>
    <r>
      <rPr>
        <sz val="11"/>
        <color theme="1"/>
        <rFont val="Calibri"/>
        <family val="2"/>
        <scheme val="minor"/>
      </rPr>
      <t xml:space="preserve"> - Cash With Fiscal Agents
</t>
    </r>
    <r>
      <rPr>
        <b/>
        <sz val="11"/>
        <color theme="1"/>
        <rFont val="Calibri"/>
        <family val="2"/>
        <scheme val="minor"/>
      </rPr>
      <t>111</t>
    </r>
    <r>
      <rPr>
        <sz val="11"/>
        <color theme="1"/>
        <rFont val="Calibri"/>
        <family val="2"/>
        <scheme val="minor"/>
      </rPr>
      <t xml:space="preserve"> - Investments
</t>
    </r>
    <r>
      <rPr>
        <b/>
        <sz val="11"/>
        <color theme="1"/>
        <rFont val="Calibri"/>
        <family val="2"/>
        <scheme val="minor"/>
      </rPr>
      <t>112</t>
    </r>
    <r>
      <rPr>
        <sz val="11"/>
        <color theme="1"/>
        <rFont val="Calibri"/>
        <family val="2"/>
        <scheme val="minor"/>
      </rPr>
      <t xml:space="preserve"> - Unamortized Premiums on Investments
</t>
    </r>
    <r>
      <rPr>
        <b/>
        <sz val="11"/>
        <color theme="1"/>
        <rFont val="Calibri"/>
        <family val="2"/>
        <scheme val="minor"/>
      </rPr>
      <t>113</t>
    </r>
    <r>
      <rPr>
        <sz val="11"/>
        <color theme="1"/>
        <rFont val="Calibri"/>
        <family val="2"/>
        <scheme val="minor"/>
      </rPr>
      <t xml:space="preserve"> - Unamortized Discounts on Investments (Credit)
</t>
    </r>
    <r>
      <rPr>
        <b/>
        <sz val="11"/>
        <color theme="1"/>
        <rFont val="Calibri"/>
        <family val="2"/>
        <scheme val="minor"/>
      </rPr>
      <t>114</t>
    </r>
    <r>
      <rPr>
        <sz val="11"/>
        <color theme="1"/>
        <rFont val="Calibri"/>
        <family val="2"/>
        <scheme val="minor"/>
      </rPr>
      <t xml:space="preserve"> - Interest Receivable on Investments
</t>
    </r>
    <r>
      <rPr>
        <b/>
        <sz val="11"/>
        <color theme="1"/>
        <rFont val="Calibri"/>
        <family val="2"/>
        <scheme val="minor"/>
      </rPr>
      <t>115</t>
    </r>
    <r>
      <rPr>
        <sz val="11"/>
        <color theme="1"/>
        <rFont val="Calibri"/>
        <family val="2"/>
        <scheme val="minor"/>
      </rPr>
      <t xml:space="preserve"> - Accrued Interest on Investments Purchased
</t>
    </r>
    <r>
      <rPr>
        <b/>
        <sz val="11"/>
        <color theme="1"/>
        <rFont val="Calibri"/>
        <family val="2"/>
        <scheme val="minor"/>
      </rPr>
      <t>121</t>
    </r>
    <r>
      <rPr>
        <sz val="11"/>
        <color theme="1"/>
        <rFont val="Calibri"/>
        <family val="2"/>
        <scheme val="minor"/>
      </rPr>
      <t xml:space="preserve"> - Taxes Receivable
</t>
    </r>
    <r>
      <rPr>
        <b/>
        <sz val="11"/>
        <color theme="1"/>
        <rFont val="Calibri"/>
        <family val="2"/>
        <scheme val="minor"/>
      </rPr>
      <t>122</t>
    </r>
    <r>
      <rPr>
        <sz val="11"/>
        <color theme="1"/>
        <rFont val="Calibri"/>
        <family val="2"/>
        <scheme val="minor"/>
      </rPr>
      <t xml:space="preserve"> - Allowance for Uncollectible Taxes (Credit)
</t>
    </r>
    <r>
      <rPr>
        <b/>
        <sz val="11"/>
        <color theme="1"/>
        <rFont val="Calibri"/>
        <family val="2"/>
        <scheme val="minor"/>
      </rPr>
      <t>131</t>
    </r>
    <r>
      <rPr>
        <sz val="11"/>
        <color theme="1"/>
        <rFont val="Calibri"/>
        <family val="2"/>
        <scheme val="minor"/>
      </rPr>
      <t xml:space="preserve"> - Interfund Loans Receivable
</t>
    </r>
    <r>
      <rPr>
        <b/>
        <sz val="11"/>
        <color theme="1"/>
        <rFont val="Calibri"/>
        <family val="2"/>
        <scheme val="minor"/>
      </rPr>
      <t>132</t>
    </r>
    <r>
      <rPr>
        <sz val="11"/>
        <color theme="1"/>
        <rFont val="Calibri"/>
        <family val="2"/>
        <scheme val="minor"/>
      </rPr>
      <t xml:space="preserve"> - Interfund Accounts Receivable
</t>
    </r>
    <r>
      <rPr>
        <b/>
        <sz val="11"/>
        <color theme="1"/>
        <rFont val="Calibri"/>
        <family val="2"/>
        <scheme val="minor"/>
      </rPr>
      <t>141</t>
    </r>
    <r>
      <rPr>
        <sz val="11"/>
        <color theme="1"/>
        <rFont val="Calibri"/>
        <family val="2"/>
        <scheme val="minor"/>
      </rPr>
      <t xml:space="preserve"> - Intergovernmental Accounts Receivable
</t>
    </r>
    <r>
      <rPr>
        <b/>
        <sz val="11"/>
        <color theme="1"/>
        <rFont val="Calibri"/>
        <family val="2"/>
        <scheme val="minor"/>
      </rPr>
      <t>151</t>
    </r>
    <r>
      <rPr>
        <sz val="11"/>
        <color theme="1"/>
        <rFont val="Calibri"/>
        <family val="2"/>
        <scheme val="minor"/>
      </rPr>
      <t xml:space="preserve"> - Loans Receivable
</t>
    </r>
    <r>
      <rPr>
        <b/>
        <sz val="11"/>
        <color theme="1"/>
        <rFont val="Calibri"/>
        <family val="2"/>
        <scheme val="minor"/>
      </rPr>
      <t>152</t>
    </r>
    <r>
      <rPr>
        <sz val="11"/>
        <color theme="1"/>
        <rFont val="Calibri"/>
        <family val="2"/>
        <scheme val="minor"/>
      </rPr>
      <t xml:space="preserve"> - Allowance for Uncollectible Loans (Credit)
</t>
    </r>
    <r>
      <rPr>
        <b/>
        <sz val="11"/>
        <color theme="1"/>
        <rFont val="Calibri"/>
        <family val="2"/>
        <scheme val="minor"/>
      </rPr>
      <t>153</t>
    </r>
    <r>
      <rPr>
        <sz val="11"/>
        <color theme="1"/>
        <rFont val="Calibri"/>
        <family val="2"/>
        <scheme val="minor"/>
      </rPr>
      <t xml:space="preserve"> - Other Accounts Receivable
</t>
    </r>
    <r>
      <rPr>
        <b/>
        <sz val="11"/>
        <color theme="1"/>
        <rFont val="Calibri"/>
        <family val="2"/>
        <scheme val="minor"/>
      </rPr>
      <t>154</t>
    </r>
    <r>
      <rPr>
        <sz val="11"/>
        <color theme="1"/>
        <rFont val="Calibri"/>
        <family val="2"/>
        <scheme val="minor"/>
      </rPr>
      <t xml:space="preserve"> - Allowance for Uncollectible Accounts Receivable (Credit)
</t>
    </r>
    <r>
      <rPr>
        <b/>
        <sz val="11"/>
        <color theme="1"/>
        <rFont val="Calibri"/>
        <family val="2"/>
        <scheme val="minor"/>
      </rPr>
      <t>171</t>
    </r>
    <r>
      <rPr>
        <sz val="11"/>
        <color theme="1"/>
        <rFont val="Calibri"/>
        <family val="2"/>
        <scheme val="minor"/>
      </rPr>
      <t xml:space="preserve"> - Inventories for Consumption
</t>
    </r>
    <r>
      <rPr>
        <b/>
        <sz val="11"/>
        <color theme="1"/>
        <rFont val="Calibri"/>
        <family val="2"/>
        <scheme val="minor"/>
      </rPr>
      <t>172</t>
    </r>
    <r>
      <rPr>
        <sz val="11"/>
        <color theme="1"/>
        <rFont val="Calibri"/>
        <family val="2"/>
        <scheme val="minor"/>
      </rPr>
      <t xml:space="preserve"> - Inventories for Resale
</t>
    </r>
    <r>
      <rPr>
        <b/>
        <sz val="11"/>
        <color theme="1"/>
        <rFont val="Calibri"/>
        <family val="2"/>
        <scheme val="minor"/>
      </rPr>
      <t>181</t>
    </r>
    <r>
      <rPr>
        <sz val="11"/>
        <color theme="1"/>
        <rFont val="Calibri"/>
        <family val="2"/>
        <scheme val="minor"/>
      </rPr>
      <t xml:space="preserve"> - Prepaid Items
</t>
    </r>
    <r>
      <rPr>
        <b/>
        <sz val="11"/>
        <color theme="1"/>
        <rFont val="Calibri"/>
        <family val="2"/>
        <scheme val="minor"/>
      </rPr>
      <t>191</t>
    </r>
    <r>
      <rPr>
        <sz val="11"/>
        <color theme="1"/>
        <rFont val="Calibri"/>
        <family val="2"/>
        <scheme val="minor"/>
      </rPr>
      <t xml:space="preserve"> - Deposits
</t>
    </r>
    <r>
      <rPr>
        <b/>
        <sz val="11"/>
        <color theme="1"/>
        <rFont val="Calibri"/>
        <family val="2"/>
        <scheme val="minor"/>
      </rPr>
      <t>193</t>
    </r>
    <r>
      <rPr>
        <sz val="11"/>
        <color theme="1"/>
        <rFont val="Calibri"/>
        <family val="2"/>
        <scheme val="minor"/>
      </rPr>
      <t xml:space="preserve"> - Bond Insurance Costs
</t>
    </r>
    <r>
      <rPr>
        <b/>
        <sz val="11"/>
        <color theme="1"/>
        <rFont val="Calibri"/>
        <family val="2"/>
        <scheme val="minor"/>
      </rPr>
      <t>194</t>
    </r>
    <r>
      <rPr>
        <sz val="11"/>
        <color theme="1"/>
        <rFont val="Calibri"/>
        <family val="2"/>
        <scheme val="minor"/>
      </rPr>
      <t xml:space="preserve"> - Premium and Discount on Issuance of Bonds
</t>
    </r>
    <r>
      <rPr>
        <b/>
        <sz val="11"/>
        <color theme="1"/>
        <rFont val="Calibri"/>
        <family val="2"/>
        <scheme val="minor"/>
      </rPr>
      <t>199</t>
    </r>
    <r>
      <rPr>
        <sz val="11"/>
        <color theme="1"/>
        <rFont val="Calibri"/>
        <family val="2"/>
        <scheme val="minor"/>
      </rPr>
      <t xml:space="preserve"> - Other Current Assets
</t>
    </r>
    <r>
      <rPr>
        <b/>
        <sz val="11"/>
        <color theme="1"/>
        <rFont val="Calibri"/>
        <family val="2"/>
        <scheme val="minor"/>
      </rPr>
      <t>200</t>
    </r>
    <r>
      <rPr>
        <sz val="11"/>
        <color theme="1"/>
        <rFont val="Calibri"/>
        <family val="2"/>
        <scheme val="minor"/>
      </rPr>
      <t xml:space="preserve"> - Capital Assets
</t>
    </r>
    <r>
      <rPr>
        <b/>
        <sz val="11"/>
        <color theme="1"/>
        <rFont val="Calibri"/>
        <family val="2"/>
        <scheme val="minor"/>
      </rPr>
      <t>211</t>
    </r>
    <r>
      <rPr>
        <sz val="11"/>
        <color theme="1"/>
        <rFont val="Calibri"/>
        <family val="2"/>
        <scheme val="minor"/>
      </rPr>
      <t xml:space="preserve"> - Land and Land Improvements
</t>
    </r>
    <r>
      <rPr>
        <b/>
        <sz val="11"/>
        <color theme="1"/>
        <rFont val="Calibri"/>
        <family val="2"/>
        <scheme val="minor"/>
      </rPr>
      <t>221</t>
    </r>
    <r>
      <rPr>
        <sz val="11"/>
        <color theme="1"/>
        <rFont val="Calibri"/>
        <family val="2"/>
        <scheme val="minor"/>
      </rPr>
      <t xml:space="preserve"> - Site Improvements
</t>
    </r>
    <r>
      <rPr>
        <b/>
        <sz val="11"/>
        <color theme="1"/>
        <rFont val="Calibri"/>
        <family val="2"/>
        <scheme val="minor"/>
      </rPr>
      <t>222</t>
    </r>
    <r>
      <rPr>
        <sz val="11"/>
        <color theme="1"/>
        <rFont val="Calibri"/>
        <family val="2"/>
        <scheme val="minor"/>
      </rPr>
      <t xml:space="preserve"> - Accumulated Depreciation on Site Improvements
</t>
    </r>
    <r>
      <rPr>
        <b/>
        <sz val="11"/>
        <color theme="1"/>
        <rFont val="Calibri"/>
        <family val="2"/>
        <scheme val="minor"/>
      </rPr>
      <t>231</t>
    </r>
    <r>
      <rPr>
        <sz val="11"/>
        <color theme="1"/>
        <rFont val="Calibri"/>
        <family val="2"/>
        <scheme val="minor"/>
      </rPr>
      <t xml:space="preserve"> - Buildings and Building Improvements
</t>
    </r>
    <r>
      <rPr>
        <b/>
        <sz val="11"/>
        <color theme="1"/>
        <rFont val="Calibri"/>
        <family val="2"/>
        <scheme val="minor"/>
      </rPr>
      <t>232</t>
    </r>
    <r>
      <rPr>
        <sz val="11"/>
        <color theme="1"/>
        <rFont val="Calibri"/>
        <family val="2"/>
        <scheme val="minor"/>
      </rPr>
      <t xml:space="preserve"> - Accumulated Depreciation on Buildings and Building Improvements
</t>
    </r>
    <r>
      <rPr>
        <b/>
        <sz val="11"/>
        <color theme="1"/>
        <rFont val="Calibri"/>
        <family val="2"/>
        <scheme val="minor"/>
      </rPr>
      <t>241</t>
    </r>
    <r>
      <rPr>
        <sz val="11"/>
        <color theme="1"/>
        <rFont val="Calibri"/>
        <family val="2"/>
        <scheme val="minor"/>
      </rPr>
      <t xml:space="preserve"> - Machinery and Equipment
</t>
    </r>
    <r>
      <rPr>
        <b/>
        <sz val="11"/>
        <color theme="1"/>
        <rFont val="Calibri"/>
        <family val="2"/>
        <scheme val="minor"/>
      </rPr>
      <t>242</t>
    </r>
    <r>
      <rPr>
        <sz val="11"/>
        <color theme="1"/>
        <rFont val="Calibri"/>
        <family val="2"/>
        <scheme val="minor"/>
      </rPr>
      <t xml:space="preserve"> - Accumulated Depreciation on Machinery and Equipment
</t>
    </r>
    <r>
      <rPr>
        <b/>
        <sz val="11"/>
        <color theme="1"/>
        <rFont val="Calibri"/>
        <family val="2"/>
        <scheme val="minor"/>
      </rPr>
      <t>251</t>
    </r>
    <r>
      <rPr>
        <sz val="11"/>
        <color theme="1"/>
        <rFont val="Calibri"/>
        <family val="2"/>
        <scheme val="minor"/>
      </rPr>
      <t xml:space="preserve"> - Works of Art and Historical Treasures
</t>
    </r>
    <r>
      <rPr>
        <b/>
        <sz val="11"/>
        <color theme="1"/>
        <rFont val="Calibri"/>
        <family val="2"/>
        <scheme val="minor"/>
      </rPr>
      <t>252</t>
    </r>
    <r>
      <rPr>
        <sz val="11"/>
        <color theme="1"/>
        <rFont val="Calibri"/>
        <family val="2"/>
        <scheme val="minor"/>
      </rPr>
      <t xml:space="preserve"> - Accumulated Depreciation on Works of Art and Historical Collections
</t>
    </r>
    <r>
      <rPr>
        <b/>
        <sz val="11"/>
        <color theme="1"/>
        <rFont val="Calibri"/>
        <family val="2"/>
        <scheme val="minor"/>
      </rPr>
      <t>261</t>
    </r>
    <r>
      <rPr>
        <sz val="11"/>
        <color theme="1"/>
        <rFont val="Calibri"/>
        <family val="2"/>
        <scheme val="minor"/>
      </rPr>
      <t xml:space="preserve"> - Infrastructure
</t>
    </r>
    <r>
      <rPr>
        <b/>
        <sz val="11"/>
        <color theme="1"/>
        <rFont val="Calibri"/>
        <family val="2"/>
        <scheme val="minor"/>
      </rPr>
      <t>262</t>
    </r>
    <r>
      <rPr>
        <sz val="11"/>
        <color theme="1"/>
        <rFont val="Calibri"/>
        <family val="2"/>
        <scheme val="minor"/>
      </rPr>
      <t xml:space="preserve"> - Accumulated Depreciation on Infrastructure
</t>
    </r>
    <r>
      <rPr>
        <b/>
        <sz val="11"/>
        <color theme="1"/>
        <rFont val="Calibri"/>
        <family val="2"/>
        <scheme val="minor"/>
      </rPr>
      <t>271</t>
    </r>
    <r>
      <rPr>
        <sz val="11"/>
        <color theme="1"/>
        <rFont val="Calibri"/>
        <family val="2"/>
        <scheme val="minor"/>
      </rPr>
      <t xml:space="preserve"> - Construction in Progress
</t>
    </r>
    <r>
      <rPr>
        <b/>
        <sz val="11"/>
        <color theme="1"/>
        <rFont val="Calibri"/>
        <family val="2"/>
        <scheme val="minor"/>
      </rPr>
      <t>281</t>
    </r>
    <r>
      <rPr>
        <sz val="11"/>
        <color theme="1"/>
        <rFont val="Calibri"/>
        <family val="2"/>
        <scheme val="minor"/>
      </rPr>
      <t xml:space="preserve"> - Intangible Assets
</t>
    </r>
    <r>
      <rPr>
        <b/>
        <sz val="11"/>
        <color theme="1"/>
        <rFont val="Calibri"/>
        <family val="2"/>
        <scheme val="minor"/>
      </rPr>
      <t>282</t>
    </r>
    <r>
      <rPr>
        <sz val="11"/>
        <color theme="1"/>
        <rFont val="Calibri"/>
        <family val="2"/>
        <scheme val="minor"/>
      </rPr>
      <t xml:space="preserve"> - Accumulated Amortization of Intangible Assets
</t>
    </r>
    <r>
      <rPr>
        <b/>
        <sz val="11"/>
        <color theme="1"/>
        <rFont val="Calibri"/>
        <family val="2"/>
        <scheme val="minor"/>
      </rPr>
      <t>300</t>
    </r>
    <r>
      <rPr>
        <sz val="11"/>
        <color theme="1"/>
        <rFont val="Calibri"/>
        <family val="2"/>
        <scheme val="minor"/>
      </rPr>
      <t xml:space="preserve"> - Deferred Outflows of Resources
</t>
    </r>
    <r>
      <rPr>
        <b/>
        <sz val="11"/>
        <color theme="1"/>
        <rFont val="Calibri"/>
        <family val="2"/>
        <scheme val="minor"/>
      </rPr>
      <t>401</t>
    </r>
    <r>
      <rPr>
        <sz val="11"/>
        <color theme="1"/>
        <rFont val="Calibri"/>
        <family val="2"/>
        <scheme val="minor"/>
      </rPr>
      <t xml:space="preserve"> - Interfund Loans Payable
</t>
    </r>
    <r>
      <rPr>
        <b/>
        <sz val="11"/>
        <color theme="1"/>
        <rFont val="Calibri"/>
        <family val="2"/>
        <scheme val="minor"/>
      </rPr>
      <t>402</t>
    </r>
    <r>
      <rPr>
        <sz val="11"/>
        <color theme="1"/>
        <rFont val="Calibri"/>
        <family val="2"/>
        <scheme val="minor"/>
      </rPr>
      <t xml:space="preserve"> - Interfund Accounts Payable
</t>
    </r>
    <r>
      <rPr>
        <b/>
        <sz val="11"/>
        <color theme="1"/>
        <rFont val="Calibri"/>
        <family val="2"/>
        <scheme val="minor"/>
      </rPr>
      <t>411</t>
    </r>
    <r>
      <rPr>
        <sz val="11"/>
        <color theme="1"/>
        <rFont val="Calibri"/>
        <family val="2"/>
        <scheme val="minor"/>
      </rPr>
      <t xml:space="preserve"> - Intergovernmental Accounts Payable
</t>
    </r>
    <r>
      <rPr>
        <b/>
        <sz val="11"/>
        <color theme="1"/>
        <rFont val="Calibri"/>
        <family val="2"/>
        <scheme val="minor"/>
      </rPr>
      <t>421</t>
    </r>
    <r>
      <rPr>
        <sz val="11"/>
        <color theme="1"/>
        <rFont val="Calibri"/>
        <family val="2"/>
        <scheme val="minor"/>
      </rPr>
      <t xml:space="preserve"> - Accounts Payable
</t>
    </r>
    <r>
      <rPr>
        <b/>
        <sz val="11"/>
        <color theme="1"/>
        <rFont val="Calibri"/>
        <family val="2"/>
        <scheme val="minor"/>
      </rPr>
      <t>422</t>
    </r>
    <r>
      <rPr>
        <sz val="11"/>
        <color theme="1"/>
        <rFont val="Calibri"/>
        <family val="2"/>
        <scheme val="minor"/>
      </rPr>
      <t xml:space="preserve"> - Judgments Payable
</t>
    </r>
    <r>
      <rPr>
        <b/>
        <sz val="11"/>
        <color theme="1"/>
        <rFont val="Calibri"/>
        <family val="2"/>
        <scheme val="minor"/>
      </rPr>
      <t>423</t>
    </r>
    <r>
      <rPr>
        <sz val="11"/>
        <color theme="1"/>
        <rFont val="Calibri"/>
        <family val="2"/>
        <scheme val="minor"/>
      </rPr>
      <t xml:space="preserve"> - Warrants Payable
</t>
    </r>
    <r>
      <rPr>
        <b/>
        <sz val="11"/>
        <color theme="1"/>
        <rFont val="Calibri"/>
        <family val="2"/>
        <scheme val="minor"/>
      </rPr>
      <t>431</t>
    </r>
    <r>
      <rPr>
        <sz val="11"/>
        <color theme="1"/>
        <rFont val="Calibri"/>
        <family val="2"/>
        <scheme val="minor"/>
      </rPr>
      <t xml:space="preserve"> - Contracts Payable
</t>
    </r>
    <r>
      <rPr>
        <b/>
        <sz val="11"/>
        <color theme="1"/>
        <rFont val="Calibri"/>
        <family val="2"/>
        <scheme val="minor"/>
      </rPr>
      <t>432</t>
    </r>
    <r>
      <rPr>
        <sz val="11"/>
        <color theme="1"/>
        <rFont val="Calibri"/>
        <family val="2"/>
        <scheme val="minor"/>
      </rPr>
      <t xml:space="preserve"> - Construction Contracts Payable-Retainage
</t>
    </r>
    <r>
      <rPr>
        <b/>
        <sz val="11"/>
        <color theme="1"/>
        <rFont val="Calibri"/>
        <family val="2"/>
        <scheme val="minor"/>
      </rPr>
      <t>433</t>
    </r>
    <r>
      <rPr>
        <sz val="11"/>
        <color theme="1"/>
        <rFont val="Calibri"/>
        <family val="2"/>
        <scheme val="minor"/>
      </rPr>
      <t xml:space="preserve"> - Construction Contracts Payable
</t>
    </r>
    <r>
      <rPr>
        <b/>
        <sz val="11"/>
        <color theme="1"/>
        <rFont val="Calibri"/>
        <family val="2"/>
        <scheme val="minor"/>
      </rPr>
      <t>441</t>
    </r>
    <r>
      <rPr>
        <sz val="11"/>
        <color theme="1"/>
        <rFont val="Calibri"/>
        <family val="2"/>
        <scheme val="minor"/>
      </rPr>
      <t xml:space="preserve"> - Matured Bonds Payable
</t>
    </r>
    <r>
      <rPr>
        <b/>
        <sz val="11"/>
        <color theme="1"/>
        <rFont val="Calibri"/>
        <family val="2"/>
        <scheme val="minor"/>
      </rPr>
      <t>442</t>
    </r>
    <r>
      <rPr>
        <sz val="11"/>
        <color theme="1"/>
        <rFont val="Calibri"/>
        <family val="2"/>
        <scheme val="minor"/>
      </rPr>
      <t xml:space="preserve"> - Bonds Payable-Current
</t>
    </r>
    <r>
      <rPr>
        <b/>
        <sz val="11"/>
        <color theme="1"/>
        <rFont val="Calibri"/>
        <family val="2"/>
        <scheme val="minor"/>
      </rPr>
      <t>443</t>
    </r>
    <r>
      <rPr>
        <sz val="11"/>
        <color theme="1"/>
        <rFont val="Calibri"/>
        <family val="2"/>
        <scheme val="minor"/>
      </rPr>
      <t xml:space="preserve"> - Unamortized Premiums on Issuance of Bonds
</t>
    </r>
    <r>
      <rPr>
        <b/>
        <sz val="11"/>
        <color theme="1"/>
        <rFont val="Calibri"/>
        <family val="2"/>
        <scheme val="minor"/>
      </rPr>
      <t>451</t>
    </r>
    <r>
      <rPr>
        <sz val="11"/>
        <color theme="1"/>
        <rFont val="Calibri"/>
        <family val="2"/>
        <scheme val="minor"/>
      </rPr>
      <t xml:space="preserve"> - Loans Payable
</t>
    </r>
    <r>
      <rPr>
        <b/>
        <sz val="11"/>
        <color theme="1"/>
        <rFont val="Calibri"/>
        <family val="2"/>
        <scheme val="minor"/>
      </rPr>
      <t>452</t>
    </r>
    <r>
      <rPr>
        <sz val="11"/>
        <color theme="1"/>
        <rFont val="Calibri"/>
        <family val="2"/>
        <scheme val="minor"/>
      </rPr>
      <t xml:space="preserve"> - Lease Obligations-Current
</t>
    </r>
    <r>
      <rPr>
        <b/>
        <sz val="11"/>
        <color theme="1"/>
        <rFont val="Calibri"/>
        <family val="2"/>
        <scheme val="minor"/>
      </rPr>
      <t>455</t>
    </r>
    <r>
      <rPr>
        <sz val="11"/>
        <color theme="1"/>
        <rFont val="Calibri"/>
        <family val="2"/>
        <scheme val="minor"/>
      </rPr>
      <t xml:space="preserve"> - Interest Payable
</t>
    </r>
    <r>
      <rPr>
        <b/>
        <sz val="11"/>
        <color theme="1"/>
        <rFont val="Calibri"/>
        <family val="2"/>
        <scheme val="minor"/>
      </rPr>
      <t>461</t>
    </r>
    <r>
      <rPr>
        <sz val="11"/>
        <color theme="1"/>
        <rFont val="Calibri"/>
        <family val="2"/>
        <scheme val="minor"/>
      </rPr>
      <t xml:space="preserve"> - Accrued Salaries and Benefits
</t>
    </r>
    <r>
      <rPr>
        <b/>
        <sz val="11"/>
        <color theme="1"/>
        <rFont val="Calibri"/>
        <family val="2"/>
        <scheme val="minor"/>
      </rPr>
      <t>471</t>
    </r>
    <r>
      <rPr>
        <sz val="11"/>
        <color theme="1"/>
        <rFont val="Calibri"/>
        <family val="2"/>
        <scheme val="minor"/>
      </rPr>
      <t xml:space="preserve"> - Payroll Deductions and Withholdings
</t>
    </r>
    <r>
      <rPr>
        <b/>
        <sz val="11"/>
        <color theme="1"/>
        <rFont val="Calibri"/>
        <family val="2"/>
        <scheme val="minor"/>
      </rPr>
      <t>472</t>
    </r>
    <r>
      <rPr>
        <sz val="11"/>
        <color theme="1"/>
        <rFont val="Calibri"/>
        <family val="2"/>
        <scheme val="minor"/>
      </rPr>
      <t xml:space="preserve"> - Compensated Absences-Current
</t>
    </r>
    <r>
      <rPr>
        <b/>
        <sz val="11"/>
        <color theme="1"/>
        <rFont val="Calibri"/>
        <family val="2"/>
        <scheme val="minor"/>
      </rPr>
      <t>473</t>
    </r>
    <r>
      <rPr>
        <sz val="11"/>
        <color theme="1"/>
        <rFont val="Calibri"/>
        <family val="2"/>
        <scheme val="minor"/>
      </rPr>
      <t xml:space="preserve"> - Accrued Annual Requirement Contribution Liability
</t>
    </r>
    <r>
      <rPr>
        <b/>
        <sz val="11"/>
        <color theme="1"/>
        <rFont val="Calibri"/>
        <family val="2"/>
        <scheme val="minor"/>
      </rPr>
      <t>481</t>
    </r>
    <r>
      <rPr>
        <sz val="11"/>
        <color theme="1"/>
        <rFont val="Calibri"/>
        <family val="2"/>
        <scheme val="minor"/>
      </rPr>
      <t xml:space="preserve"> - Advances from Grantors
</t>
    </r>
    <r>
      <rPr>
        <b/>
        <sz val="11"/>
        <color theme="1"/>
        <rFont val="Calibri"/>
        <family val="2"/>
        <scheme val="minor"/>
      </rPr>
      <t>491</t>
    </r>
    <r>
      <rPr>
        <sz val="11"/>
        <color theme="1"/>
        <rFont val="Calibri"/>
        <family val="2"/>
        <scheme val="minor"/>
      </rPr>
      <t xml:space="preserve"> - Deposits Payable
</t>
    </r>
    <r>
      <rPr>
        <b/>
        <sz val="11"/>
        <color theme="1"/>
        <rFont val="Calibri"/>
        <family val="2"/>
        <scheme val="minor"/>
      </rPr>
      <t>499</t>
    </r>
    <r>
      <rPr>
        <sz val="11"/>
        <color theme="1"/>
        <rFont val="Calibri"/>
        <family val="2"/>
        <scheme val="minor"/>
      </rPr>
      <t xml:space="preserve"> - Other Current Liabilities
</t>
    </r>
    <r>
      <rPr>
        <b/>
        <sz val="11"/>
        <color theme="1"/>
        <rFont val="Calibri"/>
        <family val="2"/>
        <scheme val="minor"/>
      </rPr>
      <t>500</t>
    </r>
    <r>
      <rPr>
        <sz val="11"/>
        <color theme="1"/>
        <rFont val="Calibri"/>
        <family val="2"/>
        <scheme val="minor"/>
      </rPr>
      <t xml:space="preserve"> - Long-Term Liabilities
</t>
    </r>
    <r>
      <rPr>
        <b/>
        <sz val="11"/>
        <color theme="1"/>
        <rFont val="Calibri"/>
        <family val="2"/>
        <scheme val="minor"/>
      </rPr>
      <t>511</t>
    </r>
    <r>
      <rPr>
        <sz val="11"/>
        <color theme="1"/>
        <rFont val="Calibri"/>
        <family val="2"/>
        <scheme val="minor"/>
      </rPr>
      <t xml:space="preserve"> - Bonds Payable
</t>
    </r>
    <r>
      <rPr>
        <b/>
        <sz val="11"/>
        <color theme="1"/>
        <rFont val="Calibri"/>
        <family val="2"/>
        <scheme val="minor"/>
      </rPr>
      <t>512</t>
    </r>
    <r>
      <rPr>
        <sz val="11"/>
        <color theme="1"/>
        <rFont val="Calibri"/>
        <family val="2"/>
        <scheme val="minor"/>
      </rPr>
      <t xml:space="preserve"> - Accreted Interest
</t>
    </r>
    <r>
      <rPr>
        <b/>
        <sz val="11"/>
        <color theme="1"/>
        <rFont val="Calibri"/>
        <family val="2"/>
        <scheme val="minor"/>
      </rPr>
      <t>513</t>
    </r>
    <r>
      <rPr>
        <sz val="11"/>
        <color theme="1"/>
        <rFont val="Calibri"/>
        <family val="2"/>
        <scheme val="minor"/>
      </rPr>
      <t xml:space="preserve"> - Unamortized Gains/Losses on Debt Refundings
</t>
    </r>
    <r>
      <rPr>
        <b/>
        <sz val="11"/>
        <color theme="1"/>
        <rFont val="Calibri"/>
        <family val="2"/>
        <scheme val="minor"/>
      </rPr>
      <t>521</t>
    </r>
    <r>
      <rPr>
        <sz val="11"/>
        <color theme="1"/>
        <rFont val="Calibri"/>
        <family val="2"/>
        <scheme val="minor"/>
      </rPr>
      <t xml:space="preserve"> - Loans Payable
</t>
    </r>
    <r>
      <rPr>
        <b/>
        <sz val="11"/>
        <color theme="1"/>
        <rFont val="Calibri"/>
        <family val="2"/>
        <scheme val="minor"/>
      </rPr>
      <t>531</t>
    </r>
    <r>
      <rPr>
        <sz val="11"/>
        <color theme="1"/>
        <rFont val="Calibri"/>
        <family val="2"/>
        <scheme val="minor"/>
      </rPr>
      <t xml:space="preserve"> - Capital Lease Obligations
</t>
    </r>
    <r>
      <rPr>
        <b/>
        <sz val="11"/>
        <color theme="1"/>
        <rFont val="Calibri"/>
        <family val="2"/>
        <scheme val="minor"/>
      </rPr>
      <t>551</t>
    </r>
    <r>
      <rPr>
        <sz val="11"/>
        <color theme="1"/>
        <rFont val="Calibri"/>
        <family val="2"/>
        <scheme val="minor"/>
      </rPr>
      <t xml:space="preserve"> - Compensated Absences
</t>
    </r>
    <r>
      <rPr>
        <b/>
        <sz val="11"/>
        <color theme="1"/>
        <rFont val="Calibri"/>
        <family val="2"/>
        <scheme val="minor"/>
      </rPr>
      <t>553</t>
    </r>
    <r>
      <rPr>
        <sz val="11"/>
        <color theme="1"/>
        <rFont val="Calibri"/>
        <family val="2"/>
        <scheme val="minor"/>
      </rPr>
      <t xml:space="preserve"> - Special Termination Benefits
</t>
    </r>
    <r>
      <rPr>
        <b/>
        <sz val="11"/>
        <color theme="1"/>
        <rFont val="Calibri"/>
        <family val="2"/>
        <scheme val="minor"/>
      </rPr>
      <t>561</t>
    </r>
    <r>
      <rPr>
        <sz val="11"/>
        <color theme="1"/>
        <rFont val="Calibri"/>
        <family val="2"/>
        <scheme val="minor"/>
      </rPr>
      <t xml:space="preserve"> - Arbitrage Rebate Liability
</t>
    </r>
    <r>
      <rPr>
        <b/>
        <sz val="11"/>
        <color theme="1"/>
        <rFont val="Calibri"/>
        <family val="2"/>
        <scheme val="minor"/>
      </rPr>
      <t>590</t>
    </r>
    <r>
      <rPr>
        <sz val="11"/>
        <color theme="1"/>
        <rFont val="Calibri"/>
        <family val="2"/>
        <scheme val="minor"/>
      </rPr>
      <t xml:space="preserve"> - Other Long-Term Liabilities
</t>
    </r>
    <r>
      <rPr>
        <b/>
        <sz val="11"/>
        <color theme="1"/>
        <rFont val="Calibri"/>
        <family val="2"/>
        <scheme val="minor"/>
      </rPr>
      <t>600</t>
    </r>
    <r>
      <rPr>
        <sz val="11"/>
        <color theme="1"/>
        <rFont val="Calibri"/>
        <family val="2"/>
        <scheme val="minor"/>
      </rPr>
      <t xml:space="preserve"> - Deferred Inflows of Resources
</t>
    </r>
    <r>
      <rPr>
        <b/>
        <sz val="11"/>
        <color theme="1"/>
        <rFont val="Calibri"/>
        <family val="2"/>
        <scheme val="minor"/>
      </rPr>
      <t>710</t>
    </r>
    <r>
      <rPr>
        <sz val="11"/>
        <color theme="1"/>
        <rFont val="Calibri"/>
        <family val="2"/>
        <scheme val="minor"/>
      </rPr>
      <t xml:space="preserve"> - Nonspendable Fund Balance
</t>
    </r>
    <r>
      <rPr>
        <b/>
        <sz val="11"/>
        <color theme="1"/>
        <rFont val="Calibri"/>
        <family val="2"/>
        <scheme val="minor"/>
      </rPr>
      <t>720</t>
    </r>
    <r>
      <rPr>
        <sz val="11"/>
        <color theme="1"/>
        <rFont val="Calibri"/>
        <family val="2"/>
        <scheme val="minor"/>
      </rPr>
      <t xml:space="preserve"> - Restricted Fund Balance
</t>
    </r>
    <r>
      <rPr>
        <b/>
        <sz val="11"/>
        <color theme="1"/>
        <rFont val="Calibri"/>
        <family val="2"/>
        <scheme val="minor"/>
      </rPr>
      <t>730</t>
    </r>
    <r>
      <rPr>
        <sz val="11"/>
        <color theme="1"/>
        <rFont val="Calibri"/>
        <family val="2"/>
        <scheme val="minor"/>
      </rPr>
      <t xml:space="preserve"> - Committed Fund Balance
</t>
    </r>
    <r>
      <rPr>
        <b/>
        <sz val="11"/>
        <color theme="1"/>
        <rFont val="Calibri"/>
        <family val="2"/>
        <scheme val="minor"/>
      </rPr>
      <t>740</t>
    </r>
    <r>
      <rPr>
        <sz val="11"/>
        <color theme="1"/>
        <rFont val="Calibri"/>
        <family val="2"/>
        <scheme val="minor"/>
      </rPr>
      <t xml:space="preserve"> - Assigned Fund Balance
</t>
    </r>
    <r>
      <rPr>
        <b/>
        <sz val="11"/>
        <color theme="1"/>
        <rFont val="Calibri"/>
        <family val="2"/>
        <scheme val="minor"/>
      </rPr>
      <t>750</t>
    </r>
    <r>
      <rPr>
        <sz val="11"/>
        <color theme="1"/>
        <rFont val="Calibri"/>
        <family val="2"/>
        <scheme val="minor"/>
      </rPr>
      <t xml:space="preserve"> - Unassigned Fund Balance
</t>
    </r>
    <r>
      <rPr>
        <b/>
        <sz val="11"/>
        <color theme="1"/>
        <rFont val="Calibri"/>
        <family val="2"/>
        <scheme val="minor"/>
      </rPr>
      <t>760</t>
    </r>
    <r>
      <rPr>
        <sz val="11"/>
        <color theme="1"/>
        <rFont val="Calibri"/>
        <family val="2"/>
        <scheme val="minor"/>
      </rPr>
      <t xml:space="preserve"> - Net Investment in Capital Assets
</t>
    </r>
    <r>
      <rPr>
        <b/>
        <sz val="11"/>
        <color theme="1"/>
        <rFont val="Calibri"/>
        <family val="2"/>
        <scheme val="minor"/>
      </rPr>
      <t>770</t>
    </r>
    <r>
      <rPr>
        <sz val="11"/>
        <color theme="1"/>
        <rFont val="Calibri"/>
        <family val="2"/>
        <scheme val="minor"/>
      </rPr>
      <t xml:space="preserve"> - Restricted Net Position
</t>
    </r>
    <r>
      <rPr>
        <b/>
        <sz val="11"/>
        <color theme="1"/>
        <rFont val="Calibri"/>
        <family val="2"/>
        <scheme val="minor"/>
      </rPr>
      <t>780</t>
    </r>
    <r>
      <rPr>
        <sz val="11"/>
        <color theme="1"/>
        <rFont val="Calibri"/>
        <family val="2"/>
        <scheme val="minor"/>
      </rPr>
      <t xml:space="preserve"> - Unrestricted Net Position
</t>
    </r>
  </si>
  <si>
    <r>
      <t>Assets</t>
    </r>
    <r>
      <rPr>
        <sz val="11"/>
        <color theme="1"/>
        <rFont val="Calibri"/>
        <family val="2"/>
        <scheme val="minor"/>
      </rPr>
      <t xml:space="preserve"> - Assets
</t>
    </r>
    <r>
      <rPr>
        <b/>
        <sz val="11"/>
        <color theme="1"/>
        <rFont val="Calibri"/>
        <family val="2"/>
        <scheme val="minor"/>
      </rPr>
      <t>Liabilities</t>
    </r>
    <r>
      <rPr>
        <sz val="11"/>
        <color theme="1"/>
        <rFont val="Calibri"/>
        <family val="2"/>
        <scheme val="minor"/>
      </rPr>
      <t xml:space="preserve"> - Liabilities
</t>
    </r>
    <r>
      <rPr>
        <b/>
        <sz val="11"/>
        <color theme="1"/>
        <rFont val="Calibri"/>
        <family val="2"/>
        <scheme val="minor"/>
      </rPr>
      <t>Equity</t>
    </r>
    <r>
      <rPr>
        <sz val="11"/>
        <color theme="1"/>
        <rFont val="Calibri"/>
        <family val="2"/>
        <scheme val="minor"/>
      </rPr>
      <t xml:space="preserve"> - Equity
</t>
    </r>
    <r>
      <rPr>
        <b/>
        <sz val="11"/>
        <color theme="1"/>
        <rFont val="Calibri"/>
        <family val="2"/>
        <scheme val="minor"/>
      </rPr>
      <t>Revenue</t>
    </r>
    <r>
      <rPr>
        <sz val="11"/>
        <color theme="1"/>
        <rFont val="Calibri"/>
        <family val="2"/>
        <scheme val="minor"/>
      </rPr>
      <t xml:space="preserve"> - Revenue and Other Financing Sources
</t>
    </r>
    <r>
      <rPr>
        <b/>
        <sz val="11"/>
        <color theme="1"/>
        <rFont val="Calibri"/>
        <family val="2"/>
        <scheme val="minor"/>
      </rPr>
      <t>Expenditures</t>
    </r>
    <r>
      <rPr>
        <sz val="11"/>
        <color theme="1"/>
        <rFont val="Calibri"/>
        <family val="2"/>
        <scheme val="minor"/>
      </rPr>
      <t xml:space="preserve"> - Expenditures
</t>
    </r>
  </si>
  <si>
    <r>
      <t>1</t>
    </r>
    <r>
      <rPr>
        <sz val="11"/>
        <color theme="1"/>
        <rFont val="Calibri"/>
        <family val="2"/>
        <scheme val="minor"/>
      </rPr>
      <t xml:space="preserve"> - General Fund
</t>
    </r>
    <r>
      <rPr>
        <b/>
        <sz val="11"/>
        <color theme="1"/>
        <rFont val="Calibri"/>
        <family val="2"/>
        <scheme val="minor"/>
      </rPr>
      <t>2</t>
    </r>
    <r>
      <rPr>
        <sz val="11"/>
        <color theme="1"/>
        <rFont val="Calibri"/>
        <family val="2"/>
        <scheme val="minor"/>
      </rPr>
      <t xml:space="preserve"> - Special Revenue Funds
</t>
    </r>
    <r>
      <rPr>
        <b/>
        <sz val="11"/>
        <color theme="1"/>
        <rFont val="Calibri"/>
        <family val="2"/>
        <scheme val="minor"/>
      </rPr>
      <t>3</t>
    </r>
    <r>
      <rPr>
        <sz val="11"/>
        <color theme="1"/>
        <rFont val="Calibri"/>
        <family val="2"/>
        <scheme val="minor"/>
      </rPr>
      <t xml:space="preserve"> - Capital Projects Funds
</t>
    </r>
    <r>
      <rPr>
        <b/>
        <sz val="11"/>
        <color theme="1"/>
        <rFont val="Calibri"/>
        <family val="2"/>
        <scheme val="minor"/>
      </rPr>
      <t>4</t>
    </r>
    <r>
      <rPr>
        <sz val="11"/>
        <color theme="1"/>
        <rFont val="Calibri"/>
        <family val="2"/>
        <scheme val="minor"/>
      </rPr>
      <t xml:space="preserve"> - Debt Service Funds
</t>
    </r>
    <r>
      <rPr>
        <b/>
        <sz val="11"/>
        <color theme="1"/>
        <rFont val="Calibri"/>
        <family val="2"/>
        <scheme val="minor"/>
      </rPr>
      <t>5</t>
    </r>
    <r>
      <rPr>
        <sz val="11"/>
        <color theme="1"/>
        <rFont val="Calibri"/>
        <family val="2"/>
        <scheme val="minor"/>
      </rPr>
      <t xml:space="preserve"> - Permanent Funds
</t>
    </r>
    <r>
      <rPr>
        <b/>
        <sz val="11"/>
        <color theme="1"/>
        <rFont val="Calibri"/>
        <family val="2"/>
        <scheme val="minor"/>
      </rPr>
      <t>6</t>
    </r>
    <r>
      <rPr>
        <sz val="11"/>
        <color theme="1"/>
        <rFont val="Calibri"/>
        <family val="2"/>
        <scheme val="minor"/>
      </rPr>
      <t xml:space="preserve"> - Enterprise Funds
</t>
    </r>
    <r>
      <rPr>
        <b/>
        <sz val="11"/>
        <color theme="1"/>
        <rFont val="Calibri"/>
        <family val="2"/>
        <scheme val="minor"/>
      </rPr>
      <t>7</t>
    </r>
    <r>
      <rPr>
        <sz val="11"/>
        <color theme="1"/>
        <rFont val="Calibri"/>
        <family val="2"/>
        <scheme val="minor"/>
      </rPr>
      <t xml:space="preserve"> - Internal Service Funds
</t>
    </r>
    <r>
      <rPr>
        <b/>
        <sz val="11"/>
        <color theme="1"/>
        <rFont val="Calibri"/>
        <family val="2"/>
        <scheme val="minor"/>
      </rPr>
      <t>8</t>
    </r>
    <r>
      <rPr>
        <sz val="11"/>
        <color theme="1"/>
        <rFont val="Calibri"/>
        <family val="2"/>
        <scheme val="minor"/>
      </rPr>
      <t xml:space="preserve"> - Trust Funds
</t>
    </r>
    <r>
      <rPr>
        <b/>
        <sz val="11"/>
        <color theme="1"/>
        <rFont val="Calibri"/>
        <family val="2"/>
        <scheme val="minor"/>
      </rPr>
      <t>9</t>
    </r>
    <r>
      <rPr>
        <sz val="11"/>
        <color theme="1"/>
        <rFont val="Calibri"/>
        <family val="2"/>
        <scheme val="minor"/>
      </rPr>
      <t xml:space="preserve"> - Agency Funds
</t>
    </r>
  </si>
  <si>
    <r>
      <t>100</t>
    </r>
    <r>
      <rPr>
        <sz val="11"/>
        <color theme="1"/>
        <rFont val="Calibri"/>
        <family val="2"/>
        <scheme val="minor"/>
      </rPr>
      <t xml:space="preserve"> - Regular Elementary/Secondary Education Programs
</t>
    </r>
    <r>
      <rPr>
        <b/>
        <sz val="11"/>
        <color theme="1"/>
        <rFont val="Calibri"/>
        <family val="2"/>
        <scheme val="minor"/>
      </rPr>
      <t>200</t>
    </r>
    <r>
      <rPr>
        <sz val="11"/>
        <color theme="1"/>
        <rFont val="Calibri"/>
        <family val="2"/>
        <scheme val="minor"/>
      </rPr>
      <t xml:space="preserve"> - Special Programs
</t>
    </r>
    <r>
      <rPr>
        <b/>
        <sz val="11"/>
        <color theme="1"/>
        <rFont val="Calibri"/>
        <family val="2"/>
        <scheme val="minor"/>
      </rPr>
      <t>300</t>
    </r>
    <r>
      <rPr>
        <sz val="11"/>
        <color theme="1"/>
        <rFont val="Calibri"/>
        <family val="2"/>
        <scheme val="minor"/>
      </rPr>
      <t xml:space="preserve"> - Vocational and Technical Programs
</t>
    </r>
    <r>
      <rPr>
        <b/>
        <sz val="11"/>
        <color theme="1"/>
        <rFont val="Calibri"/>
        <family val="2"/>
        <scheme val="minor"/>
      </rPr>
      <t>400</t>
    </r>
    <r>
      <rPr>
        <sz val="11"/>
        <color theme="1"/>
        <rFont val="Calibri"/>
        <family val="2"/>
        <scheme val="minor"/>
      </rPr>
      <t xml:space="preserve"> - Other Instructional Programs—Elementary/Secondary
</t>
    </r>
    <r>
      <rPr>
        <b/>
        <sz val="11"/>
        <color theme="1"/>
        <rFont val="Calibri"/>
        <family val="2"/>
        <scheme val="minor"/>
      </rPr>
      <t>500</t>
    </r>
    <r>
      <rPr>
        <sz val="11"/>
        <color theme="1"/>
        <rFont val="Calibri"/>
        <family val="2"/>
        <scheme val="minor"/>
      </rPr>
      <t xml:space="preserve"> - Nonpublic School Programs
</t>
    </r>
    <r>
      <rPr>
        <b/>
        <sz val="11"/>
        <color theme="1"/>
        <rFont val="Calibri"/>
        <family val="2"/>
        <scheme val="minor"/>
      </rPr>
      <t>600</t>
    </r>
    <r>
      <rPr>
        <sz val="11"/>
        <color theme="1"/>
        <rFont val="Calibri"/>
        <family val="2"/>
        <scheme val="minor"/>
      </rPr>
      <t xml:space="preserve"> - Adult/Continuing Education Programs
</t>
    </r>
    <r>
      <rPr>
        <b/>
        <sz val="11"/>
        <color theme="1"/>
        <rFont val="Calibri"/>
        <family val="2"/>
        <scheme val="minor"/>
      </rPr>
      <t>700</t>
    </r>
    <r>
      <rPr>
        <sz val="11"/>
        <color theme="1"/>
        <rFont val="Calibri"/>
        <family val="2"/>
        <scheme val="minor"/>
      </rPr>
      <t xml:space="preserve"> - Community/Junior College Education Programs
</t>
    </r>
    <r>
      <rPr>
        <b/>
        <sz val="11"/>
        <color theme="1"/>
        <rFont val="Calibri"/>
        <family val="2"/>
        <scheme val="minor"/>
      </rPr>
      <t>800</t>
    </r>
    <r>
      <rPr>
        <sz val="11"/>
        <color theme="1"/>
        <rFont val="Calibri"/>
        <family val="2"/>
        <scheme val="minor"/>
      </rPr>
      <t xml:space="preserve"> - Community Services Programs
</t>
    </r>
    <r>
      <rPr>
        <b/>
        <sz val="11"/>
        <color theme="1"/>
        <rFont val="Calibri"/>
        <family val="2"/>
        <scheme val="minor"/>
      </rPr>
      <t>900</t>
    </r>
    <r>
      <rPr>
        <sz val="11"/>
        <color theme="1"/>
        <rFont val="Calibri"/>
        <family val="2"/>
        <scheme val="minor"/>
      </rPr>
      <t xml:space="preserve"> - Cocurricular and Extracurricular Activities
</t>
    </r>
  </si>
  <si>
    <r>
      <t>1000</t>
    </r>
    <r>
      <rPr>
        <sz val="11"/>
        <color theme="1"/>
        <rFont val="Calibri"/>
        <family val="2"/>
        <scheme val="minor"/>
      </rPr>
      <t xml:space="preserve"> - Revenue From Local Sources
</t>
    </r>
    <r>
      <rPr>
        <b/>
        <sz val="11"/>
        <color theme="1"/>
        <rFont val="Calibri"/>
        <family val="2"/>
        <scheme val="minor"/>
      </rPr>
      <t>1100</t>
    </r>
    <r>
      <rPr>
        <sz val="11"/>
        <color theme="1"/>
        <rFont val="Calibri"/>
        <family val="2"/>
        <scheme val="minor"/>
      </rPr>
      <t xml:space="preserve"> - Taxes Levied/Assessed by the School District
</t>
    </r>
    <r>
      <rPr>
        <b/>
        <sz val="11"/>
        <color theme="1"/>
        <rFont val="Calibri"/>
        <family val="2"/>
        <scheme val="minor"/>
      </rPr>
      <t>1110</t>
    </r>
    <r>
      <rPr>
        <sz val="11"/>
        <color theme="1"/>
        <rFont val="Calibri"/>
        <family val="2"/>
        <scheme val="minor"/>
      </rPr>
      <t xml:space="preserve"> - Ad Valorem Taxes (Levied/Assessed by School Districts)
</t>
    </r>
    <r>
      <rPr>
        <b/>
        <sz val="11"/>
        <color theme="1"/>
        <rFont val="Calibri"/>
        <family val="2"/>
        <scheme val="minor"/>
      </rPr>
      <t>1120</t>
    </r>
    <r>
      <rPr>
        <sz val="11"/>
        <color theme="1"/>
        <rFont val="Calibri"/>
        <family val="2"/>
        <scheme val="minor"/>
      </rPr>
      <t xml:space="preserve"> - Sales and Use Taxes (Levied/Assessed by School Districts)
</t>
    </r>
    <r>
      <rPr>
        <b/>
        <sz val="11"/>
        <color theme="1"/>
        <rFont val="Calibri"/>
        <family val="2"/>
        <scheme val="minor"/>
      </rPr>
      <t>1130</t>
    </r>
    <r>
      <rPr>
        <sz val="11"/>
        <color theme="1"/>
        <rFont val="Calibri"/>
        <family val="2"/>
        <scheme val="minor"/>
      </rPr>
      <t xml:space="preserve"> - Income Taxes (Levied/Assessed by School Districts)
</t>
    </r>
    <r>
      <rPr>
        <b/>
        <sz val="11"/>
        <color theme="1"/>
        <rFont val="Calibri"/>
        <family val="2"/>
        <scheme val="minor"/>
      </rPr>
      <t>1140</t>
    </r>
    <r>
      <rPr>
        <sz val="11"/>
        <color theme="1"/>
        <rFont val="Calibri"/>
        <family val="2"/>
        <scheme val="minor"/>
      </rPr>
      <t xml:space="preserve"> - Penalties and Interest on Taxes (Levied/Assessed by School Districts)
</t>
    </r>
    <r>
      <rPr>
        <b/>
        <sz val="11"/>
        <color theme="1"/>
        <rFont val="Calibri"/>
        <family val="2"/>
        <scheme val="minor"/>
      </rPr>
      <t>1190</t>
    </r>
    <r>
      <rPr>
        <sz val="11"/>
        <color theme="1"/>
        <rFont val="Calibri"/>
        <family val="2"/>
        <scheme val="minor"/>
      </rPr>
      <t xml:space="preserve"> - Other Taxes (Levied/Assessed by School Districts)
</t>
    </r>
    <r>
      <rPr>
        <b/>
        <sz val="11"/>
        <color theme="1"/>
        <rFont val="Calibri"/>
        <family val="2"/>
        <scheme val="minor"/>
      </rPr>
      <t>1200</t>
    </r>
    <r>
      <rPr>
        <sz val="11"/>
        <color theme="1"/>
        <rFont val="Calibri"/>
        <family val="2"/>
        <scheme val="minor"/>
      </rPr>
      <t xml:space="preserve"> - Revenue from Local Governmental Units Other Than School Districts
</t>
    </r>
    <r>
      <rPr>
        <b/>
        <sz val="11"/>
        <color theme="1"/>
        <rFont val="Calibri"/>
        <family val="2"/>
        <scheme val="minor"/>
      </rPr>
      <t>1210</t>
    </r>
    <r>
      <rPr>
        <sz val="11"/>
        <color theme="1"/>
        <rFont val="Calibri"/>
        <family val="2"/>
        <scheme val="minor"/>
      </rPr>
      <t xml:space="preserve"> - Ad Valorem Taxes (Received from Other Government Units)
</t>
    </r>
    <r>
      <rPr>
        <b/>
        <sz val="11"/>
        <color theme="1"/>
        <rFont val="Calibri"/>
        <family val="2"/>
        <scheme val="minor"/>
      </rPr>
      <t>1220</t>
    </r>
    <r>
      <rPr>
        <sz val="11"/>
        <color theme="1"/>
        <rFont val="Calibri"/>
        <family val="2"/>
        <scheme val="minor"/>
      </rPr>
      <t xml:space="preserve"> - Sales and Use Tax (Received from Other Government Units)
</t>
    </r>
    <r>
      <rPr>
        <b/>
        <sz val="11"/>
        <color theme="1"/>
        <rFont val="Calibri"/>
        <family val="2"/>
        <scheme val="minor"/>
      </rPr>
      <t>1230</t>
    </r>
    <r>
      <rPr>
        <sz val="11"/>
        <color theme="1"/>
        <rFont val="Calibri"/>
        <family val="2"/>
        <scheme val="minor"/>
      </rPr>
      <t xml:space="preserve"> - Income Taxes (Received from Other Government Units)
</t>
    </r>
    <r>
      <rPr>
        <b/>
        <sz val="11"/>
        <color theme="1"/>
        <rFont val="Calibri"/>
        <family val="2"/>
        <scheme val="minor"/>
      </rPr>
      <t>1240</t>
    </r>
    <r>
      <rPr>
        <sz val="11"/>
        <color theme="1"/>
        <rFont val="Calibri"/>
        <family val="2"/>
        <scheme val="minor"/>
      </rPr>
      <t xml:space="preserve"> - Penalties and Interest on Taxes (Received from Other Government Units)
</t>
    </r>
    <r>
      <rPr>
        <b/>
        <sz val="11"/>
        <color theme="1"/>
        <rFont val="Calibri"/>
        <family val="2"/>
        <scheme val="minor"/>
      </rPr>
      <t>1280</t>
    </r>
    <r>
      <rPr>
        <sz val="11"/>
        <color theme="1"/>
        <rFont val="Calibri"/>
        <family val="2"/>
        <scheme val="minor"/>
      </rPr>
      <t xml:space="preserve"> - Revenue in Lieu of Taxes (Received from Other Government Units)
</t>
    </r>
    <r>
      <rPr>
        <b/>
        <sz val="11"/>
        <color theme="1"/>
        <rFont val="Calibri"/>
        <family val="2"/>
        <scheme val="minor"/>
      </rPr>
      <t>1290</t>
    </r>
    <r>
      <rPr>
        <sz val="11"/>
        <color theme="1"/>
        <rFont val="Calibri"/>
        <family val="2"/>
        <scheme val="minor"/>
      </rPr>
      <t xml:space="preserve"> - Other Taxes (Received from Other Government Units)
</t>
    </r>
    <r>
      <rPr>
        <b/>
        <sz val="11"/>
        <color theme="1"/>
        <rFont val="Calibri"/>
        <family val="2"/>
        <scheme val="minor"/>
      </rPr>
      <t>1300</t>
    </r>
    <r>
      <rPr>
        <sz val="11"/>
        <color theme="1"/>
        <rFont val="Calibri"/>
        <family val="2"/>
        <scheme val="minor"/>
      </rPr>
      <t xml:space="preserve"> - Tuition
</t>
    </r>
    <r>
      <rPr>
        <b/>
        <sz val="11"/>
        <color theme="1"/>
        <rFont val="Calibri"/>
        <family val="2"/>
        <scheme val="minor"/>
      </rPr>
      <t>1310</t>
    </r>
    <r>
      <rPr>
        <sz val="11"/>
        <color theme="1"/>
        <rFont val="Calibri"/>
        <family val="2"/>
        <scheme val="minor"/>
      </rPr>
      <t xml:space="preserve"> - Tuition From Individuals
</t>
    </r>
    <r>
      <rPr>
        <b/>
        <sz val="11"/>
        <color theme="1"/>
        <rFont val="Calibri"/>
        <family val="2"/>
        <scheme val="minor"/>
      </rPr>
      <t>1311</t>
    </r>
    <r>
      <rPr>
        <sz val="11"/>
        <color theme="1"/>
        <rFont val="Calibri"/>
        <family val="2"/>
        <scheme val="minor"/>
      </rPr>
      <t xml:space="preserve"> - Tuition from Individuals Excluding Summer School
</t>
    </r>
    <r>
      <rPr>
        <b/>
        <sz val="11"/>
        <color theme="1"/>
        <rFont val="Calibri"/>
        <family val="2"/>
        <scheme val="minor"/>
      </rPr>
      <t>1312</t>
    </r>
    <r>
      <rPr>
        <sz val="11"/>
        <color theme="1"/>
        <rFont val="Calibri"/>
        <family val="2"/>
        <scheme val="minor"/>
      </rPr>
      <t xml:space="preserve"> - Tuition from Individuals for Summer School
</t>
    </r>
    <r>
      <rPr>
        <b/>
        <sz val="11"/>
        <color theme="1"/>
        <rFont val="Calibri"/>
        <family val="2"/>
        <scheme val="minor"/>
      </rPr>
      <t>1320</t>
    </r>
    <r>
      <rPr>
        <sz val="11"/>
        <color theme="1"/>
        <rFont val="Calibri"/>
        <family val="2"/>
        <scheme val="minor"/>
      </rPr>
      <t xml:space="preserve"> - Tuition from Other Government Sources Within the State
</t>
    </r>
    <r>
      <rPr>
        <b/>
        <sz val="11"/>
        <color theme="1"/>
        <rFont val="Calibri"/>
        <family val="2"/>
        <scheme val="minor"/>
      </rPr>
      <t>1321</t>
    </r>
    <r>
      <rPr>
        <sz val="11"/>
        <color theme="1"/>
        <rFont val="Calibri"/>
        <family val="2"/>
        <scheme val="minor"/>
      </rPr>
      <t xml:space="preserve"> - Tuition from Other School Districts Within the State
</t>
    </r>
    <r>
      <rPr>
        <b/>
        <sz val="11"/>
        <color theme="1"/>
        <rFont val="Calibri"/>
        <family val="2"/>
        <scheme val="minor"/>
      </rPr>
      <t>1322</t>
    </r>
    <r>
      <rPr>
        <sz val="11"/>
        <color theme="1"/>
        <rFont val="Calibri"/>
        <family val="2"/>
        <scheme val="minor"/>
      </rPr>
      <t xml:space="preserve"> - Tuition from Other Government Sources Excluding School Districts Within the State
</t>
    </r>
    <r>
      <rPr>
        <b/>
        <sz val="11"/>
        <color theme="1"/>
        <rFont val="Calibri"/>
        <family val="2"/>
        <scheme val="minor"/>
      </rPr>
      <t>1330</t>
    </r>
    <r>
      <rPr>
        <sz val="11"/>
        <color theme="1"/>
        <rFont val="Calibri"/>
        <family val="2"/>
        <scheme val="minor"/>
      </rPr>
      <t xml:space="preserve"> - Tuition from Other Government Sources Outside the State
</t>
    </r>
    <r>
      <rPr>
        <b/>
        <sz val="11"/>
        <color theme="1"/>
        <rFont val="Calibri"/>
        <family val="2"/>
        <scheme val="minor"/>
      </rPr>
      <t>1331</t>
    </r>
    <r>
      <rPr>
        <sz val="11"/>
        <color theme="1"/>
        <rFont val="Calibri"/>
        <family val="2"/>
        <scheme val="minor"/>
      </rPr>
      <t xml:space="preserve"> - Tuition from School Districts Outside the State
</t>
    </r>
    <r>
      <rPr>
        <b/>
        <sz val="11"/>
        <color theme="1"/>
        <rFont val="Calibri"/>
        <family val="2"/>
        <scheme val="minor"/>
      </rPr>
      <t>1340</t>
    </r>
    <r>
      <rPr>
        <sz val="11"/>
        <color theme="1"/>
        <rFont val="Calibri"/>
        <family val="2"/>
        <scheme val="minor"/>
      </rPr>
      <t xml:space="preserve"> - Tuition from Other Private Sources (Other Than Individuals)
</t>
    </r>
    <r>
      <rPr>
        <b/>
        <sz val="11"/>
        <color theme="1"/>
        <rFont val="Calibri"/>
        <family val="2"/>
        <scheme val="minor"/>
      </rPr>
      <t>1350</t>
    </r>
    <r>
      <rPr>
        <sz val="11"/>
        <color theme="1"/>
        <rFont val="Calibri"/>
        <family val="2"/>
        <scheme val="minor"/>
      </rPr>
      <t xml:space="preserve"> - Tuition from the State/Other School Districts for Voucher Program Students
</t>
    </r>
    <r>
      <rPr>
        <b/>
        <sz val="11"/>
        <color theme="1"/>
        <rFont val="Calibri"/>
        <family val="2"/>
        <scheme val="minor"/>
      </rPr>
      <t>1400</t>
    </r>
    <r>
      <rPr>
        <sz val="11"/>
        <color theme="1"/>
        <rFont val="Calibri"/>
        <family val="2"/>
        <scheme val="minor"/>
      </rPr>
      <t xml:space="preserve"> - Transportation Fees
</t>
    </r>
    <r>
      <rPr>
        <b/>
        <sz val="11"/>
        <color theme="1"/>
        <rFont val="Calibri"/>
        <family val="2"/>
        <scheme val="minor"/>
      </rPr>
      <t>1410</t>
    </r>
    <r>
      <rPr>
        <sz val="11"/>
        <color theme="1"/>
        <rFont val="Calibri"/>
        <family val="2"/>
        <scheme val="minor"/>
      </rPr>
      <t xml:space="preserve"> - Transportation Fees from Individuals
</t>
    </r>
    <r>
      <rPr>
        <b/>
        <sz val="11"/>
        <color theme="1"/>
        <rFont val="Calibri"/>
        <family val="2"/>
        <scheme val="minor"/>
      </rPr>
      <t>1420</t>
    </r>
    <r>
      <rPr>
        <sz val="11"/>
        <color theme="1"/>
        <rFont val="Calibri"/>
        <family val="2"/>
        <scheme val="minor"/>
      </rPr>
      <t xml:space="preserve"> - Transportation Fees from Other Government Sources Within the State
</t>
    </r>
    <r>
      <rPr>
        <b/>
        <sz val="11"/>
        <color theme="1"/>
        <rFont val="Calibri"/>
        <family val="2"/>
        <scheme val="minor"/>
      </rPr>
      <t>1421</t>
    </r>
    <r>
      <rPr>
        <sz val="11"/>
        <color theme="1"/>
        <rFont val="Calibri"/>
        <family val="2"/>
        <scheme val="minor"/>
      </rPr>
      <t xml:space="preserve"> - Transportation Fees from Other School Districts Within the State
</t>
    </r>
    <r>
      <rPr>
        <b/>
        <sz val="11"/>
        <color theme="1"/>
        <rFont val="Calibri"/>
        <family val="2"/>
        <scheme val="minor"/>
      </rPr>
      <t>1422</t>
    </r>
    <r>
      <rPr>
        <sz val="11"/>
        <color theme="1"/>
        <rFont val="Calibri"/>
        <family val="2"/>
        <scheme val="minor"/>
      </rPr>
      <t xml:space="preserve"> - Transportation Fees from Other Government Sources Excluding School Districts Within the State
</t>
    </r>
    <r>
      <rPr>
        <b/>
        <sz val="11"/>
        <color theme="1"/>
        <rFont val="Calibri"/>
        <family val="2"/>
        <scheme val="minor"/>
      </rPr>
      <t>1430</t>
    </r>
    <r>
      <rPr>
        <sz val="11"/>
        <color theme="1"/>
        <rFont val="Calibri"/>
        <family val="2"/>
        <scheme val="minor"/>
      </rPr>
      <t xml:space="preserve"> - Transportation Fees from Other Government Sources Outside the State
</t>
    </r>
    <r>
      <rPr>
        <b/>
        <sz val="11"/>
        <color theme="1"/>
        <rFont val="Calibri"/>
        <family val="2"/>
        <scheme val="minor"/>
      </rPr>
      <t>1431</t>
    </r>
    <r>
      <rPr>
        <sz val="11"/>
        <color theme="1"/>
        <rFont val="Calibri"/>
        <family val="2"/>
        <scheme val="minor"/>
      </rPr>
      <t xml:space="preserve"> - Transportation Fees from Other School Districts Outside the State
</t>
    </r>
    <r>
      <rPr>
        <b/>
        <sz val="11"/>
        <color theme="1"/>
        <rFont val="Calibri"/>
        <family val="2"/>
        <scheme val="minor"/>
      </rPr>
      <t>1440</t>
    </r>
    <r>
      <rPr>
        <sz val="11"/>
        <color theme="1"/>
        <rFont val="Calibri"/>
        <family val="2"/>
        <scheme val="minor"/>
      </rPr>
      <t xml:space="preserve"> - Transportation Fees from Other Private Sources (other than individuals)
</t>
    </r>
    <r>
      <rPr>
        <b/>
        <sz val="11"/>
        <color theme="1"/>
        <rFont val="Calibri"/>
        <family val="2"/>
        <scheme val="minor"/>
      </rPr>
      <t>1500</t>
    </r>
    <r>
      <rPr>
        <sz val="11"/>
        <color theme="1"/>
        <rFont val="Calibri"/>
        <family val="2"/>
        <scheme val="minor"/>
      </rPr>
      <t xml:space="preserve"> - Investment Income
</t>
    </r>
    <r>
      <rPr>
        <b/>
        <sz val="11"/>
        <color theme="1"/>
        <rFont val="Calibri"/>
        <family val="2"/>
        <scheme val="minor"/>
      </rPr>
      <t>1510</t>
    </r>
    <r>
      <rPr>
        <sz val="11"/>
        <color theme="1"/>
        <rFont val="Calibri"/>
        <family val="2"/>
        <scheme val="minor"/>
      </rPr>
      <t xml:space="preserve"> - Interest on Investments
</t>
    </r>
    <r>
      <rPr>
        <b/>
        <sz val="11"/>
        <color theme="1"/>
        <rFont val="Calibri"/>
        <family val="2"/>
        <scheme val="minor"/>
      </rPr>
      <t>1520</t>
    </r>
    <r>
      <rPr>
        <sz val="11"/>
        <color theme="1"/>
        <rFont val="Calibri"/>
        <family val="2"/>
        <scheme val="minor"/>
      </rPr>
      <t xml:space="preserve"> - Dividends on Investments
</t>
    </r>
    <r>
      <rPr>
        <b/>
        <sz val="11"/>
        <color theme="1"/>
        <rFont val="Calibri"/>
        <family val="2"/>
        <scheme val="minor"/>
      </rPr>
      <t>1530</t>
    </r>
    <r>
      <rPr>
        <sz val="11"/>
        <color theme="1"/>
        <rFont val="Calibri"/>
        <family val="2"/>
        <scheme val="minor"/>
      </rPr>
      <t xml:space="preserve"> - Net Increase in the Fair Value of Investments
</t>
    </r>
    <r>
      <rPr>
        <b/>
        <sz val="11"/>
        <color theme="1"/>
        <rFont val="Calibri"/>
        <family val="2"/>
        <scheme val="minor"/>
      </rPr>
      <t>1531</t>
    </r>
    <r>
      <rPr>
        <sz val="11"/>
        <color theme="1"/>
        <rFont val="Calibri"/>
        <family val="2"/>
        <scheme val="minor"/>
      </rPr>
      <t xml:space="preserve"> - Realized Gains (Losses) on Investments
</t>
    </r>
    <r>
      <rPr>
        <b/>
        <sz val="11"/>
        <color theme="1"/>
        <rFont val="Calibri"/>
        <family val="2"/>
        <scheme val="minor"/>
      </rPr>
      <t>1532</t>
    </r>
    <r>
      <rPr>
        <sz val="11"/>
        <color theme="1"/>
        <rFont val="Calibri"/>
        <family val="2"/>
        <scheme val="minor"/>
      </rPr>
      <t xml:space="preserve"> - Unrealized Gains (Losses) on Investments
</t>
    </r>
    <r>
      <rPr>
        <b/>
        <sz val="11"/>
        <color theme="1"/>
        <rFont val="Calibri"/>
        <family val="2"/>
        <scheme val="minor"/>
      </rPr>
      <t>1540</t>
    </r>
    <r>
      <rPr>
        <sz val="11"/>
        <color theme="1"/>
        <rFont val="Calibri"/>
        <family val="2"/>
        <scheme val="minor"/>
      </rPr>
      <t xml:space="preserve"> - Investment Income from Real Property
</t>
    </r>
    <r>
      <rPr>
        <b/>
        <sz val="11"/>
        <color theme="1"/>
        <rFont val="Calibri"/>
        <family val="2"/>
        <scheme val="minor"/>
      </rPr>
      <t>1600</t>
    </r>
    <r>
      <rPr>
        <sz val="11"/>
        <color theme="1"/>
        <rFont val="Calibri"/>
        <family val="2"/>
        <scheme val="minor"/>
      </rPr>
      <t xml:space="preserve"> - Food Services
</t>
    </r>
    <r>
      <rPr>
        <b/>
        <sz val="11"/>
        <color theme="1"/>
        <rFont val="Calibri"/>
        <family val="2"/>
        <scheme val="minor"/>
      </rPr>
      <t>1610</t>
    </r>
    <r>
      <rPr>
        <sz val="11"/>
        <color theme="1"/>
        <rFont val="Calibri"/>
        <family val="2"/>
        <scheme val="minor"/>
      </rPr>
      <t xml:space="preserve"> - Daily Sales-Reimbursable Programs
</t>
    </r>
    <r>
      <rPr>
        <b/>
        <sz val="11"/>
        <color theme="1"/>
        <rFont val="Calibri"/>
        <family val="2"/>
        <scheme val="minor"/>
      </rPr>
      <t>1611</t>
    </r>
    <r>
      <rPr>
        <sz val="11"/>
        <color theme="1"/>
        <rFont val="Calibri"/>
        <family val="2"/>
        <scheme val="minor"/>
      </rPr>
      <t xml:space="preserve"> - Daily Sales-School Lunch Program
</t>
    </r>
    <r>
      <rPr>
        <b/>
        <sz val="11"/>
        <color theme="1"/>
        <rFont val="Calibri"/>
        <family val="2"/>
        <scheme val="minor"/>
      </rPr>
      <t>1612</t>
    </r>
    <r>
      <rPr>
        <sz val="11"/>
        <color theme="1"/>
        <rFont val="Calibri"/>
        <family val="2"/>
        <scheme val="minor"/>
      </rPr>
      <t xml:space="preserve"> - Daily Sales-School Breakfast Program
</t>
    </r>
    <r>
      <rPr>
        <b/>
        <sz val="11"/>
        <color theme="1"/>
        <rFont val="Calibri"/>
        <family val="2"/>
        <scheme val="minor"/>
      </rPr>
      <t>1613</t>
    </r>
    <r>
      <rPr>
        <sz val="11"/>
        <color theme="1"/>
        <rFont val="Calibri"/>
        <family val="2"/>
        <scheme val="minor"/>
      </rPr>
      <t xml:space="preserve"> - Daily Sales-Special Milk Program
</t>
    </r>
    <r>
      <rPr>
        <b/>
        <sz val="11"/>
        <color theme="1"/>
        <rFont val="Calibri"/>
        <family val="2"/>
        <scheme val="minor"/>
      </rPr>
      <t>1614</t>
    </r>
    <r>
      <rPr>
        <sz val="11"/>
        <color theme="1"/>
        <rFont val="Calibri"/>
        <family val="2"/>
        <scheme val="minor"/>
      </rPr>
      <t xml:space="preserve"> - Daily Sales-After-School Programs
</t>
    </r>
    <r>
      <rPr>
        <b/>
        <sz val="11"/>
        <color theme="1"/>
        <rFont val="Calibri"/>
        <family val="2"/>
        <scheme val="minor"/>
      </rPr>
      <t>1620</t>
    </r>
    <r>
      <rPr>
        <sz val="11"/>
        <color theme="1"/>
        <rFont val="Calibri"/>
        <family val="2"/>
        <scheme val="minor"/>
      </rPr>
      <t xml:space="preserve"> - Daily Sales-Nonreimbursable Programs
</t>
    </r>
    <r>
      <rPr>
        <b/>
        <sz val="11"/>
        <color theme="1"/>
        <rFont val="Calibri"/>
        <family val="2"/>
        <scheme val="minor"/>
      </rPr>
      <t>1630</t>
    </r>
    <r>
      <rPr>
        <sz val="11"/>
        <color theme="1"/>
        <rFont val="Calibri"/>
        <family val="2"/>
        <scheme val="minor"/>
      </rPr>
      <t xml:space="preserve"> - Special Functions
</t>
    </r>
    <r>
      <rPr>
        <b/>
        <sz val="11"/>
        <color theme="1"/>
        <rFont val="Calibri"/>
        <family val="2"/>
        <scheme val="minor"/>
      </rPr>
      <t>1650</t>
    </r>
    <r>
      <rPr>
        <sz val="11"/>
        <color theme="1"/>
        <rFont val="Calibri"/>
        <family val="2"/>
        <scheme val="minor"/>
      </rPr>
      <t xml:space="preserve"> - Daily Sales-Summer Food Programs
</t>
    </r>
    <r>
      <rPr>
        <b/>
        <sz val="11"/>
        <color theme="1"/>
        <rFont val="Calibri"/>
        <family val="2"/>
        <scheme val="minor"/>
      </rPr>
      <t>1700</t>
    </r>
    <r>
      <rPr>
        <sz val="11"/>
        <color theme="1"/>
        <rFont val="Calibri"/>
        <family val="2"/>
        <scheme val="minor"/>
      </rPr>
      <t xml:space="preserve"> - District Activities
</t>
    </r>
    <r>
      <rPr>
        <b/>
        <sz val="11"/>
        <color theme="1"/>
        <rFont val="Calibri"/>
        <family val="2"/>
        <scheme val="minor"/>
      </rPr>
      <t>1710</t>
    </r>
    <r>
      <rPr>
        <sz val="11"/>
        <color theme="1"/>
        <rFont val="Calibri"/>
        <family val="2"/>
        <scheme val="minor"/>
      </rPr>
      <t xml:space="preserve"> - Admissions
</t>
    </r>
    <r>
      <rPr>
        <b/>
        <sz val="11"/>
        <color theme="1"/>
        <rFont val="Calibri"/>
        <family val="2"/>
        <scheme val="minor"/>
      </rPr>
      <t>1720</t>
    </r>
    <r>
      <rPr>
        <sz val="11"/>
        <color theme="1"/>
        <rFont val="Calibri"/>
        <family val="2"/>
        <scheme val="minor"/>
      </rPr>
      <t xml:space="preserve"> - Bookstore Sales
</t>
    </r>
    <r>
      <rPr>
        <b/>
        <sz val="11"/>
        <color theme="1"/>
        <rFont val="Calibri"/>
        <family val="2"/>
        <scheme val="minor"/>
      </rPr>
      <t>1730</t>
    </r>
    <r>
      <rPr>
        <sz val="11"/>
        <color theme="1"/>
        <rFont val="Calibri"/>
        <family val="2"/>
        <scheme val="minor"/>
      </rPr>
      <t xml:space="preserve"> - Student Organization Membership Dues and Fees
</t>
    </r>
    <r>
      <rPr>
        <b/>
        <sz val="11"/>
        <color theme="1"/>
        <rFont val="Calibri"/>
        <family val="2"/>
        <scheme val="minor"/>
      </rPr>
      <t>1740</t>
    </r>
    <r>
      <rPr>
        <sz val="11"/>
        <color theme="1"/>
        <rFont val="Calibri"/>
        <family val="2"/>
        <scheme val="minor"/>
      </rPr>
      <t xml:space="preserve"> - Fees
</t>
    </r>
    <r>
      <rPr>
        <b/>
        <sz val="11"/>
        <color theme="1"/>
        <rFont val="Calibri"/>
        <family val="2"/>
        <scheme val="minor"/>
      </rPr>
      <t>1750</t>
    </r>
    <r>
      <rPr>
        <sz val="11"/>
        <color theme="1"/>
        <rFont val="Calibri"/>
        <family val="2"/>
        <scheme val="minor"/>
      </rPr>
      <t xml:space="preserve"> - Revenue From Enterprise Activities
</t>
    </r>
    <r>
      <rPr>
        <b/>
        <sz val="11"/>
        <color theme="1"/>
        <rFont val="Calibri"/>
        <family val="2"/>
        <scheme val="minor"/>
      </rPr>
      <t>1790</t>
    </r>
    <r>
      <rPr>
        <sz val="11"/>
        <color theme="1"/>
        <rFont val="Calibri"/>
        <family val="2"/>
        <scheme val="minor"/>
      </rPr>
      <t xml:space="preserve"> - Other Activity Income
</t>
    </r>
    <r>
      <rPr>
        <b/>
        <sz val="11"/>
        <color theme="1"/>
        <rFont val="Calibri"/>
        <family val="2"/>
        <scheme val="minor"/>
      </rPr>
      <t>1800</t>
    </r>
    <r>
      <rPr>
        <sz val="11"/>
        <color theme="1"/>
        <rFont val="Calibri"/>
        <family val="2"/>
        <scheme val="minor"/>
      </rPr>
      <t xml:space="preserve"> - Revenue From Community Services Activities
</t>
    </r>
    <r>
      <rPr>
        <b/>
        <sz val="11"/>
        <color theme="1"/>
        <rFont val="Calibri"/>
        <family val="2"/>
        <scheme val="minor"/>
      </rPr>
      <t>1900</t>
    </r>
    <r>
      <rPr>
        <sz val="11"/>
        <color theme="1"/>
        <rFont val="Calibri"/>
        <family val="2"/>
        <scheme val="minor"/>
      </rPr>
      <t xml:space="preserve"> - Other Revenue From Local Sources
</t>
    </r>
    <r>
      <rPr>
        <b/>
        <sz val="11"/>
        <color theme="1"/>
        <rFont val="Calibri"/>
        <family val="2"/>
        <scheme val="minor"/>
      </rPr>
      <t>1910</t>
    </r>
    <r>
      <rPr>
        <sz val="11"/>
        <color theme="1"/>
        <rFont val="Calibri"/>
        <family val="2"/>
        <scheme val="minor"/>
      </rPr>
      <t xml:space="preserve"> - Rentals
</t>
    </r>
    <r>
      <rPr>
        <b/>
        <sz val="11"/>
        <color theme="1"/>
        <rFont val="Calibri"/>
        <family val="2"/>
        <scheme val="minor"/>
      </rPr>
      <t>1920</t>
    </r>
    <r>
      <rPr>
        <sz val="11"/>
        <color theme="1"/>
        <rFont val="Calibri"/>
        <family val="2"/>
        <scheme val="minor"/>
      </rPr>
      <t xml:space="preserve"> - Contributions and Donations From Private Sources
</t>
    </r>
    <r>
      <rPr>
        <b/>
        <sz val="11"/>
        <color theme="1"/>
        <rFont val="Calibri"/>
        <family val="2"/>
        <scheme val="minor"/>
      </rPr>
      <t>1930</t>
    </r>
    <r>
      <rPr>
        <sz val="11"/>
        <color theme="1"/>
        <rFont val="Calibri"/>
        <family val="2"/>
        <scheme val="minor"/>
      </rPr>
      <t xml:space="preserve"> - Gains or Losses on the Sale of Capital Assets
</t>
    </r>
    <r>
      <rPr>
        <b/>
        <sz val="11"/>
        <color theme="1"/>
        <rFont val="Calibri"/>
        <family val="2"/>
        <scheme val="minor"/>
      </rPr>
      <t>1940</t>
    </r>
    <r>
      <rPr>
        <sz val="11"/>
        <color theme="1"/>
        <rFont val="Calibri"/>
        <family val="2"/>
        <scheme val="minor"/>
      </rPr>
      <t xml:space="preserve"> - Textbook Sales and Rentals
</t>
    </r>
    <r>
      <rPr>
        <b/>
        <sz val="11"/>
        <color theme="1"/>
        <rFont val="Calibri"/>
        <family val="2"/>
        <scheme val="minor"/>
      </rPr>
      <t>1941</t>
    </r>
    <r>
      <rPr>
        <sz val="11"/>
        <color theme="1"/>
        <rFont val="Calibri"/>
        <family val="2"/>
        <scheme val="minor"/>
      </rPr>
      <t xml:space="preserve"> - Textbook Sales
</t>
    </r>
    <r>
      <rPr>
        <b/>
        <sz val="11"/>
        <color theme="1"/>
        <rFont val="Calibri"/>
        <family val="2"/>
        <scheme val="minor"/>
      </rPr>
      <t>1942</t>
    </r>
    <r>
      <rPr>
        <sz val="11"/>
        <color theme="1"/>
        <rFont val="Calibri"/>
        <family val="2"/>
        <scheme val="minor"/>
      </rPr>
      <t xml:space="preserve"> - Textbook Rentals
</t>
    </r>
    <r>
      <rPr>
        <b/>
        <sz val="11"/>
        <color theme="1"/>
        <rFont val="Calibri"/>
        <family val="2"/>
        <scheme val="minor"/>
      </rPr>
      <t>1950</t>
    </r>
    <r>
      <rPr>
        <sz val="11"/>
        <color theme="1"/>
        <rFont val="Calibri"/>
        <family val="2"/>
        <scheme val="minor"/>
      </rPr>
      <t xml:space="preserve"> - Miscellaneous Revenues From Other School Districts
</t>
    </r>
    <r>
      <rPr>
        <b/>
        <sz val="11"/>
        <color theme="1"/>
        <rFont val="Calibri"/>
        <family val="2"/>
        <scheme val="minor"/>
      </rPr>
      <t>1951</t>
    </r>
    <r>
      <rPr>
        <sz val="11"/>
        <color theme="1"/>
        <rFont val="Calibri"/>
        <family val="2"/>
        <scheme val="minor"/>
      </rPr>
      <t xml:space="preserve"> - Miscellaneous Revenue from Other School Districts Within the State
</t>
    </r>
    <r>
      <rPr>
        <b/>
        <sz val="11"/>
        <color theme="1"/>
        <rFont val="Calibri"/>
        <family val="2"/>
        <scheme val="minor"/>
      </rPr>
      <t>1952</t>
    </r>
    <r>
      <rPr>
        <sz val="11"/>
        <color theme="1"/>
        <rFont val="Calibri"/>
        <family val="2"/>
        <scheme val="minor"/>
      </rPr>
      <t xml:space="preserve"> - Miscellaneous Revenue from Other School Districts Outside the State
</t>
    </r>
    <r>
      <rPr>
        <b/>
        <sz val="11"/>
        <color theme="1"/>
        <rFont val="Calibri"/>
        <family val="2"/>
        <scheme val="minor"/>
      </rPr>
      <t>1960</t>
    </r>
    <r>
      <rPr>
        <sz val="11"/>
        <color theme="1"/>
        <rFont val="Calibri"/>
        <family val="2"/>
        <scheme val="minor"/>
      </rPr>
      <t xml:space="preserve"> - Miscellaneous Revenues from Other Local Governmental Units
</t>
    </r>
    <r>
      <rPr>
        <b/>
        <sz val="11"/>
        <color theme="1"/>
        <rFont val="Calibri"/>
        <family val="2"/>
        <scheme val="minor"/>
      </rPr>
      <t>1970</t>
    </r>
    <r>
      <rPr>
        <sz val="11"/>
        <color theme="1"/>
        <rFont val="Calibri"/>
        <family val="2"/>
        <scheme val="minor"/>
      </rPr>
      <t xml:space="preserve"> - Revenues From Other Departments in the Agency
</t>
    </r>
    <r>
      <rPr>
        <b/>
        <sz val="11"/>
        <color theme="1"/>
        <rFont val="Calibri"/>
        <family val="2"/>
        <scheme val="minor"/>
      </rPr>
      <t>1980</t>
    </r>
    <r>
      <rPr>
        <sz val="11"/>
        <color theme="1"/>
        <rFont val="Calibri"/>
        <family val="2"/>
        <scheme val="minor"/>
      </rPr>
      <t xml:space="preserve"> - Refund of Prior Year's Expenditures
</t>
    </r>
    <r>
      <rPr>
        <b/>
        <sz val="11"/>
        <color theme="1"/>
        <rFont val="Calibri"/>
        <family val="2"/>
        <scheme val="minor"/>
      </rPr>
      <t>1990</t>
    </r>
    <r>
      <rPr>
        <sz val="11"/>
        <color theme="1"/>
        <rFont val="Calibri"/>
        <family val="2"/>
        <scheme val="minor"/>
      </rPr>
      <t xml:space="preserve"> - Miscellaneous Local Revenue
</t>
    </r>
    <r>
      <rPr>
        <b/>
        <sz val="11"/>
        <color theme="1"/>
        <rFont val="Calibri"/>
        <family val="2"/>
        <scheme val="minor"/>
      </rPr>
      <t>2000</t>
    </r>
    <r>
      <rPr>
        <sz val="11"/>
        <color theme="1"/>
        <rFont val="Calibri"/>
        <family val="2"/>
        <scheme val="minor"/>
      </rPr>
      <t xml:space="preserve"> - Revenue From Intermediate Sources
</t>
    </r>
    <r>
      <rPr>
        <b/>
        <sz val="11"/>
        <color theme="1"/>
        <rFont val="Calibri"/>
        <family val="2"/>
        <scheme val="minor"/>
      </rPr>
      <t>2100</t>
    </r>
    <r>
      <rPr>
        <sz val="11"/>
        <color theme="1"/>
        <rFont val="Calibri"/>
        <family val="2"/>
        <scheme val="minor"/>
      </rPr>
      <t xml:space="preserve"> - Unrestricted Grants-in-Aid
</t>
    </r>
    <r>
      <rPr>
        <b/>
        <sz val="11"/>
        <color theme="1"/>
        <rFont val="Calibri"/>
        <family val="2"/>
        <scheme val="minor"/>
      </rPr>
      <t>2200</t>
    </r>
    <r>
      <rPr>
        <sz val="11"/>
        <color theme="1"/>
        <rFont val="Calibri"/>
        <family val="2"/>
        <scheme val="minor"/>
      </rPr>
      <t xml:space="preserve"> - Restricted Grants-in-Aid
</t>
    </r>
    <r>
      <rPr>
        <b/>
        <sz val="11"/>
        <color theme="1"/>
        <rFont val="Calibri"/>
        <family val="2"/>
        <scheme val="minor"/>
      </rPr>
      <t>2800</t>
    </r>
    <r>
      <rPr>
        <sz val="11"/>
        <color theme="1"/>
        <rFont val="Calibri"/>
        <family val="2"/>
        <scheme val="minor"/>
      </rPr>
      <t xml:space="preserve"> - Revenue in Lieu of Taxes
</t>
    </r>
    <r>
      <rPr>
        <b/>
        <sz val="11"/>
        <color theme="1"/>
        <rFont val="Calibri"/>
        <family val="2"/>
        <scheme val="minor"/>
      </rPr>
      <t>2900</t>
    </r>
    <r>
      <rPr>
        <sz val="11"/>
        <color theme="1"/>
        <rFont val="Calibri"/>
        <family val="2"/>
        <scheme val="minor"/>
      </rPr>
      <t xml:space="preserve"> - Revenue for/on Behalf of the School District
</t>
    </r>
    <r>
      <rPr>
        <b/>
        <sz val="11"/>
        <color theme="1"/>
        <rFont val="Calibri"/>
        <family val="2"/>
        <scheme val="minor"/>
      </rPr>
      <t>3000</t>
    </r>
    <r>
      <rPr>
        <sz val="11"/>
        <color theme="1"/>
        <rFont val="Calibri"/>
        <family val="2"/>
        <scheme val="minor"/>
      </rPr>
      <t xml:space="preserve"> - Revenue From State Sources
</t>
    </r>
    <r>
      <rPr>
        <b/>
        <sz val="11"/>
        <color theme="1"/>
        <rFont val="Calibri"/>
        <family val="2"/>
        <scheme val="minor"/>
      </rPr>
      <t>3100</t>
    </r>
    <r>
      <rPr>
        <sz val="11"/>
        <color theme="1"/>
        <rFont val="Calibri"/>
        <family val="2"/>
        <scheme val="minor"/>
      </rPr>
      <t xml:space="preserve"> - Unrestricted Grants-in-Aid
</t>
    </r>
    <r>
      <rPr>
        <b/>
        <sz val="11"/>
        <color theme="1"/>
        <rFont val="Calibri"/>
        <family val="2"/>
        <scheme val="minor"/>
      </rPr>
      <t>3200</t>
    </r>
    <r>
      <rPr>
        <sz val="11"/>
        <color theme="1"/>
        <rFont val="Calibri"/>
        <family val="2"/>
        <scheme val="minor"/>
      </rPr>
      <t xml:space="preserve"> - Restricted Grants-in-Aid
</t>
    </r>
    <r>
      <rPr>
        <b/>
        <sz val="11"/>
        <color theme="1"/>
        <rFont val="Calibri"/>
        <family val="2"/>
        <scheme val="minor"/>
      </rPr>
      <t>3700</t>
    </r>
    <r>
      <rPr>
        <sz val="11"/>
        <color theme="1"/>
        <rFont val="Calibri"/>
        <family val="2"/>
        <scheme val="minor"/>
      </rPr>
      <t xml:space="preserve"> - State Grants Through Intermediate Sources
</t>
    </r>
    <r>
      <rPr>
        <b/>
        <sz val="11"/>
        <color theme="1"/>
        <rFont val="Calibri"/>
        <family val="2"/>
        <scheme val="minor"/>
      </rPr>
      <t>3800</t>
    </r>
    <r>
      <rPr>
        <sz val="11"/>
        <color theme="1"/>
        <rFont val="Calibri"/>
        <family val="2"/>
        <scheme val="minor"/>
      </rPr>
      <t xml:space="preserve"> - Revenue in Lieu of Taxes
</t>
    </r>
    <r>
      <rPr>
        <b/>
        <sz val="11"/>
        <color theme="1"/>
        <rFont val="Calibri"/>
        <family val="2"/>
        <scheme val="minor"/>
      </rPr>
      <t>3900</t>
    </r>
    <r>
      <rPr>
        <sz val="11"/>
        <color theme="1"/>
        <rFont val="Calibri"/>
        <family val="2"/>
        <scheme val="minor"/>
      </rPr>
      <t xml:space="preserve"> - Revenue for/on Behalf of the School District
</t>
    </r>
    <r>
      <rPr>
        <b/>
        <sz val="11"/>
        <color theme="1"/>
        <rFont val="Calibri"/>
        <family val="2"/>
        <scheme val="minor"/>
      </rPr>
      <t>4000</t>
    </r>
    <r>
      <rPr>
        <sz val="11"/>
        <color theme="1"/>
        <rFont val="Calibri"/>
        <family val="2"/>
        <scheme val="minor"/>
      </rPr>
      <t xml:space="preserve"> - Revenue From Federal Sources
</t>
    </r>
    <r>
      <rPr>
        <b/>
        <sz val="11"/>
        <color theme="1"/>
        <rFont val="Calibri"/>
        <family val="2"/>
        <scheme val="minor"/>
      </rPr>
      <t>4100</t>
    </r>
    <r>
      <rPr>
        <sz val="11"/>
        <color theme="1"/>
        <rFont val="Calibri"/>
        <family val="2"/>
        <scheme val="minor"/>
      </rPr>
      <t xml:space="preserve"> - Unrestricted Grants-in-Aid Direct from the Federal Government
</t>
    </r>
    <r>
      <rPr>
        <b/>
        <sz val="11"/>
        <color theme="1"/>
        <rFont val="Calibri"/>
        <family val="2"/>
        <scheme val="minor"/>
      </rPr>
      <t>4200</t>
    </r>
    <r>
      <rPr>
        <sz val="11"/>
        <color theme="1"/>
        <rFont val="Calibri"/>
        <family val="2"/>
        <scheme val="minor"/>
      </rPr>
      <t xml:space="preserve"> - Unrestricted Grants-in-Aid from the Federal Government Through the State
</t>
    </r>
    <r>
      <rPr>
        <b/>
        <sz val="11"/>
        <color theme="1"/>
        <rFont val="Calibri"/>
        <family val="2"/>
        <scheme val="minor"/>
      </rPr>
      <t>4300</t>
    </r>
    <r>
      <rPr>
        <sz val="11"/>
        <color theme="1"/>
        <rFont val="Calibri"/>
        <family val="2"/>
        <scheme val="minor"/>
      </rPr>
      <t xml:space="preserve"> - Restricted Grants-in-Aid Direct From the Federal Government
</t>
    </r>
    <r>
      <rPr>
        <b/>
        <sz val="11"/>
        <color theme="1"/>
        <rFont val="Calibri"/>
        <family val="2"/>
        <scheme val="minor"/>
      </rPr>
      <t>4500</t>
    </r>
    <r>
      <rPr>
        <sz val="11"/>
        <color theme="1"/>
        <rFont val="Calibri"/>
        <family val="2"/>
        <scheme val="minor"/>
      </rPr>
      <t xml:space="preserve"> - Restricted Grants-in-Aid From the Federal Government Through the State
</t>
    </r>
    <r>
      <rPr>
        <b/>
        <sz val="11"/>
        <color theme="1"/>
        <rFont val="Calibri"/>
        <family val="2"/>
        <scheme val="minor"/>
      </rPr>
      <t>4700</t>
    </r>
    <r>
      <rPr>
        <sz val="11"/>
        <color theme="1"/>
        <rFont val="Calibri"/>
        <family val="2"/>
        <scheme val="minor"/>
      </rPr>
      <t xml:space="preserve"> - Grants-in-Aid From the Federal Government Through Other Intermediate Agencies
</t>
    </r>
    <r>
      <rPr>
        <b/>
        <sz val="11"/>
        <color theme="1"/>
        <rFont val="Calibri"/>
        <family val="2"/>
        <scheme val="minor"/>
      </rPr>
      <t>4800</t>
    </r>
    <r>
      <rPr>
        <sz val="11"/>
        <color theme="1"/>
        <rFont val="Calibri"/>
        <family val="2"/>
        <scheme val="minor"/>
      </rPr>
      <t xml:space="preserve"> - Revenue in Lieu of Taxes
</t>
    </r>
    <r>
      <rPr>
        <b/>
        <sz val="11"/>
        <color theme="1"/>
        <rFont val="Calibri"/>
        <family val="2"/>
        <scheme val="minor"/>
      </rPr>
      <t>4900</t>
    </r>
    <r>
      <rPr>
        <sz val="11"/>
        <color theme="1"/>
        <rFont val="Calibri"/>
        <family val="2"/>
        <scheme val="minor"/>
      </rPr>
      <t xml:space="preserve"> - Revenue for/on Behalf of the School District
</t>
    </r>
    <r>
      <rPr>
        <b/>
        <sz val="11"/>
        <color theme="1"/>
        <rFont val="Calibri"/>
        <family val="2"/>
        <scheme val="minor"/>
      </rPr>
      <t>5000</t>
    </r>
    <r>
      <rPr>
        <sz val="11"/>
        <color theme="1"/>
        <rFont val="Calibri"/>
        <family val="2"/>
        <scheme val="minor"/>
      </rPr>
      <t xml:space="preserve"> - Other Financing Sources
</t>
    </r>
    <r>
      <rPr>
        <b/>
        <sz val="11"/>
        <color theme="1"/>
        <rFont val="Calibri"/>
        <family val="2"/>
        <scheme val="minor"/>
      </rPr>
      <t>5100</t>
    </r>
    <r>
      <rPr>
        <sz val="11"/>
        <color theme="1"/>
        <rFont val="Calibri"/>
        <family val="2"/>
        <scheme val="minor"/>
      </rPr>
      <t xml:space="preserve"> - Issuance of Bonds
</t>
    </r>
    <r>
      <rPr>
        <b/>
        <sz val="11"/>
        <color theme="1"/>
        <rFont val="Calibri"/>
        <family val="2"/>
        <scheme val="minor"/>
      </rPr>
      <t>5110</t>
    </r>
    <r>
      <rPr>
        <sz val="11"/>
        <color theme="1"/>
        <rFont val="Calibri"/>
        <family val="2"/>
        <scheme val="minor"/>
      </rPr>
      <t xml:space="preserve"> - Bond Principal
</t>
    </r>
    <r>
      <rPr>
        <b/>
        <sz val="11"/>
        <color theme="1"/>
        <rFont val="Calibri"/>
        <family val="2"/>
        <scheme val="minor"/>
      </rPr>
      <t>5120</t>
    </r>
    <r>
      <rPr>
        <sz val="11"/>
        <color theme="1"/>
        <rFont val="Calibri"/>
        <family val="2"/>
        <scheme val="minor"/>
      </rPr>
      <t xml:space="preserve"> - Premium on the Issuance of Bonds
</t>
    </r>
    <r>
      <rPr>
        <b/>
        <sz val="11"/>
        <color theme="1"/>
        <rFont val="Calibri"/>
        <family val="2"/>
        <scheme val="minor"/>
      </rPr>
      <t>5200</t>
    </r>
    <r>
      <rPr>
        <sz val="11"/>
        <color theme="1"/>
        <rFont val="Calibri"/>
        <family val="2"/>
        <scheme val="minor"/>
      </rPr>
      <t xml:space="preserve"> - Fund Transfers In
</t>
    </r>
    <r>
      <rPr>
        <b/>
        <sz val="11"/>
        <color theme="1"/>
        <rFont val="Calibri"/>
        <family val="2"/>
        <scheme val="minor"/>
      </rPr>
      <t>5300</t>
    </r>
    <r>
      <rPr>
        <sz val="11"/>
        <color theme="1"/>
        <rFont val="Calibri"/>
        <family val="2"/>
        <scheme val="minor"/>
      </rPr>
      <t xml:space="preserve"> - Proceeds From the Disposal of Real or Personal Property
</t>
    </r>
    <r>
      <rPr>
        <b/>
        <sz val="11"/>
        <color theme="1"/>
        <rFont val="Calibri"/>
        <family val="2"/>
        <scheme val="minor"/>
      </rPr>
      <t>5400</t>
    </r>
    <r>
      <rPr>
        <sz val="11"/>
        <color theme="1"/>
        <rFont val="Calibri"/>
        <family val="2"/>
        <scheme val="minor"/>
      </rPr>
      <t xml:space="preserve"> - Loan Proceeds
</t>
    </r>
    <r>
      <rPr>
        <b/>
        <sz val="11"/>
        <color theme="1"/>
        <rFont val="Calibri"/>
        <family val="2"/>
        <scheme val="minor"/>
      </rPr>
      <t>5500</t>
    </r>
    <r>
      <rPr>
        <sz val="11"/>
        <color theme="1"/>
        <rFont val="Calibri"/>
        <family val="2"/>
        <scheme val="minor"/>
      </rPr>
      <t xml:space="preserve"> - Capital Lease Proceeds
</t>
    </r>
    <r>
      <rPr>
        <b/>
        <sz val="11"/>
        <color theme="1"/>
        <rFont val="Calibri"/>
        <family val="2"/>
        <scheme val="minor"/>
      </rPr>
      <t>5600</t>
    </r>
    <r>
      <rPr>
        <sz val="11"/>
        <color theme="1"/>
        <rFont val="Calibri"/>
        <family val="2"/>
        <scheme val="minor"/>
      </rPr>
      <t xml:space="preserve"> - Other Long-Term Debt Proceeds
</t>
    </r>
    <r>
      <rPr>
        <b/>
        <sz val="11"/>
        <color theme="1"/>
        <rFont val="Calibri"/>
        <family val="2"/>
        <scheme val="minor"/>
      </rPr>
      <t>6000</t>
    </r>
    <r>
      <rPr>
        <sz val="11"/>
        <color theme="1"/>
        <rFont val="Calibri"/>
        <family val="2"/>
        <scheme val="minor"/>
      </rPr>
      <t xml:space="preserve"> - Other Revenue Items
</t>
    </r>
    <r>
      <rPr>
        <b/>
        <sz val="11"/>
        <color theme="1"/>
        <rFont val="Calibri"/>
        <family val="2"/>
        <scheme val="minor"/>
      </rPr>
      <t>6100</t>
    </r>
    <r>
      <rPr>
        <sz val="11"/>
        <color theme="1"/>
        <rFont val="Calibri"/>
        <family val="2"/>
        <scheme val="minor"/>
      </rPr>
      <t xml:space="preserve"> - Capital Contributions
</t>
    </r>
    <r>
      <rPr>
        <b/>
        <sz val="11"/>
        <color theme="1"/>
        <rFont val="Calibri"/>
        <family val="2"/>
        <scheme val="minor"/>
      </rPr>
      <t>6200</t>
    </r>
    <r>
      <rPr>
        <sz val="11"/>
        <color theme="1"/>
        <rFont val="Calibri"/>
        <family val="2"/>
        <scheme val="minor"/>
      </rPr>
      <t xml:space="preserve"> - Amortization of Premium on Issuance of Bonds
</t>
    </r>
    <r>
      <rPr>
        <b/>
        <sz val="11"/>
        <color theme="1"/>
        <rFont val="Calibri"/>
        <family val="2"/>
        <scheme val="minor"/>
      </rPr>
      <t>6300</t>
    </r>
    <r>
      <rPr>
        <sz val="11"/>
        <color theme="1"/>
        <rFont val="Calibri"/>
        <family val="2"/>
        <scheme val="minor"/>
      </rPr>
      <t xml:space="preserve"> - Special Items
</t>
    </r>
    <r>
      <rPr>
        <b/>
        <sz val="11"/>
        <color theme="1"/>
        <rFont val="Calibri"/>
        <family val="2"/>
        <scheme val="minor"/>
      </rPr>
      <t>6400</t>
    </r>
    <r>
      <rPr>
        <sz val="11"/>
        <color theme="1"/>
        <rFont val="Calibri"/>
        <family val="2"/>
        <scheme val="minor"/>
      </rPr>
      <t xml:space="preserve"> - Extraordinary Items
</t>
    </r>
  </si>
  <si>
    <r>
      <t>FAFSA</t>
    </r>
    <r>
      <rPr>
        <sz val="11"/>
        <color theme="1"/>
        <rFont val="Calibri"/>
        <family val="2"/>
        <scheme val="minor"/>
      </rPr>
      <t xml:space="preserve"> - Free Application for Federal Student Aid (FAFSA)
</t>
    </r>
    <r>
      <rPr>
        <b/>
        <sz val="11"/>
        <color theme="1"/>
        <rFont val="Calibri"/>
        <family val="2"/>
        <scheme val="minor"/>
      </rPr>
      <t>StateApplication</t>
    </r>
    <r>
      <rPr>
        <sz val="11"/>
        <color theme="1"/>
        <rFont val="Calibri"/>
        <family val="2"/>
        <scheme val="minor"/>
      </rPr>
      <t xml:space="preserve"> - State Application
</t>
    </r>
    <r>
      <rPr>
        <b/>
        <sz val="11"/>
        <color theme="1"/>
        <rFont val="Calibri"/>
        <family val="2"/>
        <scheme val="minor"/>
      </rPr>
      <t>InstitutionApplication</t>
    </r>
    <r>
      <rPr>
        <sz val="11"/>
        <color theme="1"/>
        <rFont val="Calibri"/>
        <family val="2"/>
        <scheme val="minor"/>
      </rPr>
      <t xml:space="preserve"> - Institution Application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</si>
  <si>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Awarded</t>
    </r>
    <r>
      <rPr>
        <sz val="11"/>
        <color theme="1"/>
        <rFont val="Calibri"/>
        <family val="2"/>
        <scheme val="minor"/>
      </rPr>
      <t xml:space="preserve"> - Awarded
</t>
    </r>
    <r>
      <rPr>
        <b/>
        <sz val="11"/>
        <color theme="1"/>
        <rFont val="Calibri"/>
        <family val="2"/>
        <scheme val="minor"/>
      </rPr>
      <t>Accepted</t>
    </r>
    <r>
      <rPr>
        <sz val="11"/>
        <color theme="1"/>
        <rFont val="Calibri"/>
        <family val="2"/>
        <scheme val="minor"/>
      </rPr>
      <t xml:space="preserve"> - Accepted
</t>
    </r>
    <r>
      <rPr>
        <b/>
        <sz val="11"/>
        <color theme="1"/>
        <rFont val="Calibri"/>
        <family val="2"/>
        <scheme val="minor"/>
      </rPr>
      <t>Disbursed</t>
    </r>
    <r>
      <rPr>
        <sz val="11"/>
        <color theme="1"/>
        <rFont val="Calibri"/>
        <family val="2"/>
        <scheme val="minor"/>
      </rPr>
      <t xml:space="preserve"> - Disbursed
</t>
    </r>
    <r>
      <rPr>
        <b/>
        <sz val="11"/>
        <color theme="1"/>
        <rFont val="Calibri"/>
        <family val="2"/>
        <scheme val="minor"/>
      </rPr>
      <t>Declined</t>
    </r>
    <r>
      <rPr>
        <sz val="11"/>
        <color theme="1"/>
        <rFont val="Calibri"/>
        <family val="2"/>
        <scheme val="minor"/>
      </rPr>
      <t xml:space="preserve"> - Declined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</si>
  <si>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StateAndLocalGrants</t>
    </r>
    <r>
      <rPr>
        <sz val="11"/>
        <color theme="1"/>
        <rFont val="Calibri"/>
        <family val="2"/>
        <scheme val="minor"/>
      </rPr>
      <t xml:space="preserve"> - State and local grants
</t>
    </r>
    <r>
      <rPr>
        <b/>
        <sz val="11"/>
        <color theme="1"/>
        <rFont val="Calibri"/>
        <family val="2"/>
        <scheme val="minor"/>
      </rPr>
      <t>InstitutionalGrants</t>
    </r>
    <r>
      <rPr>
        <sz val="11"/>
        <color theme="1"/>
        <rFont val="Calibri"/>
        <family val="2"/>
        <scheme val="minor"/>
      </rPr>
      <t xml:space="preserve"> - Institutional grants
</t>
    </r>
    <r>
      <rPr>
        <b/>
        <sz val="11"/>
        <color theme="1"/>
        <rFont val="Calibri"/>
        <family val="2"/>
        <scheme val="minor"/>
      </rPr>
      <t>PrivateGrants</t>
    </r>
    <r>
      <rPr>
        <sz val="11"/>
        <color theme="1"/>
        <rFont val="Calibri"/>
        <family val="2"/>
        <scheme val="minor"/>
      </rPr>
      <t xml:space="preserve"> - Private grants
</t>
    </r>
    <r>
      <rPr>
        <b/>
        <sz val="11"/>
        <color theme="1"/>
        <rFont val="Calibri"/>
        <family val="2"/>
        <scheme val="minor"/>
      </rPr>
      <t>OtherGrants</t>
    </r>
    <r>
      <rPr>
        <sz val="11"/>
        <color theme="1"/>
        <rFont val="Calibri"/>
        <family val="2"/>
        <scheme val="minor"/>
      </rPr>
      <t xml:space="preserve"> - Other grants
</t>
    </r>
    <r>
      <rPr>
        <b/>
        <sz val="11"/>
        <color theme="1"/>
        <rFont val="Calibri"/>
        <family val="2"/>
        <scheme val="minor"/>
      </rPr>
      <t>Assistantships</t>
    </r>
    <r>
      <rPr>
        <sz val="11"/>
        <color theme="1"/>
        <rFont val="Calibri"/>
        <family val="2"/>
        <scheme val="minor"/>
      </rPr>
      <t xml:space="preserve"> - Assistantships
</t>
    </r>
    <r>
      <rPr>
        <b/>
        <sz val="11"/>
        <color theme="1"/>
        <rFont val="Calibri"/>
        <family val="2"/>
        <scheme val="minor"/>
      </rPr>
      <t>FederalScholarships</t>
    </r>
    <r>
      <rPr>
        <sz val="11"/>
        <color theme="1"/>
        <rFont val="Calibri"/>
        <family val="2"/>
        <scheme val="minor"/>
      </rPr>
      <t xml:space="preserve"> - Federal scholarships
</t>
    </r>
    <r>
      <rPr>
        <b/>
        <sz val="11"/>
        <color theme="1"/>
        <rFont val="Calibri"/>
        <family val="2"/>
        <scheme val="minor"/>
      </rPr>
      <t>StateAndLocalScholarships</t>
    </r>
    <r>
      <rPr>
        <sz val="11"/>
        <color theme="1"/>
        <rFont val="Calibri"/>
        <family val="2"/>
        <scheme val="minor"/>
      </rPr>
      <t xml:space="preserve"> - State and local scholarships
</t>
    </r>
    <r>
      <rPr>
        <b/>
        <sz val="11"/>
        <color theme="1"/>
        <rFont val="Calibri"/>
        <family val="2"/>
        <scheme val="minor"/>
      </rPr>
      <t>InstitutionalScholarships</t>
    </r>
    <r>
      <rPr>
        <sz val="11"/>
        <color theme="1"/>
        <rFont val="Calibri"/>
        <family val="2"/>
        <scheme val="minor"/>
      </rPr>
      <t xml:space="preserve"> - Institutional scholarships
</t>
    </r>
    <r>
      <rPr>
        <b/>
        <sz val="11"/>
        <color theme="1"/>
        <rFont val="Calibri"/>
        <family val="2"/>
        <scheme val="minor"/>
      </rPr>
      <t>PrivateScholarships</t>
    </r>
    <r>
      <rPr>
        <sz val="11"/>
        <color theme="1"/>
        <rFont val="Calibri"/>
        <family val="2"/>
        <scheme val="minor"/>
      </rPr>
      <t xml:space="preserve"> - Private scholarships
</t>
    </r>
    <r>
      <rPr>
        <b/>
        <sz val="11"/>
        <color theme="1"/>
        <rFont val="Calibri"/>
        <family val="2"/>
        <scheme val="minor"/>
      </rPr>
      <t>OtherScholarships</t>
    </r>
    <r>
      <rPr>
        <sz val="11"/>
        <color theme="1"/>
        <rFont val="Calibri"/>
        <family val="2"/>
        <scheme val="minor"/>
      </rPr>
      <t xml:space="preserve"> - Other scholarships
</t>
    </r>
    <r>
      <rPr>
        <b/>
        <sz val="11"/>
        <color theme="1"/>
        <rFont val="Calibri"/>
        <family val="2"/>
        <scheme val="minor"/>
      </rPr>
      <t>FederalSubsidizedLoans</t>
    </r>
    <r>
      <rPr>
        <sz val="11"/>
        <color theme="1"/>
        <rFont val="Calibri"/>
        <family val="2"/>
        <scheme val="minor"/>
      </rPr>
      <t xml:space="preserve"> - Federal subsidized loans
</t>
    </r>
    <r>
      <rPr>
        <b/>
        <sz val="11"/>
        <color theme="1"/>
        <rFont val="Calibri"/>
        <family val="2"/>
        <scheme val="minor"/>
      </rPr>
      <t>FederalUnsubsidizedLoans</t>
    </r>
    <r>
      <rPr>
        <sz val="11"/>
        <color theme="1"/>
        <rFont val="Calibri"/>
        <family val="2"/>
        <scheme val="minor"/>
      </rPr>
      <t xml:space="preserve"> - Federal unsubsidized loans
</t>
    </r>
    <r>
      <rPr>
        <b/>
        <sz val="11"/>
        <color theme="1"/>
        <rFont val="Calibri"/>
        <family val="2"/>
        <scheme val="minor"/>
      </rPr>
      <t>PrivateLoans</t>
    </r>
    <r>
      <rPr>
        <sz val="11"/>
        <color theme="1"/>
        <rFont val="Calibri"/>
        <family val="2"/>
        <scheme val="minor"/>
      </rPr>
      <t xml:space="preserve"> - Private loans
</t>
    </r>
    <r>
      <rPr>
        <b/>
        <sz val="11"/>
        <color theme="1"/>
        <rFont val="Calibri"/>
        <family val="2"/>
        <scheme val="minor"/>
      </rPr>
      <t>StateLoans</t>
    </r>
    <r>
      <rPr>
        <sz val="11"/>
        <color theme="1"/>
        <rFont val="Calibri"/>
        <family val="2"/>
        <scheme val="minor"/>
      </rPr>
      <t xml:space="preserve"> - State loans
</t>
    </r>
    <r>
      <rPr>
        <b/>
        <sz val="11"/>
        <color theme="1"/>
        <rFont val="Calibri"/>
        <family val="2"/>
        <scheme val="minor"/>
      </rPr>
      <t>InstitutionalLoans</t>
    </r>
    <r>
      <rPr>
        <sz val="11"/>
        <color theme="1"/>
        <rFont val="Calibri"/>
        <family val="2"/>
        <scheme val="minor"/>
      </rPr>
      <t xml:space="preserve"> - Institutional loans
</t>
    </r>
    <r>
      <rPr>
        <b/>
        <sz val="11"/>
        <color theme="1"/>
        <rFont val="Calibri"/>
        <family val="2"/>
        <scheme val="minor"/>
      </rPr>
      <t>ParentPLUSLoans</t>
    </r>
    <r>
      <rPr>
        <sz val="11"/>
        <color theme="1"/>
        <rFont val="Calibri"/>
        <family val="2"/>
        <scheme val="minor"/>
      </rPr>
      <t xml:space="preserve"> - Parent PLUS loans
</t>
    </r>
    <r>
      <rPr>
        <b/>
        <sz val="11"/>
        <color theme="1"/>
        <rFont val="Calibri"/>
        <family val="2"/>
        <scheme val="minor"/>
      </rPr>
      <t>OtherLoans</t>
    </r>
    <r>
      <rPr>
        <sz val="11"/>
        <color theme="1"/>
        <rFont val="Calibri"/>
        <family val="2"/>
        <scheme val="minor"/>
      </rPr>
      <t xml:space="preserve"> - Other loans
</t>
    </r>
    <r>
      <rPr>
        <b/>
        <sz val="11"/>
        <color theme="1"/>
        <rFont val="Calibri"/>
        <family val="2"/>
        <scheme val="minor"/>
      </rPr>
      <t>StateWork</t>
    </r>
    <r>
      <rPr>
        <sz val="11"/>
        <color theme="1"/>
        <rFont val="Calibri"/>
        <family val="2"/>
        <scheme val="minor"/>
      </rPr>
      <t xml:space="preserve"> - State work
</t>
    </r>
    <r>
      <rPr>
        <b/>
        <sz val="11"/>
        <color theme="1"/>
        <rFont val="Calibri"/>
        <family val="2"/>
        <scheme val="minor"/>
      </rPr>
      <t>FederalWorkStudy</t>
    </r>
    <r>
      <rPr>
        <sz val="11"/>
        <color theme="1"/>
        <rFont val="Calibri"/>
        <family val="2"/>
        <scheme val="minor"/>
      </rPr>
      <t xml:space="preserve"> - Federal work study
</t>
    </r>
    <r>
      <rPr>
        <b/>
        <sz val="11"/>
        <color theme="1"/>
        <rFont val="Calibri"/>
        <family val="2"/>
        <scheme val="minor"/>
      </rPr>
      <t>OtherOnCampusWork</t>
    </r>
    <r>
      <rPr>
        <sz val="11"/>
        <color theme="1"/>
        <rFont val="Calibri"/>
        <family val="2"/>
        <scheme val="minor"/>
      </rPr>
      <t xml:space="preserve"> - Other on-campus work
</t>
    </r>
  </si>
  <si>
    <r>
      <t>VeteranReceivingBenefits</t>
    </r>
    <r>
      <rPr>
        <sz val="11"/>
        <color theme="1"/>
        <rFont val="Calibri"/>
        <family val="2"/>
        <scheme val="minor"/>
      </rPr>
      <t xml:space="preserve"> - Veteran receiving benefits
</t>
    </r>
    <r>
      <rPr>
        <b/>
        <sz val="11"/>
        <color theme="1"/>
        <rFont val="Calibri"/>
        <family val="2"/>
        <scheme val="minor"/>
      </rPr>
      <t>VeteranDoesNotReceiveBenefits</t>
    </r>
    <r>
      <rPr>
        <sz val="11"/>
        <color theme="1"/>
        <rFont val="Calibri"/>
        <family val="2"/>
        <scheme val="minor"/>
      </rPr>
      <t xml:space="preserve"> - Veteran does not receive benefits
</t>
    </r>
    <r>
      <rPr>
        <b/>
        <sz val="11"/>
        <color theme="1"/>
        <rFont val="Calibri"/>
        <family val="2"/>
        <scheme val="minor"/>
      </rPr>
      <t>DependentReceivingBenefits</t>
    </r>
    <r>
      <rPr>
        <sz val="11"/>
        <color theme="1"/>
        <rFont val="Calibri"/>
        <family val="2"/>
        <scheme val="minor"/>
      </rPr>
      <t xml:space="preserve"> - Dependent receiving benefits
</t>
    </r>
  </si>
  <si>
    <r>
      <t>Post911GIBill</t>
    </r>
    <r>
      <rPr>
        <sz val="11"/>
        <color theme="1"/>
        <rFont val="Calibri"/>
        <family val="2"/>
        <scheme val="minor"/>
      </rPr>
      <t xml:space="preserve"> - Post-9/11 GI Bill
</t>
    </r>
    <r>
      <rPr>
        <b/>
        <sz val="11"/>
        <color theme="1"/>
        <rFont val="Calibri"/>
        <family val="2"/>
        <scheme val="minor"/>
      </rPr>
      <t>DODTuitionAssistance</t>
    </r>
    <r>
      <rPr>
        <sz val="11"/>
        <color theme="1"/>
        <rFont val="Calibri"/>
        <family val="2"/>
        <scheme val="minor"/>
      </rPr>
      <t xml:space="preserve"> - Department of Defense Tuition Assistance
</t>
    </r>
  </si>
  <si>
    <r>
      <t>1000</t>
    </r>
    <r>
      <rPr>
        <sz val="11"/>
        <color theme="1"/>
        <rFont val="Calibri"/>
        <family val="2"/>
        <scheme val="minor"/>
      </rPr>
      <t xml:space="preserve"> - Instruction
</t>
    </r>
    <r>
      <rPr>
        <b/>
        <sz val="11"/>
        <color theme="1"/>
        <rFont val="Calibri"/>
        <family val="2"/>
        <scheme val="minor"/>
      </rPr>
      <t>2000</t>
    </r>
    <r>
      <rPr>
        <sz val="11"/>
        <color theme="1"/>
        <rFont val="Calibri"/>
        <family val="2"/>
        <scheme val="minor"/>
      </rPr>
      <t xml:space="preserve"> - Support Services
</t>
    </r>
    <r>
      <rPr>
        <b/>
        <sz val="11"/>
        <color theme="1"/>
        <rFont val="Calibri"/>
        <family val="2"/>
        <scheme val="minor"/>
      </rPr>
      <t>2100</t>
    </r>
    <r>
      <rPr>
        <sz val="11"/>
        <color theme="1"/>
        <rFont val="Calibri"/>
        <family val="2"/>
        <scheme val="minor"/>
      </rPr>
      <t xml:space="preserve"> - Support Services-Students
</t>
    </r>
    <r>
      <rPr>
        <b/>
        <sz val="11"/>
        <color theme="1"/>
        <rFont val="Calibri"/>
        <family val="2"/>
        <scheme val="minor"/>
      </rPr>
      <t>2110</t>
    </r>
    <r>
      <rPr>
        <sz val="11"/>
        <color theme="1"/>
        <rFont val="Calibri"/>
        <family val="2"/>
        <scheme val="minor"/>
      </rPr>
      <t xml:space="preserve"> - Attendance and Social Work Services
</t>
    </r>
    <r>
      <rPr>
        <b/>
        <sz val="11"/>
        <color theme="1"/>
        <rFont val="Calibri"/>
        <family val="2"/>
        <scheme val="minor"/>
      </rPr>
      <t>2120</t>
    </r>
    <r>
      <rPr>
        <sz val="11"/>
        <color theme="1"/>
        <rFont val="Calibri"/>
        <family val="2"/>
        <scheme val="minor"/>
      </rPr>
      <t xml:space="preserve"> - Guidance Services
</t>
    </r>
    <r>
      <rPr>
        <b/>
        <sz val="11"/>
        <color theme="1"/>
        <rFont val="Calibri"/>
        <family val="2"/>
        <scheme val="minor"/>
      </rPr>
      <t>2130</t>
    </r>
    <r>
      <rPr>
        <sz val="11"/>
        <color theme="1"/>
        <rFont val="Calibri"/>
        <family val="2"/>
        <scheme val="minor"/>
      </rPr>
      <t xml:space="preserve"> - Health Services
</t>
    </r>
    <r>
      <rPr>
        <b/>
        <sz val="11"/>
        <color theme="1"/>
        <rFont val="Calibri"/>
        <family val="2"/>
        <scheme val="minor"/>
      </rPr>
      <t>2140</t>
    </r>
    <r>
      <rPr>
        <sz val="11"/>
        <color theme="1"/>
        <rFont val="Calibri"/>
        <family val="2"/>
        <scheme val="minor"/>
      </rPr>
      <t xml:space="preserve"> - Psychological Services
</t>
    </r>
    <r>
      <rPr>
        <b/>
        <sz val="11"/>
        <color theme="1"/>
        <rFont val="Calibri"/>
        <family val="2"/>
        <scheme val="minor"/>
      </rPr>
      <t>2150</t>
    </r>
    <r>
      <rPr>
        <sz val="11"/>
        <color theme="1"/>
        <rFont val="Calibri"/>
        <family val="2"/>
        <scheme val="minor"/>
      </rPr>
      <t xml:space="preserve"> - Speech Pathology and Audiology Services
</t>
    </r>
    <r>
      <rPr>
        <b/>
        <sz val="11"/>
        <color theme="1"/>
        <rFont val="Calibri"/>
        <family val="2"/>
        <scheme val="minor"/>
      </rPr>
      <t>2160</t>
    </r>
    <r>
      <rPr>
        <sz val="11"/>
        <color theme="1"/>
        <rFont val="Calibri"/>
        <family val="2"/>
        <scheme val="minor"/>
      </rPr>
      <t xml:space="preserve"> - Occupational Therapy-Related Services
</t>
    </r>
    <r>
      <rPr>
        <b/>
        <sz val="11"/>
        <color theme="1"/>
        <rFont val="Calibri"/>
        <family val="2"/>
        <scheme val="minor"/>
      </rPr>
      <t>2170</t>
    </r>
    <r>
      <rPr>
        <sz val="11"/>
        <color theme="1"/>
        <rFont val="Calibri"/>
        <family val="2"/>
        <scheme val="minor"/>
      </rPr>
      <t xml:space="preserve"> - Physical Therapy-Related Services
</t>
    </r>
    <r>
      <rPr>
        <b/>
        <sz val="11"/>
        <color theme="1"/>
        <rFont val="Calibri"/>
        <family val="2"/>
        <scheme val="minor"/>
      </rPr>
      <t>2180</t>
    </r>
    <r>
      <rPr>
        <sz val="11"/>
        <color theme="1"/>
        <rFont val="Calibri"/>
        <family val="2"/>
        <scheme val="minor"/>
      </rPr>
      <t xml:space="preserve"> - Visually Impaired/Vision Services
</t>
    </r>
    <r>
      <rPr>
        <b/>
        <sz val="11"/>
        <color theme="1"/>
        <rFont val="Calibri"/>
        <family val="2"/>
        <scheme val="minor"/>
      </rPr>
      <t>2190</t>
    </r>
    <r>
      <rPr>
        <sz val="11"/>
        <color theme="1"/>
        <rFont val="Calibri"/>
        <family val="2"/>
        <scheme val="minor"/>
      </rPr>
      <t xml:space="preserve"> - Other Support Services-Student
</t>
    </r>
    <r>
      <rPr>
        <b/>
        <sz val="11"/>
        <color theme="1"/>
        <rFont val="Calibri"/>
        <family val="2"/>
        <scheme val="minor"/>
      </rPr>
      <t>2200</t>
    </r>
    <r>
      <rPr>
        <sz val="11"/>
        <color theme="1"/>
        <rFont val="Calibri"/>
        <family val="2"/>
        <scheme val="minor"/>
      </rPr>
      <t xml:space="preserve"> - Support Services-Instruction
</t>
    </r>
    <r>
      <rPr>
        <b/>
        <sz val="11"/>
        <color theme="1"/>
        <rFont val="Calibri"/>
        <family val="2"/>
        <scheme val="minor"/>
      </rPr>
      <t>2210</t>
    </r>
    <r>
      <rPr>
        <sz val="11"/>
        <color theme="1"/>
        <rFont val="Calibri"/>
        <family val="2"/>
        <scheme val="minor"/>
      </rPr>
      <t xml:space="preserve"> - Improvement of Instruction
</t>
    </r>
    <r>
      <rPr>
        <b/>
        <sz val="11"/>
        <color theme="1"/>
        <rFont val="Calibri"/>
        <family val="2"/>
        <scheme val="minor"/>
      </rPr>
      <t>2212</t>
    </r>
    <r>
      <rPr>
        <sz val="11"/>
        <color theme="1"/>
        <rFont val="Calibri"/>
        <family val="2"/>
        <scheme val="minor"/>
      </rPr>
      <t xml:space="preserve"> - Instruction and Curriculum Development
</t>
    </r>
    <r>
      <rPr>
        <b/>
        <sz val="11"/>
        <color theme="1"/>
        <rFont val="Calibri"/>
        <family val="2"/>
        <scheme val="minor"/>
      </rPr>
      <t>2213</t>
    </r>
    <r>
      <rPr>
        <sz val="11"/>
        <color theme="1"/>
        <rFont val="Calibri"/>
        <family val="2"/>
        <scheme val="minor"/>
      </rPr>
      <t xml:space="preserve"> - Instructional Staff Training
</t>
    </r>
    <r>
      <rPr>
        <b/>
        <sz val="11"/>
        <color theme="1"/>
        <rFont val="Calibri"/>
        <family val="2"/>
        <scheme val="minor"/>
      </rPr>
      <t>2219</t>
    </r>
    <r>
      <rPr>
        <sz val="11"/>
        <color theme="1"/>
        <rFont val="Calibri"/>
        <family val="2"/>
        <scheme val="minor"/>
      </rPr>
      <t xml:space="preserve"> - Other Improvement of Instruction Services
</t>
    </r>
    <r>
      <rPr>
        <b/>
        <sz val="11"/>
        <color theme="1"/>
        <rFont val="Calibri"/>
        <family val="2"/>
        <scheme val="minor"/>
      </rPr>
      <t>2220</t>
    </r>
    <r>
      <rPr>
        <sz val="11"/>
        <color theme="1"/>
        <rFont val="Calibri"/>
        <family val="2"/>
        <scheme val="minor"/>
      </rPr>
      <t xml:space="preserve"> - Library/Media Services
</t>
    </r>
    <r>
      <rPr>
        <b/>
        <sz val="11"/>
        <color theme="1"/>
        <rFont val="Calibri"/>
        <family val="2"/>
        <scheme val="minor"/>
      </rPr>
      <t>2230</t>
    </r>
    <r>
      <rPr>
        <sz val="11"/>
        <color theme="1"/>
        <rFont val="Calibri"/>
        <family val="2"/>
        <scheme val="minor"/>
      </rPr>
      <t xml:space="preserve"> - Instruction-Related Technology
</t>
    </r>
    <r>
      <rPr>
        <b/>
        <sz val="11"/>
        <color theme="1"/>
        <rFont val="Calibri"/>
        <family val="2"/>
        <scheme val="minor"/>
      </rPr>
      <t>2240</t>
    </r>
    <r>
      <rPr>
        <sz val="11"/>
        <color theme="1"/>
        <rFont val="Calibri"/>
        <family val="2"/>
        <scheme val="minor"/>
      </rPr>
      <t xml:space="preserve"> - Academic Student Assessment
</t>
    </r>
    <r>
      <rPr>
        <b/>
        <sz val="11"/>
        <color theme="1"/>
        <rFont val="Calibri"/>
        <family val="2"/>
        <scheme val="minor"/>
      </rPr>
      <t>2290</t>
    </r>
    <r>
      <rPr>
        <sz val="11"/>
        <color theme="1"/>
        <rFont val="Calibri"/>
        <family val="2"/>
        <scheme val="minor"/>
      </rPr>
      <t xml:space="preserve"> - Other Support Services-Instructional Staff
</t>
    </r>
    <r>
      <rPr>
        <b/>
        <sz val="11"/>
        <color theme="1"/>
        <rFont val="Calibri"/>
        <family val="2"/>
        <scheme val="minor"/>
      </rPr>
      <t>2300</t>
    </r>
    <r>
      <rPr>
        <sz val="11"/>
        <color theme="1"/>
        <rFont val="Calibri"/>
        <family val="2"/>
        <scheme val="minor"/>
      </rPr>
      <t xml:space="preserve"> - Support Services-General Administration
</t>
    </r>
    <r>
      <rPr>
        <b/>
        <sz val="11"/>
        <color theme="1"/>
        <rFont val="Calibri"/>
        <family val="2"/>
        <scheme val="minor"/>
      </rPr>
      <t>2310</t>
    </r>
    <r>
      <rPr>
        <sz val="11"/>
        <color theme="1"/>
        <rFont val="Calibri"/>
        <family val="2"/>
        <scheme val="minor"/>
      </rPr>
      <t xml:space="preserve"> - Board of Education
</t>
    </r>
    <r>
      <rPr>
        <b/>
        <sz val="11"/>
        <color theme="1"/>
        <rFont val="Calibri"/>
        <family val="2"/>
        <scheme val="minor"/>
      </rPr>
      <t>2320</t>
    </r>
    <r>
      <rPr>
        <sz val="11"/>
        <color theme="1"/>
        <rFont val="Calibri"/>
        <family val="2"/>
        <scheme val="minor"/>
      </rPr>
      <t xml:space="preserve"> - Executive Administration
</t>
    </r>
    <r>
      <rPr>
        <b/>
        <sz val="11"/>
        <color theme="1"/>
        <rFont val="Calibri"/>
        <family val="2"/>
        <scheme val="minor"/>
      </rPr>
      <t>2400</t>
    </r>
    <r>
      <rPr>
        <sz val="11"/>
        <color theme="1"/>
        <rFont val="Calibri"/>
        <family val="2"/>
        <scheme val="minor"/>
      </rPr>
      <t xml:space="preserve"> - Support Services-School Administration
</t>
    </r>
    <r>
      <rPr>
        <b/>
        <sz val="11"/>
        <color theme="1"/>
        <rFont val="Calibri"/>
        <family val="2"/>
        <scheme val="minor"/>
      </rPr>
      <t>2410</t>
    </r>
    <r>
      <rPr>
        <sz val="11"/>
        <color theme="1"/>
        <rFont val="Calibri"/>
        <family val="2"/>
        <scheme val="minor"/>
      </rPr>
      <t xml:space="preserve"> - Office of the Principal
</t>
    </r>
    <r>
      <rPr>
        <b/>
        <sz val="11"/>
        <color theme="1"/>
        <rFont val="Calibri"/>
        <family val="2"/>
        <scheme val="minor"/>
      </rPr>
      <t>2490</t>
    </r>
    <r>
      <rPr>
        <sz val="11"/>
        <color theme="1"/>
        <rFont val="Calibri"/>
        <family val="2"/>
        <scheme val="minor"/>
      </rPr>
      <t xml:space="preserve"> - Other Support Services-School Administration
</t>
    </r>
    <r>
      <rPr>
        <b/>
        <sz val="11"/>
        <color theme="1"/>
        <rFont val="Calibri"/>
        <family val="2"/>
        <scheme val="minor"/>
      </rPr>
      <t>2500</t>
    </r>
    <r>
      <rPr>
        <sz val="11"/>
        <color theme="1"/>
        <rFont val="Calibri"/>
        <family val="2"/>
        <scheme val="minor"/>
      </rPr>
      <t xml:space="preserve"> - Central Services
</t>
    </r>
    <r>
      <rPr>
        <b/>
        <sz val="11"/>
        <color theme="1"/>
        <rFont val="Calibri"/>
        <family val="2"/>
        <scheme val="minor"/>
      </rPr>
      <t>2510</t>
    </r>
    <r>
      <rPr>
        <sz val="11"/>
        <color theme="1"/>
        <rFont val="Calibri"/>
        <family val="2"/>
        <scheme val="minor"/>
      </rPr>
      <t xml:space="preserve"> - Fiscal Services
</t>
    </r>
    <r>
      <rPr>
        <b/>
        <sz val="11"/>
        <color theme="1"/>
        <rFont val="Calibri"/>
        <family val="2"/>
        <scheme val="minor"/>
      </rPr>
      <t>2520</t>
    </r>
    <r>
      <rPr>
        <sz val="11"/>
        <color theme="1"/>
        <rFont val="Calibri"/>
        <family val="2"/>
        <scheme val="minor"/>
      </rPr>
      <t xml:space="preserve"> - Purchasing, Warehousing, and Distributing Services
</t>
    </r>
    <r>
      <rPr>
        <b/>
        <sz val="11"/>
        <color theme="1"/>
        <rFont val="Calibri"/>
        <family val="2"/>
        <scheme val="minor"/>
      </rPr>
      <t>2530</t>
    </r>
    <r>
      <rPr>
        <sz val="11"/>
        <color theme="1"/>
        <rFont val="Calibri"/>
        <family val="2"/>
        <scheme val="minor"/>
      </rPr>
      <t xml:space="preserve"> - Printing, Publishing, and Duplicating Services
</t>
    </r>
    <r>
      <rPr>
        <b/>
        <sz val="11"/>
        <color theme="1"/>
        <rFont val="Calibri"/>
        <family val="2"/>
        <scheme val="minor"/>
      </rPr>
      <t>2540</t>
    </r>
    <r>
      <rPr>
        <sz val="11"/>
        <color theme="1"/>
        <rFont val="Calibri"/>
        <family val="2"/>
        <scheme val="minor"/>
      </rPr>
      <t xml:space="preserve"> - Planning, Research, Development, and Evaluation Services
</t>
    </r>
    <r>
      <rPr>
        <b/>
        <sz val="11"/>
        <color theme="1"/>
        <rFont val="Calibri"/>
        <family val="2"/>
        <scheme val="minor"/>
      </rPr>
      <t>2560</t>
    </r>
    <r>
      <rPr>
        <sz val="11"/>
        <color theme="1"/>
        <rFont val="Calibri"/>
        <family val="2"/>
        <scheme val="minor"/>
      </rPr>
      <t xml:space="preserve"> - Public Information Services
</t>
    </r>
    <r>
      <rPr>
        <b/>
        <sz val="11"/>
        <color theme="1"/>
        <rFont val="Calibri"/>
        <family val="2"/>
        <scheme val="minor"/>
      </rPr>
      <t>2570</t>
    </r>
    <r>
      <rPr>
        <sz val="11"/>
        <color theme="1"/>
        <rFont val="Calibri"/>
        <family val="2"/>
        <scheme val="minor"/>
      </rPr>
      <t xml:space="preserve"> - Personnel Services
</t>
    </r>
    <r>
      <rPr>
        <b/>
        <sz val="11"/>
        <color theme="1"/>
        <rFont val="Calibri"/>
        <family val="2"/>
        <scheme val="minor"/>
      </rPr>
      <t>2580</t>
    </r>
    <r>
      <rPr>
        <sz val="11"/>
        <color theme="1"/>
        <rFont val="Calibri"/>
        <family val="2"/>
        <scheme val="minor"/>
      </rPr>
      <t xml:space="preserve"> - Administrative Technology Services
</t>
    </r>
    <r>
      <rPr>
        <b/>
        <sz val="11"/>
        <color theme="1"/>
        <rFont val="Calibri"/>
        <family val="2"/>
        <scheme val="minor"/>
      </rPr>
      <t>2590</t>
    </r>
    <r>
      <rPr>
        <sz val="11"/>
        <color theme="1"/>
        <rFont val="Calibri"/>
        <family val="2"/>
        <scheme val="minor"/>
      </rPr>
      <t xml:space="preserve"> - Other Support Services-Central Services
</t>
    </r>
    <r>
      <rPr>
        <b/>
        <sz val="11"/>
        <color theme="1"/>
        <rFont val="Calibri"/>
        <family val="2"/>
        <scheme val="minor"/>
      </rPr>
      <t>2600</t>
    </r>
    <r>
      <rPr>
        <sz val="11"/>
        <color theme="1"/>
        <rFont val="Calibri"/>
        <family val="2"/>
        <scheme val="minor"/>
      </rPr>
      <t xml:space="preserve"> - Operation and Maintenance of Plant
</t>
    </r>
    <r>
      <rPr>
        <b/>
        <sz val="11"/>
        <color theme="1"/>
        <rFont val="Calibri"/>
        <family val="2"/>
        <scheme val="minor"/>
      </rPr>
      <t>2610</t>
    </r>
    <r>
      <rPr>
        <sz val="11"/>
        <color theme="1"/>
        <rFont val="Calibri"/>
        <family val="2"/>
        <scheme val="minor"/>
      </rPr>
      <t xml:space="preserve"> - Operation of Buildings
</t>
    </r>
    <r>
      <rPr>
        <b/>
        <sz val="11"/>
        <color theme="1"/>
        <rFont val="Calibri"/>
        <family val="2"/>
        <scheme val="minor"/>
      </rPr>
      <t>2620</t>
    </r>
    <r>
      <rPr>
        <sz val="11"/>
        <color theme="1"/>
        <rFont val="Calibri"/>
        <family val="2"/>
        <scheme val="minor"/>
      </rPr>
      <t xml:space="preserve"> - Maintenance of Buildings
</t>
    </r>
    <r>
      <rPr>
        <b/>
        <sz val="11"/>
        <color theme="1"/>
        <rFont val="Calibri"/>
        <family val="2"/>
        <scheme val="minor"/>
      </rPr>
      <t>2630</t>
    </r>
    <r>
      <rPr>
        <sz val="11"/>
        <color theme="1"/>
        <rFont val="Calibri"/>
        <family val="2"/>
        <scheme val="minor"/>
      </rPr>
      <t xml:space="preserve"> - Care and Upkeep of Grounds
</t>
    </r>
    <r>
      <rPr>
        <b/>
        <sz val="11"/>
        <color theme="1"/>
        <rFont val="Calibri"/>
        <family val="2"/>
        <scheme val="minor"/>
      </rPr>
      <t>2640</t>
    </r>
    <r>
      <rPr>
        <sz val="11"/>
        <color theme="1"/>
        <rFont val="Calibri"/>
        <family val="2"/>
        <scheme val="minor"/>
      </rPr>
      <t xml:space="preserve"> - Care and Upkeep of Equipment
</t>
    </r>
    <r>
      <rPr>
        <b/>
        <sz val="11"/>
        <color theme="1"/>
        <rFont val="Calibri"/>
        <family val="2"/>
        <scheme val="minor"/>
      </rPr>
      <t>2650</t>
    </r>
    <r>
      <rPr>
        <sz val="11"/>
        <color theme="1"/>
        <rFont val="Calibri"/>
        <family val="2"/>
        <scheme val="minor"/>
      </rPr>
      <t xml:space="preserve"> - Vehicle Operation and Maintenance (Other Than Student Transportation Vehicles)
</t>
    </r>
    <r>
      <rPr>
        <b/>
        <sz val="11"/>
        <color theme="1"/>
        <rFont val="Calibri"/>
        <family val="2"/>
        <scheme val="minor"/>
      </rPr>
      <t>2660</t>
    </r>
    <r>
      <rPr>
        <sz val="11"/>
        <color theme="1"/>
        <rFont val="Calibri"/>
        <family val="2"/>
        <scheme val="minor"/>
      </rPr>
      <t xml:space="preserve"> - Security
</t>
    </r>
    <r>
      <rPr>
        <b/>
        <sz val="11"/>
        <color theme="1"/>
        <rFont val="Calibri"/>
        <family val="2"/>
        <scheme val="minor"/>
      </rPr>
      <t>2670</t>
    </r>
    <r>
      <rPr>
        <sz val="11"/>
        <color theme="1"/>
        <rFont val="Calibri"/>
        <family val="2"/>
        <scheme val="minor"/>
      </rPr>
      <t xml:space="preserve"> - Safety
</t>
    </r>
    <r>
      <rPr>
        <b/>
        <sz val="11"/>
        <color theme="1"/>
        <rFont val="Calibri"/>
        <family val="2"/>
        <scheme val="minor"/>
      </rPr>
      <t>2680</t>
    </r>
    <r>
      <rPr>
        <sz val="11"/>
        <color theme="1"/>
        <rFont val="Calibri"/>
        <family val="2"/>
        <scheme val="minor"/>
      </rPr>
      <t xml:space="preserve"> - Other Operation and Maintenance of Plant
</t>
    </r>
    <r>
      <rPr>
        <b/>
        <sz val="11"/>
        <color theme="1"/>
        <rFont val="Calibri"/>
        <family val="2"/>
        <scheme val="minor"/>
      </rPr>
      <t>2700</t>
    </r>
    <r>
      <rPr>
        <sz val="11"/>
        <color theme="1"/>
        <rFont val="Calibri"/>
        <family val="2"/>
        <scheme val="minor"/>
      </rPr>
      <t xml:space="preserve"> - Student Transportation
</t>
    </r>
    <r>
      <rPr>
        <b/>
        <sz val="11"/>
        <color theme="1"/>
        <rFont val="Calibri"/>
        <family val="2"/>
        <scheme val="minor"/>
      </rPr>
      <t>2710</t>
    </r>
    <r>
      <rPr>
        <sz val="11"/>
        <color theme="1"/>
        <rFont val="Calibri"/>
        <family val="2"/>
        <scheme val="minor"/>
      </rPr>
      <t xml:space="preserve"> - Vehicle Operation
</t>
    </r>
    <r>
      <rPr>
        <b/>
        <sz val="11"/>
        <color theme="1"/>
        <rFont val="Calibri"/>
        <family val="2"/>
        <scheme val="minor"/>
      </rPr>
      <t>2720</t>
    </r>
    <r>
      <rPr>
        <sz val="11"/>
        <color theme="1"/>
        <rFont val="Calibri"/>
        <family val="2"/>
        <scheme val="minor"/>
      </rPr>
      <t xml:space="preserve"> - Monitoring Services
</t>
    </r>
    <r>
      <rPr>
        <b/>
        <sz val="11"/>
        <color theme="1"/>
        <rFont val="Calibri"/>
        <family val="2"/>
        <scheme val="minor"/>
      </rPr>
      <t>2730</t>
    </r>
    <r>
      <rPr>
        <sz val="11"/>
        <color theme="1"/>
        <rFont val="Calibri"/>
        <family val="2"/>
        <scheme val="minor"/>
      </rPr>
      <t xml:space="preserve"> - Vehicle Servicing and Maintenance
</t>
    </r>
    <r>
      <rPr>
        <b/>
        <sz val="11"/>
        <color theme="1"/>
        <rFont val="Calibri"/>
        <family val="2"/>
        <scheme val="minor"/>
      </rPr>
      <t>2790</t>
    </r>
    <r>
      <rPr>
        <sz val="11"/>
        <color theme="1"/>
        <rFont val="Calibri"/>
        <family val="2"/>
        <scheme val="minor"/>
      </rPr>
      <t xml:space="preserve"> - Other Student Transportation Services
</t>
    </r>
    <r>
      <rPr>
        <b/>
        <sz val="11"/>
        <color theme="1"/>
        <rFont val="Calibri"/>
        <family val="2"/>
        <scheme val="minor"/>
      </rPr>
      <t>2900</t>
    </r>
    <r>
      <rPr>
        <sz val="11"/>
        <color theme="1"/>
        <rFont val="Calibri"/>
        <family val="2"/>
        <scheme val="minor"/>
      </rPr>
      <t xml:space="preserve"> - Other Support Services
</t>
    </r>
    <r>
      <rPr>
        <b/>
        <sz val="11"/>
        <color theme="1"/>
        <rFont val="Calibri"/>
        <family val="2"/>
        <scheme val="minor"/>
      </rPr>
      <t>3000</t>
    </r>
    <r>
      <rPr>
        <sz val="11"/>
        <color theme="1"/>
        <rFont val="Calibri"/>
        <family val="2"/>
        <scheme val="minor"/>
      </rPr>
      <t xml:space="preserve"> - Operation of Noninstructional Services
</t>
    </r>
    <r>
      <rPr>
        <b/>
        <sz val="11"/>
        <color theme="1"/>
        <rFont val="Calibri"/>
        <family val="2"/>
        <scheme val="minor"/>
      </rPr>
      <t>3100</t>
    </r>
    <r>
      <rPr>
        <sz val="11"/>
        <color theme="1"/>
        <rFont val="Calibri"/>
        <family val="2"/>
        <scheme val="minor"/>
      </rPr>
      <t xml:space="preserve"> - Food Services Operations
</t>
    </r>
    <r>
      <rPr>
        <b/>
        <sz val="11"/>
        <color theme="1"/>
        <rFont val="Calibri"/>
        <family val="2"/>
        <scheme val="minor"/>
      </rPr>
      <t>3200</t>
    </r>
    <r>
      <rPr>
        <sz val="11"/>
        <color theme="1"/>
        <rFont val="Calibri"/>
        <family val="2"/>
        <scheme val="minor"/>
      </rPr>
      <t xml:space="preserve"> - Enterprise Operations
</t>
    </r>
    <r>
      <rPr>
        <b/>
        <sz val="11"/>
        <color theme="1"/>
        <rFont val="Calibri"/>
        <family val="2"/>
        <scheme val="minor"/>
      </rPr>
      <t>3300</t>
    </r>
    <r>
      <rPr>
        <sz val="11"/>
        <color theme="1"/>
        <rFont val="Calibri"/>
        <family val="2"/>
        <scheme val="minor"/>
      </rPr>
      <t xml:space="preserve"> - Community Services Operations
</t>
    </r>
    <r>
      <rPr>
        <b/>
        <sz val="11"/>
        <color theme="1"/>
        <rFont val="Calibri"/>
        <family val="2"/>
        <scheme val="minor"/>
      </rPr>
      <t>4000</t>
    </r>
    <r>
      <rPr>
        <sz val="11"/>
        <color theme="1"/>
        <rFont val="Calibri"/>
        <family val="2"/>
        <scheme val="minor"/>
      </rPr>
      <t xml:space="preserve"> - Facilities Acquisition and Construction
</t>
    </r>
    <r>
      <rPr>
        <b/>
        <sz val="11"/>
        <color theme="1"/>
        <rFont val="Calibri"/>
        <family val="2"/>
        <scheme val="minor"/>
      </rPr>
      <t>4100</t>
    </r>
    <r>
      <rPr>
        <sz val="11"/>
        <color theme="1"/>
        <rFont val="Calibri"/>
        <family val="2"/>
        <scheme val="minor"/>
      </rPr>
      <t xml:space="preserve"> - Land Acquisition
</t>
    </r>
    <r>
      <rPr>
        <b/>
        <sz val="11"/>
        <color theme="1"/>
        <rFont val="Calibri"/>
        <family val="2"/>
        <scheme val="minor"/>
      </rPr>
      <t>4200</t>
    </r>
    <r>
      <rPr>
        <sz val="11"/>
        <color theme="1"/>
        <rFont val="Calibri"/>
        <family val="2"/>
        <scheme val="minor"/>
      </rPr>
      <t xml:space="preserve"> - Land Improvement
</t>
    </r>
    <r>
      <rPr>
        <b/>
        <sz val="11"/>
        <color theme="1"/>
        <rFont val="Calibri"/>
        <family val="2"/>
        <scheme val="minor"/>
      </rPr>
      <t>4300</t>
    </r>
    <r>
      <rPr>
        <sz val="11"/>
        <color theme="1"/>
        <rFont val="Calibri"/>
        <family val="2"/>
        <scheme val="minor"/>
      </rPr>
      <t xml:space="preserve"> - Architecture and Engineering
</t>
    </r>
    <r>
      <rPr>
        <b/>
        <sz val="11"/>
        <color theme="1"/>
        <rFont val="Calibri"/>
        <family val="2"/>
        <scheme val="minor"/>
      </rPr>
      <t>4400</t>
    </r>
    <r>
      <rPr>
        <sz val="11"/>
        <color theme="1"/>
        <rFont val="Calibri"/>
        <family val="2"/>
        <scheme val="minor"/>
      </rPr>
      <t xml:space="preserve"> - Educational Specifications Development
</t>
    </r>
    <r>
      <rPr>
        <b/>
        <sz val="11"/>
        <color theme="1"/>
        <rFont val="Calibri"/>
        <family val="2"/>
        <scheme val="minor"/>
      </rPr>
      <t>4500</t>
    </r>
    <r>
      <rPr>
        <sz val="11"/>
        <color theme="1"/>
        <rFont val="Calibri"/>
        <family val="2"/>
        <scheme val="minor"/>
      </rPr>
      <t xml:space="preserve"> - Building Acquisition and Construction
</t>
    </r>
    <r>
      <rPr>
        <b/>
        <sz val="11"/>
        <color theme="1"/>
        <rFont val="Calibri"/>
        <family val="2"/>
        <scheme val="minor"/>
      </rPr>
      <t>4600</t>
    </r>
    <r>
      <rPr>
        <sz val="11"/>
        <color theme="1"/>
        <rFont val="Calibri"/>
        <family val="2"/>
        <scheme val="minor"/>
      </rPr>
      <t xml:space="preserve"> - Site Improvements
</t>
    </r>
    <r>
      <rPr>
        <b/>
        <sz val="11"/>
        <color theme="1"/>
        <rFont val="Calibri"/>
        <family val="2"/>
        <scheme val="minor"/>
      </rPr>
      <t>4700</t>
    </r>
    <r>
      <rPr>
        <sz val="11"/>
        <color theme="1"/>
        <rFont val="Calibri"/>
        <family val="2"/>
        <scheme val="minor"/>
      </rPr>
      <t xml:space="preserve"> - Building Improvements
</t>
    </r>
    <r>
      <rPr>
        <b/>
        <sz val="11"/>
        <color theme="1"/>
        <rFont val="Calibri"/>
        <family val="2"/>
        <scheme val="minor"/>
      </rPr>
      <t>4900</t>
    </r>
    <r>
      <rPr>
        <sz val="11"/>
        <color theme="1"/>
        <rFont val="Calibri"/>
        <family val="2"/>
        <scheme val="minor"/>
      </rPr>
      <t xml:space="preserve"> - Other Facilities Acquisition and Construction
</t>
    </r>
    <r>
      <rPr>
        <b/>
        <sz val="11"/>
        <color theme="1"/>
        <rFont val="Calibri"/>
        <family val="2"/>
        <scheme val="minor"/>
      </rPr>
      <t>5000</t>
    </r>
    <r>
      <rPr>
        <sz val="11"/>
        <color theme="1"/>
        <rFont val="Calibri"/>
        <family val="2"/>
        <scheme val="minor"/>
      </rPr>
      <t xml:space="preserve"> - Debt Service
</t>
    </r>
  </si>
  <si>
    <r>
      <t>10</t>
    </r>
    <r>
      <rPr>
        <sz val="11"/>
        <color theme="1"/>
        <rFont val="Calibri"/>
        <family val="2"/>
        <scheme val="minor"/>
      </rPr>
      <t xml:space="preserve"> - Elementary
</t>
    </r>
    <r>
      <rPr>
        <b/>
        <sz val="11"/>
        <color theme="1"/>
        <rFont val="Calibri"/>
        <family val="2"/>
        <scheme val="minor"/>
      </rPr>
      <t>11</t>
    </r>
    <r>
      <rPr>
        <sz val="11"/>
        <color theme="1"/>
        <rFont val="Calibri"/>
        <family val="2"/>
        <scheme val="minor"/>
      </rPr>
      <t xml:space="preserve"> - Prekindergarten
</t>
    </r>
    <r>
      <rPr>
        <b/>
        <sz val="11"/>
        <color theme="1"/>
        <rFont val="Calibri"/>
        <family val="2"/>
        <scheme val="minor"/>
      </rPr>
      <t>12</t>
    </r>
    <r>
      <rPr>
        <sz val="11"/>
        <color theme="1"/>
        <rFont val="Calibri"/>
        <family val="2"/>
        <scheme val="minor"/>
      </rPr>
      <t xml:space="preserve"> - Kindergarten
</t>
    </r>
    <r>
      <rPr>
        <b/>
        <sz val="11"/>
        <color theme="1"/>
        <rFont val="Calibri"/>
        <family val="2"/>
        <scheme val="minor"/>
      </rPr>
      <t>19</t>
    </r>
    <r>
      <rPr>
        <sz val="11"/>
        <color theme="1"/>
        <rFont val="Calibri"/>
        <family val="2"/>
        <scheme val="minor"/>
      </rPr>
      <t xml:space="preserve"> - Other Elementary
</t>
    </r>
    <r>
      <rPr>
        <b/>
        <sz val="11"/>
        <color theme="1"/>
        <rFont val="Calibri"/>
        <family val="2"/>
        <scheme val="minor"/>
      </rPr>
      <t>20</t>
    </r>
    <r>
      <rPr>
        <sz val="11"/>
        <color theme="1"/>
        <rFont val="Calibri"/>
        <family val="2"/>
        <scheme val="minor"/>
      </rPr>
      <t xml:space="preserve"> - Middle
</t>
    </r>
    <r>
      <rPr>
        <b/>
        <sz val="11"/>
        <color theme="1"/>
        <rFont val="Calibri"/>
        <family val="2"/>
        <scheme val="minor"/>
      </rPr>
      <t>30</t>
    </r>
    <r>
      <rPr>
        <sz val="11"/>
        <color theme="1"/>
        <rFont val="Calibri"/>
        <family val="2"/>
        <scheme val="minor"/>
      </rPr>
      <t xml:space="preserve"> - Secondary
</t>
    </r>
    <r>
      <rPr>
        <b/>
        <sz val="11"/>
        <color theme="1"/>
        <rFont val="Calibri"/>
        <family val="2"/>
        <scheme val="minor"/>
      </rPr>
      <t>37</t>
    </r>
    <r>
      <rPr>
        <sz val="11"/>
        <color theme="1"/>
        <rFont val="Calibri"/>
        <family val="2"/>
        <scheme val="minor"/>
      </rPr>
      <t xml:space="preserve"> - Elementary and Secondary Combined
</t>
    </r>
    <r>
      <rPr>
        <b/>
        <sz val="11"/>
        <color theme="1"/>
        <rFont val="Calibri"/>
        <family val="2"/>
        <scheme val="minor"/>
      </rPr>
      <t>40</t>
    </r>
    <r>
      <rPr>
        <sz val="11"/>
        <color theme="1"/>
        <rFont val="Calibri"/>
        <family val="2"/>
        <scheme val="minor"/>
      </rPr>
      <t xml:space="preserve"> - Postsecondary
</t>
    </r>
    <r>
      <rPr>
        <b/>
        <sz val="11"/>
        <color theme="1"/>
        <rFont val="Calibri"/>
        <family val="2"/>
        <scheme val="minor"/>
      </rPr>
      <t>41</t>
    </r>
    <r>
      <rPr>
        <sz val="11"/>
        <color theme="1"/>
        <rFont val="Calibri"/>
        <family val="2"/>
        <scheme val="minor"/>
      </rPr>
      <t xml:space="preserve"> - Programs for Adult/Continuing
</t>
    </r>
    <r>
      <rPr>
        <b/>
        <sz val="11"/>
        <color theme="1"/>
        <rFont val="Calibri"/>
        <family val="2"/>
        <scheme val="minor"/>
      </rPr>
      <t>42</t>
    </r>
    <r>
      <rPr>
        <sz val="11"/>
        <color theme="1"/>
        <rFont val="Calibri"/>
        <family val="2"/>
        <scheme val="minor"/>
      </rPr>
      <t xml:space="preserve"> - Community/Junior College
</t>
    </r>
    <r>
      <rPr>
        <b/>
        <sz val="11"/>
        <color theme="1"/>
        <rFont val="Calibri"/>
        <family val="2"/>
        <scheme val="minor"/>
      </rPr>
      <t>50</t>
    </r>
    <r>
      <rPr>
        <sz val="11"/>
        <color theme="1"/>
        <rFont val="Calibri"/>
        <family val="2"/>
        <scheme val="minor"/>
      </rPr>
      <t xml:space="preserve"> - School Wide
</t>
    </r>
  </si>
  <si>
    <r>
      <t>100</t>
    </r>
    <r>
      <rPr>
        <sz val="11"/>
        <color theme="1"/>
        <rFont val="Calibri"/>
        <family val="2"/>
        <scheme val="minor"/>
      </rPr>
      <t xml:space="preserve"> - Personal Services-Salaries
</t>
    </r>
    <r>
      <rPr>
        <b/>
        <sz val="11"/>
        <color theme="1"/>
        <rFont val="Calibri"/>
        <family val="2"/>
        <scheme val="minor"/>
      </rPr>
      <t>101</t>
    </r>
    <r>
      <rPr>
        <sz val="11"/>
        <color theme="1"/>
        <rFont val="Calibri"/>
        <family val="2"/>
        <scheme val="minor"/>
      </rPr>
      <t xml:space="preserve"> - Salaries Paid to Teachers
</t>
    </r>
    <r>
      <rPr>
        <b/>
        <sz val="11"/>
        <color theme="1"/>
        <rFont val="Calibri"/>
        <family val="2"/>
        <scheme val="minor"/>
      </rPr>
      <t>102</t>
    </r>
    <r>
      <rPr>
        <sz val="11"/>
        <color theme="1"/>
        <rFont val="Calibri"/>
        <family val="2"/>
        <scheme val="minor"/>
      </rPr>
      <t xml:space="preserve"> - Salaries Paid to Instructional Aides or Assistants
</t>
    </r>
    <r>
      <rPr>
        <b/>
        <sz val="11"/>
        <color theme="1"/>
        <rFont val="Calibri"/>
        <family val="2"/>
        <scheme val="minor"/>
      </rPr>
      <t>103</t>
    </r>
    <r>
      <rPr>
        <sz val="11"/>
        <color theme="1"/>
        <rFont val="Calibri"/>
        <family val="2"/>
        <scheme val="minor"/>
      </rPr>
      <t xml:space="preserve"> - Salaries Paid to Substitute Teachers
</t>
    </r>
    <r>
      <rPr>
        <b/>
        <sz val="11"/>
        <color theme="1"/>
        <rFont val="Calibri"/>
        <family val="2"/>
        <scheme val="minor"/>
      </rPr>
      <t>110</t>
    </r>
    <r>
      <rPr>
        <sz val="11"/>
        <color theme="1"/>
        <rFont val="Calibri"/>
        <family val="2"/>
        <scheme val="minor"/>
      </rPr>
      <t xml:space="preserve"> - Salaries of Regular Employees
</t>
    </r>
    <r>
      <rPr>
        <b/>
        <sz val="11"/>
        <color theme="1"/>
        <rFont val="Calibri"/>
        <family val="2"/>
        <scheme val="minor"/>
      </rPr>
      <t>111</t>
    </r>
    <r>
      <rPr>
        <sz val="11"/>
        <color theme="1"/>
        <rFont val="Calibri"/>
        <family val="2"/>
        <scheme val="minor"/>
      </rPr>
      <t xml:space="preserve"> - Salaries of Regular Employees Paid to Teachers
</t>
    </r>
    <r>
      <rPr>
        <b/>
        <sz val="11"/>
        <color theme="1"/>
        <rFont val="Calibri"/>
        <family val="2"/>
        <scheme val="minor"/>
      </rPr>
      <t>112</t>
    </r>
    <r>
      <rPr>
        <sz val="11"/>
        <color theme="1"/>
        <rFont val="Calibri"/>
        <family val="2"/>
        <scheme val="minor"/>
      </rPr>
      <t xml:space="preserve"> - Salaries of Regular Employees Paid to Instructional Aides and Assistants
</t>
    </r>
    <r>
      <rPr>
        <b/>
        <sz val="11"/>
        <color theme="1"/>
        <rFont val="Calibri"/>
        <family val="2"/>
        <scheme val="minor"/>
      </rPr>
      <t>113</t>
    </r>
    <r>
      <rPr>
        <sz val="11"/>
        <color theme="1"/>
        <rFont val="Calibri"/>
        <family val="2"/>
        <scheme val="minor"/>
      </rPr>
      <t xml:space="preserve"> - Salaries of Regular Employees Paid to Substitute Teachers
</t>
    </r>
    <r>
      <rPr>
        <b/>
        <sz val="11"/>
        <color theme="1"/>
        <rFont val="Calibri"/>
        <family val="2"/>
        <scheme val="minor"/>
      </rPr>
      <t>120</t>
    </r>
    <r>
      <rPr>
        <sz val="11"/>
        <color theme="1"/>
        <rFont val="Calibri"/>
        <family val="2"/>
        <scheme val="minor"/>
      </rPr>
      <t xml:space="preserve"> - Salaries of Temporary Employees
</t>
    </r>
    <r>
      <rPr>
        <b/>
        <sz val="11"/>
        <color theme="1"/>
        <rFont val="Calibri"/>
        <family val="2"/>
        <scheme val="minor"/>
      </rPr>
      <t>121</t>
    </r>
    <r>
      <rPr>
        <sz val="11"/>
        <color theme="1"/>
        <rFont val="Calibri"/>
        <family val="2"/>
        <scheme val="minor"/>
      </rPr>
      <t xml:space="preserve"> - Salaries of Temporary Employees Paid to Teachers
</t>
    </r>
    <r>
      <rPr>
        <b/>
        <sz val="11"/>
        <color theme="1"/>
        <rFont val="Calibri"/>
        <family val="2"/>
        <scheme val="minor"/>
      </rPr>
      <t>122</t>
    </r>
    <r>
      <rPr>
        <sz val="11"/>
        <color theme="1"/>
        <rFont val="Calibri"/>
        <family val="2"/>
        <scheme val="minor"/>
      </rPr>
      <t xml:space="preserve"> - Salaries of Temporary Employees Paid to Instructional Aides and Assistants
</t>
    </r>
    <r>
      <rPr>
        <b/>
        <sz val="11"/>
        <color theme="1"/>
        <rFont val="Calibri"/>
        <family val="2"/>
        <scheme val="minor"/>
      </rPr>
      <t>123</t>
    </r>
    <r>
      <rPr>
        <sz val="11"/>
        <color theme="1"/>
        <rFont val="Calibri"/>
        <family val="2"/>
        <scheme val="minor"/>
      </rPr>
      <t xml:space="preserve"> - Salaries of Temporary Employees Paid to Substitute Teachers
</t>
    </r>
    <r>
      <rPr>
        <b/>
        <sz val="11"/>
        <color theme="1"/>
        <rFont val="Calibri"/>
        <family val="2"/>
        <scheme val="minor"/>
      </rPr>
      <t>130</t>
    </r>
    <r>
      <rPr>
        <sz val="11"/>
        <color theme="1"/>
        <rFont val="Calibri"/>
        <family val="2"/>
        <scheme val="minor"/>
      </rPr>
      <t xml:space="preserve"> - Salaries for Overtime
</t>
    </r>
    <r>
      <rPr>
        <b/>
        <sz val="11"/>
        <color theme="1"/>
        <rFont val="Calibri"/>
        <family val="2"/>
        <scheme val="minor"/>
      </rPr>
      <t>131</t>
    </r>
    <r>
      <rPr>
        <sz val="11"/>
        <color theme="1"/>
        <rFont val="Calibri"/>
        <family val="2"/>
        <scheme val="minor"/>
      </rPr>
      <t xml:space="preserve"> - Salaries for Overtime Employees Paid to Teachers
</t>
    </r>
    <r>
      <rPr>
        <b/>
        <sz val="11"/>
        <color theme="1"/>
        <rFont val="Calibri"/>
        <family val="2"/>
        <scheme val="minor"/>
      </rPr>
      <t>132</t>
    </r>
    <r>
      <rPr>
        <sz val="11"/>
        <color theme="1"/>
        <rFont val="Calibri"/>
        <family val="2"/>
        <scheme val="minor"/>
      </rPr>
      <t xml:space="preserve"> - Salaries for Overtime Employees Paid to Instructional Aides and Assistants
</t>
    </r>
    <r>
      <rPr>
        <b/>
        <sz val="11"/>
        <color theme="1"/>
        <rFont val="Calibri"/>
        <family val="2"/>
        <scheme val="minor"/>
      </rPr>
      <t>133</t>
    </r>
    <r>
      <rPr>
        <sz val="11"/>
        <color theme="1"/>
        <rFont val="Calibri"/>
        <family val="2"/>
        <scheme val="minor"/>
      </rPr>
      <t xml:space="preserve"> - Salaries for Overtime Employees Paid to Substitute Teachers
</t>
    </r>
    <r>
      <rPr>
        <b/>
        <sz val="11"/>
        <color theme="1"/>
        <rFont val="Calibri"/>
        <family val="2"/>
        <scheme val="minor"/>
      </rPr>
      <t>140</t>
    </r>
    <r>
      <rPr>
        <sz val="11"/>
        <color theme="1"/>
        <rFont val="Calibri"/>
        <family val="2"/>
        <scheme val="minor"/>
      </rPr>
      <t xml:space="preserve"> - Salaries for Sabbatical Leave
</t>
    </r>
    <r>
      <rPr>
        <b/>
        <sz val="11"/>
        <color theme="1"/>
        <rFont val="Calibri"/>
        <family val="2"/>
        <scheme val="minor"/>
      </rPr>
      <t>141</t>
    </r>
    <r>
      <rPr>
        <sz val="11"/>
        <color theme="1"/>
        <rFont val="Calibri"/>
        <family val="2"/>
        <scheme val="minor"/>
      </rPr>
      <t xml:space="preserve"> - Salaries for Sabbatical Leave Paid to Teachers
</t>
    </r>
    <r>
      <rPr>
        <b/>
        <sz val="11"/>
        <color theme="1"/>
        <rFont val="Calibri"/>
        <family val="2"/>
        <scheme val="minor"/>
      </rPr>
      <t>142</t>
    </r>
    <r>
      <rPr>
        <sz val="11"/>
        <color theme="1"/>
        <rFont val="Calibri"/>
        <family val="2"/>
        <scheme val="minor"/>
      </rPr>
      <t xml:space="preserve"> - Salaries for Sabbatical Leave Paid to Instructional Aides and Assistants
</t>
    </r>
    <r>
      <rPr>
        <b/>
        <sz val="11"/>
        <color theme="1"/>
        <rFont val="Calibri"/>
        <family val="2"/>
        <scheme val="minor"/>
      </rPr>
      <t>143</t>
    </r>
    <r>
      <rPr>
        <sz val="11"/>
        <color theme="1"/>
        <rFont val="Calibri"/>
        <family val="2"/>
        <scheme val="minor"/>
      </rPr>
      <t xml:space="preserve"> - Salaries for Sabbatical Leave Paid to Substitute Teachers
</t>
    </r>
    <r>
      <rPr>
        <b/>
        <sz val="11"/>
        <color theme="1"/>
        <rFont val="Calibri"/>
        <family val="2"/>
        <scheme val="minor"/>
      </rPr>
      <t>150</t>
    </r>
    <r>
      <rPr>
        <sz val="11"/>
        <color theme="1"/>
        <rFont val="Calibri"/>
        <family val="2"/>
        <scheme val="minor"/>
      </rPr>
      <t xml:space="preserve"> - Additional Compensation Such as Bonuses or Incentives
</t>
    </r>
    <r>
      <rPr>
        <b/>
        <sz val="11"/>
        <color theme="1"/>
        <rFont val="Calibri"/>
        <family val="2"/>
        <scheme val="minor"/>
      </rPr>
      <t>151</t>
    </r>
    <r>
      <rPr>
        <sz val="11"/>
        <color theme="1"/>
        <rFont val="Calibri"/>
        <family val="2"/>
        <scheme val="minor"/>
      </rPr>
      <t xml:space="preserve"> - Additional Compensation Paid to Teachers
</t>
    </r>
    <r>
      <rPr>
        <b/>
        <sz val="11"/>
        <color theme="1"/>
        <rFont val="Calibri"/>
        <family val="2"/>
        <scheme val="minor"/>
      </rPr>
      <t>152</t>
    </r>
    <r>
      <rPr>
        <sz val="11"/>
        <color theme="1"/>
        <rFont val="Calibri"/>
        <family val="2"/>
        <scheme val="minor"/>
      </rPr>
      <t xml:space="preserve"> - Additional Compensation Paid to Instructional Aides and Assistants
</t>
    </r>
    <r>
      <rPr>
        <b/>
        <sz val="11"/>
        <color theme="1"/>
        <rFont val="Calibri"/>
        <family val="2"/>
        <scheme val="minor"/>
      </rPr>
      <t>153</t>
    </r>
    <r>
      <rPr>
        <sz val="11"/>
        <color theme="1"/>
        <rFont val="Calibri"/>
        <family val="2"/>
        <scheme val="minor"/>
      </rPr>
      <t xml:space="preserve"> - Additional Compensation Paid to Substitute Teachers
</t>
    </r>
    <r>
      <rPr>
        <b/>
        <sz val="11"/>
        <color theme="1"/>
        <rFont val="Calibri"/>
        <family val="2"/>
        <scheme val="minor"/>
      </rPr>
      <t>200</t>
    </r>
    <r>
      <rPr>
        <sz val="11"/>
        <color theme="1"/>
        <rFont val="Calibri"/>
        <family val="2"/>
        <scheme val="minor"/>
      </rPr>
      <t xml:space="preserve"> - Personal Services-Employee Benefits
</t>
    </r>
    <r>
      <rPr>
        <b/>
        <sz val="11"/>
        <color theme="1"/>
        <rFont val="Calibri"/>
        <family val="2"/>
        <scheme val="minor"/>
      </rPr>
      <t>201</t>
    </r>
    <r>
      <rPr>
        <sz val="11"/>
        <color theme="1"/>
        <rFont val="Calibri"/>
        <family val="2"/>
        <scheme val="minor"/>
      </rPr>
      <t xml:space="preserve"> - Employee Benefits for Teachers
</t>
    </r>
    <r>
      <rPr>
        <b/>
        <sz val="11"/>
        <color theme="1"/>
        <rFont val="Calibri"/>
        <family val="2"/>
        <scheme val="minor"/>
      </rPr>
      <t>202</t>
    </r>
    <r>
      <rPr>
        <sz val="11"/>
        <color theme="1"/>
        <rFont val="Calibri"/>
        <family val="2"/>
        <scheme val="minor"/>
      </rPr>
      <t xml:space="preserve"> - Employee Benefits for Instructional Aides or Assistants
</t>
    </r>
    <r>
      <rPr>
        <b/>
        <sz val="11"/>
        <color theme="1"/>
        <rFont val="Calibri"/>
        <family val="2"/>
        <scheme val="minor"/>
      </rPr>
      <t>203</t>
    </r>
    <r>
      <rPr>
        <sz val="11"/>
        <color theme="1"/>
        <rFont val="Calibri"/>
        <family val="2"/>
        <scheme val="minor"/>
      </rPr>
      <t xml:space="preserve"> - Employee Benefits for Substitute Teachers
</t>
    </r>
    <r>
      <rPr>
        <b/>
        <sz val="11"/>
        <color theme="1"/>
        <rFont val="Calibri"/>
        <family val="2"/>
        <scheme val="minor"/>
      </rPr>
      <t>210</t>
    </r>
    <r>
      <rPr>
        <sz val="11"/>
        <color theme="1"/>
        <rFont val="Calibri"/>
        <family val="2"/>
        <scheme val="minor"/>
      </rPr>
      <t xml:space="preserve"> - Group Insurance
</t>
    </r>
    <r>
      <rPr>
        <b/>
        <sz val="11"/>
        <color theme="1"/>
        <rFont val="Calibri"/>
        <family val="2"/>
        <scheme val="minor"/>
      </rPr>
      <t>211</t>
    </r>
    <r>
      <rPr>
        <sz val="11"/>
        <color theme="1"/>
        <rFont val="Calibri"/>
        <family val="2"/>
        <scheme val="minor"/>
      </rPr>
      <t xml:space="preserve"> - Group Insurance for Teachers
</t>
    </r>
    <r>
      <rPr>
        <b/>
        <sz val="11"/>
        <color theme="1"/>
        <rFont val="Calibri"/>
        <family val="2"/>
        <scheme val="minor"/>
      </rPr>
      <t>212</t>
    </r>
    <r>
      <rPr>
        <sz val="11"/>
        <color theme="1"/>
        <rFont val="Calibri"/>
        <family val="2"/>
        <scheme val="minor"/>
      </rPr>
      <t xml:space="preserve"> - Group Insurance for Instructional Aides or Assistants
</t>
    </r>
    <r>
      <rPr>
        <b/>
        <sz val="11"/>
        <color theme="1"/>
        <rFont val="Calibri"/>
        <family val="2"/>
        <scheme val="minor"/>
      </rPr>
      <t>213</t>
    </r>
    <r>
      <rPr>
        <sz val="11"/>
        <color theme="1"/>
        <rFont val="Calibri"/>
        <family val="2"/>
        <scheme val="minor"/>
      </rPr>
      <t xml:space="preserve"> - Group Insurance for Substitute Teachers
</t>
    </r>
    <r>
      <rPr>
        <b/>
        <sz val="11"/>
        <color theme="1"/>
        <rFont val="Calibri"/>
        <family val="2"/>
        <scheme val="minor"/>
      </rPr>
      <t>220</t>
    </r>
    <r>
      <rPr>
        <sz val="11"/>
        <color theme="1"/>
        <rFont val="Calibri"/>
        <family val="2"/>
        <scheme val="minor"/>
      </rPr>
      <t xml:space="preserve"> - Social Security Contributions
</t>
    </r>
    <r>
      <rPr>
        <b/>
        <sz val="11"/>
        <color theme="1"/>
        <rFont val="Calibri"/>
        <family val="2"/>
        <scheme val="minor"/>
      </rPr>
      <t>221</t>
    </r>
    <r>
      <rPr>
        <sz val="11"/>
        <color theme="1"/>
        <rFont val="Calibri"/>
        <family val="2"/>
        <scheme val="minor"/>
      </rPr>
      <t xml:space="preserve"> - Social Security Payments for Teachers
</t>
    </r>
    <r>
      <rPr>
        <b/>
        <sz val="11"/>
        <color theme="1"/>
        <rFont val="Calibri"/>
        <family val="2"/>
        <scheme val="minor"/>
      </rPr>
      <t>222</t>
    </r>
    <r>
      <rPr>
        <sz val="11"/>
        <color theme="1"/>
        <rFont val="Calibri"/>
        <family val="2"/>
        <scheme val="minor"/>
      </rPr>
      <t xml:space="preserve"> - Social Security Payments for Instructional Aides or Assistants
</t>
    </r>
    <r>
      <rPr>
        <b/>
        <sz val="11"/>
        <color theme="1"/>
        <rFont val="Calibri"/>
        <family val="2"/>
        <scheme val="minor"/>
      </rPr>
      <t>223</t>
    </r>
    <r>
      <rPr>
        <sz val="11"/>
        <color theme="1"/>
        <rFont val="Calibri"/>
        <family val="2"/>
        <scheme val="minor"/>
      </rPr>
      <t xml:space="preserve"> - Social Security Payments for Substitute Teachers
</t>
    </r>
    <r>
      <rPr>
        <b/>
        <sz val="11"/>
        <color theme="1"/>
        <rFont val="Calibri"/>
        <family val="2"/>
        <scheme val="minor"/>
      </rPr>
      <t>230</t>
    </r>
    <r>
      <rPr>
        <sz val="11"/>
        <color theme="1"/>
        <rFont val="Calibri"/>
        <family val="2"/>
        <scheme val="minor"/>
      </rPr>
      <t xml:space="preserve"> - Retirement Contributions
</t>
    </r>
    <r>
      <rPr>
        <b/>
        <sz val="11"/>
        <color theme="1"/>
        <rFont val="Calibri"/>
        <family val="2"/>
        <scheme val="minor"/>
      </rPr>
      <t>231</t>
    </r>
    <r>
      <rPr>
        <sz val="11"/>
        <color theme="1"/>
        <rFont val="Calibri"/>
        <family val="2"/>
        <scheme val="minor"/>
      </rPr>
      <t xml:space="preserve"> - Retirement Contributions for Teachers
</t>
    </r>
    <r>
      <rPr>
        <b/>
        <sz val="11"/>
        <color theme="1"/>
        <rFont val="Calibri"/>
        <family val="2"/>
        <scheme val="minor"/>
      </rPr>
      <t>232</t>
    </r>
    <r>
      <rPr>
        <sz val="11"/>
        <color theme="1"/>
        <rFont val="Calibri"/>
        <family val="2"/>
        <scheme val="minor"/>
      </rPr>
      <t xml:space="preserve"> - Retirement Contributions for Instructional Aides or Assistants
</t>
    </r>
    <r>
      <rPr>
        <b/>
        <sz val="11"/>
        <color theme="1"/>
        <rFont val="Calibri"/>
        <family val="2"/>
        <scheme val="minor"/>
      </rPr>
      <t>233</t>
    </r>
    <r>
      <rPr>
        <sz val="11"/>
        <color theme="1"/>
        <rFont val="Calibri"/>
        <family val="2"/>
        <scheme val="minor"/>
      </rPr>
      <t xml:space="preserve"> - Retirement Contributions for Substitute Teachers
</t>
    </r>
    <r>
      <rPr>
        <b/>
        <sz val="11"/>
        <color theme="1"/>
        <rFont val="Calibri"/>
        <family val="2"/>
        <scheme val="minor"/>
      </rPr>
      <t>240</t>
    </r>
    <r>
      <rPr>
        <sz val="11"/>
        <color theme="1"/>
        <rFont val="Calibri"/>
        <family val="2"/>
        <scheme val="minor"/>
      </rPr>
      <t xml:space="preserve"> - On-Behalf Payments
</t>
    </r>
    <r>
      <rPr>
        <b/>
        <sz val="11"/>
        <color theme="1"/>
        <rFont val="Calibri"/>
        <family val="2"/>
        <scheme val="minor"/>
      </rPr>
      <t>241</t>
    </r>
    <r>
      <rPr>
        <sz val="11"/>
        <color theme="1"/>
        <rFont val="Calibri"/>
        <family val="2"/>
        <scheme val="minor"/>
      </rPr>
      <t xml:space="preserve"> - On-Behalf Payments for Teachers
</t>
    </r>
    <r>
      <rPr>
        <b/>
        <sz val="11"/>
        <color theme="1"/>
        <rFont val="Calibri"/>
        <family val="2"/>
        <scheme val="minor"/>
      </rPr>
      <t>242</t>
    </r>
    <r>
      <rPr>
        <sz val="11"/>
        <color theme="1"/>
        <rFont val="Calibri"/>
        <family val="2"/>
        <scheme val="minor"/>
      </rPr>
      <t xml:space="preserve"> - On-Behalf Payments for Instructional Aides or Assistants
</t>
    </r>
    <r>
      <rPr>
        <b/>
        <sz val="11"/>
        <color theme="1"/>
        <rFont val="Calibri"/>
        <family val="2"/>
        <scheme val="minor"/>
      </rPr>
      <t>243</t>
    </r>
    <r>
      <rPr>
        <sz val="11"/>
        <color theme="1"/>
        <rFont val="Calibri"/>
        <family val="2"/>
        <scheme val="minor"/>
      </rPr>
      <t xml:space="preserve"> - On-Behalf Payments for Substitute Teachers
</t>
    </r>
    <r>
      <rPr>
        <b/>
        <sz val="11"/>
        <color theme="1"/>
        <rFont val="Calibri"/>
        <family val="2"/>
        <scheme val="minor"/>
      </rPr>
      <t>250</t>
    </r>
    <r>
      <rPr>
        <sz val="11"/>
        <color theme="1"/>
        <rFont val="Calibri"/>
        <family val="2"/>
        <scheme val="minor"/>
      </rPr>
      <t xml:space="preserve"> - Tuition Reimbursement
</t>
    </r>
    <r>
      <rPr>
        <b/>
        <sz val="11"/>
        <color theme="1"/>
        <rFont val="Calibri"/>
        <family val="2"/>
        <scheme val="minor"/>
      </rPr>
      <t>251</t>
    </r>
    <r>
      <rPr>
        <sz val="11"/>
        <color theme="1"/>
        <rFont val="Calibri"/>
        <family val="2"/>
        <scheme val="minor"/>
      </rPr>
      <t xml:space="preserve"> - Tuition Reimbursement for Teachers
</t>
    </r>
    <r>
      <rPr>
        <b/>
        <sz val="11"/>
        <color theme="1"/>
        <rFont val="Calibri"/>
        <family val="2"/>
        <scheme val="minor"/>
      </rPr>
      <t>252</t>
    </r>
    <r>
      <rPr>
        <sz val="11"/>
        <color theme="1"/>
        <rFont val="Calibri"/>
        <family val="2"/>
        <scheme val="minor"/>
      </rPr>
      <t xml:space="preserve"> - Tuition Reimbursement for Instructional Aides or Assistants
</t>
    </r>
    <r>
      <rPr>
        <b/>
        <sz val="11"/>
        <color theme="1"/>
        <rFont val="Calibri"/>
        <family val="2"/>
        <scheme val="minor"/>
      </rPr>
      <t>253</t>
    </r>
    <r>
      <rPr>
        <sz val="11"/>
        <color theme="1"/>
        <rFont val="Calibri"/>
        <family val="2"/>
        <scheme val="minor"/>
      </rPr>
      <t xml:space="preserve"> - Tuition Reimbursement for Substitute Teachers
</t>
    </r>
    <r>
      <rPr>
        <b/>
        <sz val="11"/>
        <color theme="1"/>
        <rFont val="Calibri"/>
        <family val="2"/>
        <scheme val="minor"/>
      </rPr>
      <t>260</t>
    </r>
    <r>
      <rPr>
        <sz val="11"/>
        <color theme="1"/>
        <rFont val="Calibri"/>
        <family val="2"/>
        <scheme val="minor"/>
      </rPr>
      <t xml:space="preserve"> - Unemployment Compensation
</t>
    </r>
    <r>
      <rPr>
        <b/>
        <sz val="11"/>
        <color theme="1"/>
        <rFont val="Calibri"/>
        <family val="2"/>
        <scheme val="minor"/>
      </rPr>
      <t>261</t>
    </r>
    <r>
      <rPr>
        <sz val="11"/>
        <color theme="1"/>
        <rFont val="Calibri"/>
        <family val="2"/>
        <scheme val="minor"/>
      </rPr>
      <t xml:space="preserve"> - Unemployment Compensation Paid for Teachers
</t>
    </r>
    <r>
      <rPr>
        <b/>
        <sz val="11"/>
        <color theme="1"/>
        <rFont val="Calibri"/>
        <family val="2"/>
        <scheme val="minor"/>
      </rPr>
      <t>262</t>
    </r>
    <r>
      <rPr>
        <sz val="11"/>
        <color theme="1"/>
        <rFont val="Calibri"/>
        <family val="2"/>
        <scheme val="minor"/>
      </rPr>
      <t xml:space="preserve"> - Unemployment Compensation Paid for Instructional Aides or Assistants
</t>
    </r>
    <r>
      <rPr>
        <b/>
        <sz val="11"/>
        <color theme="1"/>
        <rFont val="Calibri"/>
        <family val="2"/>
        <scheme val="minor"/>
      </rPr>
      <t>263</t>
    </r>
    <r>
      <rPr>
        <sz val="11"/>
        <color theme="1"/>
        <rFont val="Calibri"/>
        <family val="2"/>
        <scheme val="minor"/>
      </rPr>
      <t xml:space="preserve"> - Unemployment Compensation Paid for Substitute Teachers
</t>
    </r>
    <r>
      <rPr>
        <b/>
        <sz val="11"/>
        <color theme="1"/>
        <rFont val="Calibri"/>
        <family val="2"/>
        <scheme val="minor"/>
      </rPr>
      <t>270</t>
    </r>
    <r>
      <rPr>
        <sz val="11"/>
        <color theme="1"/>
        <rFont val="Calibri"/>
        <family val="2"/>
        <scheme val="minor"/>
      </rPr>
      <t xml:space="preserve"> - Workers' Compensation
</t>
    </r>
    <r>
      <rPr>
        <b/>
        <sz val="11"/>
        <color theme="1"/>
        <rFont val="Calibri"/>
        <family val="2"/>
        <scheme val="minor"/>
      </rPr>
      <t>271</t>
    </r>
    <r>
      <rPr>
        <sz val="11"/>
        <color theme="1"/>
        <rFont val="Calibri"/>
        <family val="2"/>
        <scheme val="minor"/>
      </rPr>
      <t xml:space="preserve"> - Worker's Compensation Paid for Teachers
</t>
    </r>
    <r>
      <rPr>
        <b/>
        <sz val="11"/>
        <color theme="1"/>
        <rFont val="Calibri"/>
        <family val="2"/>
        <scheme val="minor"/>
      </rPr>
      <t>272</t>
    </r>
    <r>
      <rPr>
        <sz val="11"/>
        <color theme="1"/>
        <rFont val="Calibri"/>
        <family val="2"/>
        <scheme val="minor"/>
      </rPr>
      <t xml:space="preserve"> - Worker's Compensation Paid for Instructional Aides or Assistants
</t>
    </r>
    <r>
      <rPr>
        <b/>
        <sz val="11"/>
        <color theme="1"/>
        <rFont val="Calibri"/>
        <family val="2"/>
        <scheme val="minor"/>
      </rPr>
      <t>273</t>
    </r>
    <r>
      <rPr>
        <sz val="11"/>
        <color theme="1"/>
        <rFont val="Calibri"/>
        <family val="2"/>
        <scheme val="minor"/>
      </rPr>
      <t xml:space="preserve"> - Worker's Compensation for Substitute Teachers
</t>
    </r>
    <r>
      <rPr>
        <b/>
        <sz val="11"/>
        <color theme="1"/>
        <rFont val="Calibri"/>
        <family val="2"/>
        <scheme val="minor"/>
      </rPr>
      <t>280</t>
    </r>
    <r>
      <rPr>
        <sz val="11"/>
        <color theme="1"/>
        <rFont val="Calibri"/>
        <family val="2"/>
        <scheme val="minor"/>
      </rPr>
      <t xml:space="preserve"> - Health Benefits
</t>
    </r>
    <r>
      <rPr>
        <b/>
        <sz val="11"/>
        <color theme="1"/>
        <rFont val="Calibri"/>
        <family val="2"/>
        <scheme val="minor"/>
      </rPr>
      <t>281</t>
    </r>
    <r>
      <rPr>
        <sz val="11"/>
        <color theme="1"/>
        <rFont val="Calibri"/>
        <family val="2"/>
        <scheme val="minor"/>
      </rPr>
      <t xml:space="preserve"> - Health Benefits Paid for Teachers
</t>
    </r>
    <r>
      <rPr>
        <b/>
        <sz val="11"/>
        <color theme="1"/>
        <rFont val="Calibri"/>
        <family val="2"/>
        <scheme val="minor"/>
      </rPr>
      <t>282</t>
    </r>
    <r>
      <rPr>
        <sz val="11"/>
        <color theme="1"/>
        <rFont val="Calibri"/>
        <family val="2"/>
        <scheme val="minor"/>
      </rPr>
      <t xml:space="preserve"> - Health Benefits Paid for Instructional Aides or Assistants
</t>
    </r>
    <r>
      <rPr>
        <b/>
        <sz val="11"/>
        <color theme="1"/>
        <rFont val="Calibri"/>
        <family val="2"/>
        <scheme val="minor"/>
      </rPr>
      <t>283</t>
    </r>
    <r>
      <rPr>
        <sz val="11"/>
        <color theme="1"/>
        <rFont val="Calibri"/>
        <family val="2"/>
        <scheme val="minor"/>
      </rPr>
      <t xml:space="preserve"> - Health Benefits Paid for Substitute Teachers
</t>
    </r>
    <r>
      <rPr>
        <b/>
        <sz val="11"/>
        <color theme="1"/>
        <rFont val="Calibri"/>
        <family val="2"/>
        <scheme val="minor"/>
      </rPr>
      <t>290</t>
    </r>
    <r>
      <rPr>
        <sz val="11"/>
        <color theme="1"/>
        <rFont val="Calibri"/>
        <family val="2"/>
        <scheme val="minor"/>
      </rPr>
      <t xml:space="preserve"> - Other Employee Benefits
</t>
    </r>
    <r>
      <rPr>
        <b/>
        <sz val="11"/>
        <color theme="1"/>
        <rFont val="Calibri"/>
        <family val="2"/>
        <scheme val="minor"/>
      </rPr>
      <t>291</t>
    </r>
    <r>
      <rPr>
        <sz val="11"/>
        <color theme="1"/>
        <rFont val="Calibri"/>
        <family val="2"/>
        <scheme val="minor"/>
      </rPr>
      <t xml:space="preserve"> - Other Employee Benefits Paid for Teachers
</t>
    </r>
    <r>
      <rPr>
        <b/>
        <sz val="11"/>
        <color theme="1"/>
        <rFont val="Calibri"/>
        <family val="2"/>
        <scheme val="minor"/>
      </rPr>
      <t>292</t>
    </r>
    <r>
      <rPr>
        <sz val="11"/>
        <color theme="1"/>
        <rFont val="Calibri"/>
        <family val="2"/>
        <scheme val="minor"/>
      </rPr>
      <t xml:space="preserve"> - Other Employee Benefits Paid for Instructional Aides or Assistants
</t>
    </r>
    <r>
      <rPr>
        <b/>
        <sz val="11"/>
        <color theme="1"/>
        <rFont val="Calibri"/>
        <family val="2"/>
        <scheme val="minor"/>
      </rPr>
      <t>293</t>
    </r>
    <r>
      <rPr>
        <sz val="11"/>
        <color theme="1"/>
        <rFont val="Calibri"/>
        <family val="2"/>
        <scheme val="minor"/>
      </rPr>
      <t xml:space="preserve"> - Other Employee Benefits for Substitute Teachers
</t>
    </r>
    <r>
      <rPr>
        <b/>
        <sz val="11"/>
        <color theme="1"/>
        <rFont val="Calibri"/>
        <family val="2"/>
        <scheme val="minor"/>
      </rPr>
      <t>300</t>
    </r>
    <r>
      <rPr>
        <sz val="11"/>
        <color theme="1"/>
        <rFont val="Calibri"/>
        <family val="2"/>
        <scheme val="minor"/>
      </rPr>
      <t xml:space="preserve"> - Purchased Professional and Technical Services
</t>
    </r>
    <r>
      <rPr>
        <b/>
        <sz val="11"/>
        <color theme="1"/>
        <rFont val="Calibri"/>
        <family val="2"/>
        <scheme val="minor"/>
      </rPr>
      <t>310</t>
    </r>
    <r>
      <rPr>
        <sz val="11"/>
        <color theme="1"/>
        <rFont val="Calibri"/>
        <family val="2"/>
        <scheme val="minor"/>
      </rPr>
      <t xml:space="preserve"> - Official/Administrative Services
</t>
    </r>
    <r>
      <rPr>
        <b/>
        <sz val="11"/>
        <color theme="1"/>
        <rFont val="Calibri"/>
        <family val="2"/>
        <scheme val="minor"/>
      </rPr>
      <t>320</t>
    </r>
    <r>
      <rPr>
        <sz val="11"/>
        <color theme="1"/>
        <rFont val="Calibri"/>
        <family val="2"/>
        <scheme val="minor"/>
      </rPr>
      <t xml:space="preserve"> - Professional Educational Services
</t>
    </r>
    <r>
      <rPr>
        <b/>
        <sz val="11"/>
        <color theme="1"/>
        <rFont val="Calibri"/>
        <family val="2"/>
        <scheme val="minor"/>
      </rPr>
      <t>330</t>
    </r>
    <r>
      <rPr>
        <sz val="11"/>
        <color theme="1"/>
        <rFont val="Calibri"/>
        <family val="2"/>
        <scheme val="minor"/>
      </rPr>
      <t xml:space="preserve"> - Employee Training and Development Services
</t>
    </r>
    <r>
      <rPr>
        <b/>
        <sz val="11"/>
        <color theme="1"/>
        <rFont val="Calibri"/>
        <family val="2"/>
        <scheme val="minor"/>
      </rPr>
      <t>340</t>
    </r>
    <r>
      <rPr>
        <sz val="11"/>
        <color theme="1"/>
        <rFont val="Calibri"/>
        <family val="2"/>
        <scheme val="minor"/>
      </rPr>
      <t xml:space="preserve"> - Other Professional Services
</t>
    </r>
    <r>
      <rPr>
        <b/>
        <sz val="11"/>
        <color theme="1"/>
        <rFont val="Calibri"/>
        <family val="2"/>
        <scheme val="minor"/>
      </rPr>
      <t>350</t>
    </r>
    <r>
      <rPr>
        <sz val="11"/>
        <color theme="1"/>
        <rFont val="Calibri"/>
        <family val="2"/>
        <scheme val="minor"/>
      </rPr>
      <t xml:space="preserve"> - Technical Services
</t>
    </r>
    <r>
      <rPr>
        <b/>
        <sz val="11"/>
        <color theme="1"/>
        <rFont val="Calibri"/>
        <family val="2"/>
        <scheme val="minor"/>
      </rPr>
      <t>351</t>
    </r>
    <r>
      <rPr>
        <sz val="11"/>
        <color theme="1"/>
        <rFont val="Calibri"/>
        <family val="2"/>
        <scheme val="minor"/>
      </rPr>
      <t xml:space="preserve"> - Data-Processing and Coding Services
</t>
    </r>
    <r>
      <rPr>
        <b/>
        <sz val="11"/>
        <color theme="1"/>
        <rFont val="Calibri"/>
        <family val="2"/>
        <scheme val="minor"/>
      </rPr>
      <t>352</t>
    </r>
    <r>
      <rPr>
        <sz val="11"/>
        <color theme="1"/>
        <rFont val="Calibri"/>
        <family val="2"/>
        <scheme val="minor"/>
      </rPr>
      <t xml:space="preserve"> - Other Technical Services
</t>
    </r>
    <r>
      <rPr>
        <b/>
        <sz val="11"/>
        <color theme="1"/>
        <rFont val="Calibri"/>
        <family val="2"/>
        <scheme val="minor"/>
      </rPr>
      <t>400</t>
    </r>
    <r>
      <rPr>
        <sz val="11"/>
        <color theme="1"/>
        <rFont val="Calibri"/>
        <family val="2"/>
        <scheme val="minor"/>
      </rPr>
      <t xml:space="preserve"> - Purchased Property Services
</t>
    </r>
    <r>
      <rPr>
        <b/>
        <sz val="11"/>
        <color theme="1"/>
        <rFont val="Calibri"/>
        <family val="2"/>
        <scheme val="minor"/>
      </rPr>
      <t>410</t>
    </r>
    <r>
      <rPr>
        <sz val="11"/>
        <color theme="1"/>
        <rFont val="Calibri"/>
        <family val="2"/>
        <scheme val="minor"/>
      </rPr>
      <t xml:space="preserve"> - Utility Services
</t>
    </r>
    <r>
      <rPr>
        <b/>
        <sz val="11"/>
        <color theme="1"/>
        <rFont val="Calibri"/>
        <family val="2"/>
        <scheme val="minor"/>
      </rPr>
      <t>420</t>
    </r>
    <r>
      <rPr>
        <sz val="11"/>
        <color theme="1"/>
        <rFont val="Calibri"/>
        <family val="2"/>
        <scheme val="minor"/>
      </rPr>
      <t xml:space="preserve"> - Cleaning Services
</t>
    </r>
    <r>
      <rPr>
        <b/>
        <sz val="11"/>
        <color theme="1"/>
        <rFont val="Calibri"/>
        <family val="2"/>
        <scheme val="minor"/>
      </rPr>
      <t>430</t>
    </r>
    <r>
      <rPr>
        <sz val="11"/>
        <color theme="1"/>
        <rFont val="Calibri"/>
        <family val="2"/>
        <scheme val="minor"/>
      </rPr>
      <t xml:space="preserve"> - Repairs and Maintenance Services
</t>
    </r>
    <r>
      <rPr>
        <b/>
        <sz val="11"/>
        <color theme="1"/>
        <rFont val="Calibri"/>
        <family val="2"/>
        <scheme val="minor"/>
      </rPr>
      <t>431</t>
    </r>
    <r>
      <rPr>
        <sz val="11"/>
        <color theme="1"/>
        <rFont val="Calibri"/>
        <family val="2"/>
        <scheme val="minor"/>
      </rPr>
      <t xml:space="preserve"> - Non-Technology-Related Repairs and Maintenance
</t>
    </r>
    <r>
      <rPr>
        <b/>
        <sz val="11"/>
        <color theme="1"/>
        <rFont val="Calibri"/>
        <family val="2"/>
        <scheme val="minor"/>
      </rPr>
      <t>432</t>
    </r>
    <r>
      <rPr>
        <sz val="11"/>
        <color theme="1"/>
        <rFont val="Calibri"/>
        <family val="2"/>
        <scheme val="minor"/>
      </rPr>
      <t xml:space="preserve"> - Technology-Related Repairs and Maintenance
</t>
    </r>
    <r>
      <rPr>
        <b/>
        <sz val="11"/>
        <color theme="1"/>
        <rFont val="Calibri"/>
        <family val="2"/>
        <scheme val="minor"/>
      </rPr>
      <t>440</t>
    </r>
    <r>
      <rPr>
        <sz val="11"/>
        <color theme="1"/>
        <rFont val="Calibri"/>
        <family val="2"/>
        <scheme val="minor"/>
      </rPr>
      <t xml:space="preserve"> - Rentals
</t>
    </r>
    <r>
      <rPr>
        <b/>
        <sz val="11"/>
        <color theme="1"/>
        <rFont val="Calibri"/>
        <family val="2"/>
        <scheme val="minor"/>
      </rPr>
      <t>441</t>
    </r>
    <r>
      <rPr>
        <sz val="11"/>
        <color theme="1"/>
        <rFont val="Calibri"/>
        <family val="2"/>
        <scheme val="minor"/>
      </rPr>
      <t xml:space="preserve"> - Rentals of Land and Buildings
</t>
    </r>
    <r>
      <rPr>
        <b/>
        <sz val="11"/>
        <color theme="1"/>
        <rFont val="Calibri"/>
        <family val="2"/>
        <scheme val="minor"/>
      </rPr>
      <t>442</t>
    </r>
    <r>
      <rPr>
        <sz val="11"/>
        <color theme="1"/>
        <rFont val="Calibri"/>
        <family val="2"/>
        <scheme val="minor"/>
      </rPr>
      <t xml:space="preserve"> - Rentals of Equipment and Vehicles
</t>
    </r>
    <r>
      <rPr>
        <b/>
        <sz val="11"/>
        <color theme="1"/>
        <rFont val="Calibri"/>
        <family val="2"/>
        <scheme val="minor"/>
      </rPr>
      <t>443</t>
    </r>
    <r>
      <rPr>
        <sz val="11"/>
        <color theme="1"/>
        <rFont val="Calibri"/>
        <family val="2"/>
        <scheme val="minor"/>
      </rPr>
      <t xml:space="preserve"> - Rentals of Computers and Related Equipment
</t>
    </r>
    <r>
      <rPr>
        <b/>
        <sz val="11"/>
        <color theme="1"/>
        <rFont val="Calibri"/>
        <family val="2"/>
        <scheme val="minor"/>
      </rPr>
      <t>450</t>
    </r>
    <r>
      <rPr>
        <sz val="11"/>
        <color theme="1"/>
        <rFont val="Calibri"/>
        <family val="2"/>
        <scheme val="minor"/>
      </rPr>
      <t xml:space="preserve"> - Construction Services
</t>
    </r>
    <r>
      <rPr>
        <b/>
        <sz val="11"/>
        <color theme="1"/>
        <rFont val="Calibri"/>
        <family val="2"/>
        <scheme val="minor"/>
      </rPr>
      <t>490</t>
    </r>
    <r>
      <rPr>
        <sz val="11"/>
        <color theme="1"/>
        <rFont val="Calibri"/>
        <family val="2"/>
        <scheme val="minor"/>
      </rPr>
      <t xml:space="preserve"> - Other Purchased Property Services
</t>
    </r>
    <r>
      <rPr>
        <b/>
        <sz val="11"/>
        <color theme="1"/>
        <rFont val="Calibri"/>
        <family val="2"/>
        <scheme val="minor"/>
      </rPr>
      <t>500</t>
    </r>
    <r>
      <rPr>
        <sz val="11"/>
        <color theme="1"/>
        <rFont val="Calibri"/>
        <family val="2"/>
        <scheme val="minor"/>
      </rPr>
      <t xml:space="preserve"> - Other Purchased Services
</t>
    </r>
    <r>
      <rPr>
        <b/>
        <sz val="11"/>
        <color theme="1"/>
        <rFont val="Calibri"/>
        <family val="2"/>
        <scheme val="minor"/>
      </rPr>
      <t>510</t>
    </r>
    <r>
      <rPr>
        <sz val="11"/>
        <color theme="1"/>
        <rFont val="Calibri"/>
        <family val="2"/>
        <scheme val="minor"/>
      </rPr>
      <t xml:space="preserve"> - Student Transportation Services
</t>
    </r>
    <r>
      <rPr>
        <b/>
        <sz val="11"/>
        <color theme="1"/>
        <rFont val="Calibri"/>
        <family val="2"/>
        <scheme val="minor"/>
      </rPr>
      <t>511</t>
    </r>
    <r>
      <rPr>
        <sz val="11"/>
        <color theme="1"/>
        <rFont val="Calibri"/>
        <family val="2"/>
        <scheme val="minor"/>
      </rPr>
      <t xml:space="preserve"> - Student Transportation Purchased From Another School District Within the State
</t>
    </r>
    <r>
      <rPr>
        <b/>
        <sz val="11"/>
        <color theme="1"/>
        <rFont val="Calibri"/>
        <family val="2"/>
        <scheme val="minor"/>
      </rPr>
      <t>512</t>
    </r>
    <r>
      <rPr>
        <sz val="11"/>
        <color theme="1"/>
        <rFont val="Calibri"/>
        <family val="2"/>
        <scheme val="minor"/>
      </rPr>
      <t xml:space="preserve"> - Student Transportation Purchased From Another School District Outside the State
</t>
    </r>
    <r>
      <rPr>
        <b/>
        <sz val="11"/>
        <color theme="1"/>
        <rFont val="Calibri"/>
        <family val="2"/>
        <scheme val="minor"/>
      </rPr>
      <t>519</t>
    </r>
    <r>
      <rPr>
        <sz val="11"/>
        <color theme="1"/>
        <rFont val="Calibri"/>
        <family val="2"/>
        <scheme val="minor"/>
      </rPr>
      <t xml:space="preserve"> - Student Transportation Purchased From Other Sources
</t>
    </r>
    <r>
      <rPr>
        <b/>
        <sz val="11"/>
        <color theme="1"/>
        <rFont val="Calibri"/>
        <family val="2"/>
        <scheme val="minor"/>
      </rPr>
      <t>520</t>
    </r>
    <r>
      <rPr>
        <sz val="11"/>
        <color theme="1"/>
        <rFont val="Calibri"/>
        <family val="2"/>
        <scheme val="minor"/>
      </rPr>
      <t xml:space="preserve"> - Insurance (Other Than Employee Benefits)
</t>
    </r>
    <r>
      <rPr>
        <b/>
        <sz val="11"/>
        <color theme="1"/>
        <rFont val="Calibri"/>
        <family val="2"/>
        <scheme val="minor"/>
      </rPr>
      <t>530</t>
    </r>
    <r>
      <rPr>
        <sz val="11"/>
        <color theme="1"/>
        <rFont val="Calibri"/>
        <family val="2"/>
        <scheme val="minor"/>
      </rPr>
      <t xml:space="preserve"> - Communications
</t>
    </r>
    <r>
      <rPr>
        <b/>
        <sz val="11"/>
        <color theme="1"/>
        <rFont val="Calibri"/>
        <family val="2"/>
        <scheme val="minor"/>
      </rPr>
      <t>540</t>
    </r>
    <r>
      <rPr>
        <sz val="11"/>
        <color theme="1"/>
        <rFont val="Calibri"/>
        <family val="2"/>
        <scheme val="minor"/>
      </rPr>
      <t xml:space="preserve"> - Advertising
</t>
    </r>
    <r>
      <rPr>
        <b/>
        <sz val="11"/>
        <color theme="1"/>
        <rFont val="Calibri"/>
        <family val="2"/>
        <scheme val="minor"/>
      </rPr>
      <t>550</t>
    </r>
    <r>
      <rPr>
        <sz val="11"/>
        <color theme="1"/>
        <rFont val="Calibri"/>
        <family val="2"/>
        <scheme val="minor"/>
      </rPr>
      <t xml:space="preserve"> - Printing and Binding
</t>
    </r>
    <r>
      <rPr>
        <b/>
        <sz val="11"/>
        <color theme="1"/>
        <rFont val="Calibri"/>
        <family val="2"/>
        <scheme val="minor"/>
      </rPr>
      <t>560</t>
    </r>
    <r>
      <rPr>
        <sz val="11"/>
        <color theme="1"/>
        <rFont val="Calibri"/>
        <family val="2"/>
        <scheme val="minor"/>
      </rPr>
      <t xml:space="preserve"> - Tuition
</t>
    </r>
    <r>
      <rPr>
        <b/>
        <sz val="11"/>
        <color theme="1"/>
        <rFont val="Calibri"/>
        <family val="2"/>
        <scheme val="minor"/>
      </rPr>
      <t>561</t>
    </r>
    <r>
      <rPr>
        <sz val="11"/>
        <color theme="1"/>
        <rFont val="Calibri"/>
        <family val="2"/>
        <scheme val="minor"/>
      </rPr>
      <t xml:space="preserve"> - Tuition to Other School Districts (Excluding Charter Schools) Within the State
</t>
    </r>
    <r>
      <rPr>
        <b/>
        <sz val="11"/>
        <color theme="1"/>
        <rFont val="Calibri"/>
        <family val="2"/>
        <scheme val="minor"/>
      </rPr>
      <t>562</t>
    </r>
    <r>
      <rPr>
        <sz val="11"/>
        <color theme="1"/>
        <rFont val="Calibri"/>
        <family val="2"/>
        <scheme val="minor"/>
      </rPr>
      <t xml:space="preserve"> - Tuition to Other School Districts (Including Charter Schools) Outside the State
</t>
    </r>
    <r>
      <rPr>
        <b/>
        <sz val="11"/>
        <color theme="1"/>
        <rFont val="Calibri"/>
        <family val="2"/>
        <scheme val="minor"/>
      </rPr>
      <t>563</t>
    </r>
    <r>
      <rPr>
        <sz val="11"/>
        <color theme="1"/>
        <rFont val="Calibri"/>
        <family val="2"/>
        <scheme val="minor"/>
      </rPr>
      <t xml:space="preserve"> - Tuition to Private Schools
</t>
    </r>
    <r>
      <rPr>
        <b/>
        <sz val="11"/>
        <color theme="1"/>
        <rFont val="Calibri"/>
        <family val="2"/>
        <scheme val="minor"/>
      </rPr>
      <t>564</t>
    </r>
    <r>
      <rPr>
        <sz val="11"/>
        <color theme="1"/>
        <rFont val="Calibri"/>
        <family val="2"/>
        <scheme val="minor"/>
      </rPr>
      <t xml:space="preserve"> - Tuition to Charter Schools Within the State
</t>
    </r>
    <r>
      <rPr>
        <b/>
        <sz val="11"/>
        <color theme="1"/>
        <rFont val="Calibri"/>
        <family val="2"/>
        <scheme val="minor"/>
      </rPr>
      <t>565</t>
    </r>
    <r>
      <rPr>
        <sz val="11"/>
        <color theme="1"/>
        <rFont val="Calibri"/>
        <family val="2"/>
        <scheme val="minor"/>
      </rPr>
      <t xml:space="preserve"> - Tuition to Postsecondary Schools
</t>
    </r>
    <r>
      <rPr>
        <b/>
        <sz val="11"/>
        <color theme="1"/>
        <rFont val="Calibri"/>
        <family val="2"/>
        <scheme val="minor"/>
      </rPr>
      <t>566</t>
    </r>
    <r>
      <rPr>
        <sz val="11"/>
        <color theme="1"/>
        <rFont val="Calibri"/>
        <family val="2"/>
        <scheme val="minor"/>
      </rPr>
      <t xml:space="preserve"> - Voucher Payments to Private Schools and to Other School Districts Outside the State
</t>
    </r>
    <r>
      <rPr>
        <b/>
        <sz val="11"/>
        <color theme="1"/>
        <rFont val="Calibri"/>
        <family val="2"/>
        <scheme val="minor"/>
      </rPr>
      <t>567</t>
    </r>
    <r>
      <rPr>
        <sz val="11"/>
        <color theme="1"/>
        <rFont val="Calibri"/>
        <family val="2"/>
        <scheme val="minor"/>
      </rPr>
      <t xml:space="preserve"> - Voucher Payments to School Districts, including Charter Schools, Within the State
</t>
    </r>
    <r>
      <rPr>
        <b/>
        <sz val="11"/>
        <color theme="1"/>
        <rFont val="Calibri"/>
        <family val="2"/>
        <scheme val="minor"/>
      </rPr>
      <t>568</t>
    </r>
    <r>
      <rPr>
        <sz val="11"/>
        <color theme="1"/>
        <rFont val="Calibri"/>
        <family val="2"/>
        <scheme val="minor"/>
      </rPr>
      <t xml:space="preserve"> - Voucher Payments Directly to Individuals
</t>
    </r>
    <r>
      <rPr>
        <b/>
        <sz val="11"/>
        <color theme="1"/>
        <rFont val="Calibri"/>
        <family val="2"/>
        <scheme val="minor"/>
      </rPr>
      <t>569</t>
    </r>
    <r>
      <rPr>
        <sz val="11"/>
        <color theme="1"/>
        <rFont val="Calibri"/>
        <family val="2"/>
        <scheme val="minor"/>
      </rPr>
      <t xml:space="preserve"> - Tuition-Other
</t>
    </r>
    <r>
      <rPr>
        <b/>
        <sz val="11"/>
        <color theme="1"/>
        <rFont val="Calibri"/>
        <family val="2"/>
        <scheme val="minor"/>
      </rPr>
      <t>570</t>
    </r>
    <r>
      <rPr>
        <sz val="11"/>
        <color theme="1"/>
        <rFont val="Calibri"/>
        <family val="2"/>
        <scheme val="minor"/>
      </rPr>
      <t xml:space="preserve"> - Food Service Management
</t>
    </r>
    <r>
      <rPr>
        <b/>
        <sz val="11"/>
        <color theme="1"/>
        <rFont val="Calibri"/>
        <family val="2"/>
        <scheme val="minor"/>
      </rPr>
      <t>580</t>
    </r>
    <r>
      <rPr>
        <sz val="11"/>
        <color theme="1"/>
        <rFont val="Calibri"/>
        <family val="2"/>
        <scheme val="minor"/>
      </rPr>
      <t xml:space="preserve"> - Travel
</t>
    </r>
    <r>
      <rPr>
        <b/>
        <sz val="11"/>
        <color theme="1"/>
        <rFont val="Calibri"/>
        <family val="2"/>
        <scheme val="minor"/>
      </rPr>
      <t>590</t>
    </r>
    <r>
      <rPr>
        <sz val="11"/>
        <color theme="1"/>
        <rFont val="Calibri"/>
        <family val="2"/>
        <scheme val="minor"/>
      </rPr>
      <t xml:space="preserve"> - Interagency Purchased Services
</t>
    </r>
    <r>
      <rPr>
        <b/>
        <sz val="11"/>
        <color theme="1"/>
        <rFont val="Calibri"/>
        <family val="2"/>
        <scheme val="minor"/>
      </rPr>
      <t>591</t>
    </r>
    <r>
      <rPr>
        <sz val="11"/>
        <color theme="1"/>
        <rFont val="Calibri"/>
        <family val="2"/>
        <scheme val="minor"/>
      </rPr>
      <t xml:space="preserve"> - Services Purchased From Another School District or Educational Services Agency Within the State
</t>
    </r>
    <r>
      <rPr>
        <b/>
        <sz val="11"/>
        <color theme="1"/>
        <rFont val="Calibri"/>
        <family val="2"/>
        <scheme val="minor"/>
      </rPr>
      <t>592</t>
    </r>
    <r>
      <rPr>
        <sz val="11"/>
        <color theme="1"/>
        <rFont val="Calibri"/>
        <family val="2"/>
        <scheme val="minor"/>
      </rPr>
      <t xml:space="preserve"> - Services Purchased From Another School District or Educational Services Agency Outside the State
</t>
    </r>
    <r>
      <rPr>
        <b/>
        <sz val="11"/>
        <color theme="1"/>
        <rFont val="Calibri"/>
        <family val="2"/>
        <scheme val="minor"/>
      </rPr>
      <t>600</t>
    </r>
    <r>
      <rPr>
        <sz val="11"/>
        <color theme="1"/>
        <rFont val="Calibri"/>
        <family val="2"/>
        <scheme val="minor"/>
      </rPr>
      <t xml:space="preserve"> - Supplies
</t>
    </r>
    <r>
      <rPr>
        <b/>
        <sz val="11"/>
        <color theme="1"/>
        <rFont val="Calibri"/>
        <family val="2"/>
        <scheme val="minor"/>
      </rPr>
      <t>610</t>
    </r>
    <r>
      <rPr>
        <sz val="11"/>
        <color theme="1"/>
        <rFont val="Calibri"/>
        <family val="2"/>
        <scheme val="minor"/>
      </rPr>
      <t xml:space="preserve"> - General Supplies
</t>
    </r>
    <r>
      <rPr>
        <b/>
        <sz val="11"/>
        <color theme="1"/>
        <rFont val="Calibri"/>
        <family val="2"/>
        <scheme val="minor"/>
      </rPr>
      <t>620</t>
    </r>
    <r>
      <rPr>
        <sz val="11"/>
        <color theme="1"/>
        <rFont val="Calibri"/>
        <family val="2"/>
        <scheme val="minor"/>
      </rPr>
      <t xml:space="preserve"> - Energy
</t>
    </r>
    <r>
      <rPr>
        <b/>
        <sz val="11"/>
        <color theme="1"/>
        <rFont val="Calibri"/>
        <family val="2"/>
        <scheme val="minor"/>
      </rPr>
      <t>621</t>
    </r>
    <r>
      <rPr>
        <sz val="11"/>
        <color theme="1"/>
        <rFont val="Calibri"/>
        <family val="2"/>
        <scheme val="minor"/>
      </rPr>
      <t xml:space="preserve"> - Natural Gas
</t>
    </r>
    <r>
      <rPr>
        <b/>
        <sz val="11"/>
        <color theme="1"/>
        <rFont val="Calibri"/>
        <family val="2"/>
        <scheme val="minor"/>
      </rPr>
      <t>622</t>
    </r>
    <r>
      <rPr>
        <sz val="11"/>
        <color theme="1"/>
        <rFont val="Calibri"/>
        <family val="2"/>
        <scheme val="minor"/>
      </rPr>
      <t xml:space="preserve"> - Electricity
</t>
    </r>
    <r>
      <rPr>
        <b/>
        <sz val="11"/>
        <color theme="1"/>
        <rFont val="Calibri"/>
        <family val="2"/>
        <scheme val="minor"/>
      </rPr>
      <t>623</t>
    </r>
    <r>
      <rPr>
        <sz val="11"/>
        <color theme="1"/>
        <rFont val="Calibri"/>
        <family val="2"/>
        <scheme val="minor"/>
      </rPr>
      <t xml:space="preserve"> - Bottled Gas
</t>
    </r>
    <r>
      <rPr>
        <b/>
        <sz val="11"/>
        <color theme="1"/>
        <rFont val="Calibri"/>
        <family val="2"/>
        <scheme val="minor"/>
      </rPr>
      <t>624</t>
    </r>
    <r>
      <rPr>
        <sz val="11"/>
        <color theme="1"/>
        <rFont val="Calibri"/>
        <family val="2"/>
        <scheme val="minor"/>
      </rPr>
      <t xml:space="preserve"> - Oil
</t>
    </r>
    <r>
      <rPr>
        <b/>
        <sz val="11"/>
        <color theme="1"/>
        <rFont val="Calibri"/>
        <family val="2"/>
        <scheme val="minor"/>
      </rPr>
      <t>625</t>
    </r>
    <r>
      <rPr>
        <sz val="11"/>
        <color theme="1"/>
        <rFont val="Calibri"/>
        <family val="2"/>
        <scheme val="minor"/>
      </rPr>
      <t xml:space="preserve"> - Coal
</t>
    </r>
    <r>
      <rPr>
        <b/>
        <sz val="11"/>
        <color theme="1"/>
        <rFont val="Calibri"/>
        <family val="2"/>
        <scheme val="minor"/>
      </rPr>
      <t>626</t>
    </r>
    <r>
      <rPr>
        <sz val="11"/>
        <color theme="1"/>
        <rFont val="Calibri"/>
        <family val="2"/>
        <scheme val="minor"/>
      </rPr>
      <t xml:space="preserve"> - Gasoline
</t>
    </r>
    <r>
      <rPr>
        <b/>
        <sz val="11"/>
        <color theme="1"/>
        <rFont val="Calibri"/>
        <family val="2"/>
        <scheme val="minor"/>
      </rPr>
      <t>629</t>
    </r>
    <r>
      <rPr>
        <sz val="11"/>
        <color theme="1"/>
        <rFont val="Calibri"/>
        <family val="2"/>
        <scheme val="minor"/>
      </rPr>
      <t xml:space="preserve"> - Other
</t>
    </r>
    <r>
      <rPr>
        <b/>
        <sz val="11"/>
        <color theme="1"/>
        <rFont val="Calibri"/>
        <family val="2"/>
        <scheme val="minor"/>
      </rPr>
      <t>630</t>
    </r>
    <r>
      <rPr>
        <sz val="11"/>
        <color theme="1"/>
        <rFont val="Calibri"/>
        <family val="2"/>
        <scheme val="minor"/>
      </rPr>
      <t xml:space="preserve"> - Food
</t>
    </r>
    <r>
      <rPr>
        <b/>
        <sz val="11"/>
        <color theme="1"/>
        <rFont val="Calibri"/>
        <family val="2"/>
        <scheme val="minor"/>
      </rPr>
      <t>640</t>
    </r>
    <r>
      <rPr>
        <sz val="11"/>
        <color theme="1"/>
        <rFont val="Calibri"/>
        <family val="2"/>
        <scheme val="minor"/>
      </rPr>
      <t xml:space="preserve"> - Books and Periodicals
</t>
    </r>
    <r>
      <rPr>
        <b/>
        <sz val="11"/>
        <color theme="1"/>
        <rFont val="Calibri"/>
        <family val="2"/>
        <scheme val="minor"/>
      </rPr>
      <t>650</t>
    </r>
    <r>
      <rPr>
        <sz val="11"/>
        <color theme="1"/>
        <rFont val="Calibri"/>
        <family val="2"/>
        <scheme val="minor"/>
      </rPr>
      <t xml:space="preserve"> - Supplies-Technology Related
</t>
    </r>
    <r>
      <rPr>
        <b/>
        <sz val="11"/>
        <color theme="1"/>
        <rFont val="Calibri"/>
        <family val="2"/>
        <scheme val="minor"/>
      </rPr>
      <t>700</t>
    </r>
    <r>
      <rPr>
        <sz val="11"/>
        <color theme="1"/>
        <rFont val="Calibri"/>
        <family val="2"/>
        <scheme val="minor"/>
      </rPr>
      <t xml:space="preserve"> - Property
</t>
    </r>
    <r>
      <rPr>
        <b/>
        <sz val="11"/>
        <color theme="1"/>
        <rFont val="Calibri"/>
        <family val="2"/>
        <scheme val="minor"/>
      </rPr>
      <t>710</t>
    </r>
    <r>
      <rPr>
        <sz val="11"/>
        <color theme="1"/>
        <rFont val="Calibri"/>
        <family val="2"/>
        <scheme val="minor"/>
      </rPr>
      <t xml:space="preserve"> - Land and Land Improvements
</t>
    </r>
    <r>
      <rPr>
        <b/>
        <sz val="11"/>
        <color theme="1"/>
        <rFont val="Calibri"/>
        <family val="2"/>
        <scheme val="minor"/>
      </rPr>
      <t>720</t>
    </r>
    <r>
      <rPr>
        <sz val="11"/>
        <color theme="1"/>
        <rFont val="Calibri"/>
        <family val="2"/>
        <scheme val="minor"/>
      </rPr>
      <t xml:space="preserve"> - Buildings
</t>
    </r>
    <r>
      <rPr>
        <b/>
        <sz val="11"/>
        <color theme="1"/>
        <rFont val="Calibri"/>
        <family val="2"/>
        <scheme val="minor"/>
      </rPr>
      <t>730</t>
    </r>
    <r>
      <rPr>
        <sz val="11"/>
        <color theme="1"/>
        <rFont val="Calibri"/>
        <family val="2"/>
        <scheme val="minor"/>
      </rPr>
      <t xml:space="preserve"> - Equipment
</t>
    </r>
    <r>
      <rPr>
        <b/>
        <sz val="11"/>
        <color theme="1"/>
        <rFont val="Calibri"/>
        <family val="2"/>
        <scheme val="minor"/>
      </rPr>
      <t>731</t>
    </r>
    <r>
      <rPr>
        <sz val="11"/>
        <color theme="1"/>
        <rFont val="Calibri"/>
        <family val="2"/>
        <scheme val="minor"/>
      </rPr>
      <t xml:space="preserve"> - Machinery
</t>
    </r>
    <r>
      <rPr>
        <b/>
        <sz val="11"/>
        <color theme="1"/>
        <rFont val="Calibri"/>
        <family val="2"/>
        <scheme val="minor"/>
      </rPr>
      <t>732</t>
    </r>
    <r>
      <rPr>
        <sz val="11"/>
        <color theme="1"/>
        <rFont val="Calibri"/>
        <family val="2"/>
        <scheme val="minor"/>
      </rPr>
      <t xml:space="preserve"> - Vehicles
</t>
    </r>
    <r>
      <rPr>
        <b/>
        <sz val="11"/>
        <color theme="1"/>
        <rFont val="Calibri"/>
        <family val="2"/>
        <scheme val="minor"/>
      </rPr>
      <t>733</t>
    </r>
    <r>
      <rPr>
        <sz val="11"/>
        <color theme="1"/>
        <rFont val="Calibri"/>
        <family val="2"/>
        <scheme val="minor"/>
      </rPr>
      <t xml:space="preserve"> - Furniture and Fixtures
</t>
    </r>
    <r>
      <rPr>
        <b/>
        <sz val="11"/>
        <color theme="1"/>
        <rFont val="Calibri"/>
        <family val="2"/>
        <scheme val="minor"/>
      </rPr>
      <t>734</t>
    </r>
    <r>
      <rPr>
        <sz val="11"/>
        <color theme="1"/>
        <rFont val="Calibri"/>
        <family val="2"/>
        <scheme val="minor"/>
      </rPr>
      <t xml:space="preserve"> - Technology-Related Hardware
</t>
    </r>
    <r>
      <rPr>
        <b/>
        <sz val="11"/>
        <color theme="1"/>
        <rFont val="Calibri"/>
        <family val="2"/>
        <scheme val="minor"/>
      </rPr>
      <t>735</t>
    </r>
    <r>
      <rPr>
        <sz val="11"/>
        <color theme="1"/>
        <rFont val="Calibri"/>
        <family val="2"/>
        <scheme val="minor"/>
      </rPr>
      <t xml:space="preserve"> - Technology Software
</t>
    </r>
    <r>
      <rPr>
        <b/>
        <sz val="11"/>
        <color theme="1"/>
        <rFont val="Calibri"/>
        <family val="2"/>
        <scheme val="minor"/>
      </rPr>
      <t>739</t>
    </r>
    <r>
      <rPr>
        <sz val="11"/>
        <color theme="1"/>
        <rFont val="Calibri"/>
        <family val="2"/>
        <scheme val="minor"/>
      </rPr>
      <t xml:space="preserve"> - Other Equipment
</t>
    </r>
    <r>
      <rPr>
        <b/>
        <sz val="11"/>
        <color theme="1"/>
        <rFont val="Calibri"/>
        <family val="2"/>
        <scheme val="minor"/>
      </rPr>
      <t>740</t>
    </r>
    <r>
      <rPr>
        <sz val="11"/>
        <color theme="1"/>
        <rFont val="Calibri"/>
        <family val="2"/>
        <scheme val="minor"/>
      </rPr>
      <t xml:space="preserve"> - Infrastructure
</t>
    </r>
    <r>
      <rPr>
        <b/>
        <sz val="11"/>
        <color theme="1"/>
        <rFont val="Calibri"/>
        <family val="2"/>
        <scheme val="minor"/>
      </rPr>
      <t>750</t>
    </r>
    <r>
      <rPr>
        <sz val="11"/>
        <color theme="1"/>
        <rFont val="Calibri"/>
        <family val="2"/>
        <scheme val="minor"/>
      </rPr>
      <t xml:space="preserve"> - Intangible Assets
</t>
    </r>
    <r>
      <rPr>
        <b/>
        <sz val="11"/>
        <color theme="1"/>
        <rFont val="Calibri"/>
        <family val="2"/>
        <scheme val="minor"/>
      </rPr>
      <t>790</t>
    </r>
    <r>
      <rPr>
        <sz val="11"/>
        <color theme="1"/>
        <rFont val="Calibri"/>
        <family val="2"/>
        <scheme val="minor"/>
      </rPr>
      <t xml:space="preserve"> - Depreciation and Amortization
</t>
    </r>
    <r>
      <rPr>
        <b/>
        <sz val="11"/>
        <color theme="1"/>
        <rFont val="Calibri"/>
        <family val="2"/>
        <scheme val="minor"/>
      </rPr>
      <t>800</t>
    </r>
    <r>
      <rPr>
        <sz val="11"/>
        <color theme="1"/>
        <rFont val="Calibri"/>
        <family val="2"/>
        <scheme val="minor"/>
      </rPr>
      <t xml:space="preserve"> - Debt Service and Miscellaneous
</t>
    </r>
    <r>
      <rPr>
        <b/>
        <sz val="11"/>
        <color theme="1"/>
        <rFont val="Calibri"/>
        <family val="2"/>
        <scheme val="minor"/>
      </rPr>
      <t>810</t>
    </r>
    <r>
      <rPr>
        <sz val="11"/>
        <color theme="1"/>
        <rFont val="Calibri"/>
        <family val="2"/>
        <scheme val="minor"/>
      </rPr>
      <t xml:space="preserve"> - Dues and Fees
</t>
    </r>
    <r>
      <rPr>
        <b/>
        <sz val="11"/>
        <color theme="1"/>
        <rFont val="Calibri"/>
        <family val="2"/>
        <scheme val="minor"/>
      </rPr>
      <t>820</t>
    </r>
    <r>
      <rPr>
        <sz val="11"/>
        <color theme="1"/>
        <rFont val="Calibri"/>
        <family val="2"/>
        <scheme val="minor"/>
      </rPr>
      <t xml:space="preserve"> - Judgments Against the School District
</t>
    </r>
    <r>
      <rPr>
        <b/>
        <sz val="11"/>
        <color theme="1"/>
        <rFont val="Calibri"/>
        <family val="2"/>
        <scheme val="minor"/>
      </rPr>
      <t>830</t>
    </r>
    <r>
      <rPr>
        <sz val="11"/>
        <color theme="1"/>
        <rFont val="Calibri"/>
        <family val="2"/>
        <scheme val="minor"/>
      </rPr>
      <t xml:space="preserve"> - Debt-Related Expenditures/Expenses
</t>
    </r>
    <r>
      <rPr>
        <b/>
        <sz val="11"/>
        <color theme="1"/>
        <rFont val="Calibri"/>
        <family val="2"/>
        <scheme val="minor"/>
      </rPr>
      <t>831</t>
    </r>
    <r>
      <rPr>
        <sz val="11"/>
        <color theme="1"/>
        <rFont val="Calibri"/>
        <family val="2"/>
        <scheme val="minor"/>
      </rPr>
      <t xml:space="preserve"> - Redemption of Principal
</t>
    </r>
    <r>
      <rPr>
        <b/>
        <sz val="11"/>
        <color theme="1"/>
        <rFont val="Calibri"/>
        <family val="2"/>
        <scheme val="minor"/>
      </rPr>
      <t>832</t>
    </r>
    <r>
      <rPr>
        <sz val="11"/>
        <color theme="1"/>
        <rFont val="Calibri"/>
        <family val="2"/>
        <scheme val="minor"/>
      </rPr>
      <t xml:space="preserve"> - Interest on Long-Term Debt
</t>
    </r>
    <r>
      <rPr>
        <b/>
        <sz val="11"/>
        <color theme="1"/>
        <rFont val="Calibri"/>
        <family val="2"/>
        <scheme val="minor"/>
      </rPr>
      <t>833</t>
    </r>
    <r>
      <rPr>
        <sz val="11"/>
        <color theme="1"/>
        <rFont val="Calibri"/>
        <family val="2"/>
        <scheme val="minor"/>
      </rPr>
      <t xml:space="preserve"> - Bond Issuance and Other Debt-Related Costs
</t>
    </r>
    <r>
      <rPr>
        <b/>
        <sz val="11"/>
        <color theme="1"/>
        <rFont val="Calibri"/>
        <family val="2"/>
        <scheme val="minor"/>
      </rPr>
      <t>834</t>
    </r>
    <r>
      <rPr>
        <sz val="11"/>
        <color theme="1"/>
        <rFont val="Calibri"/>
        <family val="2"/>
        <scheme val="minor"/>
      </rPr>
      <t xml:space="preserve"> - Amortization of Premium and Discount on Issuance of Bonds
</t>
    </r>
    <r>
      <rPr>
        <b/>
        <sz val="11"/>
        <color theme="1"/>
        <rFont val="Calibri"/>
        <family val="2"/>
        <scheme val="minor"/>
      </rPr>
      <t>835</t>
    </r>
    <r>
      <rPr>
        <sz val="11"/>
        <color theme="1"/>
        <rFont val="Calibri"/>
        <family val="2"/>
        <scheme val="minor"/>
      </rPr>
      <t xml:space="preserve"> - Interest on Short-Term Debt
</t>
    </r>
    <r>
      <rPr>
        <b/>
        <sz val="11"/>
        <color theme="1"/>
        <rFont val="Calibri"/>
        <family val="2"/>
        <scheme val="minor"/>
      </rPr>
      <t>890</t>
    </r>
    <r>
      <rPr>
        <sz val="11"/>
        <color theme="1"/>
        <rFont val="Calibri"/>
        <family val="2"/>
        <scheme val="minor"/>
      </rPr>
      <t xml:space="preserve"> - Miscellaneous Expenditures
</t>
    </r>
    <r>
      <rPr>
        <b/>
        <sz val="11"/>
        <color theme="1"/>
        <rFont val="Calibri"/>
        <family val="2"/>
        <scheme val="minor"/>
      </rPr>
      <t>900</t>
    </r>
    <r>
      <rPr>
        <sz val="11"/>
        <color theme="1"/>
        <rFont val="Calibri"/>
        <family val="2"/>
        <scheme val="minor"/>
      </rPr>
      <t xml:space="preserve"> - Other Items
</t>
    </r>
    <r>
      <rPr>
        <b/>
        <sz val="11"/>
        <color theme="1"/>
        <rFont val="Calibri"/>
        <family val="2"/>
        <scheme val="minor"/>
      </rPr>
      <t>910</t>
    </r>
    <r>
      <rPr>
        <sz val="11"/>
        <color theme="1"/>
        <rFont val="Calibri"/>
        <family val="2"/>
        <scheme val="minor"/>
      </rPr>
      <t xml:space="preserve"> - Fund Transfers Out
</t>
    </r>
    <r>
      <rPr>
        <b/>
        <sz val="11"/>
        <color theme="1"/>
        <rFont val="Calibri"/>
        <family val="2"/>
        <scheme val="minor"/>
      </rPr>
      <t>920</t>
    </r>
    <r>
      <rPr>
        <sz val="11"/>
        <color theme="1"/>
        <rFont val="Calibri"/>
        <family val="2"/>
        <scheme val="minor"/>
      </rPr>
      <t xml:space="preserve"> - Payments to Escrow Agents for Defeasance of Debt
</t>
    </r>
    <r>
      <rPr>
        <b/>
        <sz val="11"/>
        <color theme="1"/>
        <rFont val="Calibri"/>
        <family val="2"/>
        <scheme val="minor"/>
      </rPr>
      <t>925</t>
    </r>
    <r>
      <rPr>
        <sz val="11"/>
        <color theme="1"/>
        <rFont val="Calibri"/>
        <family val="2"/>
        <scheme val="minor"/>
      </rPr>
      <t xml:space="preserve"> - Discount on the Issuance of Bonds
</t>
    </r>
    <r>
      <rPr>
        <b/>
        <sz val="11"/>
        <color theme="1"/>
        <rFont val="Calibri"/>
        <family val="2"/>
        <scheme val="minor"/>
      </rPr>
      <t>930</t>
    </r>
    <r>
      <rPr>
        <sz val="11"/>
        <color theme="1"/>
        <rFont val="Calibri"/>
        <family val="2"/>
        <scheme val="minor"/>
      </rPr>
      <t xml:space="preserve"> - Net Decreases in the Fair Value of Investments
</t>
    </r>
    <r>
      <rPr>
        <b/>
        <sz val="11"/>
        <color theme="1"/>
        <rFont val="Calibri"/>
        <family val="2"/>
        <scheme val="minor"/>
      </rPr>
      <t>931</t>
    </r>
    <r>
      <rPr>
        <sz val="11"/>
        <color theme="1"/>
        <rFont val="Calibri"/>
        <family val="2"/>
        <scheme val="minor"/>
      </rPr>
      <t xml:space="preserve"> - Realized Losses on Investments
</t>
    </r>
    <r>
      <rPr>
        <b/>
        <sz val="11"/>
        <color theme="1"/>
        <rFont val="Calibri"/>
        <family val="2"/>
        <scheme val="minor"/>
      </rPr>
      <t>932</t>
    </r>
    <r>
      <rPr>
        <sz val="11"/>
        <color theme="1"/>
        <rFont val="Calibri"/>
        <family val="2"/>
        <scheme val="minor"/>
      </rPr>
      <t xml:space="preserve"> - Unrealized Losses on Investments
</t>
    </r>
    <r>
      <rPr>
        <b/>
        <sz val="11"/>
        <color theme="1"/>
        <rFont val="Calibri"/>
        <family val="2"/>
        <scheme val="minor"/>
      </rPr>
      <t>940</t>
    </r>
    <r>
      <rPr>
        <sz val="11"/>
        <color theme="1"/>
        <rFont val="Calibri"/>
        <family val="2"/>
        <scheme val="minor"/>
      </rPr>
      <t xml:space="preserve"> - Losses on the Sale of Capital Assets
</t>
    </r>
    <r>
      <rPr>
        <b/>
        <sz val="11"/>
        <color theme="1"/>
        <rFont val="Calibri"/>
        <family val="2"/>
        <scheme val="minor"/>
      </rPr>
      <t>950</t>
    </r>
    <r>
      <rPr>
        <sz val="11"/>
        <color theme="1"/>
        <rFont val="Calibri"/>
        <family val="2"/>
        <scheme val="minor"/>
      </rPr>
      <t xml:space="preserve"> - Special Items
</t>
    </r>
    <r>
      <rPr>
        <b/>
        <sz val="11"/>
        <color theme="1"/>
        <rFont val="Calibri"/>
        <family val="2"/>
        <scheme val="minor"/>
      </rPr>
      <t>960</t>
    </r>
    <r>
      <rPr>
        <sz val="11"/>
        <color theme="1"/>
        <rFont val="Calibri"/>
        <family val="2"/>
        <scheme val="minor"/>
      </rPr>
      <t xml:space="preserve"> - Extraordinary Items
</t>
    </r>
  </si>
  <si>
    <r>
      <t>Federal</t>
    </r>
    <r>
      <rPr>
        <sz val="11"/>
        <color theme="1"/>
        <rFont val="Calibri"/>
        <family val="2"/>
        <scheme val="minor"/>
      </rPr>
      <t xml:space="preserve"> - Federal
</t>
    </r>
    <r>
      <rPr>
        <b/>
        <sz val="11"/>
        <color theme="1"/>
        <rFont val="Calibri"/>
        <family val="2"/>
        <scheme val="minor"/>
      </rPr>
      <t>Institutional</t>
    </r>
    <r>
      <rPr>
        <sz val="11"/>
        <color theme="1"/>
        <rFont val="Calibri"/>
        <family val="2"/>
        <scheme val="minor"/>
      </rPr>
      <t xml:space="preserve"> - Institutional
</t>
    </r>
  </si>
  <si>
    <r>
      <t>Handguns</t>
    </r>
    <r>
      <rPr>
        <sz val="11"/>
        <color theme="1"/>
        <rFont val="Calibri"/>
        <family val="2"/>
        <scheme val="minor"/>
      </rPr>
      <t xml:space="preserve"> - Handguns
</t>
    </r>
    <r>
      <rPr>
        <b/>
        <sz val="11"/>
        <color theme="1"/>
        <rFont val="Calibri"/>
        <family val="2"/>
        <scheme val="minor"/>
      </rPr>
      <t>RiflesShotguns</t>
    </r>
    <r>
      <rPr>
        <sz val="11"/>
        <color theme="1"/>
        <rFont val="Calibri"/>
        <family val="2"/>
        <scheme val="minor"/>
      </rPr>
      <t xml:space="preserve"> - Rifles / Shotguns
</t>
    </r>
    <r>
      <rPr>
        <b/>
        <sz val="11"/>
        <color theme="1"/>
        <rFont val="Calibri"/>
        <family val="2"/>
        <scheme val="minor"/>
      </rPr>
      <t>Multiple</t>
    </r>
    <r>
      <rPr>
        <sz val="11"/>
        <color theme="1"/>
        <rFont val="Calibri"/>
        <family val="2"/>
        <scheme val="minor"/>
      </rPr>
      <t xml:space="preserve"> - More than one type of weapon or firearm
</t>
    </r>
    <r>
      <rPr>
        <b/>
        <sz val="11"/>
        <color theme="1"/>
        <rFont val="Calibri"/>
        <family val="2"/>
        <scheme val="minor"/>
      </rPr>
      <t>Other</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</si>
  <si>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Annually</t>
    </r>
    <r>
      <rPr>
        <sz val="11"/>
        <color theme="1"/>
        <rFont val="Calibri"/>
        <family val="2"/>
        <scheme val="minor"/>
      </rPr>
      <t xml:space="preserve"> - Annually
</t>
    </r>
  </si>
  <si>
    <r>
      <t>01</t>
    </r>
    <r>
      <rPr>
        <sz val="11"/>
        <color theme="1"/>
        <rFont val="Calibri"/>
        <family val="2"/>
        <scheme val="minor"/>
      </rPr>
      <t xml:space="preserve"> - Health insurance
</t>
    </r>
    <r>
      <rPr>
        <b/>
        <sz val="11"/>
        <color theme="1"/>
        <rFont val="Calibri"/>
        <family val="2"/>
        <scheme val="minor"/>
      </rPr>
      <t>02</t>
    </r>
    <r>
      <rPr>
        <sz val="11"/>
        <color theme="1"/>
        <rFont val="Calibri"/>
        <family val="2"/>
        <scheme val="minor"/>
      </rPr>
      <t xml:space="preserve"> - Dental insurance
</t>
    </r>
    <r>
      <rPr>
        <b/>
        <sz val="11"/>
        <color theme="1"/>
        <rFont val="Calibri"/>
        <family val="2"/>
        <scheme val="minor"/>
      </rPr>
      <t>03</t>
    </r>
    <r>
      <rPr>
        <sz val="11"/>
        <color theme="1"/>
        <rFont val="Calibri"/>
        <family val="2"/>
        <scheme val="minor"/>
      </rPr>
      <t xml:space="preserve"> - Vision
</t>
    </r>
    <r>
      <rPr>
        <b/>
        <sz val="11"/>
        <color theme="1"/>
        <rFont val="Calibri"/>
        <family val="2"/>
        <scheme val="minor"/>
      </rPr>
      <t>04</t>
    </r>
    <r>
      <rPr>
        <sz val="11"/>
        <color theme="1"/>
        <rFont val="Calibri"/>
        <family val="2"/>
        <scheme val="minor"/>
      </rPr>
      <t xml:space="preserve"> - Disability insurance
</t>
    </r>
    <r>
      <rPr>
        <b/>
        <sz val="11"/>
        <color theme="1"/>
        <rFont val="Calibri"/>
        <family val="2"/>
        <scheme val="minor"/>
      </rPr>
      <t>05</t>
    </r>
    <r>
      <rPr>
        <sz val="11"/>
        <color theme="1"/>
        <rFont val="Calibri"/>
        <family val="2"/>
        <scheme val="minor"/>
      </rPr>
      <t xml:space="preserve"> - Retirement
</t>
    </r>
    <r>
      <rPr>
        <b/>
        <sz val="11"/>
        <color theme="1"/>
        <rFont val="Calibri"/>
        <family val="2"/>
        <scheme val="minor"/>
      </rPr>
      <t>06</t>
    </r>
    <r>
      <rPr>
        <sz val="11"/>
        <color theme="1"/>
        <rFont val="Calibri"/>
        <family val="2"/>
        <scheme val="minor"/>
      </rPr>
      <t xml:space="preserve"> - Professional membership fees paid
</t>
    </r>
    <r>
      <rPr>
        <b/>
        <sz val="11"/>
        <color theme="1"/>
        <rFont val="Calibri"/>
        <family val="2"/>
        <scheme val="minor"/>
      </rPr>
      <t>07</t>
    </r>
    <r>
      <rPr>
        <sz val="11"/>
        <color theme="1"/>
        <rFont val="Calibri"/>
        <family val="2"/>
        <scheme val="minor"/>
      </rPr>
      <t xml:space="preserve"> - Sick leave
</t>
    </r>
    <r>
      <rPr>
        <b/>
        <sz val="11"/>
        <color theme="1"/>
        <rFont val="Calibri"/>
        <family val="2"/>
        <scheme val="minor"/>
      </rPr>
      <t>08</t>
    </r>
    <r>
      <rPr>
        <sz val="11"/>
        <color theme="1"/>
        <rFont val="Calibri"/>
        <family val="2"/>
        <scheme val="minor"/>
      </rPr>
      <t xml:space="preserve"> - Leave
</t>
    </r>
    <r>
      <rPr>
        <b/>
        <sz val="11"/>
        <color theme="1"/>
        <rFont val="Calibri"/>
        <family val="2"/>
        <scheme val="minor"/>
      </rPr>
      <t>09</t>
    </r>
    <r>
      <rPr>
        <sz val="11"/>
        <color theme="1"/>
        <rFont val="Calibri"/>
        <family val="2"/>
        <scheme val="minor"/>
      </rPr>
      <t xml:space="preserve"> - Vacation
</t>
    </r>
    <r>
      <rPr>
        <b/>
        <sz val="11"/>
        <color theme="1"/>
        <rFont val="Calibri"/>
        <family val="2"/>
        <scheme val="minor"/>
      </rPr>
      <t>10</t>
    </r>
    <r>
      <rPr>
        <sz val="11"/>
        <color theme="1"/>
        <rFont val="Calibri"/>
        <family val="2"/>
        <scheme val="minor"/>
      </rPr>
      <t xml:space="preserve"> - Holiday
</t>
    </r>
    <r>
      <rPr>
        <b/>
        <sz val="11"/>
        <color theme="1"/>
        <rFont val="Calibri"/>
        <family val="2"/>
        <scheme val="minor"/>
      </rPr>
      <t>11</t>
    </r>
    <r>
      <rPr>
        <sz val="11"/>
        <color theme="1"/>
        <rFont val="Calibri"/>
        <family val="2"/>
        <scheme val="minor"/>
      </rPr>
      <t xml:space="preserve"> - Personal leave
</t>
    </r>
    <r>
      <rPr>
        <b/>
        <sz val="11"/>
        <color theme="1"/>
        <rFont val="Calibri"/>
        <family val="2"/>
        <scheme val="minor"/>
      </rPr>
      <t>12</t>
    </r>
    <r>
      <rPr>
        <sz val="11"/>
        <color theme="1"/>
        <rFont val="Calibri"/>
        <family val="2"/>
        <scheme val="minor"/>
      </rPr>
      <t xml:space="preserve"> - Family leave
</t>
    </r>
    <r>
      <rPr>
        <b/>
        <sz val="11"/>
        <color theme="1"/>
        <rFont val="Calibri"/>
        <family val="2"/>
        <scheme val="minor"/>
      </rPr>
      <t>13</t>
    </r>
    <r>
      <rPr>
        <sz val="11"/>
        <color theme="1"/>
        <rFont val="Calibri"/>
        <family val="2"/>
        <scheme val="minor"/>
      </rPr>
      <t xml:space="preserve"> - Bereavement leave
</t>
    </r>
    <r>
      <rPr>
        <b/>
        <sz val="11"/>
        <color theme="1"/>
        <rFont val="Calibri"/>
        <family val="2"/>
        <scheme val="minor"/>
      </rPr>
      <t>14</t>
    </r>
    <r>
      <rPr>
        <sz val="11"/>
        <color theme="1"/>
        <rFont val="Calibri"/>
        <family val="2"/>
        <scheme val="minor"/>
      </rPr>
      <t xml:space="preserve"> - Jury duty leave
</t>
    </r>
    <r>
      <rPr>
        <b/>
        <sz val="11"/>
        <color theme="1"/>
        <rFont val="Calibri"/>
        <family val="2"/>
        <scheme val="minor"/>
      </rPr>
      <t>15</t>
    </r>
    <r>
      <rPr>
        <sz val="11"/>
        <color theme="1"/>
        <rFont val="Calibri"/>
        <family val="2"/>
        <scheme val="minor"/>
      </rPr>
      <t xml:space="preserve"> - Life insurance
</t>
    </r>
    <r>
      <rPr>
        <b/>
        <sz val="11"/>
        <color theme="1"/>
        <rFont val="Calibri"/>
        <family val="2"/>
        <scheme val="minor"/>
      </rPr>
      <t>16</t>
    </r>
    <r>
      <rPr>
        <sz val="11"/>
        <color theme="1"/>
        <rFont val="Calibri"/>
        <family val="2"/>
        <scheme val="minor"/>
      </rPr>
      <t xml:space="preserve"> - Maternity leave
</t>
    </r>
    <r>
      <rPr>
        <b/>
        <sz val="11"/>
        <color theme="1"/>
        <rFont val="Calibri"/>
        <family val="2"/>
        <scheme val="minor"/>
      </rPr>
      <t>17</t>
    </r>
    <r>
      <rPr>
        <sz val="11"/>
        <color theme="1"/>
        <rFont val="Calibri"/>
        <family val="2"/>
        <scheme val="minor"/>
      </rPr>
      <t xml:space="preserve"> - Paternity leave
</t>
    </r>
    <r>
      <rPr>
        <b/>
        <sz val="11"/>
        <color theme="1"/>
        <rFont val="Calibri"/>
        <family val="2"/>
        <scheme val="minor"/>
      </rPr>
      <t>18</t>
    </r>
    <r>
      <rPr>
        <sz val="11"/>
        <color theme="1"/>
        <rFont val="Calibri"/>
        <family val="2"/>
        <scheme val="minor"/>
      </rPr>
      <t xml:space="preserve"> - Family medical leave
</t>
    </r>
    <r>
      <rPr>
        <b/>
        <sz val="11"/>
        <color theme="1"/>
        <rFont val="Calibri"/>
        <family val="2"/>
        <scheme val="minor"/>
      </rPr>
      <t>19</t>
    </r>
    <r>
      <rPr>
        <sz val="11"/>
        <color theme="1"/>
        <rFont val="Calibri"/>
        <family val="2"/>
        <scheme val="minor"/>
      </rPr>
      <t xml:space="preserve"> - Flex plan-dependent care
</t>
    </r>
    <r>
      <rPr>
        <b/>
        <sz val="11"/>
        <color theme="1"/>
        <rFont val="Calibri"/>
        <family val="2"/>
        <scheme val="minor"/>
      </rPr>
      <t>20</t>
    </r>
    <r>
      <rPr>
        <sz val="11"/>
        <color theme="1"/>
        <rFont val="Calibri"/>
        <family val="2"/>
        <scheme val="minor"/>
      </rPr>
      <t xml:space="preserve"> - Flex plan-medical (MSA/HSA)
</t>
    </r>
    <r>
      <rPr>
        <b/>
        <sz val="11"/>
        <color theme="1"/>
        <rFont val="Calibri"/>
        <family val="2"/>
        <scheme val="minor"/>
      </rPr>
      <t>21</t>
    </r>
    <r>
      <rPr>
        <sz val="11"/>
        <color theme="1"/>
        <rFont val="Calibri"/>
        <family val="2"/>
        <scheme val="minor"/>
      </rPr>
      <t xml:space="preserve"> - Transportation
</t>
    </r>
    <r>
      <rPr>
        <b/>
        <sz val="11"/>
        <color theme="1"/>
        <rFont val="Calibri"/>
        <family val="2"/>
        <scheme val="minor"/>
      </rPr>
      <t>22</t>
    </r>
    <r>
      <rPr>
        <sz val="11"/>
        <color theme="1"/>
        <rFont val="Calibri"/>
        <family val="2"/>
        <scheme val="minor"/>
      </rPr>
      <t xml:space="preserve"> - Parking
</t>
    </r>
    <r>
      <rPr>
        <b/>
        <sz val="11"/>
        <color theme="1"/>
        <rFont val="Calibri"/>
        <family val="2"/>
        <scheme val="minor"/>
      </rPr>
      <t>23</t>
    </r>
    <r>
      <rPr>
        <sz val="11"/>
        <color theme="1"/>
        <rFont val="Calibri"/>
        <family val="2"/>
        <scheme val="minor"/>
      </rPr>
      <t xml:space="preserve"> - Flex schedule/time
</t>
    </r>
    <r>
      <rPr>
        <b/>
        <sz val="11"/>
        <color theme="1"/>
        <rFont val="Calibri"/>
        <family val="2"/>
        <scheme val="minor"/>
      </rPr>
      <t>24</t>
    </r>
    <r>
      <rPr>
        <sz val="11"/>
        <color theme="1"/>
        <rFont val="Calibri"/>
        <family val="2"/>
        <scheme val="minor"/>
      </rPr>
      <t xml:space="preserve"> - Employee Assistance Program (EAP)
</t>
    </r>
    <r>
      <rPr>
        <b/>
        <sz val="11"/>
        <color theme="1"/>
        <rFont val="Calibri"/>
        <family val="2"/>
        <scheme val="minor"/>
      </rPr>
      <t>25</t>
    </r>
    <r>
      <rPr>
        <sz val="11"/>
        <color theme="1"/>
        <rFont val="Calibri"/>
        <family val="2"/>
        <scheme val="minor"/>
      </rPr>
      <t xml:space="preserve"> - Paid training
</t>
    </r>
    <r>
      <rPr>
        <b/>
        <sz val="11"/>
        <color theme="1"/>
        <rFont val="Calibri"/>
        <family val="2"/>
        <scheme val="minor"/>
      </rPr>
      <t>26</t>
    </r>
    <r>
      <rPr>
        <sz val="11"/>
        <color theme="1"/>
        <rFont val="Calibri"/>
        <family val="2"/>
        <scheme val="minor"/>
      </rPr>
      <t xml:space="preserve"> - Tuition reimbursement
</t>
    </r>
    <r>
      <rPr>
        <b/>
        <sz val="11"/>
        <color theme="1"/>
        <rFont val="Calibri"/>
        <family val="2"/>
        <scheme val="minor"/>
      </rPr>
      <t>27</t>
    </r>
    <r>
      <rPr>
        <sz val="11"/>
        <color theme="1"/>
        <rFont val="Calibri"/>
        <family val="2"/>
        <scheme val="minor"/>
      </rPr>
      <t xml:space="preserve"> - Child care fee assistance
</t>
    </r>
    <r>
      <rPr>
        <b/>
        <sz val="11"/>
        <color theme="1"/>
        <rFont val="Calibri"/>
        <family val="2"/>
        <scheme val="minor"/>
      </rPr>
      <t>28</t>
    </r>
    <r>
      <rPr>
        <sz val="11"/>
        <color theme="1"/>
        <rFont val="Calibri"/>
        <family val="2"/>
        <scheme val="minor"/>
      </rPr>
      <t xml:space="preserve"> - Bonus
</t>
    </r>
  </si>
  <si>
    <r>
      <t>Full-time</t>
    </r>
    <r>
      <rPr>
        <sz val="11"/>
        <color theme="1"/>
        <rFont val="Calibri"/>
        <family val="2"/>
        <scheme val="minor"/>
      </rPr>
      <t xml:space="preserve"> - Full-time
</t>
    </r>
    <r>
      <rPr>
        <b/>
        <sz val="11"/>
        <color theme="1"/>
        <rFont val="Calibri"/>
        <family val="2"/>
        <scheme val="minor"/>
      </rPr>
      <t>Part-time</t>
    </r>
    <r>
      <rPr>
        <sz val="11"/>
        <color theme="1"/>
        <rFont val="Calibri"/>
        <family val="2"/>
        <scheme val="minor"/>
      </rPr>
      <t xml:space="preserve"> - Part-time
</t>
    </r>
  </si>
  <si>
    <r>
      <t>01</t>
    </r>
    <r>
      <rPr>
        <sz val="11"/>
        <color theme="1"/>
        <rFont val="Calibri"/>
        <family val="2"/>
        <scheme val="minor"/>
      </rPr>
      <t xml:space="preserve"> - Obtain a job
</t>
    </r>
    <r>
      <rPr>
        <b/>
        <sz val="11"/>
        <color theme="1"/>
        <rFont val="Calibri"/>
        <family val="2"/>
        <scheme val="minor"/>
      </rPr>
      <t>02</t>
    </r>
    <r>
      <rPr>
        <sz val="11"/>
        <color theme="1"/>
        <rFont val="Calibri"/>
        <family val="2"/>
        <scheme val="minor"/>
      </rPr>
      <t xml:space="preserve"> - Retain current job
</t>
    </r>
    <r>
      <rPr>
        <b/>
        <sz val="11"/>
        <color theme="1"/>
        <rFont val="Calibri"/>
        <family val="2"/>
        <scheme val="minor"/>
      </rPr>
      <t>03</t>
    </r>
    <r>
      <rPr>
        <sz val="11"/>
        <color theme="1"/>
        <rFont val="Calibri"/>
        <family val="2"/>
        <scheme val="minor"/>
      </rPr>
      <t xml:space="preserve"> - Earn a secondary school diploma or achieve GED certificate
</t>
    </r>
    <r>
      <rPr>
        <b/>
        <sz val="11"/>
        <color theme="1"/>
        <rFont val="Calibri"/>
        <family val="2"/>
        <scheme val="minor"/>
      </rPr>
      <t>04</t>
    </r>
    <r>
      <rPr>
        <sz val="11"/>
        <color theme="1"/>
        <rFont val="Calibri"/>
        <family val="2"/>
        <scheme val="minor"/>
      </rPr>
      <t xml:space="preserve"> - Enter postsecondary education or job training
</t>
    </r>
    <r>
      <rPr>
        <b/>
        <sz val="11"/>
        <color theme="1"/>
        <rFont val="Calibri"/>
        <family val="2"/>
        <scheme val="minor"/>
      </rPr>
      <t>05</t>
    </r>
    <r>
      <rPr>
        <sz val="11"/>
        <color theme="1"/>
        <rFont val="Calibri"/>
        <family val="2"/>
        <scheme val="minor"/>
      </rPr>
      <t xml:space="preserve"> - Improve basic literacy skills
</t>
    </r>
    <r>
      <rPr>
        <b/>
        <sz val="11"/>
        <color theme="1"/>
        <rFont val="Calibri"/>
        <family val="2"/>
        <scheme val="minor"/>
      </rPr>
      <t>06</t>
    </r>
    <r>
      <rPr>
        <sz val="11"/>
        <color theme="1"/>
        <rFont val="Calibri"/>
        <family val="2"/>
        <scheme val="minor"/>
      </rPr>
      <t xml:space="preserve"> - Improve English language skills
</t>
    </r>
    <r>
      <rPr>
        <b/>
        <sz val="11"/>
        <color theme="1"/>
        <rFont val="Calibri"/>
        <family val="2"/>
        <scheme val="minor"/>
      </rPr>
      <t>07</t>
    </r>
    <r>
      <rPr>
        <sz val="11"/>
        <color theme="1"/>
        <rFont val="Calibri"/>
        <family val="2"/>
        <scheme val="minor"/>
      </rPr>
      <t xml:space="preserve"> - Obtain citizenship skills
</t>
    </r>
    <r>
      <rPr>
        <b/>
        <sz val="11"/>
        <color theme="1"/>
        <rFont val="Calibri"/>
        <family val="2"/>
        <scheme val="minor"/>
      </rPr>
      <t>08</t>
    </r>
    <r>
      <rPr>
        <sz val="11"/>
        <color theme="1"/>
        <rFont val="Calibri"/>
        <family val="2"/>
        <scheme val="minor"/>
      </rPr>
      <t xml:space="preserve"> - Achieve work-based project learner goals
</t>
    </r>
    <r>
      <rPr>
        <b/>
        <sz val="11"/>
        <color theme="1"/>
        <rFont val="Calibri"/>
        <family val="2"/>
        <scheme val="minor"/>
      </rPr>
      <t>09</t>
    </r>
    <r>
      <rPr>
        <sz val="11"/>
        <color theme="1"/>
        <rFont val="Calibri"/>
        <family val="2"/>
        <scheme val="minor"/>
      </rPr>
      <t xml:space="preserve"> - Other personal goals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</si>
  <si>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OutOfSchool</t>
    </r>
    <r>
      <rPr>
        <sz val="11"/>
        <color theme="1"/>
        <rFont val="Calibri"/>
        <family val="2"/>
        <scheme val="minor"/>
      </rPr>
      <t xml:space="preserve"> - Out of school
</t>
    </r>
  </si>
  <si>
    <r>
      <t>HighSchool</t>
    </r>
    <r>
      <rPr>
        <sz val="11"/>
        <color theme="1"/>
        <rFont val="Calibri"/>
        <family val="2"/>
        <scheme val="minor"/>
      </rPr>
      <t xml:space="preserve"> - High School
</t>
    </r>
    <r>
      <rPr>
        <b/>
        <sz val="11"/>
        <color theme="1"/>
        <rFont val="Calibri"/>
        <family val="2"/>
        <scheme val="minor"/>
      </rPr>
      <t>PSUndergraduate</t>
    </r>
    <r>
      <rPr>
        <sz val="11"/>
        <color theme="1"/>
        <rFont val="Calibri"/>
        <family val="2"/>
        <scheme val="minor"/>
      </rPr>
      <t xml:space="preserve"> - Postsecondary Undergraduate
</t>
    </r>
    <r>
      <rPr>
        <b/>
        <sz val="11"/>
        <color theme="1"/>
        <rFont val="Calibri"/>
        <family val="2"/>
        <scheme val="minor"/>
      </rPr>
      <t>PSTransfer</t>
    </r>
    <r>
      <rPr>
        <sz val="11"/>
        <color theme="1"/>
        <rFont val="Calibri"/>
        <family val="2"/>
        <scheme val="minor"/>
      </rPr>
      <t xml:space="preserve"> - Postsecondary Transfer Institution
</t>
    </r>
    <r>
      <rPr>
        <b/>
        <sz val="11"/>
        <color theme="1"/>
        <rFont val="Calibri"/>
        <family val="2"/>
        <scheme val="minor"/>
      </rPr>
      <t>PSGraduate</t>
    </r>
    <r>
      <rPr>
        <sz val="11"/>
        <color theme="1"/>
        <rFont val="Calibri"/>
        <family val="2"/>
        <scheme val="minor"/>
      </rPr>
      <t xml:space="preserve"> - Postsecondary Graduate
</t>
    </r>
  </si>
  <si>
    <r>
      <t>Weighted</t>
    </r>
    <r>
      <rPr>
        <sz val="11"/>
        <color theme="1"/>
        <rFont val="Calibri"/>
        <family val="2"/>
        <scheme val="minor"/>
      </rPr>
      <t xml:space="preserve"> - Weighted
</t>
    </r>
    <r>
      <rPr>
        <b/>
        <sz val="11"/>
        <color theme="1"/>
        <rFont val="Calibri"/>
        <family val="2"/>
        <scheme val="minor"/>
      </rPr>
      <t>Unweighted</t>
    </r>
    <r>
      <rPr>
        <sz val="11"/>
        <color theme="1"/>
        <rFont val="Calibri"/>
        <family val="2"/>
        <scheme val="minor"/>
      </rPr>
      <t xml:space="preserve"> - Unweighted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</si>
  <si>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AdultESL</t>
    </r>
    <r>
      <rPr>
        <sz val="11"/>
        <color theme="1"/>
        <rFont val="Calibri"/>
        <family val="2"/>
        <scheme val="minor"/>
      </rPr>
      <t xml:space="preserve"> - Adult English as a Second Language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</si>
  <si>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Teaching
</t>
    </r>
    <r>
      <rPr>
        <b/>
        <sz val="11"/>
        <color theme="1"/>
        <rFont val="Calibri"/>
        <family val="2"/>
        <scheme val="minor"/>
      </rPr>
      <t>02</t>
    </r>
    <r>
      <rPr>
        <sz val="11"/>
        <color theme="1"/>
        <rFont val="Calibri"/>
        <family val="2"/>
        <scheme val="minor"/>
      </rPr>
      <t xml:space="preserve"> - Research
</t>
    </r>
    <r>
      <rPr>
        <b/>
        <sz val="11"/>
        <color theme="1"/>
        <rFont val="Calibri"/>
        <family val="2"/>
        <scheme val="minor"/>
      </rPr>
      <t>03</t>
    </r>
    <r>
      <rPr>
        <sz val="11"/>
        <color theme="1"/>
        <rFont val="Calibri"/>
        <family val="2"/>
        <scheme val="minor"/>
      </rPr>
      <t xml:space="preserve"> - Management Occupations
</t>
    </r>
    <r>
      <rPr>
        <b/>
        <sz val="11"/>
        <color theme="1"/>
        <rFont val="Calibri"/>
        <family val="2"/>
        <scheme val="minor"/>
      </rPr>
      <t>04</t>
    </r>
    <r>
      <rPr>
        <sz val="11"/>
        <color theme="1"/>
        <rFont val="Calibri"/>
        <family val="2"/>
        <scheme val="minor"/>
      </rPr>
      <t xml:space="preserve"> - Business and Financial Occupations
</t>
    </r>
    <r>
      <rPr>
        <b/>
        <sz val="11"/>
        <color theme="1"/>
        <rFont val="Calibri"/>
        <family val="2"/>
        <scheme val="minor"/>
      </rPr>
      <t>05</t>
    </r>
    <r>
      <rPr>
        <sz val="11"/>
        <color theme="1"/>
        <rFont val="Calibri"/>
        <family val="2"/>
        <scheme val="minor"/>
      </rPr>
      <t xml:space="preserve"> - Computer, Engineering and Science Occupations
</t>
    </r>
    <r>
      <rPr>
        <b/>
        <sz val="11"/>
        <color theme="1"/>
        <rFont val="Calibri"/>
        <family val="2"/>
        <scheme val="minor"/>
      </rPr>
      <t>06</t>
    </r>
    <r>
      <rPr>
        <sz val="11"/>
        <color theme="1"/>
        <rFont val="Calibri"/>
        <family val="2"/>
        <scheme val="minor"/>
      </rPr>
      <t xml:space="preserve"> - Community Service, Legal, Arts and Media Occupations
</t>
    </r>
    <r>
      <rPr>
        <b/>
        <sz val="11"/>
        <color theme="1"/>
        <rFont val="Calibri"/>
        <family val="2"/>
        <scheme val="minor"/>
      </rPr>
      <t>07</t>
    </r>
    <r>
      <rPr>
        <sz val="11"/>
        <color theme="1"/>
        <rFont val="Calibri"/>
        <family val="2"/>
        <scheme val="minor"/>
      </rPr>
      <t xml:space="preserve"> - Library and Non-postsecondary Teaching
</t>
    </r>
    <r>
      <rPr>
        <b/>
        <sz val="11"/>
        <color theme="1"/>
        <rFont val="Calibri"/>
        <family val="2"/>
        <scheme val="minor"/>
      </rPr>
      <t>08</t>
    </r>
    <r>
      <rPr>
        <sz val="11"/>
        <color theme="1"/>
        <rFont val="Calibri"/>
        <family val="2"/>
        <scheme val="minor"/>
      </rPr>
      <t xml:space="preserve"> - Healthcare Practitioners and Technical Occupations
</t>
    </r>
  </si>
  <si>
    <r>
      <t>NotRequired</t>
    </r>
    <r>
      <rPr>
        <sz val="11"/>
        <color theme="1"/>
        <rFont val="Calibri"/>
        <family val="2"/>
        <scheme val="minor"/>
      </rPr>
      <t xml:space="preserve"> - Exam not required
</t>
    </r>
    <r>
      <rPr>
        <b/>
        <sz val="11"/>
        <color theme="1"/>
        <rFont val="Calibri"/>
        <family val="2"/>
        <scheme val="minor"/>
      </rPr>
      <t>NotTaken</t>
    </r>
    <r>
      <rPr>
        <sz val="11"/>
        <color theme="1"/>
        <rFont val="Calibri"/>
        <family val="2"/>
        <scheme val="minor"/>
      </rPr>
      <t xml:space="preserve"> - Exam required but not taken
</t>
    </r>
    <r>
      <rPr>
        <b/>
        <sz val="11"/>
        <color theme="1"/>
        <rFont val="Calibri"/>
        <family val="2"/>
        <scheme val="minor"/>
      </rPr>
      <t>Waived</t>
    </r>
    <r>
      <rPr>
        <sz val="11"/>
        <color theme="1"/>
        <rFont val="Calibri"/>
        <family val="2"/>
        <scheme val="minor"/>
      </rPr>
      <t xml:space="preserve"> - Exam waived
</t>
    </r>
    <r>
      <rPr>
        <b/>
        <sz val="11"/>
        <color theme="1"/>
        <rFont val="Calibri"/>
        <family val="2"/>
        <scheme val="minor"/>
      </rPr>
      <t>Passed</t>
    </r>
    <r>
      <rPr>
        <sz val="11"/>
        <color theme="1"/>
        <rFont val="Calibri"/>
        <family val="2"/>
        <scheme val="minor"/>
      </rPr>
      <t xml:space="preserve"> - Exam taken and passed
</t>
    </r>
    <r>
      <rPr>
        <b/>
        <sz val="11"/>
        <color theme="1"/>
        <rFont val="Calibri"/>
        <family val="2"/>
        <scheme val="minor"/>
      </rPr>
      <t>Failed</t>
    </r>
    <r>
      <rPr>
        <sz val="11"/>
        <color theme="1"/>
        <rFont val="Calibri"/>
        <family val="2"/>
        <scheme val="minor"/>
      </rPr>
      <t xml:space="preserve"> - Exam taken and failed
</t>
    </r>
  </si>
  <si>
    <r>
      <t>YesReportingOffenses</t>
    </r>
    <r>
      <rPr>
        <sz val="11"/>
        <color theme="1"/>
        <rFont val="Calibri"/>
        <family val="2"/>
        <scheme val="minor"/>
      </rPr>
      <t xml:space="preserve"> - Yes, with reporting of one or more students for an offense
</t>
    </r>
    <r>
      <rPr>
        <b/>
        <sz val="11"/>
        <color theme="1"/>
        <rFont val="Calibri"/>
        <family val="2"/>
        <scheme val="minor"/>
      </rPr>
      <t>YesNoReportedOffenses</t>
    </r>
    <r>
      <rPr>
        <sz val="11"/>
        <color theme="1"/>
        <rFont val="Calibri"/>
        <family val="2"/>
        <scheme val="minor"/>
      </rPr>
      <t xml:space="preserve"> - Yes, with no reported offenses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</si>
  <si>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Passed</t>
    </r>
    <r>
      <rPr>
        <sz val="11"/>
        <color theme="1"/>
        <rFont val="Calibri"/>
        <family val="2"/>
        <scheme val="minor"/>
      </rPr>
      <t xml:space="preserve"> - Passed
</t>
    </r>
    <r>
      <rPr>
        <b/>
        <sz val="11"/>
        <color theme="1"/>
        <rFont val="Calibri"/>
        <family val="2"/>
        <scheme val="minor"/>
      </rPr>
      <t>FurtherEvaluation</t>
    </r>
    <r>
      <rPr>
        <sz val="11"/>
        <color theme="1"/>
        <rFont val="Calibri"/>
        <family val="2"/>
        <scheme val="minor"/>
      </rPr>
      <t xml:space="preserve"> - Further Evaluation Needed
</t>
    </r>
  </si>
  <si>
    <r>
      <t>Minimum</t>
    </r>
    <r>
      <rPr>
        <sz val="11"/>
        <color theme="1"/>
        <rFont val="Calibri"/>
        <family val="2"/>
        <scheme val="minor"/>
      </rPr>
      <t xml:space="preserve"> - Minimum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Distinguished</t>
    </r>
    <r>
      <rPr>
        <sz val="11"/>
        <color theme="1"/>
        <rFont val="Calibri"/>
        <family val="2"/>
        <scheme val="minor"/>
      </rPr>
      <t xml:space="preserve"> - Distinguished
</t>
    </r>
    <r>
      <rPr>
        <b/>
        <sz val="11"/>
        <color theme="1"/>
        <rFont val="Calibri"/>
        <family val="2"/>
        <scheme val="minor"/>
      </rPr>
      <t>OpenEnrollment</t>
    </r>
    <r>
      <rPr>
        <sz val="11"/>
        <color theme="1"/>
        <rFont val="Calibri"/>
        <family val="2"/>
        <scheme val="minor"/>
      </rPr>
      <t xml:space="preserve"> - Open Enrollment
</t>
    </r>
    <r>
      <rPr>
        <b/>
        <sz val="11"/>
        <color theme="1"/>
        <rFont val="Calibri"/>
        <family val="2"/>
        <scheme val="minor"/>
      </rPr>
      <t>MagnaCumLaude</t>
    </r>
    <r>
      <rPr>
        <sz val="11"/>
        <color theme="1"/>
        <rFont val="Calibri"/>
        <family val="2"/>
        <scheme val="minor"/>
      </rPr>
      <t xml:space="preserve"> - Magna cum laude
</t>
    </r>
    <r>
      <rPr>
        <b/>
        <sz val="11"/>
        <color theme="1"/>
        <rFont val="Calibri"/>
        <family val="2"/>
        <scheme val="minor"/>
      </rPr>
      <t>SummaCumLaude</t>
    </r>
    <r>
      <rPr>
        <sz val="11"/>
        <color theme="1"/>
        <rFont val="Calibri"/>
        <family val="2"/>
        <scheme val="minor"/>
      </rPr>
      <t xml:space="preserve"> - Summa cum laude
</t>
    </r>
  </si>
  <si>
    <r>
      <t>00806</t>
    </r>
    <r>
      <rPr>
        <sz val="11"/>
        <color theme="1"/>
        <rFont val="Calibri"/>
        <family val="2"/>
        <scheme val="minor"/>
      </rPr>
      <t xml:space="preserve"> - Regular diploma
</t>
    </r>
    <r>
      <rPr>
        <b/>
        <sz val="11"/>
        <color theme="1"/>
        <rFont val="Calibri"/>
        <family val="2"/>
        <scheme val="minor"/>
      </rPr>
      <t>00807</t>
    </r>
    <r>
      <rPr>
        <sz val="11"/>
        <color theme="1"/>
        <rFont val="Calibri"/>
        <family val="2"/>
        <scheme val="minor"/>
      </rPr>
      <t xml:space="preserve"> - Endorsed/advanced diploma
</t>
    </r>
    <r>
      <rPr>
        <b/>
        <sz val="11"/>
        <color theme="1"/>
        <rFont val="Calibri"/>
        <family val="2"/>
        <scheme val="minor"/>
      </rPr>
      <t>00808</t>
    </r>
    <r>
      <rPr>
        <sz val="11"/>
        <color theme="1"/>
        <rFont val="Calibri"/>
        <family val="2"/>
        <scheme val="minor"/>
      </rPr>
      <t xml:space="preserve"> - Regents diploma
</t>
    </r>
    <r>
      <rPr>
        <b/>
        <sz val="11"/>
        <color theme="1"/>
        <rFont val="Calibri"/>
        <family val="2"/>
        <scheme val="minor"/>
      </rPr>
      <t>00809</t>
    </r>
    <r>
      <rPr>
        <sz val="11"/>
        <color theme="1"/>
        <rFont val="Calibri"/>
        <family val="2"/>
        <scheme val="minor"/>
      </rPr>
      <t xml:space="preserve"> - International Baccalaureate
</t>
    </r>
    <r>
      <rPr>
        <b/>
        <sz val="11"/>
        <color theme="1"/>
        <rFont val="Calibri"/>
        <family val="2"/>
        <scheme val="minor"/>
      </rPr>
      <t>00810</t>
    </r>
    <r>
      <rPr>
        <sz val="11"/>
        <color theme="1"/>
        <rFont val="Calibri"/>
        <family val="2"/>
        <scheme val="minor"/>
      </rPr>
      <t xml:space="preserve"> - Modified diploma
</t>
    </r>
    <r>
      <rPr>
        <b/>
        <sz val="11"/>
        <color theme="1"/>
        <rFont val="Calibri"/>
        <family val="2"/>
        <scheme val="minor"/>
      </rPr>
      <t>00811</t>
    </r>
    <r>
      <rPr>
        <sz val="11"/>
        <color theme="1"/>
        <rFont val="Calibri"/>
        <family val="2"/>
        <scheme val="minor"/>
      </rPr>
      <t xml:space="preserve"> - Other diploma
</t>
    </r>
    <r>
      <rPr>
        <b/>
        <sz val="11"/>
        <color theme="1"/>
        <rFont val="Calibri"/>
        <family val="2"/>
        <scheme val="minor"/>
      </rPr>
      <t>00812</t>
    </r>
    <r>
      <rPr>
        <sz val="11"/>
        <color theme="1"/>
        <rFont val="Calibri"/>
        <family val="2"/>
        <scheme val="minor"/>
      </rPr>
      <t xml:space="preserve"> - Alternative credential
</t>
    </r>
    <r>
      <rPr>
        <b/>
        <sz val="11"/>
        <color theme="1"/>
        <rFont val="Calibri"/>
        <family val="2"/>
        <scheme val="minor"/>
      </rPr>
      <t>00813</t>
    </r>
    <r>
      <rPr>
        <sz val="11"/>
        <color theme="1"/>
        <rFont val="Calibri"/>
        <family val="2"/>
        <scheme val="minor"/>
      </rPr>
      <t xml:space="preserve"> - Certificate of attendance
</t>
    </r>
    <r>
      <rPr>
        <b/>
        <sz val="11"/>
        <color theme="1"/>
        <rFont val="Calibri"/>
        <family val="2"/>
        <scheme val="minor"/>
      </rPr>
      <t>00814</t>
    </r>
    <r>
      <rPr>
        <sz val="11"/>
        <color theme="1"/>
        <rFont val="Calibri"/>
        <family val="2"/>
        <scheme val="minor"/>
      </rPr>
      <t xml:space="preserve"> - Certificate of completion
</t>
    </r>
    <r>
      <rPr>
        <b/>
        <sz val="11"/>
        <color theme="1"/>
        <rFont val="Calibri"/>
        <family val="2"/>
        <scheme val="minor"/>
      </rPr>
      <t>00815</t>
    </r>
    <r>
      <rPr>
        <sz val="11"/>
        <color theme="1"/>
        <rFont val="Calibri"/>
        <family val="2"/>
        <scheme val="minor"/>
      </rPr>
      <t xml:space="preserve"> - High school equivalency credential, other than GED
</t>
    </r>
    <r>
      <rPr>
        <b/>
        <sz val="11"/>
        <color theme="1"/>
        <rFont val="Calibri"/>
        <family val="2"/>
        <scheme val="minor"/>
      </rPr>
      <t>00816</t>
    </r>
    <r>
      <rPr>
        <sz val="11"/>
        <color theme="1"/>
        <rFont val="Calibri"/>
        <family val="2"/>
        <scheme val="minor"/>
      </rPr>
      <t xml:space="preserve"> - General Educational Development (GED) credential
</t>
    </r>
    <r>
      <rPr>
        <b/>
        <sz val="11"/>
        <color theme="1"/>
        <rFont val="Calibri"/>
        <family val="2"/>
        <scheme val="minor"/>
      </rPr>
      <t>00818</t>
    </r>
    <r>
      <rPr>
        <sz val="11"/>
        <color theme="1"/>
        <rFont val="Calibri"/>
        <family val="2"/>
        <scheme val="minor"/>
      </rPr>
      <t xml:space="preserve"> - Post graduate certificate (grade 13)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</si>
  <si>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r>
      <t>MetGoal</t>
    </r>
    <r>
      <rPr>
        <sz val="11"/>
        <color theme="1"/>
        <rFont val="Calibri"/>
        <family val="2"/>
        <scheme val="minor"/>
      </rPr>
      <t xml:space="preserve"> - Met (Goal)
</t>
    </r>
    <r>
      <rPr>
        <b/>
        <sz val="11"/>
        <color theme="1"/>
        <rFont val="Calibri"/>
        <family val="2"/>
        <scheme val="minor"/>
      </rPr>
      <t>MetTarget</t>
    </r>
    <r>
      <rPr>
        <sz val="11"/>
        <color theme="1"/>
        <rFont val="Calibri"/>
        <family val="2"/>
        <scheme val="minor"/>
      </rPr>
      <t xml:space="preserve"> - Met (Target)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There are no students in a student subgroup. 
</t>
    </r>
    <r>
      <rPr>
        <b/>
        <sz val="11"/>
        <color theme="1"/>
        <rFont val="Calibri"/>
        <family val="2"/>
        <scheme val="minor"/>
      </rPr>
      <t>NA</t>
    </r>
    <r>
      <rPr>
        <sz val="11"/>
        <color theme="1"/>
        <rFont val="Calibri"/>
        <family val="2"/>
        <scheme val="minor"/>
      </rPr>
      <t xml:space="preserve"> - Not applicable
</t>
    </r>
  </si>
  <si>
    <r>
      <t>Regional</t>
    </r>
    <r>
      <rPr>
        <sz val="11"/>
        <color theme="1"/>
        <rFont val="Calibri"/>
        <family val="2"/>
        <scheme val="minor"/>
      </rPr>
      <t xml:space="preserve"> - Regionally accredited
</t>
    </r>
    <r>
      <rPr>
        <b/>
        <sz val="11"/>
        <color theme="1"/>
        <rFont val="Calibri"/>
        <family val="2"/>
        <scheme val="minor"/>
      </rPr>
      <t>Programmatic</t>
    </r>
    <r>
      <rPr>
        <sz val="11"/>
        <color theme="1"/>
        <rFont val="Calibri"/>
        <family val="2"/>
        <scheme val="minor"/>
      </rPr>
      <t xml:space="preserve"> - Programmatic accreditation
</t>
    </r>
    <r>
      <rPr>
        <b/>
        <sz val="11"/>
        <color theme="1"/>
        <rFont val="Calibri"/>
        <family val="2"/>
        <scheme val="minor"/>
      </rPr>
      <t>National</t>
    </r>
    <r>
      <rPr>
        <sz val="11"/>
        <color theme="1"/>
        <rFont val="Calibri"/>
        <family val="2"/>
        <scheme val="minor"/>
      </rPr>
      <t xml:space="preserve"> - Nationally accredited
</t>
    </r>
    <r>
      <rPr>
        <b/>
        <sz val="11"/>
        <color theme="1"/>
        <rFont val="Calibri"/>
        <family val="2"/>
        <scheme val="minor"/>
      </rPr>
      <t>Faith</t>
    </r>
    <r>
      <rPr>
        <sz val="11"/>
        <color theme="1"/>
        <rFont val="Calibri"/>
        <family val="2"/>
        <scheme val="minor"/>
      </rPr>
      <t xml:space="preserve"> - Faith
</t>
    </r>
    <r>
      <rPr>
        <b/>
        <sz val="11"/>
        <color theme="1"/>
        <rFont val="Calibri"/>
        <family val="2"/>
        <scheme val="minor"/>
      </rPr>
      <t>CareerRelated</t>
    </r>
    <r>
      <rPr>
        <sz val="11"/>
        <color theme="1"/>
        <rFont val="Calibri"/>
        <family val="2"/>
        <scheme val="minor"/>
      </rPr>
      <t xml:space="preserve"> - Career related
</t>
    </r>
    <r>
      <rPr>
        <b/>
        <sz val="11"/>
        <color theme="1"/>
        <rFont val="Calibri"/>
        <family val="2"/>
        <scheme val="minor"/>
      </rPr>
      <t>NotAccredited</t>
    </r>
    <r>
      <rPr>
        <sz val="11"/>
        <color theme="1"/>
        <rFont val="Calibri"/>
        <family val="2"/>
        <scheme val="minor"/>
      </rPr>
      <t xml:space="preserve"> - Not accredited
</t>
    </r>
  </si>
  <si>
    <r>
      <t>HighlyQualitifed</t>
    </r>
    <r>
      <rPr>
        <sz val="11"/>
        <color theme="1"/>
        <rFont val="Calibri"/>
        <family val="2"/>
        <scheme val="minor"/>
      </rPr>
      <t xml:space="preserve"> - Highly qualified
</t>
    </r>
    <r>
      <rPr>
        <b/>
        <sz val="11"/>
        <color theme="1"/>
        <rFont val="Calibri"/>
        <family val="2"/>
        <scheme val="minor"/>
      </rPr>
      <t>NotHighlyQualified</t>
    </r>
    <r>
      <rPr>
        <sz val="11"/>
        <color theme="1"/>
        <rFont val="Calibri"/>
        <family val="2"/>
        <scheme val="minor"/>
      </rPr>
      <t xml:space="preserve"> - Not highly qualified
</t>
    </r>
  </si>
  <si>
    <r>
      <t>Shelters</t>
    </r>
    <r>
      <rPr>
        <sz val="11"/>
        <color theme="1"/>
        <rFont val="Calibri"/>
        <family val="2"/>
        <scheme val="minor"/>
      </rPr>
      <t xml:space="preserve"> - Shelters
</t>
    </r>
    <r>
      <rPr>
        <b/>
        <sz val="11"/>
        <color theme="1"/>
        <rFont val="Calibri"/>
        <family val="2"/>
        <scheme val="minor"/>
      </rPr>
      <t>DoubledUp</t>
    </r>
    <r>
      <rPr>
        <sz val="11"/>
        <color theme="1"/>
        <rFont val="Calibri"/>
        <family val="2"/>
        <scheme val="minor"/>
      </rPr>
      <t xml:space="preserve"> - Doubled Up
</t>
    </r>
    <r>
      <rPr>
        <b/>
        <sz val="11"/>
        <color theme="1"/>
        <rFont val="Calibri"/>
        <family val="2"/>
        <scheme val="minor"/>
      </rPr>
      <t>Unsheltered</t>
    </r>
    <r>
      <rPr>
        <sz val="11"/>
        <color theme="1"/>
        <rFont val="Calibri"/>
        <family val="2"/>
        <scheme val="minor"/>
      </rPr>
      <t xml:space="preserve"> - Unsheltered
</t>
    </r>
    <r>
      <rPr>
        <b/>
        <sz val="11"/>
        <color theme="1"/>
        <rFont val="Calibri"/>
        <family val="2"/>
        <scheme val="minor"/>
      </rPr>
      <t>HotelMotel</t>
    </r>
    <r>
      <rPr>
        <sz val="11"/>
        <color theme="1"/>
        <rFont val="Calibri"/>
        <family val="2"/>
        <scheme val="minor"/>
      </rPr>
      <t xml:space="preserve"> - Hotels/Motels
</t>
    </r>
  </si>
  <si>
    <r>
      <t>EXPMOD</t>
    </r>
    <r>
      <rPr>
        <sz val="11"/>
        <color theme="1"/>
        <rFont val="Calibri"/>
        <family val="2"/>
        <scheme val="minor"/>
      </rPr>
      <t xml:space="preserve"> - Expulsion modified to less than one year with educational services under IDEA
</t>
    </r>
    <r>
      <rPr>
        <b/>
        <sz val="11"/>
        <color theme="1"/>
        <rFont val="Calibri"/>
        <family val="2"/>
        <scheme val="minor"/>
      </rPr>
      <t>EXPNOTMOD</t>
    </r>
    <r>
      <rPr>
        <sz val="11"/>
        <color theme="1"/>
        <rFont val="Calibri"/>
        <family val="2"/>
        <scheme val="minor"/>
      </rPr>
      <t xml:space="preserve"> - One year expulsion with educational services under IDEA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</si>
  <si>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REC09YOTHLOC</t>
    </r>
    <r>
      <rPr>
        <sz val="11"/>
        <color theme="1"/>
        <rFont val="Calibri"/>
        <family val="2"/>
        <scheme val="minor"/>
      </rPr>
      <t xml:space="preserve"> - Other location regular early childhood program (less than 10 hours)
</t>
    </r>
    <r>
      <rPr>
        <b/>
        <sz val="11"/>
        <color theme="1"/>
        <rFont val="Calibri"/>
        <family val="2"/>
        <scheme val="minor"/>
      </rPr>
      <t>REC10YOTHLOC</t>
    </r>
    <r>
      <rPr>
        <sz val="11"/>
        <color theme="1"/>
        <rFont val="Calibri"/>
        <family val="2"/>
        <scheme val="minor"/>
      </rPr>
      <t xml:space="preserve"> - Other location regular early childhood program (at least 10 hours)
</t>
    </r>
    <r>
      <rPr>
        <b/>
        <sz val="11"/>
        <color theme="1"/>
        <rFont val="Calibri"/>
        <family val="2"/>
        <scheme val="minor"/>
      </rPr>
      <t>REC09YSVCS</t>
    </r>
    <r>
      <rPr>
        <sz val="11"/>
        <color theme="1"/>
        <rFont val="Calibri"/>
        <family val="2"/>
        <scheme val="minor"/>
      </rPr>
      <t xml:space="preserve"> - Services regular early childhood program (less than 10 hours)
</t>
    </r>
    <r>
      <rPr>
        <b/>
        <sz val="11"/>
        <color theme="1"/>
        <rFont val="Calibri"/>
        <family val="2"/>
        <scheme val="minor"/>
      </rPr>
      <t>REC10YSVCS</t>
    </r>
    <r>
      <rPr>
        <sz val="11"/>
        <color theme="1"/>
        <rFont val="Calibri"/>
        <family val="2"/>
        <scheme val="minor"/>
      </rPr>
      <t xml:space="preserve"> - Services regular early childhood program (at least10 hours)
</t>
    </r>
    <r>
      <rPr>
        <b/>
        <sz val="11"/>
        <color theme="1"/>
        <rFont val="Calibri"/>
        <family val="2"/>
        <scheme val="minor"/>
      </rPr>
      <t>SC</t>
    </r>
    <r>
      <rPr>
        <sz val="11"/>
        <color theme="1"/>
        <rFont val="Calibri"/>
        <family val="2"/>
        <scheme val="minor"/>
      </rPr>
      <t xml:space="preserve"> - Separate special education class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t>
    </r>
    <r>
      <rPr>
        <sz val="11"/>
        <color theme="1"/>
        <rFont val="Calibri"/>
        <family val="2"/>
        <scheme val="minor"/>
      </rPr>
      <t xml:space="preserve"> - Home
</t>
    </r>
    <r>
      <rPr>
        <b/>
        <sz val="11"/>
        <color theme="1"/>
        <rFont val="Calibri"/>
        <family val="2"/>
        <scheme val="minor"/>
      </rPr>
      <t>SPL</t>
    </r>
    <r>
      <rPr>
        <sz val="11"/>
        <color theme="1"/>
        <rFont val="Calibri"/>
        <family val="2"/>
        <scheme val="minor"/>
      </rPr>
      <t xml:space="preserve"> - Service provider or other location not in any other category
</t>
    </r>
  </si>
  <si>
    <r>
      <t>RC80</t>
    </r>
    <r>
      <rPr>
        <sz val="11"/>
        <color theme="1"/>
        <rFont val="Calibri"/>
        <family val="2"/>
        <scheme val="minor"/>
      </rPr>
      <t xml:space="preserve"> - Inside regular class 80% or more of the day
</t>
    </r>
    <r>
      <rPr>
        <b/>
        <sz val="11"/>
        <color theme="1"/>
        <rFont val="Calibri"/>
        <family val="2"/>
        <scheme val="minor"/>
      </rPr>
      <t>RC79TO40</t>
    </r>
    <r>
      <rPr>
        <sz val="11"/>
        <color theme="1"/>
        <rFont val="Calibri"/>
        <family val="2"/>
        <scheme val="minor"/>
      </rPr>
      <t xml:space="preserve"> - Inside regular class 40% through 79% of the day
</t>
    </r>
    <r>
      <rPr>
        <b/>
        <sz val="11"/>
        <color theme="1"/>
        <rFont val="Calibri"/>
        <family val="2"/>
        <scheme val="minor"/>
      </rPr>
      <t>RC39</t>
    </r>
    <r>
      <rPr>
        <sz val="11"/>
        <color theme="1"/>
        <rFont val="Calibri"/>
        <family val="2"/>
        <scheme val="minor"/>
      </rPr>
      <t xml:space="preserve"> - Inside regular class less than 40% of the day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HH</t>
    </r>
    <r>
      <rPr>
        <sz val="11"/>
        <color theme="1"/>
        <rFont val="Calibri"/>
        <family val="2"/>
        <scheme val="minor"/>
      </rPr>
      <t xml:space="preserve"> - Homebound/hospital
</t>
    </r>
    <r>
      <rPr>
        <b/>
        <sz val="11"/>
        <color theme="1"/>
        <rFont val="Calibri"/>
        <family val="2"/>
        <scheme val="minor"/>
      </rPr>
      <t>CF</t>
    </r>
    <r>
      <rPr>
        <sz val="11"/>
        <color theme="1"/>
        <rFont val="Calibri"/>
        <family val="2"/>
        <scheme val="minor"/>
      </rPr>
      <t xml:space="preserve"> - Correctional facility
</t>
    </r>
    <r>
      <rPr>
        <b/>
        <sz val="11"/>
        <color theme="1"/>
        <rFont val="Calibri"/>
        <family val="2"/>
        <scheme val="minor"/>
      </rPr>
      <t>PPPS</t>
    </r>
    <r>
      <rPr>
        <sz val="11"/>
        <color theme="1"/>
        <rFont val="Calibri"/>
        <family val="2"/>
        <scheme val="minor"/>
      </rPr>
      <t xml:space="preserve"> - Parentally placed in private school
</t>
    </r>
  </si>
  <si>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NotSelected</t>
    </r>
    <r>
      <rPr>
        <sz val="11"/>
        <color theme="1"/>
        <rFont val="Calibri"/>
        <family val="2"/>
        <scheme val="minor"/>
      </rPr>
      <t xml:space="preserve"> - Not Selected
</t>
    </r>
  </si>
  <si>
    <r>
      <t>REMDW</t>
    </r>
    <r>
      <rPr>
        <sz val="11"/>
        <color theme="1"/>
        <rFont val="Calibri"/>
        <family val="2"/>
        <scheme val="minor"/>
      </rPr>
      <t xml:space="preserve"> - Removal for drugs, weapons, or serious bodily injury
</t>
    </r>
    <r>
      <rPr>
        <b/>
        <sz val="11"/>
        <color theme="1"/>
        <rFont val="Calibri"/>
        <family val="2"/>
        <scheme val="minor"/>
      </rPr>
      <t>REMHO</t>
    </r>
    <r>
      <rPr>
        <sz val="11"/>
        <color theme="1"/>
        <rFont val="Calibri"/>
        <family val="2"/>
        <scheme val="minor"/>
      </rPr>
      <t xml:space="preserve"> - Removed based on a Hearing Officer finding
</t>
    </r>
  </si>
  <si>
    <r>
      <t>Drugs</t>
    </r>
    <r>
      <rPr>
        <sz val="11"/>
        <color theme="1"/>
        <rFont val="Calibri"/>
        <family val="2"/>
        <scheme val="minor"/>
      </rPr>
      <t xml:space="preserve"> - Drugs
</t>
    </r>
    <r>
      <rPr>
        <b/>
        <sz val="11"/>
        <color theme="1"/>
        <rFont val="Calibri"/>
        <family val="2"/>
        <scheme val="minor"/>
      </rPr>
      <t>Weapons</t>
    </r>
    <r>
      <rPr>
        <sz val="11"/>
        <color theme="1"/>
        <rFont val="Calibri"/>
        <family val="2"/>
        <scheme val="minor"/>
      </rPr>
      <t xml:space="preserve"> - Weapons
</t>
    </r>
    <r>
      <rPr>
        <b/>
        <sz val="11"/>
        <color theme="1"/>
        <rFont val="Calibri"/>
        <family val="2"/>
        <scheme val="minor"/>
      </rPr>
      <t>SeriousBodilyInjury</t>
    </r>
    <r>
      <rPr>
        <sz val="11"/>
        <color theme="1"/>
        <rFont val="Calibri"/>
        <family val="2"/>
        <scheme val="minor"/>
      </rPr>
      <t xml:space="preserve"> - Serious bodily injury
</t>
    </r>
  </si>
  <si>
    <r>
      <t>DevelopmentalDelay</t>
    </r>
    <r>
      <rPr>
        <sz val="11"/>
        <color theme="1"/>
        <rFont val="Calibri"/>
        <family val="2"/>
        <scheme val="minor"/>
      </rPr>
      <t xml:space="preserve"> - Developmental Delay
</t>
    </r>
    <r>
      <rPr>
        <b/>
        <sz val="11"/>
        <color theme="1"/>
        <rFont val="Calibri"/>
        <family val="2"/>
        <scheme val="minor"/>
      </rPr>
      <t>DiagnosedCondition</t>
    </r>
    <r>
      <rPr>
        <sz val="11"/>
        <color theme="1"/>
        <rFont val="Calibri"/>
        <family val="2"/>
        <scheme val="minor"/>
      </rPr>
      <t xml:space="preserve"> - Diagnosed Condition
</t>
    </r>
    <r>
      <rPr>
        <b/>
        <sz val="11"/>
        <color theme="1"/>
        <rFont val="Calibri"/>
        <family val="2"/>
        <scheme val="minor"/>
      </rPr>
      <t>AtRisk</t>
    </r>
    <r>
      <rPr>
        <sz val="11"/>
        <color theme="1"/>
        <rFont val="Calibri"/>
        <family val="2"/>
        <scheme val="minor"/>
      </rPr>
      <t xml:space="preserve"> - At-risk
</t>
    </r>
  </si>
  <si>
    <r>
      <t>Diphtheria</t>
    </r>
    <r>
      <rPr>
        <sz val="11"/>
        <color theme="1"/>
        <rFont val="Calibri"/>
        <family val="2"/>
        <scheme val="minor"/>
      </rPr>
      <t xml:space="preserve"> - Diphtheria
</t>
    </r>
    <r>
      <rPr>
        <b/>
        <sz val="11"/>
        <color theme="1"/>
        <rFont val="Calibri"/>
        <family val="2"/>
        <scheme val="minor"/>
      </rPr>
      <t>HaemophilusInfluenzae</t>
    </r>
    <r>
      <rPr>
        <sz val="11"/>
        <color theme="1"/>
        <rFont val="Calibri"/>
        <family val="2"/>
        <scheme val="minor"/>
      </rPr>
      <t xml:space="preserve"> - Haemophilus Influenzae
</t>
    </r>
    <r>
      <rPr>
        <b/>
        <sz val="11"/>
        <color theme="1"/>
        <rFont val="Calibri"/>
        <family val="2"/>
        <scheme val="minor"/>
      </rPr>
      <t>HepatitisA</t>
    </r>
    <r>
      <rPr>
        <sz val="11"/>
        <color theme="1"/>
        <rFont val="Calibri"/>
        <family val="2"/>
        <scheme val="minor"/>
      </rPr>
      <t xml:space="preserve"> - Hepatitis A
</t>
    </r>
    <r>
      <rPr>
        <b/>
        <sz val="11"/>
        <color theme="1"/>
        <rFont val="Calibri"/>
        <family val="2"/>
        <scheme val="minor"/>
      </rPr>
      <t>HepatitisB</t>
    </r>
    <r>
      <rPr>
        <sz val="11"/>
        <color theme="1"/>
        <rFont val="Calibri"/>
        <family val="2"/>
        <scheme val="minor"/>
      </rPr>
      <t xml:space="preserve"> - Hepatitis B
</t>
    </r>
    <r>
      <rPr>
        <b/>
        <sz val="11"/>
        <color theme="1"/>
        <rFont val="Calibri"/>
        <family val="2"/>
        <scheme val="minor"/>
      </rPr>
      <t>InactivatedPoliovirus</t>
    </r>
    <r>
      <rPr>
        <sz val="11"/>
        <color theme="1"/>
        <rFont val="Calibri"/>
        <family val="2"/>
        <scheme val="minor"/>
      </rPr>
      <t xml:space="preserve"> - Inactivated Poliovirus
</t>
    </r>
    <r>
      <rPr>
        <b/>
        <sz val="11"/>
        <color theme="1"/>
        <rFont val="Calibri"/>
        <family val="2"/>
        <scheme val="minor"/>
      </rPr>
      <t>Influenza</t>
    </r>
    <r>
      <rPr>
        <sz val="11"/>
        <color theme="1"/>
        <rFont val="Calibri"/>
        <family val="2"/>
        <scheme val="minor"/>
      </rPr>
      <t xml:space="preserve"> - Influenza
</t>
    </r>
    <r>
      <rPr>
        <b/>
        <sz val="11"/>
        <color theme="1"/>
        <rFont val="Calibri"/>
        <family val="2"/>
        <scheme val="minor"/>
      </rPr>
      <t>Meningococcal</t>
    </r>
    <r>
      <rPr>
        <sz val="11"/>
        <color theme="1"/>
        <rFont val="Calibri"/>
        <family val="2"/>
        <scheme val="minor"/>
      </rPr>
      <t xml:space="preserve"> - Meningococcal
</t>
    </r>
    <r>
      <rPr>
        <b/>
        <sz val="11"/>
        <color theme="1"/>
        <rFont val="Calibri"/>
        <family val="2"/>
        <scheme val="minor"/>
      </rPr>
      <t>Mumps</t>
    </r>
    <r>
      <rPr>
        <sz val="11"/>
        <color theme="1"/>
        <rFont val="Calibri"/>
        <family val="2"/>
        <scheme val="minor"/>
      </rPr>
      <t xml:space="preserve"> - Mumps
</t>
    </r>
    <r>
      <rPr>
        <b/>
        <sz val="11"/>
        <color theme="1"/>
        <rFont val="Calibri"/>
        <family val="2"/>
        <scheme val="minor"/>
      </rPr>
      <t>Pertussis</t>
    </r>
    <r>
      <rPr>
        <sz val="11"/>
        <color theme="1"/>
        <rFont val="Calibri"/>
        <family val="2"/>
        <scheme val="minor"/>
      </rPr>
      <t xml:space="preserve"> - Pertussis (Whooping Cough)
</t>
    </r>
    <r>
      <rPr>
        <b/>
        <sz val="11"/>
        <color theme="1"/>
        <rFont val="Calibri"/>
        <family val="2"/>
        <scheme val="minor"/>
      </rPr>
      <t>Pneumococcal</t>
    </r>
    <r>
      <rPr>
        <sz val="11"/>
        <color theme="1"/>
        <rFont val="Calibri"/>
        <family val="2"/>
        <scheme val="minor"/>
      </rPr>
      <t xml:space="preserve"> - Pneumococcal
</t>
    </r>
    <r>
      <rPr>
        <b/>
        <sz val="11"/>
        <color theme="1"/>
        <rFont val="Calibri"/>
        <family val="2"/>
        <scheme val="minor"/>
      </rPr>
      <t>RhImmuneGlobulin</t>
    </r>
    <r>
      <rPr>
        <sz val="11"/>
        <color theme="1"/>
        <rFont val="Calibri"/>
        <family val="2"/>
        <scheme val="minor"/>
      </rPr>
      <t xml:space="preserve"> - Rh. Immune Globulin
</t>
    </r>
    <r>
      <rPr>
        <b/>
        <sz val="11"/>
        <color theme="1"/>
        <rFont val="Calibri"/>
        <family val="2"/>
        <scheme val="minor"/>
      </rPr>
      <t>Rotavirus</t>
    </r>
    <r>
      <rPr>
        <sz val="11"/>
        <color theme="1"/>
        <rFont val="Calibri"/>
        <family val="2"/>
        <scheme val="minor"/>
      </rPr>
      <t xml:space="preserve"> - Rotavirus
</t>
    </r>
    <r>
      <rPr>
        <b/>
        <sz val="11"/>
        <color theme="1"/>
        <rFont val="Calibri"/>
        <family val="2"/>
        <scheme val="minor"/>
      </rPr>
      <t>Rubella</t>
    </r>
    <r>
      <rPr>
        <sz val="11"/>
        <color theme="1"/>
        <rFont val="Calibri"/>
        <family val="2"/>
        <scheme val="minor"/>
      </rPr>
      <t xml:space="preserve"> - Rubella (German measles)
</t>
    </r>
    <r>
      <rPr>
        <b/>
        <sz val="11"/>
        <color theme="1"/>
        <rFont val="Calibri"/>
        <family val="2"/>
        <scheme val="minor"/>
      </rPr>
      <t>Rubeola</t>
    </r>
    <r>
      <rPr>
        <sz val="11"/>
        <color theme="1"/>
        <rFont val="Calibri"/>
        <family val="2"/>
        <scheme val="minor"/>
      </rPr>
      <t xml:space="preserve"> - Rubeola (Measles)
</t>
    </r>
    <r>
      <rPr>
        <b/>
        <sz val="11"/>
        <color theme="1"/>
        <rFont val="Calibri"/>
        <family val="2"/>
        <scheme val="minor"/>
      </rPr>
      <t>Smallpox</t>
    </r>
    <r>
      <rPr>
        <sz val="11"/>
        <color theme="1"/>
        <rFont val="Calibri"/>
        <family val="2"/>
        <scheme val="minor"/>
      </rPr>
      <t xml:space="preserve"> - Smallpox
</t>
    </r>
    <r>
      <rPr>
        <b/>
        <sz val="11"/>
        <color theme="1"/>
        <rFont val="Calibri"/>
        <family val="2"/>
        <scheme val="minor"/>
      </rPr>
      <t>Tetanus</t>
    </r>
    <r>
      <rPr>
        <sz val="11"/>
        <color theme="1"/>
        <rFont val="Calibri"/>
        <family val="2"/>
        <scheme val="minor"/>
      </rPr>
      <t xml:space="preserve"> - Tetanus
</t>
    </r>
    <r>
      <rPr>
        <b/>
        <sz val="11"/>
        <color theme="1"/>
        <rFont val="Calibri"/>
        <family val="2"/>
        <scheme val="minor"/>
      </rPr>
      <t>Tuberculosis</t>
    </r>
    <r>
      <rPr>
        <sz val="11"/>
        <color theme="1"/>
        <rFont val="Calibri"/>
        <family val="2"/>
        <scheme val="minor"/>
      </rPr>
      <t xml:space="preserve"> - Tuberculosis (BCG)
</t>
    </r>
    <r>
      <rPr>
        <b/>
        <sz val="11"/>
        <color theme="1"/>
        <rFont val="Calibri"/>
        <family val="2"/>
        <scheme val="minor"/>
      </rPr>
      <t>Varicella</t>
    </r>
    <r>
      <rPr>
        <sz val="11"/>
        <color theme="1"/>
        <rFont val="Calibri"/>
        <family val="2"/>
        <scheme val="minor"/>
      </rPr>
      <t xml:space="preserve"> - Varicella
</t>
    </r>
    <r>
      <rPr>
        <b/>
        <sz val="11"/>
        <color theme="1"/>
        <rFont val="Calibri"/>
        <family val="2"/>
        <scheme val="minor"/>
      </rPr>
      <t>ParentOptOut</t>
    </r>
    <r>
      <rPr>
        <sz val="11"/>
        <color theme="1"/>
        <rFont val="Calibri"/>
        <family val="2"/>
        <scheme val="minor"/>
      </rPr>
      <t xml:space="preserve"> - Parent opt-out
</t>
    </r>
  </si>
  <si>
    <r>
      <t>04618</t>
    </r>
    <r>
      <rPr>
        <sz val="11"/>
        <color theme="1"/>
        <rFont val="Calibri"/>
        <family val="2"/>
        <scheme val="minor"/>
      </rPr>
      <t xml:space="preserve"> - Alcohol
</t>
    </r>
    <r>
      <rPr>
        <b/>
        <sz val="11"/>
        <color theme="1"/>
        <rFont val="Calibri"/>
        <family val="2"/>
        <scheme val="minor"/>
      </rPr>
      <t>04625</t>
    </r>
    <r>
      <rPr>
        <sz val="11"/>
        <color theme="1"/>
        <rFont val="Calibri"/>
        <family val="2"/>
        <scheme val="minor"/>
      </rPr>
      <t xml:space="preserve"> - Arson
</t>
    </r>
    <r>
      <rPr>
        <b/>
        <sz val="11"/>
        <color theme="1"/>
        <rFont val="Calibri"/>
        <family val="2"/>
        <scheme val="minor"/>
      </rPr>
      <t>04626</t>
    </r>
    <r>
      <rPr>
        <sz val="11"/>
        <color theme="1"/>
        <rFont val="Calibri"/>
        <family val="2"/>
        <scheme val="minor"/>
      </rPr>
      <t xml:space="preserve"> - Attendance Policy Violation
</t>
    </r>
    <r>
      <rPr>
        <b/>
        <sz val="11"/>
        <color theme="1"/>
        <rFont val="Calibri"/>
        <family val="2"/>
        <scheme val="minor"/>
      </rPr>
      <t>04632</t>
    </r>
    <r>
      <rPr>
        <sz val="11"/>
        <color theme="1"/>
        <rFont val="Calibri"/>
        <family val="2"/>
        <scheme val="minor"/>
      </rPr>
      <t xml:space="preserve"> - Battery
</t>
    </r>
    <r>
      <rPr>
        <b/>
        <sz val="11"/>
        <color theme="1"/>
        <rFont val="Calibri"/>
        <family val="2"/>
        <scheme val="minor"/>
      </rPr>
      <t>04633</t>
    </r>
    <r>
      <rPr>
        <sz val="11"/>
        <color theme="1"/>
        <rFont val="Calibri"/>
        <family val="2"/>
        <scheme val="minor"/>
      </rPr>
      <t xml:space="preserve"> - Burglary/Breaking and Entering
</t>
    </r>
    <r>
      <rPr>
        <b/>
        <sz val="11"/>
        <color theme="1"/>
        <rFont val="Calibri"/>
        <family val="2"/>
        <scheme val="minor"/>
      </rPr>
      <t>04634</t>
    </r>
    <r>
      <rPr>
        <sz val="11"/>
        <color theme="1"/>
        <rFont val="Calibri"/>
        <family val="2"/>
        <scheme val="minor"/>
      </rPr>
      <t xml:space="preserve"> - Disorderly Conduct
</t>
    </r>
    <r>
      <rPr>
        <b/>
        <sz val="11"/>
        <color theme="1"/>
        <rFont val="Calibri"/>
        <family val="2"/>
        <scheme val="minor"/>
      </rPr>
      <t>04635</t>
    </r>
    <r>
      <rPr>
        <sz val="11"/>
        <color theme="1"/>
        <rFont val="Calibri"/>
        <family val="2"/>
        <scheme val="minor"/>
      </rPr>
      <t xml:space="preserve"> - Drugs Excluding Alcohol and Tobacco
</t>
    </r>
    <r>
      <rPr>
        <b/>
        <sz val="11"/>
        <color theme="1"/>
        <rFont val="Calibri"/>
        <family val="2"/>
        <scheme val="minor"/>
      </rPr>
      <t>04645</t>
    </r>
    <r>
      <rPr>
        <sz val="11"/>
        <color theme="1"/>
        <rFont val="Calibri"/>
        <family val="2"/>
        <scheme val="minor"/>
      </rPr>
      <t xml:space="preserve"> - Fighting
</t>
    </r>
    <r>
      <rPr>
        <b/>
        <sz val="11"/>
        <color theme="1"/>
        <rFont val="Calibri"/>
        <family val="2"/>
        <scheme val="minor"/>
      </rPr>
      <t>13354</t>
    </r>
    <r>
      <rPr>
        <sz val="11"/>
        <color theme="1"/>
        <rFont val="Calibri"/>
        <family val="2"/>
        <scheme val="minor"/>
      </rPr>
      <t xml:space="preserve"> - Harassment or bullying on the basis of disability
</t>
    </r>
    <r>
      <rPr>
        <b/>
        <sz val="11"/>
        <color theme="1"/>
        <rFont val="Calibri"/>
        <family val="2"/>
        <scheme val="minor"/>
      </rPr>
      <t>13355</t>
    </r>
    <r>
      <rPr>
        <sz val="11"/>
        <color theme="1"/>
        <rFont val="Calibri"/>
        <family val="2"/>
        <scheme val="minor"/>
      </rPr>
      <t xml:space="preserve"> - Harassment or bullying on the basis of race, color, or national origin
</t>
    </r>
    <r>
      <rPr>
        <b/>
        <sz val="11"/>
        <color theme="1"/>
        <rFont val="Calibri"/>
        <family val="2"/>
        <scheme val="minor"/>
      </rPr>
      <t>13356</t>
    </r>
    <r>
      <rPr>
        <sz val="11"/>
        <color theme="1"/>
        <rFont val="Calibri"/>
        <family val="2"/>
        <scheme val="minor"/>
      </rPr>
      <t xml:space="preserve"> - Harassment or bullying on the basis of sex
</t>
    </r>
    <r>
      <rPr>
        <b/>
        <sz val="11"/>
        <color theme="1"/>
        <rFont val="Calibri"/>
        <family val="2"/>
        <scheme val="minor"/>
      </rPr>
      <t>04646</t>
    </r>
    <r>
      <rPr>
        <sz val="11"/>
        <color theme="1"/>
        <rFont val="Calibri"/>
        <family val="2"/>
        <scheme val="minor"/>
      </rPr>
      <t xml:space="preserve"> - Harassment, Nonsexual
</t>
    </r>
    <r>
      <rPr>
        <b/>
        <sz val="11"/>
        <color theme="1"/>
        <rFont val="Calibri"/>
        <family val="2"/>
        <scheme val="minor"/>
      </rPr>
      <t>04650</t>
    </r>
    <r>
      <rPr>
        <sz val="11"/>
        <color theme="1"/>
        <rFont val="Calibri"/>
        <family val="2"/>
        <scheme val="minor"/>
      </rPr>
      <t xml:space="preserve"> - Harassment, Sexual
</t>
    </r>
    <r>
      <rPr>
        <b/>
        <sz val="11"/>
        <color theme="1"/>
        <rFont val="Calibri"/>
        <family val="2"/>
        <scheme val="minor"/>
      </rPr>
      <t>04651</t>
    </r>
    <r>
      <rPr>
        <sz val="11"/>
        <color theme="1"/>
        <rFont val="Calibri"/>
        <family val="2"/>
        <scheme val="minor"/>
      </rPr>
      <t xml:space="preserve"> - Homicide
</t>
    </r>
    <r>
      <rPr>
        <b/>
        <sz val="11"/>
        <color theme="1"/>
        <rFont val="Calibri"/>
        <family val="2"/>
        <scheme val="minor"/>
      </rPr>
      <t>04652</t>
    </r>
    <r>
      <rPr>
        <sz val="11"/>
        <color theme="1"/>
        <rFont val="Calibri"/>
        <family val="2"/>
        <scheme val="minor"/>
      </rPr>
      <t xml:space="preserve"> - Inappropriate Use of Medication
</t>
    </r>
    <r>
      <rPr>
        <b/>
        <sz val="11"/>
        <color theme="1"/>
        <rFont val="Calibri"/>
        <family val="2"/>
        <scheme val="minor"/>
      </rPr>
      <t>04659</t>
    </r>
    <r>
      <rPr>
        <sz val="11"/>
        <color theme="1"/>
        <rFont val="Calibri"/>
        <family val="2"/>
        <scheme val="minor"/>
      </rPr>
      <t xml:space="preserve"> - Insubordination
</t>
    </r>
    <r>
      <rPr>
        <b/>
        <sz val="11"/>
        <color theme="1"/>
        <rFont val="Calibri"/>
        <family val="2"/>
        <scheme val="minor"/>
      </rPr>
      <t>04660</t>
    </r>
    <r>
      <rPr>
        <sz val="11"/>
        <color theme="1"/>
        <rFont val="Calibri"/>
        <family val="2"/>
        <scheme val="minor"/>
      </rPr>
      <t xml:space="preserve"> - Kidnapping
</t>
    </r>
    <r>
      <rPr>
        <b/>
        <sz val="11"/>
        <color theme="1"/>
        <rFont val="Calibri"/>
        <family val="2"/>
        <scheme val="minor"/>
      </rPr>
      <t>04661</t>
    </r>
    <r>
      <rPr>
        <sz val="11"/>
        <color theme="1"/>
        <rFont val="Calibri"/>
        <family val="2"/>
        <scheme val="minor"/>
      </rPr>
      <t xml:space="preserve"> - Obscene Behavior
</t>
    </r>
    <r>
      <rPr>
        <b/>
        <sz val="11"/>
        <color theme="1"/>
        <rFont val="Calibri"/>
        <family val="2"/>
        <scheme val="minor"/>
      </rPr>
      <t>04669</t>
    </r>
    <r>
      <rPr>
        <sz val="11"/>
        <color theme="1"/>
        <rFont val="Calibri"/>
        <family val="2"/>
        <scheme val="minor"/>
      </rPr>
      <t xml:space="preserve"> - Physical Altercation, Minor
</t>
    </r>
    <r>
      <rPr>
        <b/>
        <sz val="11"/>
        <color theme="1"/>
        <rFont val="Calibri"/>
        <family val="2"/>
        <scheme val="minor"/>
      </rPr>
      <t>04670</t>
    </r>
    <r>
      <rPr>
        <sz val="11"/>
        <color theme="1"/>
        <rFont val="Calibri"/>
        <family val="2"/>
        <scheme val="minor"/>
      </rPr>
      <t xml:space="preserve"> - Robbery
</t>
    </r>
    <r>
      <rPr>
        <b/>
        <sz val="11"/>
        <color theme="1"/>
        <rFont val="Calibri"/>
        <family val="2"/>
        <scheme val="minor"/>
      </rPr>
      <t>04671</t>
    </r>
    <r>
      <rPr>
        <sz val="11"/>
        <color theme="1"/>
        <rFont val="Calibri"/>
        <family val="2"/>
        <scheme val="minor"/>
      </rPr>
      <t xml:space="preserve"> - School Threat
</t>
    </r>
    <r>
      <rPr>
        <b/>
        <sz val="11"/>
        <color theme="1"/>
        <rFont val="Calibri"/>
        <family val="2"/>
        <scheme val="minor"/>
      </rPr>
      <t>04677</t>
    </r>
    <r>
      <rPr>
        <sz val="11"/>
        <color theme="1"/>
        <rFont val="Calibri"/>
        <family val="2"/>
        <scheme val="minor"/>
      </rPr>
      <t xml:space="preserve"> - Sexual Battery (sexual assault)
</t>
    </r>
    <r>
      <rPr>
        <b/>
        <sz val="11"/>
        <color theme="1"/>
        <rFont val="Calibri"/>
        <family val="2"/>
        <scheme val="minor"/>
      </rPr>
      <t>04678</t>
    </r>
    <r>
      <rPr>
        <sz val="11"/>
        <color theme="1"/>
        <rFont val="Calibri"/>
        <family val="2"/>
        <scheme val="minor"/>
      </rPr>
      <t xml:space="preserve"> - Sexual Offenses, Other (lewd behavior, indecent exposure)
</t>
    </r>
    <r>
      <rPr>
        <b/>
        <sz val="11"/>
        <color theme="1"/>
        <rFont val="Calibri"/>
        <family val="2"/>
        <scheme val="minor"/>
      </rPr>
      <t>04682</t>
    </r>
    <r>
      <rPr>
        <sz val="11"/>
        <color theme="1"/>
        <rFont val="Calibri"/>
        <family val="2"/>
        <scheme val="minor"/>
      </rPr>
      <t xml:space="preserve"> - Theft
</t>
    </r>
    <r>
      <rPr>
        <b/>
        <sz val="11"/>
        <color theme="1"/>
        <rFont val="Calibri"/>
        <family val="2"/>
        <scheme val="minor"/>
      </rPr>
      <t>04686</t>
    </r>
    <r>
      <rPr>
        <sz val="11"/>
        <color theme="1"/>
        <rFont val="Calibri"/>
        <family val="2"/>
        <scheme val="minor"/>
      </rPr>
      <t xml:space="preserve"> - Threat/Intimidation
</t>
    </r>
    <r>
      <rPr>
        <b/>
        <sz val="11"/>
        <color theme="1"/>
        <rFont val="Calibri"/>
        <family val="2"/>
        <scheme val="minor"/>
      </rPr>
      <t>04692</t>
    </r>
    <r>
      <rPr>
        <sz val="11"/>
        <color theme="1"/>
        <rFont val="Calibri"/>
        <family val="2"/>
        <scheme val="minor"/>
      </rPr>
      <t xml:space="preserve"> - Tobacco Possession or Use
</t>
    </r>
    <r>
      <rPr>
        <b/>
        <sz val="11"/>
        <color theme="1"/>
        <rFont val="Calibri"/>
        <family val="2"/>
        <scheme val="minor"/>
      </rPr>
      <t>04699</t>
    </r>
    <r>
      <rPr>
        <sz val="11"/>
        <color theme="1"/>
        <rFont val="Calibri"/>
        <family val="2"/>
        <scheme val="minor"/>
      </rPr>
      <t xml:space="preserve"> - Trespassing
</t>
    </r>
    <r>
      <rPr>
        <b/>
        <sz val="11"/>
        <color theme="1"/>
        <rFont val="Calibri"/>
        <family val="2"/>
        <scheme val="minor"/>
      </rPr>
      <t>04700</t>
    </r>
    <r>
      <rPr>
        <sz val="11"/>
        <color theme="1"/>
        <rFont val="Calibri"/>
        <family val="2"/>
        <scheme val="minor"/>
      </rPr>
      <t xml:space="preserve"> - Vandalism
</t>
    </r>
    <r>
      <rPr>
        <b/>
        <sz val="11"/>
        <color theme="1"/>
        <rFont val="Calibri"/>
        <family val="2"/>
        <scheme val="minor"/>
      </rPr>
      <t>04704</t>
    </r>
    <r>
      <rPr>
        <sz val="11"/>
        <color theme="1"/>
        <rFont val="Calibri"/>
        <family val="2"/>
        <scheme val="minor"/>
      </rPr>
      <t xml:space="preserve"> - Violation of School Rules
</t>
    </r>
    <r>
      <rPr>
        <b/>
        <sz val="11"/>
        <color theme="1"/>
        <rFont val="Calibri"/>
        <family val="2"/>
        <scheme val="minor"/>
      </rPr>
      <t>04705</t>
    </r>
    <r>
      <rPr>
        <sz val="11"/>
        <color theme="1"/>
        <rFont val="Calibri"/>
        <family val="2"/>
        <scheme val="minor"/>
      </rPr>
      <t xml:space="preserve"> - Weapons Possession
</t>
    </r>
  </si>
  <si>
    <r>
      <t>MajorInjury</t>
    </r>
    <r>
      <rPr>
        <sz val="11"/>
        <color theme="1"/>
        <rFont val="Calibri"/>
        <family val="2"/>
        <scheme val="minor"/>
      </rPr>
      <t xml:space="preserve"> - Major injury
</t>
    </r>
    <r>
      <rPr>
        <b/>
        <sz val="11"/>
        <color theme="1"/>
        <rFont val="Calibri"/>
        <family val="2"/>
        <scheme val="minor"/>
      </rPr>
      <t>MinorInjury</t>
    </r>
    <r>
      <rPr>
        <sz val="11"/>
        <color theme="1"/>
        <rFont val="Calibri"/>
        <family val="2"/>
        <scheme val="minor"/>
      </rPr>
      <t xml:space="preserve"> - Minor injury
</t>
    </r>
    <r>
      <rPr>
        <b/>
        <sz val="11"/>
        <color theme="1"/>
        <rFont val="Calibri"/>
        <family val="2"/>
        <scheme val="minor"/>
      </rPr>
      <t>NoInjury</t>
    </r>
    <r>
      <rPr>
        <sz val="11"/>
        <color theme="1"/>
        <rFont val="Calibri"/>
        <family val="2"/>
        <scheme val="minor"/>
      </rPr>
      <t xml:space="preserve"> - No injury
</t>
    </r>
    <r>
      <rPr>
        <b/>
        <sz val="11"/>
        <color theme="1"/>
        <rFont val="Calibri"/>
        <family val="2"/>
        <scheme val="minor"/>
      </rPr>
      <t>SeriousBodilyInjury</t>
    </r>
    <r>
      <rPr>
        <sz val="11"/>
        <color theme="1"/>
        <rFont val="Calibri"/>
        <family val="2"/>
        <scheme val="minor"/>
      </rPr>
      <t xml:space="preserve"> - Serious bodily injury
</t>
    </r>
    <r>
      <rPr>
        <b/>
        <sz val="11"/>
        <color theme="1"/>
        <rFont val="Calibri"/>
        <family val="2"/>
        <scheme val="minor"/>
      </rPr>
      <t>FatalInjury</t>
    </r>
    <r>
      <rPr>
        <sz val="11"/>
        <color theme="1"/>
        <rFont val="Calibri"/>
        <family val="2"/>
        <scheme val="minor"/>
      </rPr>
      <t xml:space="preserve"> - Fatal injury
</t>
    </r>
  </si>
  <si>
    <r>
      <t>03011</t>
    </r>
    <r>
      <rPr>
        <sz val="11"/>
        <color theme="1"/>
        <rFont val="Calibri"/>
        <family val="2"/>
        <scheme val="minor"/>
      </rPr>
      <t xml:space="preserve"> - On campus
</t>
    </r>
    <r>
      <rPr>
        <b/>
        <sz val="11"/>
        <color theme="1"/>
        <rFont val="Calibri"/>
        <family val="2"/>
        <scheme val="minor"/>
      </rPr>
      <t>03012</t>
    </r>
    <r>
      <rPr>
        <sz val="11"/>
        <color theme="1"/>
        <rFont val="Calibri"/>
        <family val="2"/>
        <scheme val="minor"/>
      </rPr>
      <t xml:space="preserve"> - Administrative offices area
</t>
    </r>
    <r>
      <rPr>
        <b/>
        <sz val="11"/>
        <color theme="1"/>
        <rFont val="Calibri"/>
        <family val="2"/>
        <scheme val="minor"/>
      </rPr>
      <t>03013</t>
    </r>
    <r>
      <rPr>
        <sz val="11"/>
        <color theme="1"/>
        <rFont val="Calibri"/>
        <family val="2"/>
        <scheme val="minor"/>
      </rPr>
      <t xml:space="preserve"> - Cafeteria area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03015</t>
    </r>
    <r>
      <rPr>
        <sz val="11"/>
        <color theme="1"/>
        <rFont val="Calibri"/>
        <family val="2"/>
        <scheme val="minor"/>
      </rPr>
      <t xml:space="preserve"> - Hallway or stairs
</t>
    </r>
    <r>
      <rPr>
        <b/>
        <sz val="11"/>
        <color theme="1"/>
        <rFont val="Calibri"/>
        <family val="2"/>
        <scheme val="minor"/>
      </rPr>
      <t>03016</t>
    </r>
    <r>
      <rPr>
        <sz val="11"/>
        <color theme="1"/>
        <rFont val="Calibri"/>
        <family val="2"/>
        <scheme val="minor"/>
      </rPr>
      <t xml:space="preserve"> - Locker room or gym areas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03019</t>
    </r>
    <r>
      <rPr>
        <sz val="11"/>
        <color theme="1"/>
        <rFont val="Calibri"/>
        <family val="2"/>
        <scheme val="minor"/>
      </rPr>
      <t xml:space="preserve"> - Computer lab
</t>
    </r>
    <r>
      <rPr>
        <b/>
        <sz val="11"/>
        <color theme="1"/>
        <rFont val="Calibri"/>
        <family val="2"/>
        <scheme val="minor"/>
      </rPr>
      <t>03020</t>
    </r>
    <r>
      <rPr>
        <sz val="11"/>
        <color theme="1"/>
        <rFont val="Calibri"/>
        <family val="2"/>
        <scheme val="minor"/>
      </rPr>
      <t xml:space="preserve"> - Auditorium
</t>
    </r>
    <r>
      <rPr>
        <b/>
        <sz val="11"/>
        <color theme="1"/>
        <rFont val="Calibri"/>
        <family val="2"/>
        <scheme val="minor"/>
      </rPr>
      <t>03021</t>
    </r>
    <r>
      <rPr>
        <sz val="11"/>
        <color theme="1"/>
        <rFont val="Calibri"/>
        <family val="2"/>
        <scheme val="minor"/>
      </rPr>
      <t xml:space="preserve"> - On-campus other inside area
</t>
    </r>
    <r>
      <rPr>
        <b/>
        <sz val="11"/>
        <color theme="1"/>
        <rFont val="Calibri"/>
        <family val="2"/>
        <scheme val="minor"/>
      </rPr>
      <t>03022</t>
    </r>
    <r>
      <rPr>
        <sz val="11"/>
        <color theme="1"/>
        <rFont val="Calibri"/>
        <family val="2"/>
        <scheme val="minor"/>
      </rPr>
      <t xml:space="preserve"> - Athletic field or playground
</t>
    </r>
    <r>
      <rPr>
        <b/>
        <sz val="11"/>
        <color theme="1"/>
        <rFont val="Calibri"/>
        <family val="2"/>
        <scheme val="minor"/>
      </rPr>
      <t>03023</t>
    </r>
    <r>
      <rPr>
        <sz val="11"/>
        <color theme="1"/>
        <rFont val="Calibri"/>
        <family val="2"/>
        <scheme val="minor"/>
      </rPr>
      <t xml:space="preserve"> - Stadium
</t>
    </r>
    <r>
      <rPr>
        <b/>
        <sz val="11"/>
        <color theme="1"/>
        <rFont val="Calibri"/>
        <family val="2"/>
        <scheme val="minor"/>
      </rPr>
      <t>03024</t>
    </r>
    <r>
      <rPr>
        <sz val="11"/>
        <color theme="1"/>
        <rFont val="Calibri"/>
        <family val="2"/>
        <scheme val="minor"/>
      </rPr>
      <t xml:space="preserve"> - Parking lot
</t>
    </r>
    <r>
      <rPr>
        <b/>
        <sz val="11"/>
        <color theme="1"/>
        <rFont val="Calibri"/>
        <family val="2"/>
        <scheme val="minor"/>
      </rPr>
      <t>03025</t>
    </r>
    <r>
      <rPr>
        <sz val="11"/>
        <color theme="1"/>
        <rFont val="Calibri"/>
        <family val="2"/>
        <scheme val="minor"/>
      </rPr>
      <t xml:space="preserve"> - On-campus other outside area
</t>
    </r>
    <r>
      <rPr>
        <b/>
        <sz val="11"/>
        <color theme="1"/>
        <rFont val="Calibri"/>
        <family val="2"/>
        <scheme val="minor"/>
      </rPr>
      <t>03026</t>
    </r>
    <r>
      <rPr>
        <sz val="11"/>
        <color theme="1"/>
        <rFont val="Calibri"/>
        <family val="2"/>
        <scheme val="minor"/>
      </rPr>
      <t xml:space="preserve"> - Off campus
</t>
    </r>
    <r>
      <rPr>
        <b/>
        <sz val="11"/>
        <color theme="1"/>
        <rFont val="Calibri"/>
        <family val="2"/>
        <scheme val="minor"/>
      </rPr>
      <t>03027</t>
    </r>
    <r>
      <rPr>
        <sz val="11"/>
        <color theme="1"/>
        <rFont val="Calibri"/>
        <family val="2"/>
        <scheme val="minor"/>
      </rPr>
      <t xml:space="preserve"> - Bus stop
</t>
    </r>
    <r>
      <rPr>
        <b/>
        <sz val="11"/>
        <color theme="1"/>
        <rFont val="Calibri"/>
        <family val="2"/>
        <scheme val="minor"/>
      </rPr>
      <t>03028</t>
    </r>
    <r>
      <rPr>
        <sz val="11"/>
        <color theme="1"/>
        <rFont val="Calibri"/>
        <family val="2"/>
        <scheme val="minor"/>
      </rPr>
      <t xml:space="preserve"> - School bus
</t>
    </r>
    <r>
      <rPr>
        <b/>
        <sz val="11"/>
        <color theme="1"/>
        <rFont val="Calibri"/>
        <family val="2"/>
        <scheme val="minor"/>
      </rPr>
      <t>03029</t>
    </r>
    <r>
      <rPr>
        <sz val="11"/>
        <color theme="1"/>
        <rFont val="Calibri"/>
        <family val="2"/>
        <scheme val="minor"/>
      </rPr>
      <t xml:space="preserve"> - Walking to or from school
</t>
    </r>
    <r>
      <rPr>
        <b/>
        <sz val="11"/>
        <color theme="1"/>
        <rFont val="Calibri"/>
        <family val="2"/>
        <scheme val="minor"/>
      </rPr>
      <t>03030</t>
    </r>
    <r>
      <rPr>
        <sz val="11"/>
        <color theme="1"/>
        <rFont val="Calibri"/>
        <family val="2"/>
        <scheme val="minor"/>
      </rPr>
      <t xml:space="preserve"> - Off-campus at other school
</t>
    </r>
    <r>
      <rPr>
        <b/>
        <sz val="11"/>
        <color theme="1"/>
        <rFont val="Calibri"/>
        <family val="2"/>
        <scheme val="minor"/>
      </rPr>
      <t>03031</t>
    </r>
    <r>
      <rPr>
        <sz val="11"/>
        <color theme="1"/>
        <rFont val="Calibri"/>
        <family val="2"/>
        <scheme val="minor"/>
      </rPr>
      <t xml:space="preserve"> - Off-campus at other school district facility
</t>
    </r>
    <r>
      <rPr>
        <b/>
        <sz val="11"/>
        <color theme="1"/>
        <rFont val="Calibri"/>
        <family val="2"/>
        <scheme val="minor"/>
      </rPr>
      <t>03413</t>
    </r>
    <r>
      <rPr>
        <sz val="11"/>
        <color theme="1"/>
        <rFont val="Calibri"/>
        <family val="2"/>
        <scheme val="minor"/>
      </rPr>
      <t xml:space="preserve"> - Online
</t>
    </r>
    <r>
      <rPr>
        <b/>
        <sz val="11"/>
        <color theme="1"/>
        <rFont val="Calibri"/>
        <family val="2"/>
        <scheme val="minor"/>
      </rPr>
      <t>13773</t>
    </r>
    <r>
      <rPr>
        <sz val="11"/>
        <color theme="1"/>
        <rFont val="Calibri"/>
        <family val="2"/>
        <scheme val="minor"/>
      </rPr>
      <t xml:space="preserve"> - Off-campus at a school sponsored activity
</t>
    </r>
    <r>
      <rPr>
        <b/>
        <sz val="11"/>
        <color theme="1"/>
        <rFont val="Calibri"/>
        <family val="2"/>
        <scheme val="minor"/>
      </rPr>
      <t>13774</t>
    </r>
    <r>
      <rPr>
        <sz val="11"/>
        <color theme="1"/>
        <rFont val="Calibri"/>
        <family val="2"/>
        <scheme val="minor"/>
      </rPr>
      <t xml:space="preserve"> - Off-campus at another location unrelated to school
</t>
    </r>
    <r>
      <rPr>
        <b/>
        <sz val="11"/>
        <color theme="1"/>
        <rFont val="Calibri"/>
        <family val="2"/>
        <scheme val="minor"/>
      </rPr>
      <t>09997</t>
    </r>
    <r>
      <rPr>
        <sz val="11"/>
        <color theme="1"/>
        <rFont val="Calibri"/>
        <family val="2"/>
        <scheme val="minor"/>
      </rPr>
      <t xml:space="preserve"> - Unknown
</t>
    </r>
  </si>
  <si>
    <r>
      <t>Primary</t>
    </r>
    <r>
      <rPr>
        <sz val="11"/>
        <color theme="1"/>
        <rFont val="Calibri"/>
        <family val="2"/>
        <scheme val="minor"/>
      </rPr>
      <t xml:space="preserve"> - Primary
</t>
    </r>
    <r>
      <rPr>
        <b/>
        <sz val="11"/>
        <color theme="1"/>
        <rFont val="Calibri"/>
        <family val="2"/>
        <scheme val="minor"/>
      </rPr>
      <t>Secondary</t>
    </r>
    <r>
      <rPr>
        <sz val="11"/>
        <color theme="1"/>
        <rFont val="Calibri"/>
        <family val="2"/>
        <scheme val="minor"/>
      </rPr>
      <t xml:space="preserve"> - Secondary
</t>
    </r>
  </si>
  <si>
    <r>
      <t>03041</t>
    </r>
    <r>
      <rPr>
        <sz val="11"/>
        <color theme="1"/>
        <rFont val="Calibri"/>
        <family val="2"/>
        <scheme val="minor"/>
      </rPr>
      <t xml:space="preserve"> - Administrator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00126</t>
    </r>
    <r>
      <rPr>
        <sz val="11"/>
        <color theme="1"/>
        <rFont val="Calibri"/>
        <family val="2"/>
        <scheme val="minor"/>
      </rPr>
      <t xml:space="preserve"> - Student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09997</t>
    </r>
    <r>
      <rPr>
        <sz val="11"/>
        <color theme="1"/>
        <rFont val="Calibri"/>
        <family val="2"/>
        <scheme val="minor"/>
      </rPr>
      <t xml:space="preserve"> - Unknown
</t>
    </r>
  </si>
  <si>
    <r>
      <t>Victim</t>
    </r>
    <r>
      <rPr>
        <sz val="11"/>
        <color theme="1"/>
        <rFont val="Calibri"/>
        <family val="2"/>
        <scheme val="minor"/>
      </rPr>
      <t xml:space="preserve"> - Victim
</t>
    </r>
    <r>
      <rPr>
        <b/>
        <sz val="11"/>
        <color theme="1"/>
        <rFont val="Calibri"/>
        <family val="2"/>
        <scheme val="minor"/>
      </rPr>
      <t>Perpetrator</t>
    </r>
    <r>
      <rPr>
        <sz val="11"/>
        <color theme="1"/>
        <rFont val="Calibri"/>
        <family val="2"/>
        <scheme val="minor"/>
      </rPr>
      <t xml:space="preserve"> - Perpetrator
</t>
    </r>
    <r>
      <rPr>
        <b/>
        <sz val="11"/>
        <color theme="1"/>
        <rFont val="Calibri"/>
        <family val="2"/>
        <scheme val="minor"/>
      </rPr>
      <t>Witness</t>
    </r>
    <r>
      <rPr>
        <sz val="11"/>
        <color theme="1"/>
        <rFont val="Calibri"/>
        <family val="2"/>
        <scheme val="minor"/>
      </rPr>
      <t xml:space="preserve"> - Witness
</t>
    </r>
    <r>
      <rPr>
        <b/>
        <sz val="11"/>
        <color theme="1"/>
        <rFont val="Calibri"/>
        <family val="2"/>
        <scheme val="minor"/>
      </rPr>
      <t>Reporter</t>
    </r>
    <r>
      <rPr>
        <sz val="11"/>
        <color theme="1"/>
        <rFont val="Calibri"/>
        <family val="2"/>
        <scheme val="minor"/>
      </rPr>
      <t xml:space="preserve"> - Reporter
</t>
    </r>
  </si>
  <si>
    <r>
      <t>00126</t>
    </r>
    <r>
      <rPr>
        <sz val="11"/>
        <color theme="1"/>
        <rFont val="Calibri"/>
        <family val="2"/>
        <scheme val="minor"/>
      </rPr>
      <t xml:space="preserve"> - Student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03041</t>
    </r>
    <r>
      <rPr>
        <sz val="11"/>
        <color theme="1"/>
        <rFont val="Calibri"/>
        <family val="2"/>
        <scheme val="minor"/>
      </rPr>
      <t xml:space="preserve"> - Administrator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09997</t>
    </r>
    <r>
      <rPr>
        <sz val="11"/>
        <color theme="1"/>
        <rFont val="Calibri"/>
        <family val="2"/>
        <scheme val="minor"/>
      </rPr>
      <t xml:space="preserve"> - Unknown
</t>
    </r>
  </si>
  <si>
    <r>
      <t>13765</t>
    </r>
    <r>
      <rPr>
        <sz val="11"/>
        <color theme="1"/>
        <rFont val="Calibri"/>
        <family val="2"/>
        <scheme val="minor"/>
      </rPr>
      <t xml:space="preserve"> - After classes
</t>
    </r>
    <r>
      <rPr>
        <b/>
        <sz val="11"/>
        <color theme="1"/>
        <rFont val="Calibri"/>
        <family val="2"/>
        <scheme val="minor"/>
      </rPr>
      <t>13761</t>
    </r>
    <r>
      <rPr>
        <sz val="11"/>
        <color theme="1"/>
        <rFont val="Calibri"/>
        <family val="2"/>
        <scheme val="minor"/>
      </rPr>
      <t xml:space="preserve"> - Before classes
</t>
    </r>
    <r>
      <rPr>
        <b/>
        <sz val="11"/>
        <color theme="1"/>
        <rFont val="Calibri"/>
        <family val="2"/>
        <scheme val="minor"/>
      </rPr>
      <t>13762</t>
    </r>
    <r>
      <rPr>
        <sz val="11"/>
        <color theme="1"/>
        <rFont val="Calibri"/>
        <family val="2"/>
        <scheme val="minor"/>
      </rPr>
      <t xml:space="preserve"> - During class
</t>
    </r>
    <r>
      <rPr>
        <b/>
        <sz val="11"/>
        <color theme="1"/>
        <rFont val="Calibri"/>
        <family val="2"/>
        <scheme val="minor"/>
      </rPr>
      <t>13764</t>
    </r>
    <r>
      <rPr>
        <sz val="11"/>
        <color theme="1"/>
        <rFont val="Calibri"/>
        <family val="2"/>
        <scheme val="minor"/>
      </rPr>
      <t xml:space="preserve"> - During lunch/recess
</t>
    </r>
    <r>
      <rPr>
        <b/>
        <sz val="11"/>
        <color theme="1"/>
        <rFont val="Calibri"/>
        <family val="2"/>
        <scheme val="minor"/>
      </rPr>
      <t>13763</t>
    </r>
    <r>
      <rPr>
        <sz val="11"/>
        <color theme="1"/>
        <rFont val="Calibri"/>
        <family val="2"/>
        <scheme val="minor"/>
      </rPr>
      <t xml:space="preserve"> - During passing
</t>
    </r>
    <r>
      <rPr>
        <b/>
        <sz val="11"/>
        <color theme="1"/>
        <rFont val="Calibri"/>
        <family val="2"/>
        <scheme val="minor"/>
      </rPr>
      <t>13770</t>
    </r>
    <r>
      <rPr>
        <sz val="11"/>
        <color theme="1"/>
        <rFont val="Calibri"/>
        <family val="2"/>
        <scheme val="minor"/>
      </rPr>
      <t xml:space="preserve"> - Nonschool-sponsored activity
</t>
    </r>
    <r>
      <rPr>
        <b/>
        <sz val="11"/>
        <color theme="1"/>
        <rFont val="Calibri"/>
        <family val="2"/>
        <scheme val="minor"/>
      </rPr>
      <t>13768</t>
    </r>
    <r>
      <rPr>
        <sz val="11"/>
        <color theme="1"/>
        <rFont val="Calibri"/>
        <family val="2"/>
        <scheme val="minor"/>
      </rPr>
      <t xml:space="preserve"> - On the way from school
</t>
    </r>
    <r>
      <rPr>
        <b/>
        <sz val="11"/>
        <color theme="1"/>
        <rFont val="Calibri"/>
        <family val="2"/>
        <scheme val="minor"/>
      </rPr>
      <t>13767</t>
    </r>
    <r>
      <rPr>
        <sz val="11"/>
        <color theme="1"/>
        <rFont val="Calibri"/>
        <family val="2"/>
        <scheme val="minor"/>
      </rPr>
      <t xml:space="preserve"> - On the way to school
</t>
    </r>
    <r>
      <rPr>
        <b/>
        <sz val="11"/>
        <color theme="1"/>
        <rFont val="Calibri"/>
        <family val="2"/>
        <scheme val="minor"/>
      </rPr>
      <t>13766</t>
    </r>
    <r>
      <rPr>
        <sz val="11"/>
        <color theme="1"/>
        <rFont val="Calibri"/>
        <family val="2"/>
        <scheme val="minor"/>
      </rPr>
      <t xml:space="preserve"> - Other time during school hours
</t>
    </r>
    <r>
      <rPr>
        <b/>
        <sz val="11"/>
        <color theme="1"/>
        <rFont val="Calibri"/>
        <family val="2"/>
        <scheme val="minor"/>
      </rPr>
      <t>13771</t>
    </r>
    <r>
      <rPr>
        <sz val="11"/>
        <color theme="1"/>
        <rFont val="Calibri"/>
        <family val="2"/>
        <scheme val="minor"/>
      </rPr>
      <t xml:space="preserve"> - Other time outside school hours
</t>
    </r>
    <r>
      <rPr>
        <b/>
        <sz val="11"/>
        <color theme="1"/>
        <rFont val="Calibri"/>
        <family val="2"/>
        <scheme val="minor"/>
      </rPr>
      <t>13769</t>
    </r>
    <r>
      <rPr>
        <sz val="11"/>
        <color theme="1"/>
        <rFont val="Calibri"/>
        <family val="2"/>
        <scheme val="minor"/>
      </rPr>
      <t xml:space="preserve"> - School-sponsored activity
</t>
    </r>
    <r>
      <rPr>
        <b/>
        <sz val="11"/>
        <color theme="1"/>
        <rFont val="Calibri"/>
        <family val="2"/>
        <scheme val="minor"/>
      </rPr>
      <t>13772</t>
    </r>
    <r>
      <rPr>
        <sz val="11"/>
        <color theme="1"/>
        <rFont val="Calibri"/>
        <family val="2"/>
        <scheme val="minor"/>
      </rPr>
      <t xml:space="preserve"> - Unknown
</t>
    </r>
  </si>
  <si>
    <r>
      <t>HeadStart</t>
    </r>
    <r>
      <rPr>
        <sz val="11"/>
        <color theme="1"/>
        <rFont val="Calibri"/>
        <family val="2"/>
        <scheme val="minor"/>
      </rPr>
      <t xml:space="preserve"> - Head Start calculation
</t>
    </r>
    <r>
      <rPr>
        <b/>
        <sz val="11"/>
        <color theme="1"/>
        <rFont val="Calibri"/>
        <family val="2"/>
        <scheme val="minor"/>
      </rPr>
      <t>StateSpecific</t>
    </r>
    <r>
      <rPr>
        <sz val="11"/>
        <color theme="1"/>
        <rFont val="Calibri"/>
        <family val="2"/>
        <scheme val="minor"/>
      </rPr>
      <t xml:space="preserve"> - State-specific calculation
</t>
    </r>
  </si>
  <si>
    <r>
      <t>LongerSchoolYear</t>
    </r>
    <r>
      <rPr>
        <sz val="11"/>
        <color theme="1"/>
        <rFont val="Calibri"/>
        <family val="2"/>
        <scheme val="minor"/>
      </rPr>
      <t xml:space="preserve"> - Longer School Year
</t>
    </r>
    <r>
      <rPr>
        <b/>
        <sz val="11"/>
        <color theme="1"/>
        <rFont val="Calibri"/>
        <family val="2"/>
        <scheme val="minor"/>
      </rPr>
      <t>LongerSchoolDay</t>
    </r>
    <r>
      <rPr>
        <sz val="11"/>
        <color theme="1"/>
        <rFont val="Calibri"/>
        <family val="2"/>
        <scheme val="minor"/>
      </rPr>
      <t xml:space="preserve"> - Longer School Day
</t>
    </r>
    <r>
      <rPr>
        <b/>
        <sz val="11"/>
        <color theme="1"/>
        <rFont val="Calibri"/>
        <family val="2"/>
        <scheme val="minor"/>
      </rPr>
      <t>BeforeOrAfterSchool</t>
    </r>
    <r>
      <rPr>
        <sz val="11"/>
        <color theme="1"/>
        <rFont val="Calibri"/>
        <family val="2"/>
        <scheme val="minor"/>
      </rPr>
      <t xml:space="preserve"> - Before or After School
</t>
    </r>
    <r>
      <rPr>
        <b/>
        <sz val="11"/>
        <color theme="1"/>
        <rFont val="Calibri"/>
        <family val="2"/>
        <scheme val="minor"/>
      </rPr>
      <t>SummerSchool</t>
    </r>
    <r>
      <rPr>
        <sz val="11"/>
        <color theme="1"/>
        <rFont val="Calibri"/>
        <family val="2"/>
        <scheme val="minor"/>
      </rPr>
      <t xml:space="preserve"> - Summer School
</t>
    </r>
    <r>
      <rPr>
        <b/>
        <sz val="11"/>
        <color theme="1"/>
        <rFont val="Calibri"/>
        <family val="2"/>
        <scheme val="minor"/>
      </rPr>
      <t>WeekendSchool</t>
    </r>
    <r>
      <rPr>
        <sz val="11"/>
        <color theme="1"/>
        <rFont val="Calibri"/>
        <family val="2"/>
        <scheme val="minor"/>
      </rPr>
      <t xml:space="preserve"> - Weekend School
</t>
    </r>
    <r>
      <rPr>
        <b/>
        <sz val="11"/>
        <color theme="1"/>
        <rFont val="Calibri"/>
        <family val="2"/>
        <scheme val="minor"/>
      </rPr>
      <t>Other</t>
    </r>
    <r>
      <rPr>
        <sz val="11"/>
        <color theme="1"/>
        <rFont val="Calibri"/>
        <family val="2"/>
        <scheme val="minor"/>
      </rPr>
      <t xml:space="preserve"> - Other
</t>
    </r>
  </si>
  <si>
    <r>
      <t>Development</t>
    </r>
    <r>
      <rPr>
        <sz val="11"/>
        <color theme="1"/>
        <rFont val="Calibri"/>
        <family val="2"/>
        <scheme val="minor"/>
      </rPr>
      <t xml:space="preserve"> - Development date
</t>
    </r>
    <r>
      <rPr>
        <b/>
        <sz val="11"/>
        <color theme="1"/>
        <rFont val="Calibri"/>
        <family val="2"/>
        <scheme val="minor"/>
      </rPr>
      <t>Implementation</t>
    </r>
    <r>
      <rPr>
        <sz val="11"/>
        <color theme="1"/>
        <rFont val="Calibri"/>
        <family val="2"/>
        <scheme val="minor"/>
      </rPr>
      <t xml:space="preserve"> - Implementation date
</t>
    </r>
    <r>
      <rPr>
        <b/>
        <sz val="11"/>
        <color theme="1"/>
        <rFont val="Calibri"/>
        <family val="2"/>
        <scheme val="minor"/>
      </rPr>
      <t>TentativeRevision</t>
    </r>
    <r>
      <rPr>
        <sz val="11"/>
        <color theme="1"/>
        <rFont val="Calibri"/>
        <family val="2"/>
        <scheme val="minor"/>
      </rPr>
      <t xml:space="preserve"> - Tentative revision date
</t>
    </r>
    <r>
      <rPr>
        <b/>
        <sz val="11"/>
        <color theme="1"/>
        <rFont val="Calibri"/>
        <family val="2"/>
        <scheme val="minor"/>
      </rPr>
      <t>Revision</t>
    </r>
    <r>
      <rPr>
        <sz val="11"/>
        <color theme="1"/>
        <rFont val="Calibri"/>
        <family val="2"/>
        <scheme val="minor"/>
      </rPr>
      <t xml:space="preserve"> - Revision date
</t>
    </r>
    <r>
      <rPr>
        <b/>
        <sz val="11"/>
        <color theme="1"/>
        <rFont val="Calibri"/>
        <family val="2"/>
        <scheme val="minor"/>
      </rPr>
      <t>Other</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</si>
  <si>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Biweekly</t>
    </r>
    <r>
      <rPr>
        <sz val="11"/>
        <color theme="1"/>
        <rFont val="Calibri"/>
        <family val="2"/>
        <scheme val="minor"/>
      </rPr>
      <t xml:space="preserve"> - Biweekly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Bimonthly</t>
    </r>
    <r>
      <rPr>
        <sz val="11"/>
        <color theme="1"/>
        <rFont val="Calibri"/>
        <family val="2"/>
        <scheme val="minor"/>
      </rPr>
      <t xml:space="preserve"> - Bimonthly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Semiannually</t>
    </r>
    <r>
      <rPr>
        <sz val="11"/>
        <color theme="1"/>
        <rFont val="Calibri"/>
        <family val="2"/>
        <scheme val="minor"/>
      </rPr>
      <t xml:space="preserve"> - Semiannually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</si>
  <si>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99</t>
    </r>
    <r>
      <rPr>
        <sz val="11"/>
        <color theme="1"/>
        <rFont val="Calibri"/>
        <family val="2"/>
        <scheme val="minor"/>
      </rPr>
      <t xml:space="preserve"> - Other
</t>
    </r>
  </si>
  <si>
    <r>
      <t>02192</t>
    </r>
    <r>
      <rPr>
        <sz val="11"/>
        <color theme="1"/>
        <rFont val="Calibri"/>
        <family val="2"/>
        <scheme val="minor"/>
      </rPr>
      <t xml:space="preserve"> - Home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06008</t>
    </r>
    <r>
      <rPr>
        <sz val="11"/>
        <color theme="1"/>
        <rFont val="Calibri"/>
        <family val="2"/>
        <scheme val="minor"/>
      </rPr>
      <t xml:space="preserve"> - Outpatient hospital
</t>
    </r>
    <r>
      <rPr>
        <b/>
        <sz val="11"/>
        <color theme="1"/>
        <rFont val="Calibri"/>
        <family val="2"/>
        <scheme val="minor"/>
      </rPr>
      <t>06009</t>
    </r>
    <r>
      <rPr>
        <sz val="11"/>
        <color theme="1"/>
        <rFont val="Calibri"/>
        <family val="2"/>
        <scheme val="minor"/>
      </rPr>
      <t xml:space="preserve"> - Ambulatory care center
</t>
    </r>
    <r>
      <rPr>
        <b/>
        <sz val="11"/>
        <color theme="1"/>
        <rFont val="Calibri"/>
        <family val="2"/>
        <scheme val="minor"/>
      </rPr>
      <t>06010</t>
    </r>
    <r>
      <rPr>
        <sz val="11"/>
        <color theme="1"/>
        <rFont val="Calibri"/>
        <family val="2"/>
        <scheme val="minor"/>
      </rPr>
      <t xml:space="preserve"> - Primary care health provider office
</t>
    </r>
    <r>
      <rPr>
        <b/>
        <sz val="11"/>
        <color theme="1"/>
        <rFont val="Calibri"/>
        <family val="2"/>
        <scheme val="minor"/>
      </rPr>
      <t>01535</t>
    </r>
    <r>
      <rPr>
        <sz val="11"/>
        <color theme="1"/>
        <rFont val="Calibri"/>
        <family val="2"/>
        <scheme val="minor"/>
      </rPr>
      <t xml:space="preserve"> - Child care
</t>
    </r>
    <r>
      <rPr>
        <b/>
        <sz val="11"/>
        <color theme="1"/>
        <rFont val="Calibri"/>
        <family val="2"/>
        <scheme val="minor"/>
      </rPr>
      <t>00127</t>
    </r>
    <r>
      <rPr>
        <sz val="11"/>
        <color theme="1"/>
        <rFont val="Calibri"/>
        <family val="2"/>
        <scheme val="minor"/>
      </rPr>
      <t xml:space="preserve"> - Early intervention classroom/center
</t>
    </r>
    <r>
      <rPr>
        <b/>
        <sz val="11"/>
        <color theme="1"/>
        <rFont val="Calibri"/>
        <family val="2"/>
        <scheme val="minor"/>
      </rPr>
      <t>00066</t>
    </r>
    <r>
      <rPr>
        <sz val="11"/>
        <color theme="1"/>
        <rFont val="Calibri"/>
        <family val="2"/>
        <scheme val="minor"/>
      </rPr>
      <t xml:space="preserve"> - Local education agency
</t>
    </r>
    <r>
      <rPr>
        <b/>
        <sz val="11"/>
        <color theme="1"/>
        <rFont val="Calibri"/>
        <family val="2"/>
        <scheme val="minor"/>
      </rPr>
      <t>06011</t>
    </r>
    <r>
      <rPr>
        <sz val="11"/>
        <color theme="1"/>
        <rFont val="Calibri"/>
        <family val="2"/>
        <scheme val="minor"/>
      </rPr>
      <t xml:space="preserve"> - Public health facility
</t>
    </r>
    <r>
      <rPr>
        <b/>
        <sz val="11"/>
        <color theme="1"/>
        <rFont val="Calibri"/>
        <family val="2"/>
        <scheme val="minor"/>
      </rPr>
      <t>06012</t>
    </r>
    <r>
      <rPr>
        <sz val="11"/>
        <color theme="1"/>
        <rFont val="Calibri"/>
        <family val="2"/>
        <scheme val="minor"/>
      </rPr>
      <t xml:space="preserve"> - Social service agency
</t>
    </r>
    <r>
      <rPr>
        <b/>
        <sz val="11"/>
        <color theme="1"/>
        <rFont val="Calibri"/>
        <family val="2"/>
        <scheme val="minor"/>
      </rPr>
      <t>06013</t>
    </r>
    <r>
      <rPr>
        <sz val="11"/>
        <color theme="1"/>
        <rFont val="Calibri"/>
        <family val="2"/>
        <scheme val="minor"/>
      </rPr>
      <t xml:space="preserve"> - Other health care provider location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09999</t>
    </r>
    <r>
      <rPr>
        <sz val="11"/>
        <color theme="1"/>
        <rFont val="Calibri"/>
        <family val="2"/>
        <scheme val="minor"/>
      </rPr>
      <t xml:space="preserve"> - Other
</t>
    </r>
  </si>
  <si>
    <r>
      <t>03426</t>
    </r>
    <r>
      <rPr>
        <sz val="11"/>
        <color theme="1"/>
        <rFont val="Calibri"/>
        <family val="2"/>
        <scheme val="minor"/>
      </rPr>
      <t xml:space="preserve"> - Postsecondary education or training
</t>
    </r>
    <r>
      <rPr>
        <b/>
        <sz val="11"/>
        <color theme="1"/>
        <rFont val="Calibri"/>
        <family val="2"/>
        <scheme val="minor"/>
      </rPr>
      <t>00518</t>
    </r>
    <r>
      <rPr>
        <sz val="11"/>
        <color theme="1"/>
        <rFont val="Calibri"/>
        <family val="2"/>
        <scheme val="minor"/>
      </rPr>
      <t xml:space="preserve"> - Work
</t>
    </r>
    <r>
      <rPr>
        <b/>
        <sz val="11"/>
        <color theme="1"/>
        <rFont val="Calibri"/>
        <family val="2"/>
        <scheme val="minor"/>
      </rPr>
      <t>09998</t>
    </r>
    <r>
      <rPr>
        <sz val="11"/>
        <color theme="1"/>
        <rFont val="Calibri"/>
        <family val="2"/>
        <scheme val="minor"/>
      </rPr>
      <t xml:space="preserve"> - None
</t>
    </r>
  </si>
  <si>
    <r>
      <t>05978</t>
    </r>
    <r>
      <rPr>
        <sz val="11"/>
        <color theme="1"/>
        <rFont val="Calibri"/>
        <family val="2"/>
        <scheme val="minor"/>
      </rPr>
      <t xml:space="preserve"> - 504 plan
</t>
    </r>
    <r>
      <rPr>
        <b/>
        <sz val="11"/>
        <color theme="1"/>
        <rFont val="Calibri"/>
        <family val="2"/>
        <scheme val="minor"/>
      </rPr>
      <t>89600</t>
    </r>
    <r>
      <rPr>
        <sz val="11"/>
        <color theme="1"/>
        <rFont val="Calibri"/>
        <family val="2"/>
        <scheme val="minor"/>
      </rPr>
      <t xml:space="preserve"> - College and Career Ready Learning Plan
</t>
    </r>
    <r>
      <rPr>
        <b/>
        <sz val="11"/>
        <color theme="1"/>
        <rFont val="Calibri"/>
        <family val="2"/>
        <scheme val="minor"/>
      </rPr>
      <t>05980</t>
    </r>
    <r>
      <rPr>
        <sz val="11"/>
        <color theme="1"/>
        <rFont val="Calibri"/>
        <family val="2"/>
        <scheme val="minor"/>
      </rPr>
      <t xml:space="preserve"> - GIEP - Individualized education program for gifted student
</t>
    </r>
    <r>
      <rPr>
        <b/>
        <sz val="11"/>
        <color theme="1"/>
        <rFont val="Calibri"/>
        <family val="2"/>
        <scheme val="minor"/>
      </rPr>
      <t>02196</t>
    </r>
    <r>
      <rPr>
        <sz val="11"/>
        <color theme="1"/>
        <rFont val="Calibri"/>
        <family val="2"/>
        <scheme val="minor"/>
      </rPr>
      <t xml:space="preserve"> - Individualized education program (IEP)
</t>
    </r>
    <r>
      <rPr>
        <b/>
        <sz val="11"/>
        <color theme="1"/>
        <rFont val="Calibri"/>
        <family val="2"/>
        <scheme val="minor"/>
      </rPr>
      <t>02198</t>
    </r>
    <r>
      <rPr>
        <sz val="11"/>
        <color theme="1"/>
        <rFont val="Calibri"/>
        <family val="2"/>
        <scheme val="minor"/>
      </rPr>
      <t xml:space="preserve"> - Individualized family service plan (IFSP)
</t>
    </r>
    <r>
      <rPr>
        <b/>
        <sz val="11"/>
        <color theme="1"/>
        <rFont val="Calibri"/>
        <family val="2"/>
        <scheme val="minor"/>
      </rPr>
      <t>02197</t>
    </r>
    <r>
      <rPr>
        <sz val="11"/>
        <color theme="1"/>
        <rFont val="Calibri"/>
        <family val="2"/>
        <scheme val="minor"/>
      </rPr>
      <t xml:space="preserve"> - Individualized learning program (ILP)
</t>
    </r>
    <r>
      <rPr>
        <b/>
        <sz val="11"/>
        <color theme="1"/>
        <rFont val="Calibri"/>
        <family val="2"/>
        <scheme val="minor"/>
      </rPr>
      <t>05982</t>
    </r>
    <r>
      <rPr>
        <sz val="11"/>
        <color theme="1"/>
        <rFont val="Calibri"/>
        <family val="2"/>
        <scheme val="minor"/>
      </rPr>
      <t xml:space="preserve"> - Individualized transition plan
</t>
    </r>
    <r>
      <rPr>
        <b/>
        <sz val="11"/>
        <color theme="1"/>
        <rFont val="Calibri"/>
        <family val="2"/>
        <scheme val="minor"/>
      </rPr>
      <t>02349</t>
    </r>
    <r>
      <rPr>
        <sz val="11"/>
        <color theme="1"/>
        <rFont val="Calibri"/>
        <family val="2"/>
        <scheme val="minor"/>
      </rPr>
      <t xml:space="preserve"> - Limited English proficient/English language learner
</t>
    </r>
    <r>
      <rPr>
        <b/>
        <sz val="11"/>
        <color theme="1"/>
        <rFont val="Calibri"/>
        <family val="2"/>
        <scheme val="minor"/>
      </rPr>
      <t>05981</t>
    </r>
    <r>
      <rPr>
        <sz val="11"/>
        <color theme="1"/>
        <rFont val="Calibri"/>
        <family val="2"/>
        <scheme val="minor"/>
      </rPr>
      <t xml:space="preserve"> - Literacy plan
</t>
    </r>
    <r>
      <rPr>
        <b/>
        <sz val="11"/>
        <color theme="1"/>
        <rFont val="Calibri"/>
        <family val="2"/>
        <scheme val="minor"/>
      </rPr>
      <t>05979</t>
    </r>
    <r>
      <rPr>
        <sz val="11"/>
        <color theme="1"/>
        <rFont val="Calibri"/>
        <family val="2"/>
        <scheme val="minor"/>
      </rPr>
      <t xml:space="preserve"> - Student intervention/support plan
</t>
    </r>
    <r>
      <rPr>
        <b/>
        <sz val="11"/>
        <color theme="1"/>
        <rFont val="Calibri"/>
        <family val="2"/>
        <scheme val="minor"/>
      </rPr>
      <t>09999</t>
    </r>
    <r>
      <rPr>
        <sz val="11"/>
        <color theme="1"/>
        <rFont val="Calibri"/>
        <family val="2"/>
        <scheme val="minor"/>
      </rPr>
      <t xml:space="preserve"> - Other
</t>
    </r>
  </si>
  <si>
    <r>
      <t>Fax</t>
    </r>
    <r>
      <rPr>
        <sz val="11"/>
        <color theme="1"/>
        <rFont val="Calibri"/>
        <family val="2"/>
        <scheme val="minor"/>
      </rPr>
      <t xml:space="preserve"> - Fax number
</t>
    </r>
    <r>
      <rPr>
        <b/>
        <sz val="11"/>
        <color theme="1"/>
        <rFont val="Calibri"/>
        <family val="2"/>
        <scheme val="minor"/>
      </rPr>
      <t>Main</t>
    </r>
    <r>
      <rPr>
        <sz val="11"/>
        <color theme="1"/>
        <rFont val="Calibri"/>
        <family val="2"/>
        <scheme val="minor"/>
      </rPr>
      <t xml:space="preserve"> - Main phone number
</t>
    </r>
    <r>
      <rPr>
        <b/>
        <sz val="11"/>
        <color theme="1"/>
        <rFont val="Calibri"/>
        <family val="2"/>
        <scheme val="minor"/>
      </rPr>
      <t>Administrative</t>
    </r>
    <r>
      <rPr>
        <sz val="11"/>
        <color theme="1"/>
        <rFont val="Calibri"/>
        <family val="2"/>
        <scheme val="minor"/>
      </rPr>
      <t xml:space="preserve"> - Administrative phone number
</t>
    </r>
    <r>
      <rPr>
        <b/>
        <sz val="11"/>
        <color theme="1"/>
        <rFont val="Calibri"/>
        <family val="2"/>
        <scheme val="minor"/>
      </rPr>
      <t>HealthClinic</t>
    </r>
    <r>
      <rPr>
        <sz val="11"/>
        <color theme="1"/>
        <rFont val="Calibri"/>
        <family val="2"/>
        <scheme val="minor"/>
      </rPr>
      <t xml:space="preserve"> - Health clinic phone number
</t>
    </r>
    <r>
      <rPr>
        <b/>
        <sz val="11"/>
        <color theme="1"/>
        <rFont val="Calibri"/>
        <family val="2"/>
        <scheme val="minor"/>
      </rPr>
      <t>Attendance</t>
    </r>
    <r>
      <rPr>
        <sz val="11"/>
        <color theme="1"/>
        <rFont val="Calibri"/>
        <family val="2"/>
        <scheme val="minor"/>
      </rPr>
      <t xml:space="preserve"> - Attendance line
</t>
    </r>
    <r>
      <rPr>
        <b/>
        <sz val="11"/>
        <color theme="1"/>
        <rFont val="Calibri"/>
        <family val="2"/>
        <scheme val="minor"/>
      </rPr>
      <t>Fax</t>
    </r>
    <r>
      <rPr>
        <sz val="11"/>
        <color theme="1"/>
        <rFont val="Calibri"/>
        <family val="2"/>
        <scheme val="minor"/>
      </rPr>
      <t xml:space="preserve"> - Facsimile phone number
</t>
    </r>
    <r>
      <rPr>
        <b/>
        <sz val="11"/>
        <color theme="1"/>
        <rFont val="Calibri"/>
        <family val="2"/>
        <scheme val="minor"/>
      </rPr>
      <t>FoodServices</t>
    </r>
    <r>
      <rPr>
        <sz val="11"/>
        <color theme="1"/>
        <rFont val="Calibri"/>
        <family val="2"/>
        <scheme val="minor"/>
      </rPr>
      <t xml:space="preserve"> - Cafeteria/Food Services
</t>
    </r>
    <r>
      <rPr>
        <b/>
        <sz val="11"/>
        <color theme="1"/>
        <rFont val="Calibri"/>
        <family val="2"/>
        <scheme val="minor"/>
      </rPr>
      <t>Other</t>
    </r>
    <r>
      <rPr>
        <sz val="11"/>
        <color theme="1"/>
        <rFont val="Calibri"/>
        <family val="2"/>
        <scheme val="minor"/>
      </rPr>
      <t xml:space="preserve"> - Other
</t>
    </r>
  </si>
  <si>
    <r>
      <t>ExclusivelyCredit</t>
    </r>
    <r>
      <rPr>
        <sz val="11"/>
        <color theme="1"/>
        <rFont val="Calibri"/>
        <family val="2"/>
        <scheme val="minor"/>
      </rPr>
      <t xml:space="preserve"> - Exclusively credit
</t>
    </r>
    <r>
      <rPr>
        <b/>
        <sz val="11"/>
        <color theme="1"/>
        <rFont val="Calibri"/>
        <family val="2"/>
        <scheme val="minor"/>
      </rPr>
      <t>ExclusivelyNotForCredit</t>
    </r>
    <r>
      <rPr>
        <sz val="11"/>
        <color theme="1"/>
        <rFont val="Calibri"/>
        <family val="2"/>
        <scheme val="minor"/>
      </rPr>
      <t xml:space="preserve"> - Exclusively not-for-credit
</t>
    </r>
    <r>
      <rPr>
        <b/>
        <sz val="11"/>
        <color theme="1"/>
        <rFont val="Calibri"/>
        <family val="2"/>
        <scheme val="minor"/>
      </rPr>
      <t>Combined</t>
    </r>
    <r>
      <rPr>
        <sz val="11"/>
        <color theme="1"/>
        <rFont val="Calibri"/>
        <family val="2"/>
        <scheme val="minor"/>
      </rPr>
      <t xml:space="preserve"> - Combined credit/not-for-credit
</t>
    </r>
  </si>
  <si>
    <r>
      <t>Credit</t>
    </r>
    <r>
      <rPr>
        <sz val="11"/>
        <color theme="1"/>
        <rFont val="Calibri"/>
        <family val="2"/>
        <scheme val="minor"/>
      </rPr>
      <t xml:space="preserve"> - Credit
</t>
    </r>
    <r>
      <rPr>
        <b/>
        <sz val="11"/>
        <color theme="1"/>
        <rFont val="Calibri"/>
        <family val="2"/>
        <scheme val="minor"/>
      </rPr>
      <t>Contact</t>
    </r>
    <r>
      <rPr>
        <sz val="11"/>
        <color theme="1"/>
        <rFont val="Calibri"/>
        <family val="2"/>
        <scheme val="minor"/>
      </rPr>
      <t xml:space="preserve"> - Contact
</t>
    </r>
  </si>
  <si>
    <r>
      <t>LessThan9-Month</t>
    </r>
    <r>
      <rPr>
        <sz val="11"/>
        <color theme="1"/>
        <rFont val="Calibri"/>
        <family val="2"/>
        <scheme val="minor"/>
      </rPr>
      <t xml:space="preserve"> - Less than 9-Month
</t>
    </r>
    <r>
      <rPr>
        <b/>
        <sz val="11"/>
        <color theme="1"/>
        <rFont val="Calibri"/>
        <family val="2"/>
        <scheme val="minor"/>
      </rPr>
      <t>9-Month</t>
    </r>
    <r>
      <rPr>
        <sz val="11"/>
        <color theme="1"/>
        <rFont val="Calibri"/>
        <family val="2"/>
        <scheme val="minor"/>
      </rPr>
      <t xml:space="preserve"> - 9-Month
</t>
    </r>
    <r>
      <rPr>
        <b/>
        <sz val="11"/>
        <color theme="1"/>
        <rFont val="Calibri"/>
        <family val="2"/>
        <scheme val="minor"/>
      </rPr>
      <t>10-Month</t>
    </r>
    <r>
      <rPr>
        <sz val="11"/>
        <color theme="1"/>
        <rFont val="Calibri"/>
        <family val="2"/>
        <scheme val="minor"/>
      </rPr>
      <t xml:space="preserve"> - 10-Month
</t>
    </r>
    <r>
      <rPr>
        <b/>
        <sz val="11"/>
        <color theme="1"/>
        <rFont val="Calibri"/>
        <family val="2"/>
        <scheme val="minor"/>
      </rPr>
      <t>11-Month</t>
    </r>
    <r>
      <rPr>
        <sz val="11"/>
        <color theme="1"/>
        <rFont val="Calibri"/>
        <family val="2"/>
        <scheme val="minor"/>
      </rPr>
      <t xml:space="preserve"> - 11-Month
</t>
    </r>
    <r>
      <rPr>
        <b/>
        <sz val="11"/>
        <color theme="1"/>
        <rFont val="Calibri"/>
        <family val="2"/>
        <scheme val="minor"/>
      </rPr>
      <t>12-Month</t>
    </r>
    <r>
      <rPr>
        <sz val="11"/>
        <color theme="1"/>
        <rFont val="Calibri"/>
        <family val="2"/>
        <scheme val="minor"/>
      </rPr>
      <t xml:space="preserve"> - 12-Month
</t>
    </r>
  </si>
  <si>
    <r>
      <t>Tenured</t>
    </r>
    <r>
      <rPr>
        <sz val="11"/>
        <color theme="1"/>
        <rFont val="Calibri"/>
        <family val="2"/>
        <scheme val="minor"/>
      </rPr>
      <t xml:space="preserve"> - Tenured
</t>
    </r>
    <r>
      <rPr>
        <b/>
        <sz val="11"/>
        <color theme="1"/>
        <rFont val="Calibri"/>
        <family val="2"/>
        <scheme val="minor"/>
      </rPr>
      <t>OnTenureTrack</t>
    </r>
    <r>
      <rPr>
        <sz val="11"/>
        <color theme="1"/>
        <rFont val="Calibri"/>
        <family val="2"/>
        <scheme val="minor"/>
      </rPr>
      <t xml:space="preserve"> - On tenure track
</t>
    </r>
    <r>
      <rPr>
        <b/>
        <sz val="11"/>
        <color theme="1"/>
        <rFont val="Calibri"/>
        <family val="2"/>
        <scheme val="minor"/>
      </rPr>
      <t>NotOnTenureTrack</t>
    </r>
    <r>
      <rPr>
        <sz val="11"/>
        <color theme="1"/>
        <rFont val="Calibri"/>
        <family val="2"/>
        <scheme val="minor"/>
      </rPr>
      <t xml:space="preserve"> - Not on tenure track
</t>
    </r>
    <r>
      <rPr>
        <b/>
        <sz val="11"/>
        <color theme="1"/>
        <rFont val="Calibri"/>
        <family val="2"/>
        <scheme val="minor"/>
      </rPr>
      <t>WithoutFacultyStatus</t>
    </r>
    <r>
      <rPr>
        <sz val="11"/>
        <color theme="1"/>
        <rFont val="Calibri"/>
        <family val="2"/>
        <scheme val="minor"/>
      </rPr>
      <t xml:space="preserve"> - Without faculty status
</t>
    </r>
  </si>
  <si>
    <r>
      <t>Developing</t>
    </r>
    <r>
      <rPr>
        <sz val="11"/>
        <color theme="1"/>
        <rFont val="Calibri"/>
        <family val="2"/>
        <scheme val="minor"/>
      </rPr>
      <t xml:space="preserve"> - Developing
</t>
    </r>
    <r>
      <rPr>
        <b/>
        <sz val="11"/>
        <color theme="1"/>
        <rFont val="Calibri"/>
        <family val="2"/>
        <scheme val="minor"/>
      </rPr>
      <t>Approaching</t>
    </r>
    <r>
      <rPr>
        <sz val="11"/>
        <color theme="1"/>
        <rFont val="Calibri"/>
        <family val="2"/>
        <scheme val="minor"/>
      </rPr>
      <t xml:space="preserve"> - Approaching
</t>
    </r>
    <r>
      <rPr>
        <b/>
        <sz val="11"/>
        <color theme="1"/>
        <rFont val="Calibri"/>
        <family val="2"/>
        <scheme val="minor"/>
      </rPr>
      <t>Meets</t>
    </r>
    <r>
      <rPr>
        <sz val="11"/>
        <color theme="1"/>
        <rFont val="Calibri"/>
        <family val="2"/>
        <scheme val="minor"/>
      </rPr>
      <t xml:space="preserve"> - Meets
</t>
    </r>
    <r>
      <rPr>
        <b/>
        <sz val="11"/>
        <color theme="1"/>
        <rFont val="Calibri"/>
        <family val="2"/>
        <scheme val="minor"/>
      </rPr>
      <t>FullyIntegrated</t>
    </r>
    <r>
      <rPr>
        <sz val="11"/>
        <color theme="1"/>
        <rFont val="Calibri"/>
        <family val="2"/>
        <scheme val="minor"/>
      </rPr>
      <t xml:space="preserve"> - Fully integrated
</t>
    </r>
    <r>
      <rPr>
        <b/>
        <sz val="11"/>
        <color theme="1"/>
        <rFont val="Calibri"/>
        <family val="2"/>
        <scheme val="minor"/>
      </rPr>
      <t>NotRequired</t>
    </r>
    <r>
      <rPr>
        <sz val="11"/>
        <color theme="1"/>
        <rFont val="Calibri"/>
        <family val="2"/>
        <scheme val="minor"/>
      </rPr>
      <t xml:space="preserve"> - Not required to report
</t>
    </r>
  </si>
  <si>
    <r>
      <t>HighSpeed</t>
    </r>
    <r>
      <rPr>
        <sz val="11"/>
        <color theme="1"/>
        <rFont val="Calibri"/>
        <family val="2"/>
        <scheme val="minor"/>
      </rPr>
      <t xml:space="preserve"> - High speed connectivity
</t>
    </r>
    <r>
      <rPr>
        <b/>
        <sz val="11"/>
        <color theme="1"/>
        <rFont val="Calibri"/>
        <family val="2"/>
        <scheme val="minor"/>
      </rPr>
      <t>LessThanHighSpeed</t>
    </r>
    <r>
      <rPr>
        <sz val="11"/>
        <color theme="1"/>
        <rFont val="Calibri"/>
        <family val="2"/>
        <scheme val="minor"/>
      </rPr>
      <t xml:space="preserve"> - Less than high speed connectivity
</t>
    </r>
  </si>
  <si>
    <r>
      <t>01</t>
    </r>
    <r>
      <rPr>
        <sz val="11"/>
        <color theme="1"/>
        <rFont val="Calibri"/>
        <family val="2"/>
        <scheme val="minor"/>
      </rPr>
      <t xml:space="preserve"> - Postsecondary Teacher: Instruction
</t>
    </r>
    <r>
      <rPr>
        <b/>
        <sz val="11"/>
        <color theme="1"/>
        <rFont val="Calibri"/>
        <family val="2"/>
        <scheme val="minor"/>
      </rPr>
      <t>02</t>
    </r>
    <r>
      <rPr>
        <sz val="11"/>
        <color theme="1"/>
        <rFont val="Calibri"/>
        <family val="2"/>
        <scheme val="minor"/>
      </rPr>
      <t xml:space="preserve"> - Postsecondary Teacher: Instruction/Research/Public Service
</t>
    </r>
    <r>
      <rPr>
        <b/>
        <sz val="11"/>
        <color theme="1"/>
        <rFont val="Calibri"/>
        <family val="2"/>
        <scheme val="minor"/>
      </rPr>
      <t>03</t>
    </r>
    <r>
      <rPr>
        <sz val="11"/>
        <color theme="1"/>
        <rFont val="Calibri"/>
        <family val="2"/>
        <scheme val="minor"/>
      </rPr>
      <t xml:space="preserve"> - Postsecondary Teacher: Research
</t>
    </r>
    <r>
      <rPr>
        <b/>
        <sz val="11"/>
        <color theme="1"/>
        <rFont val="Calibri"/>
        <family val="2"/>
        <scheme val="minor"/>
      </rPr>
      <t>04</t>
    </r>
    <r>
      <rPr>
        <sz val="11"/>
        <color theme="1"/>
        <rFont val="Calibri"/>
        <family val="2"/>
        <scheme val="minor"/>
      </rPr>
      <t xml:space="preserve"> - Postsecondary Teacher: Public Service
</t>
    </r>
    <r>
      <rPr>
        <b/>
        <sz val="11"/>
        <color theme="1"/>
        <rFont val="Calibri"/>
        <family val="2"/>
        <scheme val="minor"/>
      </rPr>
      <t>05</t>
    </r>
    <r>
      <rPr>
        <sz val="11"/>
        <color theme="1"/>
        <rFont val="Calibri"/>
        <family val="2"/>
        <scheme val="minor"/>
      </rPr>
      <t xml:space="preserve"> - Archivists, Curators, and Museum Technicians
</t>
    </r>
    <r>
      <rPr>
        <b/>
        <sz val="11"/>
        <color theme="1"/>
        <rFont val="Calibri"/>
        <family val="2"/>
        <scheme val="minor"/>
      </rPr>
      <t>06</t>
    </r>
    <r>
      <rPr>
        <sz val="11"/>
        <color theme="1"/>
        <rFont val="Calibri"/>
        <family val="2"/>
        <scheme val="minor"/>
      </rPr>
      <t xml:space="preserve"> - Librarians
</t>
    </r>
    <r>
      <rPr>
        <b/>
        <sz val="11"/>
        <color theme="1"/>
        <rFont val="Calibri"/>
        <family val="2"/>
        <scheme val="minor"/>
      </rPr>
      <t>07</t>
    </r>
    <r>
      <rPr>
        <sz val="11"/>
        <color theme="1"/>
        <rFont val="Calibri"/>
        <family val="2"/>
        <scheme val="minor"/>
      </rPr>
      <t xml:space="preserve"> - Librarian Technicians
</t>
    </r>
    <r>
      <rPr>
        <b/>
        <sz val="11"/>
        <color theme="1"/>
        <rFont val="Calibri"/>
        <family val="2"/>
        <scheme val="minor"/>
      </rPr>
      <t>08</t>
    </r>
    <r>
      <rPr>
        <sz val="11"/>
        <color theme="1"/>
        <rFont val="Calibri"/>
        <family val="2"/>
        <scheme val="minor"/>
      </rPr>
      <t xml:space="preserve"> - Non-Postsecondary Teachers
</t>
    </r>
    <r>
      <rPr>
        <b/>
        <sz val="11"/>
        <color theme="1"/>
        <rFont val="Calibri"/>
        <family val="2"/>
        <scheme val="minor"/>
      </rPr>
      <t>09</t>
    </r>
    <r>
      <rPr>
        <sz val="11"/>
        <color theme="1"/>
        <rFont val="Calibri"/>
        <family val="2"/>
        <scheme val="minor"/>
      </rPr>
      <t xml:space="preserve"> - Management Occupations
</t>
    </r>
    <r>
      <rPr>
        <b/>
        <sz val="11"/>
        <color theme="1"/>
        <rFont val="Calibri"/>
        <family val="2"/>
        <scheme val="minor"/>
      </rPr>
      <t>10</t>
    </r>
    <r>
      <rPr>
        <sz val="11"/>
        <color theme="1"/>
        <rFont val="Calibri"/>
        <family val="2"/>
        <scheme val="minor"/>
      </rPr>
      <t xml:space="preserve"> - Business and Financial Occupations
</t>
    </r>
    <r>
      <rPr>
        <b/>
        <sz val="11"/>
        <color theme="1"/>
        <rFont val="Calibri"/>
        <family val="2"/>
        <scheme val="minor"/>
      </rPr>
      <t>11</t>
    </r>
    <r>
      <rPr>
        <sz val="11"/>
        <color theme="1"/>
        <rFont val="Calibri"/>
        <family val="2"/>
        <scheme val="minor"/>
      </rPr>
      <t xml:space="preserve"> - Computer, Engineering and Science Occupations
</t>
    </r>
    <r>
      <rPr>
        <b/>
        <sz val="11"/>
        <color theme="1"/>
        <rFont val="Calibri"/>
        <family val="2"/>
        <scheme val="minor"/>
      </rPr>
      <t>12</t>
    </r>
    <r>
      <rPr>
        <sz val="11"/>
        <color theme="1"/>
        <rFont val="Calibri"/>
        <family val="2"/>
        <scheme val="minor"/>
      </rPr>
      <t xml:space="preserve"> - Community Service, Legal, Arts, and Media Occupations
</t>
    </r>
    <r>
      <rPr>
        <b/>
        <sz val="11"/>
        <color theme="1"/>
        <rFont val="Calibri"/>
        <family val="2"/>
        <scheme val="minor"/>
      </rPr>
      <t>13</t>
    </r>
    <r>
      <rPr>
        <sz val="11"/>
        <color theme="1"/>
        <rFont val="Calibri"/>
        <family val="2"/>
        <scheme val="minor"/>
      </rPr>
      <t xml:space="preserve"> - Healthcare Practitioners and Technical Occupations
</t>
    </r>
    <r>
      <rPr>
        <b/>
        <sz val="11"/>
        <color theme="1"/>
        <rFont val="Calibri"/>
        <family val="2"/>
        <scheme val="minor"/>
      </rPr>
      <t>14</t>
    </r>
    <r>
      <rPr>
        <sz val="11"/>
        <color theme="1"/>
        <rFont val="Calibri"/>
        <family val="2"/>
        <scheme val="minor"/>
      </rPr>
      <t xml:space="preserve"> - Service Occupations
</t>
    </r>
    <r>
      <rPr>
        <b/>
        <sz val="11"/>
        <color theme="1"/>
        <rFont val="Calibri"/>
        <family val="2"/>
        <scheme val="minor"/>
      </rPr>
      <t>15</t>
    </r>
    <r>
      <rPr>
        <sz val="11"/>
        <color theme="1"/>
        <rFont val="Calibri"/>
        <family val="2"/>
        <scheme val="minor"/>
      </rPr>
      <t xml:space="preserve"> - Sales and Related Occupations
</t>
    </r>
    <r>
      <rPr>
        <b/>
        <sz val="11"/>
        <color theme="1"/>
        <rFont val="Calibri"/>
        <family val="2"/>
        <scheme val="minor"/>
      </rPr>
      <t>16</t>
    </r>
    <r>
      <rPr>
        <sz val="11"/>
        <color theme="1"/>
        <rFont val="Calibri"/>
        <family val="2"/>
        <scheme val="minor"/>
      </rPr>
      <t xml:space="preserve"> - Office and Administrative Support Occupations
</t>
    </r>
    <r>
      <rPr>
        <b/>
        <sz val="11"/>
        <color theme="1"/>
        <rFont val="Calibri"/>
        <family val="2"/>
        <scheme val="minor"/>
      </rPr>
      <t>17</t>
    </r>
    <r>
      <rPr>
        <sz val="11"/>
        <color theme="1"/>
        <rFont val="Calibri"/>
        <family val="2"/>
        <scheme val="minor"/>
      </rPr>
      <t xml:space="preserve"> - Natural Resources, Construction
</t>
    </r>
    <r>
      <rPr>
        <b/>
        <sz val="11"/>
        <color theme="1"/>
        <rFont val="Calibri"/>
        <family val="2"/>
        <scheme val="minor"/>
      </rPr>
      <t>18</t>
    </r>
    <r>
      <rPr>
        <sz val="11"/>
        <color theme="1"/>
        <rFont val="Calibri"/>
        <family val="2"/>
        <scheme val="minor"/>
      </rPr>
      <t xml:space="preserve"> - Maintenance Occupations
</t>
    </r>
  </si>
  <si>
    <r>
      <t>aav</t>
    </r>
    <r>
      <rPr>
        <sz val="11"/>
        <color theme="1"/>
        <rFont val="Calibri"/>
        <family val="2"/>
        <scheme val="minor"/>
      </rPr>
      <t xml:space="preserve"> - Austro-Asiatic languages
</t>
    </r>
    <r>
      <rPr>
        <b/>
        <sz val="11"/>
        <color theme="1"/>
        <rFont val="Calibri"/>
        <family val="2"/>
        <scheme val="minor"/>
      </rPr>
      <t>afa</t>
    </r>
    <r>
      <rPr>
        <sz val="11"/>
        <color theme="1"/>
        <rFont val="Calibri"/>
        <family val="2"/>
        <scheme val="minor"/>
      </rPr>
      <t xml:space="preserve"> - Afro-Asiatic languages
</t>
    </r>
    <r>
      <rPr>
        <b/>
        <sz val="11"/>
        <color theme="1"/>
        <rFont val="Calibri"/>
        <family val="2"/>
        <scheme val="minor"/>
      </rPr>
      <t>alg</t>
    </r>
    <r>
      <rPr>
        <sz val="11"/>
        <color theme="1"/>
        <rFont val="Calibri"/>
        <family val="2"/>
        <scheme val="minor"/>
      </rPr>
      <t xml:space="preserve"> - Algonquian languages
</t>
    </r>
    <r>
      <rPr>
        <b/>
        <sz val="11"/>
        <color theme="1"/>
        <rFont val="Calibri"/>
        <family val="2"/>
        <scheme val="minor"/>
      </rPr>
      <t>alv</t>
    </r>
    <r>
      <rPr>
        <sz val="11"/>
        <color theme="1"/>
        <rFont val="Calibri"/>
        <family val="2"/>
        <scheme val="minor"/>
      </rPr>
      <t xml:space="preserve"> - Atlantic-Congo languages
</t>
    </r>
    <r>
      <rPr>
        <b/>
        <sz val="11"/>
        <color theme="1"/>
        <rFont val="Calibri"/>
        <family val="2"/>
        <scheme val="minor"/>
      </rPr>
      <t>apa</t>
    </r>
    <r>
      <rPr>
        <sz val="11"/>
        <color theme="1"/>
        <rFont val="Calibri"/>
        <family val="2"/>
        <scheme val="minor"/>
      </rPr>
      <t xml:space="preserve"> - Apache languages
</t>
    </r>
    <r>
      <rPr>
        <b/>
        <sz val="11"/>
        <color theme="1"/>
        <rFont val="Calibri"/>
        <family val="2"/>
        <scheme val="minor"/>
      </rPr>
      <t>aqa</t>
    </r>
    <r>
      <rPr>
        <sz val="11"/>
        <color theme="1"/>
        <rFont val="Calibri"/>
        <family val="2"/>
        <scheme val="minor"/>
      </rPr>
      <t xml:space="preserve"> - Alacalufan languages
</t>
    </r>
    <r>
      <rPr>
        <b/>
        <sz val="11"/>
        <color theme="1"/>
        <rFont val="Calibri"/>
        <family val="2"/>
        <scheme val="minor"/>
      </rPr>
      <t>aql</t>
    </r>
    <r>
      <rPr>
        <sz val="11"/>
        <color theme="1"/>
        <rFont val="Calibri"/>
        <family val="2"/>
        <scheme val="minor"/>
      </rPr>
      <t xml:space="preserve"> - Algic languages
</t>
    </r>
    <r>
      <rPr>
        <b/>
        <sz val="11"/>
        <color theme="1"/>
        <rFont val="Calibri"/>
        <family val="2"/>
        <scheme val="minor"/>
      </rPr>
      <t>art</t>
    </r>
    <r>
      <rPr>
        <sz val="11"/>
        <color theme="1"/>
        <rFont val="Calibri"/>
        <family val="2"/>
        <scheme val="minor"/>
      </rPr>
      <t xml:space="preserve"> - Artificial languages
</t>
    </r>
    <r>
      <rPr>
        <b/>
        <sz val="11"/>
        <color theme="1"/>
        <rFont val="Calibri"/>
        <family val="2"/>
        <scheme val="minor"/>
      </rPr>
      <t>ath</t>
    </r>
    <r>
      <rPr>
        <sz val="11"/>
        <color theme="1"/>
        <rFont val="Calibri"/>
        <family val="2"/>
        <scheme val="minor"/>
      </rPr>
      <t xml:space="preserve"> - Athapascan languages
</t>
    </r>
    <r>
      <rPr>
        <b/>
        <sz val="11"/>
        <color theme="1"/>
        <rFont val="Calibri"/>
        <family val="2"/>
        <scheme val="minor"/>
      </rPr>
      <t>auf</t>
    </r>
    <r>
      <rPr>
        <sz val="11"/>
        <color theme="1"/>
        <rFont val="Calibri"/>
        <family val="2"/>
        <scheme val="minor"/>
      </rPr>
      <t xml:space="preserve"> - Arauan languages
</t>
    </r>
    <r>
      <rPr>
        <b/>
        <sz val="11"/>
        <color theme="1"/>
        <rFont val="Calibri"/>
        <family val="2"/>
        <scheme val="minor"/>
      </rPr>
      <t>aus</t>
    </r>
    <r>
      <rPr>
        <sz val="11"/>
        <color theme="1"/>
        <rFont val="Calibri"/>
        <family val="2"/>
        <scheme val="minor"/>
      </rPr>
      <t xml:space="preserve"> - Australian languages
</t>
    </r>
    <r>
      <rPr>
        <b/>
        <sz val="11"/>
        <color theme="1"/>
        <rFont val="Calibri"/>
        <family val="2"/>
        <scheme val="minor"/>
      </rPr>
      <t>awd</t>
    </r>
    <r>
      <rPr>
        <sz val="11"/>
        <color theme="1"/>
        <rFont val="Calibri"/>
        <family val="2"/>
        <scheme val="minor"/>
      </rPr>
      <t xml:space="preserve"> - Arawakan languages
</t>
    </r>
    <r>
      <rPr>
        <b/>
        <sz val="11"/>
        <color theme="1"/>
        <rFont val="Calibri"/>
        <family val="2"/>
        <scheme val="minor"/>
      </rPr>
      <t>azc</t>
    </r>
    <r>
      <rPr>
        <sz val="11"/>
        <color theme="1"/>
        <rFont val="Calibri"/>
        <family val="2"/>
        <scheme val="minor"/>
      </rPr>
      <t xml:space="preserve"> - Uto-Aztecan languages
</t>
    </r>
    <r>
      <rPr>
        <b/>
        <sz val="11"/>
        <color theme="1"/>
        <rFont val="Calibri"/>
        <family val="2"/>
        <scheme val="minor"/>
      </rPr>
      <t>bad</t>
    </r>
    <r>
      <rPr>
        <sz val="11"/>
        <color theme="1"/>
        <rFont val="Calibri"/>
        <family val="2"/>
        <scheme val="minor"/>
      </rPr>
      <t xml:space="preserve"> - Banda languages
</t>
    </r>
    <r>
      <rPr>
        <b/>
        <sz val="11"/>
        <color theme="1"/>
        <rFont val="Calibri"/>
        <family val="2"/>
        <scheme val="minor"/>
      </rPr>
      <t>bai</t>
    </r>
    <r>
      <rPr>
        <sz val="11"/>
        <color theme="1"/>
        <rFont val="Calibri"/>
        <family val="2"/>
        <scheme val="minor"/>
      </rPr>
      <t xml:space="preserve"> - Bamileke languages
</t>
    </r>
    <r>
      <rPr>
        <b/>
        <sz val="11"/>
        <color theme="1"/>
        <rFont val="Calibri"/>
        <family val="2"/>
        <scheme val="minor"/>
      </rPr>
      <t>bat</t>
    </r>
    <r>
      <rPr>
        <sz val="11"/>
        <color theme="1"/>
        <rFont val="Calibri"/>
        <family val="2"/>
        <scheme val="minor"/>
      </rPr>
      <t xml:space="preserve"> - Baltic languages
</t>
    </r>
    <r>
      <rPr>
        <b/>
        <sz val="11"/>
        <color theme="1"/>
        <rFont val="Calibri"/>
        <family val="2"/>
        <scheme val="minor"/>
      </rPr>
      <t>ber</t>
    </r>
    <r>
      <rPr>
        <sz val="11"/>
        <color theme="1"/>
        <rFont val="Calibri"/>
        <family val="2"/>
        <scheme val="minor"/>
      </rPr>
      <t xml:space="preserve"> - Berber languages
</t>
    </r>
    <r>
      <rPr>
        <b/>
        <sz val="11"/>
        <color theme="1"/>
        <rFont val="Calibri"/>
        <family val="2"/>
        <scheme val="minor"/>
      </rPr>
      <t>bih</t>
    </r>
    <r>
      <rPr>
        <sz val="11"/>
        <color theme="1"/>
        <rFont val="Calibri"/>
        <family val="2"/>
        <scheme val="minor"/>
      </rPr>
      <t xml:space="preserve"> - Bihari languages
</t>
    </r>
    <r>
      <rPr>
        <b/>
        <sz val="11"/>
        <color theme="1"/>
        <rFont val="Calibri"/>
        <family val="2"/>
        <scheme val="minor"/>
      </rPr>
      <t>bnt</t>
    </r>
    <r>
      <rPr>
        <sz val="11"/>
        <color theme="1"/>
        <rFont val="Calibri"/>
        <family val="2"/>
        <scheme val="minor"/>
      </rPr>
      <t xml:space="preserve"> - Bantu languages
</t>
    </r>
    <r>
      <rPr>
        <b/>
        <sz val="11"/>
        <color theme="1"/>
        <rFont val="Calibri"/>
        <family val="2"/>
        <scheme val="minor"/>
      </rPr>
      <t>btk</t>
    </r>
    <r>
      <rPr>
        <sz val="11"/>
        <color theme="1"/>
        <rFont val="Calibri"/>
        <family val="2"/>
        <scheme val="minor"/>
      </rPr>
      <t xml:space="preserve"> - Batak languages
</t>
    </r>
    <r>
      <rPr>
        <b/>
        <sz val="11"/>
        <color theme="1"/>
        <rFont val="Calibri"/>
        <family val="2"/>
        <scheme val="minor"/>
      </rPr>
      <t>cai</t>
    </r>
    <r>
      <rPr>
        <sz val="11"/>
        <color theme="1"/>
        <rFont val="Calibri"/>
        <family val="2"/>
        <scheme val="minor"/>
      </rPr>
      <t xml:space="preserve"> - Central American Indian languages
</t>
    </r>
    <r>
      <rPr>
        <b/>
        <sz val="11"/>
        <color theme="1"/>
        <rFont val="Calibri"/>
        <family val="2"/>
        <scheme val="minor"/>
      </rPr>
      <t>cau</t>
    </r>
    <r>
      <rPr>
        <sz val="11"/>
        <color theme="1"/>
        <rFont val="Calibri"/>
        <family val="2"/>
        <scheme val="minor"/>
      </rPr>
      <t xml:space="preserve"> - Caucasian languages
</t>
    </r>
    <r>
      <rPr>
        <b/>
        <sz val="11"/>
        <color theme="1"/>
        <rFont val="Calibri"/>
        <family val="2"/>
        <scheme val="minor"/>
      </rPr>
      <t>cba</t>
    </r>
    <r>
      <rPr>
        <sz val="11"/>
        <color theme="1"/>
        <rFont val="Calibri"/>
        <family val="2"/>
        <scheme val="minor"/>
      </rPr>
      <t xml:space="preserve"> - Chibchan languages
</t>
    </r>
    <r>
      <rPr>
        <b/>
        <sz val="11"/>
        <color theme="1"/>
        <rFont val="Calibri"/>
        <family val="2"/>
        <scheme val="minor"/>
      </rPr>
      <t>ccn</t>
    </r>
    <r>
      <rPr>
        <sz val="11"/>
        <color theme="1"/>
        <rFont val="Calibri"/>
        <family val="2"/>
        <scheme val="minor"/>
      </rPr>
      <t xml:space="preserve"> - North Caucasian languages
</t>
    </r>
    <r>
      <rPr>
        <b/>
        <sz val="11"/>
        <color theme="1"/>
        <rFont val="Calibri"/>
        <family val="2"/>
        <scheme val="minor"/>
      </rPr>
      <t>ccs</t>
    </r>
    <r>
      <rPr>
        <sz val="11"/>
        <color theme="1"/>
        <rFont val="Calibri"/>
        <family val="2"/>
        <scheme val="minor"/>
      </rPr>
      <t xml:space="preserve"> - South Caucasian languages
</t>
    </r>
    <r>
      <rPr>
        <b/>
        <sz val="11"/>
        <color theme="1"/>
        <rFont val="Calibri"/>
        <family val="2"/>
        <scheme val="minor"/>
      </rPr>
      <t>cdc</t>
    </r>
    <r>
      <rPr>
        <sz val="11"/>
        <color theme="1"/>
        <rFont val="Calibri"/>
        <family val="2"/>
        <scheme val="minor"/>
      </rPr>
      <t xml:space="preserve"> - Chadic languages
</t>
    </r>
    <r>
      <rPr>
        <b/>
        <sz val="11"/>
        <color theme="1"/>
        <rFont val="Calibri"/>
        <family val="2"/>
        <scheme val="minor"/>
      </rPr>
      <t>cdd</t>
    </r>
    <r>
      <rPr>
        <sz val="11"/>
        <color theme="1"/>
        <rFont val="Calibri"/>
        <family val="2"/>
        <scheme val="minor"/>
      </rPr>
      <t xml:space="preserve"> - Caddoan languages
</t>
    </r>
    <r>
      <rPr>
        <b/>
        <sz val="11"/>
        <color theme="1"/>
        <rFont val="Calibri"/>
        <family val="2"/>
        <scheme val="minor"/>
      </rPr>
      <t>cel</t>
    </r>
    <r>
      <rPr>
        <sz val="11"/>
        <color theme="1"/>
        <rFont val="Calibri"/>
        <family val="2"/>
        <scheme val="minor"/>
      </rPr>
      <t xml:space="preserve"> - Celtic languages
</t>
    </r>
    <r>
      <rPr>
        <b/>
        <sz val="11"/>
        <color theme="1"/>
        <rFont val="Calibri"/>
        <family val="2"/>
        <scheme val="minor"/>
      </rPr>
      <t>cmc</t>
    </r>
    <r>
      <rPr>
        <sz val="11"/>
        <color theme="1"/>
        <rFont val="Calibri"/>
        <family val="2"/>
        <scheme val="minor"/>
      </rPr>
      <t xml:space="preserve"> - Chamic languages
</t>
    </r>
    <r>
      <rPr>
        <b/>
        <sz val="11"/>
        <color theme="1"/>
        <rFont val="Calibri"/>
        <family val="2"/>
        <scheme val="minor"/>
      </rPr>
      <t>cpe</t>
    </r>
    <r>
      <rPr>
        <sz val="11"/>
        <color theme="1"/>
        <rFont val="Calibri"/>
        <family val="2"/>
        <scheme val="minor"/>
      </rPr>
      <t xml:space="preserve"> - Creoles and pidgins, Englishâ€‘based
</t>
    </r>
    <r>
      <rPr>
        <b/>
        <sz val="11"/>
        <color theme="1"/>
        <rFont val="Calibri"/>
        <family val="2"/>
        <scheme val="minor"/>
      </rPr>
      <t>cpf</t>
    </r>
    <r>
      <rPr>
        <sz val="11"/>
        <color theme="1"/>
        <rFont val="Calibri"/>
        <family val="2"/>
        <scheme val="minor"/>
      </rPr>
      <t xml:space="preserve"> - Creoles and pidgins, Frenchâ€‘based
</t>
    </r>
    <r>
      <rPr>
        <b/>
        <sz val="11"/>
        <color theme="1"/>
        <rFont val="Calibri"/>
        <family val="2"/>
        <scheme val="minor"/>
      </rPr>
      <t>cpp</t>
    </r>
    <r>
      <rPr>
        <sz val="11"/>
        <color theme="1"/>
        <rFont val="Calibri"/>
        <family val="2"/>
        <scheme val="minor"/>
      </rPr>
      <t xml:space="preserve"> - Creoles and pidgins, Portuguese-based
</t>
    </r>
    <r>
      <rPr>
        <b/>
        <sz val="11"/>
        <color theme="1"/>
        <rFont val="Calibri"/>
        <family val="2"/>
        <scheme val="minor"/>
      </rPr>
      <t>crp</t>
    </r>
    <r>
      <rPr>
        <sz val="11"/>
        <color theme="1"/>
        <rFont val="Calibri"/>
        <family val="2"/>
        <scheme val="minor"/>
      </rPr>
      <t xml:space="preserve"> - Creoles and pidgins
</t>
    </r>
    <r>
      <rPr>
        <b/>
        <sz val="11"/>
        <color theme="1"/>
        <rFont val="Calibri"/>
        <family val="2"/>
        <scheme val="minor"/>
      </rPr>
      <t>csu</t>
    </r>
    <r>
      <rPr>
        <sz val="11"/>
        <color theme="1"/>
        <rFont val="Calibri"/>
        <family val="2"/>
        <scheme val="minor"/>
      </rPr>
      <t xml:space="preserve"> - Central Sudanic languages
</t>
    </r>
    <r>
      <rPr>
        <b/>
        <sz val="11"/>
        <color theme="1"/>
        <rFont val="Calibri"/>
        <family val="2"/>
        <scheme val="minor"/>
      </rPr>
      <t>cus</t>
    </r>
    <r>
      <rPr>
        <sz val="11"/>
        <color theme="1"/>
        <rFont val="Calibri"/>
        <family val="2"/>
        <scheme val="minor"/>
      </rPr>
      <t xml:space="preserve"> - Cushitic languages
</t>
    </r>
    <r>
      <rPr>
        <b/>
        <sz val="11"/>
        <color theme="1"/>
        <rFont val="Calibri"/>
        <family val="2"/>
        <scheme val="minor"/>
      </rPr>
      <t>day</t>
    </r>
    <r>
      <rPr>
        <sz val="11"/>
        <color theme="1"/>
        <rFont val="Calibri"/>
        <family val="2"/>
        <scheme val="minor"/>
      </rPr>
      <t xml:space="preserve"> - Land Dayak languages
</t>
    </r>
    <r>
      <rPr>
        <b/>
        <sz val="11"/>
        <color theme="1"/>
        <rFont val="Calibri"/>
        <family val="2"/>
        <scheme val="minor"/>
      </rPr>
      <t>dmn</t>
    </r>
    <r>
      <rPr>
        <sz val="11"/>
        <color theme="1"/>
        <rFont val="Calibri"/>
        <family val="2"/>
        <scheme val="minor"/>
      </rPr>
      <t xml:space="preserve"> - Mande languages
</t>
    </r>
    <r>
      <rPr>
        <b/>
        <sz val="11"/>
        <color theme="1"/>
        <rFont val="Calibri"/>
        <family val="2"/>
        <scheme val="minor"/>
      </rPr>
      <t>dra</t>
    </r>
    <r>
      <rPr>
        <sz val="11"/>
        <color theme="1"/>
        <rFont val="Calibri"/>
        <family val="2"/>
        <scheme val="minor"/>
      </rPr>
      <t xml:space="preserve"> - Dravidian languages
</t>
    </r>
    <r>
      <rPr>
        <b/>
        <sz val="11"/>
        <color theme="1"/>
        <rFont val="Calibri"/>
        <family val="2"/>
        <scheme val="minor"/>
      </rPr>
      <t>egx</t>
    </r>
    <r>
      <rPr>
        <sz val="11"/>
        <color theme="1"/>
        <rFont val="Calibri"/>
        <family val="2"/>
        <scheme val="minor"/>
      </rPr>
      <t xml:space="preserve"> - Egyptian languages
</t>
    </r>
    <r>
      <rPr>
        <b/>
        <sz val="11"/>
        <color theme="1"/>
        <rFont val="Calibri"/>
        <family val="2"/>
        <scheme val="minor"/>
      </rPr>
      <t>esx</t>
    </r>
    <r>
      <rPr>
        <sz val="11"/>
        <color theme="1"/>
        <rFont val="Calibri"/>
        <family val="2"/>
        <scheme val="minor"/>
      </rPr>
      <t xml:space="preserve"> - Eskimo-Aleut languages
</t>
    </r>
    <r>
      <rPr>
        <b/>
        <sz val="11"/>
        <color theme="1"/>
        <rFont val="Calibri"/>
        <family val="2"/>
        <scheme val="minor"/>
      </rPr>
      <t>euq</t>
    </r>
    <r>
      <rPr>
        <sz val="11"/>
        <color theme="1"/>
        <rFont val="Calibri"/>
        <family val="2"/>
        <scheme val="minor"/>
      </rPr>
      <t xml:space="preserve"> - Basque (family)
</t>
    </r>
    <r>
      <rPr>
        <b/>
        <sz val="11"/>
        <color theme="1"/>
        <rFont val="Calibri"/>
        <family val="2"/>
        <scheme val="minor"/>
      </rPr>
      <t>fiu</t>
    </r>
    <r>
      <rPr>
        <sz val="11"/>
        <color theme="1"/>
        <rFont val="Calibri"/>
        <family val="2"/>
        <scheme val="minor"/>
      </rPr>
      <t xml:space="preserve"> - Finno-Ugrian languages
</t>
    </r>
    <r>
      <rPr>
        <b/>
        <sz val="11"/>
        <color theme="1"/>
        <rFont val="Calibri"/>
        <family val="2"/>
        <scheme val="minor"/>
      </rPr>
      <t>fox</t>
    </r>
    <r>
      <rPr>
        <sz val="11"/>
        <color theme="1"/>
        <rFont val="Calibri"/>
        <family val="2"/>
        <scheme val="minor"/>
      </rPr>
      <t xml:space="preserve"> - Formosan languages
</t>
    </r>
    <r>
      <rPr>
        <b/>
        <sz val="11"/>
        <color theme="1"/>
        <rFont val="Calibri"/>
        <family val="2"/>
        <scheme val="minor"/>
      </rPr>
      <t>gem</t>
    </r>
    <r>
      <rPr>
        <sz val="11"/>
        <color theme="1"/>
        <rFont val="Calibri"/>
        <family val="2"/>
        <scheme val="minor"/>
      </rPr>
      <t xml:space="preserve"> - Germanic languages
</t>
    </r>
    <r>
      <rPr>
        <b/>
        <sz val="11"/>
        <color theme="1"/>
        <rFont val="Calibri"/>
        <family val="2"/>
        <scheme val="minor"/>
      </rPr>
      <t>gme</t>
    </r>
    <r>
      <rPr>
        <sz val="11"/>
        <color theme="1"/>
        <rFont val="Calibri"/>
        <family val="2"/>
        <scheme val="minor"/>
      </rPr>
      <t xml:space="preserve"> - East Germanic languages
</t>
    </r>
    <r>
      <rPr>
        <b/>
        <sz val="11"/>
        <color theme="1"/>
        <rFont val="Calibri"/>
        <family val="2"/>
        <scheme val="minor"/>
      </rPr>
      <t>gmq</t>
    </r>
    <r>
      <rPr>
        <sz val="11"/>
        <color theme="1"/>
        <rFont val="Calibri"/>
        <family val="2"/>
        <scheme val="minor"/>
      </rPr>
      <t xml:space="preserve"> - North Germanic languages
</t>
    </r>
    <r>
      <rPr>
        <b/>
        <sz val="11"/>
        <color theme="1"/>
        <rFont val="Calibri"/>
        <family val="2"/>
        <scheme val="minor"/>
      </rPr>
      <t>gmw</t>
    </r>
    <r>
      <rPr>
        <sz val="11"/>
        <color theme="1"/>
        <rFont val="Calibri"/>
        <family val="2"/>
        <scheme val="minor"/>
      </rPr>
      <t xml:space="preserve"> - West Germanic languages
</t>
    </r>
    <r>
      <rPr>
        <b/>
        <sz val="11"/>
        <color theme="1"/>
        <rFont val="Calibri"/>
        <family val="2"/>
        <scheme val="minor"/>
      </rPr>
      <t>grk</t>
    </r>
    <r>
      <rPr>
        <sz val="11"/>
        <color theme="1"/>
        <rFont val="Calibri"/>
        <family val="2"/>
        <scheme val="minor"/>
      </rPr>
      <t xml:space="preserve"> - Greek languages
</t>
    </r>
    <r>
      <rPr>
        <b/>
        <sz val="11"/>
        <color theme="1"/>
        <rFont val="Calibri"/>
        <family val="2"/>
        <scheme val="minor"/>
      </rPr>
      <t>hmx</t>
    </r>
    <r>
      <rPr>
        <sz val="11"/>
        <color theme="1"/>
        <rFont val="Calibri"/>
        <family val="2"/>
        <scheme val="minor"/>
      </rPr>
      <t xml:space="preserve"> - Hmong-Mien languages
</t>
    </r>
    <r>
      <rPr>
        <b/>
        <sz val="11"/>
        <color theme="1"/>
        <rFont val="Calibri"/>
        <family val="2"/>
        <scheme val="minor"/>
      </rPr>
      <t>hok</t>
    </r>
    <r>
      <rPr>
        <sz val="11"/>
        <color theme="1"/>
        <rFont val="Calibri"/>
        <family val="2"/>
        <scheme val="minor"/>
      </rPr>
      <t xml:space="preserve"> - Hokan languages
</t>
    </r>
    <r>
      <rPr>
        <b/>
        <sz val="11"/>
        <color theme="1"/>
        <rFont val="Calibri"/>
        <family val="2"/>
        <scheme val="minor"/>
      </rPr>
      <t>hyx</t>
    </r>
    <r>
      <rPr>
        <sz val="11"/>
        <color theme="1"/>
        <rFont val="Calibri"/>
        <family val="2"/>
        <scheme val="minor"/>
      </rPr>
      <t xml:space="preserve"> - Armenian (family)
</t>
    </r>
    <r>
      <rPr>
        <b/>
        <sz val="11"/>
        <color theme="1"/>
        <rFont val="Calibri"/>
        <family val="2"/>
        <scheme val="minor"/>
      </rPr>
      <t>iir</t>
    </r>
    <r>
      <rPr>
        <sz val="11"/>
        <color theme="1"/>
        <rFont val="Calibri"/>
        <family val="2"/>
        <scheme val="minor"/>
      </rPr>
      <t xml:space="preserve"> - Indo-Iranian languages
</t>
    </r>
    <r>
      <rPr>
        <b/>
        <sz val="11"/>
        <color theme="1"/>
        <rFont val="Calibri"/>
        <family val="2"/>
        <scheme val="minor"/>
      </rPr>
      <t>ijo</t>
    </r>
    <r>
      <rPr>
        <sz val="11"/>
        <color theme="1"/>
        <rFont val="Calibri"/>
        <family val="2"/>
        <scheme val="minor"/>
      </rPr>
      <t xml:space="preserve"> - Ijo languages
</t>
    </r>
    <r>
      <rPr>
        <b/>
        <sz val="11"/>
        <color theme="1"/>
        <rFont val="Calibri"/>
        <family val="2"/>
        <scheme val="minor"/>
      </rPr>
      <t>inc</t>
    </r>
    <r>
      <rPr>
        <sz val="11"/>
        <color theme="1"/>
        <rFont val="Calibri"/>
        <family val="2"/>
        <scheme val="minor"/>
      </rPr>
      <t xml:space="preserve"> - Indic languages
</t>
    </r>
    <r>
      <rPr>
        <b/>
        <sz val="11"/>
        <color theme="1"/>
        <rFont val="Calibri"/>
        <family val="2"/>
        <scheme val="minor"/>
      </rPr>
      <t>ine</t>
    </r>
    <r>
      <rPr>
        <sz val="11"/>
        <color theme="1"/>
        <rFont val="Calibri"/>
        <family val="2"/>
        <scheme val="minor"/>
      </rPr>
      <t xml:space="preserve"> - Indo-European languages
</t>
    </r>
    <r>
      <rPr>
        <b/>
        <sz val="11"/>
        <color theme="1"/>
        <rFont val="Calibri"/>
        <family val="2"/>
        <scheme val="minor"/>
      </rPr>
      <t>ira</t>
    </r>
    <r>
      <rPr>
        <sz val="11"/>
        <color theme="1"/>
        <rFont val="Calibri"/>
        <family val="2"/>
        <scheme val="minor"/>
      </rPr>
      <t xml:space="preserve"> - Iranian languages
</t>
    </r>
    <r>
      <rPr>
        <b/>
        <sz val="11"/>
        <color theme="1"/>
        <rFont val="Calibri"/>
        <family val="2"/>
        <scheme val="minor"/>
      </rPr>
      <t>iro</t>
    </r>
    <r>
      <rPr>
        <sz val="11"/>
        <color theme="1"/>
        <rFont val="Calibri"/>
        <family val="2"/>
        <scheme val="minor"/>
      </rPr>
      <t xml:space="preserve"> - Iroquoian languages
</t>
    </r>
    <r>
      <rPr>
        <b/>
        <sz val="11"/>
        <color theme="1"/>
        <rFont val="Calibri"/>
        <family val="2"/>
        <scheme val="minor"/>
      </rPr>
      <t>itc</t>
    </r>
    <r>
      <rPr>
        <sz val="11"/>
        <color theme="1"/>
        <rFont val="Calibri"/>
        <family val="2"/>
        <scheme val="minor"/>
      </rPr>
      <t xml:space="preserve"> - Italic languages
</t>
    </r>
    <r>
      <rPr>
        <b/>
        <sz val="11"/>
        <color theme="1"/>
        <rFont val="Calibri"/>
        <family val="2"/>
        <scheme val="minor"/>
      </rPr>
      <t>jpx</t>
    </r>
    <r>
      <rPr>
        <sz val="11"/>
        <color theme="1"/>
        <rFont val="Calibri"/>
        <family val="2"/>
        <scheme val="minor"/>
      </rPr>
      <t xml:space="preserve"> - Japanese (family)
</t>
    </r>
    <r>
      <rPr>
        <b/>
        <sz val="11"/>
        <color theme="1"/>
        <rFont val="Calibri"/>
        <family val="2"/>
        <scheme val="minor"/>
      </rPr>
      <t>kar</t>
    </r>
    <r>
      <rPr>
        <sz val="11"/>
        <color theme="1"/>
        <rFont val="Calibri"/>
        <family val="2"/>
        <scheme val="minor"/>
      </rPr>
      <t xml:space="preserve"> - Karen languages
</t>
    </r>
    <r>
      <rPr>
        <b/>
        <sz val="11"/>
        <color theme="1"/>
        <rFont val="Calibri"/>
        <family val="2"/>
        <scheme val="minor"/>
      </rPr>
      <t>kdo</t>
    </r>
    <r>
      <rPr>
        <sz val="11"/>
        <color theme="1"/>
        <rFont val="Calibri"/>
        <family val="2"/>
        <scheme val="minor"/>
      </rPr>
      <t xml:space="preserve"> - Kordofanian languages
</t>
    </r>
    <r>
      <rPr>
        <b/>
        <sz val="11"/>
        <color theme="1"/>
        <rFont val="Calibri"/>
        <family val="2"/>
        <scheme val="minor"/>
      </rPr>
      <t>khi</t>
    </r>
    <r>
      <rPr>
        <sz val="11"/>
        <color theme="1"/>
        <rFont val="Calibri"/>
        <family val="2"/>
        <scheme val="minor"/>
      </rPr>
      <t xml:space="preserve"> - Khoisan languages
</t>
    </r>
    <r>
      <rPr>
        <b/>
        <sz val="11"/>
        <color theme="1"/>
        <rFont val="Calibri"/>
        <family val="2"/>
        <scheme val="minor"/>
      </rPr>
      <t>kro</t>
    </r>
    <r>
      <rPr>
        <sz val="11"/>
        <color theme="1"/>
        <rFont val="Calibri"/>
        <family val="2"/>
        <scheme val="minor"/>
      </rPr>
      <t xml:space="preserve"> - Kru languages
</t>
    </r>
    <r>
      <rPr>
        <b/>
        <sz val="11"/>
        <color theme="1"/>
        <rFont val="Calibri"/>
        <family val="2"/>
        <scheme val="minor"/>
      </rPr>
      <t>map</t>
    </r>
    <r>
      <rPr>
        <sz val="11"/>
        <color theme="1"/>
        <rFont val="Calibri"/>
        <family val="2"/>
        <scheme val="minor"/>
      </rPr>
      <t xml:space="preserve"> - Austronesian languages
</t>
    </r>
    <r>
      <rPr>
        <b/>
        <sz val="11"/>
        <color theme="1"/>
        <rFont val="Calibri"/>
        <family val="2"/>
        <scheme val="minor"/>
      </rPr>
      <t>mkh</t>
    </r>
    <r>
      <rPr>
        <sz val="11"/>
        <color theme="1"/>
        <rFont val="Calibri"/>
        <family val="2"/>
        <scheme val="minor"/>
      </rPr>
      <t xml:space="preserve"> - Mon-Khmer languages
</t>
    </r>
    <r>
      <rPr>
        <b/>
        <sz val="11"/>
        <color theme="1"/>
        <rFont val="Calibri"/>
        <family val="2"/>
        <scheme val="minor"/>
      </rPr>
      <t>mno</t>
    </r>
    <r>
      <rPr>
        <sz val="11"/>
        <color theme="1"/>
        <rFont val="Calibri"/>
        <family val="2"/>
        <scheme val="minor"/>
      </rPr>
      <t xml:space="preserve"> - Manobo languages
</t>
    </r>
    <r>
      <rPr>
        <b/>
        <sz val="11"/>
        <color theme="1"/>
        <rFont val="Calibri"/>
        <family val="2"/>
        <scheme val="minor"/>
      </rPr>
      <t>mun</t>
    </r>
    <r>
      <rPr>
        <sz val="11"/>
        <color theme="1"/>
        <rFont val="Calibri"/>
        <family val="2"/>
        <scheme val="minor"/>
      </rPr>
      <t xml:space="preserve"> - Munda languages
</t>
    </r>
    <r>
      <rPr>
        <b/>
        <sz val="11"/>
        <color theme="1"/>
        <rFont val="Calibri"/>
        <family val="2"/>
        <scheme val="minor"/>
      </rPr>
      <t>myn</t>
    </r>
    <r>
      <rPr>
        <sz val="11"/>
        <color theme="1"/>
        <rFont val="Calibri"/>
        <family val="2"/>
        <scheme val="minor"/>
      </rPr>
      <t xml:space="preserve"> - Mayan languages
</t>
    </r>
    <r>
      <rPr>
        <b/>
        <sz val="11"/>
        <color theme="1"/>
        <rFont val="Calibri"/>
        <family val="2"/>
        <scheme val="minor"/>
      </rPr>
      <t>nah</t>
    </r>
    <r>
      <rPr>
        <sz val="11"/>
        <color theme="1"/>
        <rFont val="Calibri"/>
        <family val="2"/>
        <scheme val="minor"/>
      </rPr>
      <t xml:space="preserve"> - Nahuatl languages
</t>
    </r>
    <r>
      <rPr>
        <b/>
        <sz val="11"/>
        <color theme="1"/>
        <rFont val="Calibri"/>
        <family val="2"/>
        <scheme val="minor"/>
      </rPr>
      <t>nai</t>
    </r>
    <r>
      <rPr>
        <sz val="11"/>
        <color theme="1"/>
        <rFont val="Calibri"/>
        <family val="2"/>
        <scheme val="minor"/>
      </rPr>
      <t xml:space="preserve"> - North American Indian languages
</t>
    </r>
    <r>
      <rPr>
        <b/>
        <sz val="11"/>
        <color theme="1"/>
        <rFont val="Calibri"/>
        <family val="2"/>
        <scheme val="minor"/>
      </rPr>
      <t>ngf</t>
    </r>
    <r>
      <rPr>
        <sz val="11"/>
        <color theme="1"/>
        <rFont val="Calibri"/>
        <family val="2"/>
        <scheme val="minor"/>
      </rPr>
      <t xml:space="preserve"> - Trans-New Guinea languages
</t>
    </r>
    <r>
      <rPr>
        <b/>
        <sz val="11"/>
        <color theme="1"/>
        <rFont val="Calibri"/>
        <family val="2"/>
        <scheme val="minor"/>
      </rPr>
      <t>nic</t>
    </r>
    <r>
      <rPr>
        <sz val="11"/>
        <color theme="1"/>
        <rFont val="Calibri"/>
        <family val="2"/>
        <scheme val="minor"/>
      </rPr>
      <t xml:space="preserve"> - Niger-Kordofanian languages
</t>
    </r>
    <r>
      <rPr>
        <b/>
        <sz val="11"/>
        <color theme="1"/>
        <rFont val="Calibri"/>
        <family val="2"/>
        <scheme val="minor"/>
      </rPr>
      <t>nub</t>
    </r>
    <r>
      <rPr>
        <sz val="11"/>
        <color theme="1"/>
        <rFont val="Calibri"/>
        <family val="2"/>
        <scheme val="minor"/>
      </rPr>
      <t xml:space="preserve"> - Nubian languages
</t>
    </r>
    <r>
      <rPr>
        <b/>
        <sz val="11"/>
        <color theme="1"/>
        <rFont val="Calibri"/>
        <family val="2"/>
        <scheme val="minor"/>
      </rPr>
      <t>omq</t>
    </r>
    <r>
      <rPr>
        <sz val="11"/>
        <color theme="1"/>
        <rFont val="Calibri"/>
        <family val="2"/>
        <scheme val="minor"/>
      </rPr>
      <t xml:space="preserve"> - Oto-Manguean languages
</t>
    </r>
    <r>
      <rPr>
        <b/>
        <sz val="11"/>
        <color theme="1"/>
        <rFont val="Calibri"/>
        <family val="2"/>
        <scheme val="minor"/>
      </rPr>
      <t>omv</t>
    </r>
    <r>
      <rPr>
        <sz val="11"/>
        <color theme="1"/>
        <rFont val="Calibri"/>
        <family val="2"/>
        <scheme val="minor"/>
      </rPr>
      <t xml:space="preserve"> - Omotic languages
</t>
    </r>
    <r>
      <rPr>
        <b/>
        <sz val="11"/>
        <color theme="1"/>
        <rFont val="Calibri"/>
        <family val="2"/>
        <scheme val="minor"/>
      </rPr>
      <t>oto</t>
    </r>
    <r>
      <rPr>
        <sz val="11"/>
        <color theme="1"/>
        <rFont val="Calibri"/>
        <family val="2"/>
        <scheme val="minor"/>
      </rPr>
      <t xml:space="preserve"> - Otomian languages
</t>
    </r>
    <r>
      <rPr>
        <b/>
        <sz val="11"/>
        <color theme="1"/>
        <rFont val="Calibri"/>
        <family val="2"/>
        <scheme val="minor"/>
      </rPr>
      <t>paa</t>
    </r>
    <r>
      <rPr>
        <sz val="11"/>
        <color theme="1"/>
        <rFont val="Calibri"/>
        <family val="2"/>
        <scheme val="minor"/>
      </rPr>
      <t xml:space="preserve"> - Papuan languages
</t>
    </r>
    <r>
      <rPr>
        <b/>
        <sz val="11"/>
        <color theme="1"/>
        <rFont val="Calibri"/>
        <family val="2"/>
        <scheme val="minor"/>
      </rPr>
      <t>phi</t>
    </r>
    <r>
      <rPr>
        <sz val="11"/>
        <color theme="1"/>
        <rFont val="Calibri"/>
        <family val="2"/>
        <scheme val="minor"/>
      </rPr>
      <t xml:space="preserve"> - Philippine languages
</t>
    </r>
    <r>
      <rPr>
        <b/>
        <sz val="11"/>
        <color theme="1"/>
        <rFont val="Calibri"/>
        <family val="2"/>
        <scheme val="minor"/>
      </rPr>
      <t>plf</t>
    </r>
    <r>
      <rPr>
        <sz val="11"/>
        <color theme="1"/>
        <rFont val="Calibri"/>
        <family val="2"/>
        <scheme val="minor"/>
      </rPr>
      <t xml:space="preserve"> - Central Malayo-Polynesian languages
</t>
    </r>
    <r>
      <rPr>
        <b/>
        <sz val="11"/>
        <color theme="1"/>
        <rFont val="Calibri"/>
        <family val="2"/>
        <scheme val="minor"/>
      </rPr>
      <t>poz</t>
    </r>
    <r>
      <rPr>
        <sz val="11"/>
        <color theme="1"/>
        <rFont val="Calibri"/>
        <family val="2"/>
        <scheme val="minor"/>
      </rPr>
      <t xml:space="preserve"> - Malayo-Polynesian languages
</t>
    </r>
    <r>
      <rPr>
        <b/>
        <sz val="11"/>
        <color theme="1"/>
        <rFont val="Calibri"/>
        <family val="2"/>
        <scheme val="minor"/>
      </rPr>
      <t>pqe</t>
    </r>
    <r>
      <rPr>
        <sz val="11"/>
        <color theme="1"/>
        <rFont val="Calibri"/>
        <family val="2"/>
        <scheme val="minor"/>
      </rPr>
      <t xml:space="preserve"> - Eastern Malayo-Polynesian languages
</t>
    </r>
    <r>
      <rPr>
        <b/>
        <sz val="11"/>
        <color theme="1"/>
        <rFont val="Calibri"/>
        <family val="2"/>
        <scheme val="minor"/>
      </rPr>
      <t>pqw</t>
    </r>
    <r>
      <rPr>
        <sz val="11"/>
        <color theme="1"/>
        <rFont val="Calibri"/>
        <family val="2"/>
        <scheme val="minor"/>
      </rPr>
      <t xml:space="preserve"> - Western Malayo-Polynesian languages
</t>
    </r>
    <r>
      <rPr>
        <b/>
        <sz val="11"/>
        <color theme="1"/>
        <rFont val="Calibri"/>
        <family val="2"/>
        <scheme val="minor"/>
      </rPr>
      <t>pra</t>
    </r>
    <r>
      <rPr>
        <sz val="11"/>
        <color theme="1"/>
        <rFont val="Calibri"/>
        <family val="2"/>
        <scheme val="minor"/>
      </rPr>
      <t xml:space="preserve"> - Prakrit languages
</t>
    </r>
    <r>
      <rPr>
        <b/>
        <sz val="11"/>
        <color theme="1"/>
        <rFont val="Calibri"/>
        <family val="2"/>
        <scheme val="minor"/>
      </rPr>
      <t>qwe</t>
    </r>
    <r>
      <rPr>
        <sz val="11"/>
        <color theme="1"/>
        <rFont val="Calibri"/>
        <family val="2"/>
        <scheme val="minor"/>
      </rPr>
      <t xml:space="preserve"> - Quechuan (family)
</t>
    </r>
    <r>
      <rPr>
        <b/>
        <sz val="11"/>
        <color theme="1"/>
        <rFont val="Calibri"/>
        <family val="2"/>
        <scheme val="minor"/>
      </rPr>
      <t>roa</t>
    </r>
    <r>
      <rPr>
        <sz val="11"/>
        <color theme="1"/>
        <rFont val="Calibri"/>
        <family val="2"/>
        <scheme val="minor"/>
      </rPr>
      <t xml:space="preserve"> - Romance languages
</t>
    </r>
    <r>
      <rPr>
        <b/>
        <sz val="11"/>
        <color theme="1"/>
        <rFont val="Calibri"/>
        <family val="2"/>
        <scheme val="minor"/>
      </rPr>
      <t>sai</t>
    </r>
    <r>
      <rPr>
        <sz val="11"/>
        <color theme="1"/>
        <rFont val="Calibri"/>
        <family val="2"/>
        <scheme val="minor"/>
      </rPr>
      <t xml:space="preserve"> - South American Indian languages
</t>
    </r>
    <r>
      <rPr>
        <b/>
        <sz val="11"/>
        <color theme="1"/>
        <rFont val="Calibri"/>
        <family val="2"/>
        <scheme val="minor"/>
      </rPr>
      <t>sal</t>
    </r>
    <r>
      <rPr>
        <sz val="11"/>
        <color theme="1"/>
        <rFont val="Calibri"/>
        <family val="2"/>
        <scheme val="minor"/>
      </rPr>
      <t xml:space="preserve"> - Salishan languages
</t>
    </r>
    <r>
      <rPr>
        <b/>
        <sz val="11"/>
        <color theme="1"/>
        <rFont val="Calibri"/>
        <family val="2"/>
        <scheme val="minor"/>
      </rPr>
      <t>sdv</t>
    </r>
    <r>
      <rPr>
        <sz val="11"/>
        <color theme="1"/>
        <rFont val="Calibri"/>
        <family val="2"/>
        <scheme val="minor"/>
      </rPr>
      <t xml:space="preserve"> - Eastern Sudanic languages
</t>
    </r>
    <r>
      <rPr>
        <b/>
        <sz val="11"/>
        <color theme="1"/>
        <rFont val="Calibri"/>
        <family val="2"/>
        <scheme val="minor"/>
      </rPr>
      <t>sem</t>
    </r>
    <r>
      <rPr>
        <sz val="11"/>
        <color theme="1"/>
        <rFont val="Calibri"/>
        <family val="2"/>
        <scheme val="minor"/>
      </rPr>
      <t xml:space="preserve"> - Semitic languages
</t>
    </r>
    <r>
      <rPr>
        <b/>
        <sz val="11"/>
        <color theme="1"/>
        <rFont val="Calibri"/>
        <family val="2"/>
        <scheme val="minor"/>
      </rPr>
      <t>sgn</t>
    </r>
    <r>
      <rPr>
        <sz val="11"/>
        <color theme="1"/>
        <rFont val="Calibri"/>
        <family val="2"/>
        <scheme val="minor"/>
      </rPr>
      <t xml:space="preserve"> - sign languages
</t>
    </r>
    <r>
      <rPr>
        <b/>
        <sz val="11"/>
        <color theme="1"/>
        <rFont val="Calibri"/>
        <family val="2"/>
        <scheme val="minor"/>
      </rPr>
      <t>sio</t>
    </r>
    <r>
      <rPr>
        <sz val="11"/>
        <color theme="1"/>
        <rFont val="Calibri"/>
        <family val="2"/>
        <scheme val="minor"/>
      </rPr>
      <t xml:space="preserve"> - Siouan languages
</t>
    </r>
    <r>
      <rPr>
        <b/>
        <sz val="11"/>
        <color theme="1"/>
        <rFont val="Calibri"/>
        <family val="2"/>
        <scheme val="minor"/>
      </rPr>
      <t>sit</t>
    </r>
    <r>
      <rPr>
        <sz val="11"/>
        <color theme="1"/>
        <rFont val="Calibri"/>
        <family val="2"/>
        <scheme val="minor"/>
      </rPr>
      <t xml:space="preserve"> - Sino-Tibetan languages
</t>
    </r>
    <r>
      <rPr>
        <b/>
        <sz val="11"/>
        <color theme="1"/>
        <rFont val="Calibri"/>
        <family val="2"/>
        <scheme val="minor"/>
      </rPr>
      <t>sla</t>
    </r>
    <r>
      <rPr>
        <sz val="11"/>
        <color theme="1"/>
        <rFont val="Calibri"/>
        <family val="2"/>
        <scheme val="minor"/>
      </rPr>
      <t xml:space="preserve"> - Slavic languages
</t>
    </r>
    <r>
      <rPr>
        <b/>
        <sz val="11"/>
        <color theme="1"/>
        <rFont val="Calibri"/>
        <family val="2"/>
        <scheme val="minor"/>
      </rPr>
      <t>smi</t>
    </r>
    <r>
      <rPr>
        <sz val="11"/>
        <color theme="1"/>
        <rFont val="Calibri"/>
        <family val="2"/>
        <scheme val="minor"/>
      </rPr>
      <t xml:space="preserve"> - Sami languages
</t>
    </r>
    <r>
      <rPr>
        <b/>
        <sz val="11"/>
        <color theme="1"/>
        <rFont val="Calibri"/>
        <family val="2"/>
        <scheme val="minor"/>
      </rPr>
      <t>son</t>
    </r>
    <r>
      <rPr>
        <sz val="11"/>
        <color theme="1"/>
        <rFont val="Calibri"/>
        <family val="2"/>
        <scheme val="minor"/>
      </rPr>
      <t xml:space="preserve"> - Songhai languages
</t>
    </r>
    <r>
      <rPr>
        <b/>
        <sz val="11"/>
        <color theme="1"/>
        <rFont val="Calibri"/>
        <family val="2"/>
        <scheme val="minor"/>
      </rPr>
      <t>sqj</t>
    </r>
    <r>
      <rPr>
        <sz val="11"/>
        <color theme="1"/>
        <rFont val="Calibri"/>
        <family val="2"/>
        <scheme val="minor"/>
      </rPr>
      <t xml:space="preserve"> - Albanian languages
</t>
    </r>
    <r>
      <rPr>
        <b/>
        <sz val="11"/>
        <color theme="1"/>
        <rFont val="Calibri"/>
        <family val="2"/>
        <scheme val="minor"/>
      </rPr>
      <t>ssa</t>
    </r>
    <r>
      <rPr>
        <sz val="11"/>
        <color theme="1"/>
        <rFont val="Calibri"/>
        <family val="2"/>
        <scheme val="minor"/>
      </rPr>
      <t xml:space="preserve"> - Nilo-Saharan languages
</t>
    </r>
    <r>
      <rPr>
        <b/>
        <sz val="11"/>
        <color theme="1"/>
        <rFont val="Calibri"/>
        <family val="2"/>
        <scheme val="minor"/>
      </rPr>
      <t>syd</t>
    </r>
    <r>
      <rPr>
        <sz val="11"/>
        <color theme="1"/>
        <rFont val="Calibri"/>
        <family val="2"/>
        <scheme val="minor"/>
      </rPr>
      <t xml:space="preserve"> - Samoyedic languages
</t>
    </r>
    <r>
      <rPr>
        <b/>
        <sz val="11"/>
        <color theme="1"/>
        <rFont val="Calibri"/>
        <family val="2"/>
        <scheme val="minor"/>
      </rPr>
      <t>tai</t>
    </r>
    <r>
      <rPr>
        <sz val="11"/>
        <color theme="1"/>
        <rFont val="Calibri"/>
        <family val="2"/>
        <scheme val="minor"/>
      </rPr>
      <t xml:space="preserve"> - Tai languages
</t>
    </r>
    <r>
      <rPr>
        <b/>
        <sz val="11"/>
        <color theme="1"/>
        <rFont val="Calibri"/>
        <family val="2"/>
        <scheme val="minor"/>
      </rPr>
      <t>tbq</t>
    </r>
    <r>
      <rPr>
        <sz val="11"/>
        <color theme="1"/>
        <rFont val="Calibri"/>
        <family val="2"/>
        <scheme val="minor"/>
      </rPr>
      <t xml:space="preserve"> - Tibeto-Burman languages
</t>
    </r>
    <r>
      <rPr>
        <b/>
        <sz val="11"/>
        <color theme="1"/>
        <rFont val="Calibri"/>
        <family val="2"/>
        <scheme val="minor"/>
      </rPr>
      <t>trk</t>
    </r>
    <r>
      <rPr>
        <sz val="11"/>
        <color theme="1"/>
        <rFont val="Calibri"/>
        <family val="2"/>
        <scheme val="minor"/>
      </rPr>
      <t xml:space="preserve"> - Turkic languages
</t>
    </r>
    <r>
      <rPr>
        <b/>
        <sz val="11"/>
        <color theme="1"/>
        <rFont val="Calibri"/>
        <family val="2"/>
        <scheme val="minor"/>
      </rPr>
      <t>tup</t>
    </r>
    <r>
      <rPr>
        <sz val="11"/>
        <color theme="1"/>
        <rFont val="Calibri"/>
        <family val="2"/>
        <scheme val="minor"/>
      </rPr>
      <t xml:space="preserve"> - Tupi languages
</t>
    </r>
    <r>
      <rPr>
        <b/>
        <sz val="11"/>
        <color theme="1"/>
        <rFont val="Calibri"/>
        <family val="2"/>
        <scheme val="minor"/>
      </rPr>
      <t>tut</t>
    </r>
    <r>
      <rPr>
        <sz val="11"/>
        <color theme="1"/>
        <rFont val="Calibri"/>
        <family val="2"/>
        <scheme val="minor"/>
      </rPr>
      <t xml:space="preserve"> - Altaic languages
</t>
    </r>
    <r>
      <rPr>
        <b/>
        <sz val="11"/>
        <color theme="1"/>
        <rFont val="Calibri"/>
        <family val="2"/>
        <scheme val="minor"/>
      </rPr>
      <t>tuw</t>
    </r>
    <r>
      <rPr>
        <sz val="11"/>
        <color theme="1"/>
        <rFont val="Calibri"/>
        <family val="2"/>
        <scheme val="minor"/>
      </rPr>
      <t xml:space="preserve"> - Tungus languages
</t>
    </r>
    <r>
      <rPr>
        <b/>
        <sz val="11"/>
        <color theme="1"/>
        <rFont val="Calibri"/>
        <family val="2"/>
        <scheme val="minor"/>
      </rPr>
      <t>urj</t>
    </r>
    <r>
      <rPr>
        <sz val="11"/>
        <color theme="1"/>
        <rFont val="Calibri"/>
        <family val="2"/>
        <scheme val="minor"/>
      </rPr>
      <t xml:space="preserve"> - Uralic languages
</t>
    </r>
    <r>
      <rPr>
        <b/>
        <sz val="11"/>
        <color theme="1"/>
        <rFont val="Calibri"/>
        <family val="2"/>
        <scheme val="minor"/>
      </rPr>
      <t>wak</t>
    </r>
    <r>
      <rPr>
        <sz val="11"/>
        <color theme="1"/>
        <rFont val="Calibri"/>
        <family val="2"/>
        <scheme val="minor"/>
      </rPr>
      <t xml:space="preserve"> - Wakashan languages
</t>
    </r>
    <r>
      <rPr>
        <b/>
        <sz val="11"/>
        <color theme="1"/>
        <rFont val="Calibri"/>
        <family val="2"/>
        <scheme val="minor"/>
      </rPr>
      <t>wen</t>
    </r>
    <r>
      <rPr>
        <sz val="11"/>
        <color theme="1"/>
        <rFont val="Calibri"/>
        <family val="2"/>
        <scheme val="minor"/>
      </rPr>
      <t xml:space="preserve"> - Sorbian languages
</t>
    </r>
    <r>
      <rPr>
        <b/>
        <sz val="11"/>
        <color theme="1"/>
        <rFont val="Calibri"/>
        <family val="2"/>
        <scheme val="minor"/>
      </rPr>
      <t>xgn</t>
    </r>
    <r>
      <rPr>
        <sz val="11"/>
        <color theme="1"/>
        <rFont val="Calibri"/>
        <family val="2"/>
        <scheme val="minor"/>
      </rPr>
      <t xml:space="preserve"> - Mongolian languages
</t>
    </r>
    <r>
      <rPr>
        <b/>
        <sz val="11"/>
        <color theme="1"/>
        <rFont val="Calibri"/>
        <family val="2"/>
        <scheme val="minor"/>
      </rPr>
      <t>xnd</t>
    </r>
    <r>
      <rPr>
        <sz val="11"/>
        <color theme="1"/>
        <rFont val="Calibri"/>
        <family val="2"/>
        <scheme val="minor"/>
      </rPr>
      <t xml:space="preserve"> - Na-Dene languages
</t>
    </r>
    <r>
      <rPr>
        <b/>
        <sz val="11"/>
        <color theme="1"/>
        <rFont val="Calibri"/>
        <family val="2"/>
        <scheme val="minor"/>
      </rPr>
      <t>ypk</t>
    </r>
    <r>
      <rPr>
        <sz val="11"/>
        <color theme="1"/>
        <rFont val="Calibri"/>
        <family val="2"/>
        <scheme val="minor"/>
      </rPr>
      <t xml:space="preserve"> - Yupik languages
</t>
    </r>
    <r>
      <rPr>
        <b/>
        <sz val="11"/>
        <color theme="1"/>
        <rFont val="Calibri"/>
        <family val="2"/>
        <scheme val="minor"/>
      </rPr>
      <t>zhx</t>
    </r>
    <r>
      <rPr>
        <sz val="11"/>
        <color theme="1"/>
        <rFont val="Calibri"/>
        <family val="2"/>
        <scheme val="minor"/>
      </rPr>
      <t xml:space="preserve"> - Chinese (family)
</t>
    </r>
    <r>
      <rPr>
        <b/>
        <sz val="11"/>
        <color theme="1"/>
        <rFont val="Calibri"/>
        <family val="2"/>
        <scheme val="minor"/>
      </rPr>
      <t>zle</t>
    </r>
    <r>
      <rPr>
        <sz val="11"/>
        <color theme="1"/>
        <rFont val="Calibri"/>
        <family val="2"/>
        <scheme val="minor"/>
      </rPr>
      <t xml:space="preserve"> - East Slavic languages
</t>
    </r>
    <r>
      <rPr>
        <b/>
        <sz val="11"/>
        <color theme="1"/>
        <rFont val="Calibri"/>
        <family val="2"/>
        <scheme val="minor"/>
      </rPr>
      <t>zls</t>
    </r>
    <r>
      <rPr>
        <sz val="11"/>
        <color theme="1"/>
        <rFont val="Calibri"/>
        <family val="2"/>
        <scheme val="minor"/>
      </rPr>
      <t xml:space="preserve"> - South Slavic languages
</t>
    </r>
    <r>
      <rPr>
        <b/>
        <sz val="11"/>
        <color theme="1"/>
        <rFont val="Calibri"/>
        <family val="2"/>
        <scheme val="minor"/>
      </rPr>
      <t>zlw</t>
    </r>
    <r>
      <rPr>
        <sz val="11"/>
        <color theme="1"/>
        <rFont val="Calibri"/>
        <family val="2"/>
        <scheme val="minor"/>
      </rPr>
      <t xml:space="preserve"> - West Slavic languages
</t>
    </r>
    <r>
      <rPr>
        <b/>
        <sz val="11"/>
        <color theme="1"/>
        <rFont val="Calibri"/>
        <family val="2"/>
        <scheme val="minor"/>
      </rPr>
      <t>znd</t>
    </r>
    <r>
      <rPr>
        <sz val="11"/>
        <color theme="1"/>
        <rFont val="Calibri"/>
        <family val="2"/>
        <scheme val="minor"/>
      </rPr>
      <t xml:space="preserve"> - Zande languages
</t>
    </r>
  </si>
  <si>
    <r>
      <t>LEAOnly</t>
    </r>
    <r>
      <rPr>
        <sz val="11"/>
        <color theme="1"/>
        <rFont val="Calibri"/>
        <family val="2"/>
        <scheme val="minor"/>
      </rPr>
      <t xml:space="preserve"> - LEA only
</t>
    </r>
    <r>
      <rPr>
        <b/>
        <sz val="11"/>
        <color theme="1"/>
        <rFont val="Calibri"/>
        <family val="2"/>
        <scheme val="minor"/>
      </rPr>
      <t>SEAOnly</t>
    </r>
    <r>
      <rPr>
        <sz val="11"/>
        <color theme="1"/>
        <rFont val="Calibri"/>
        <family val="2"/>
        <scheme val="minor"/>
      </rPr>
      <t xml:space="preserve"> - SEA only
</t>
    </r>
    <r>
      <rPr>
        <b/>
        <sz val="11"/>
        <color theme="1"/>
        <rFont val="Calibri"/>
        <family val="2"/>
        <scheme val="minor"/>
      </rPr>
      <t>Both</t>
    </r>
    <r>
      <rPr>
        <sz val="11"/>
        <color theme="1"/>
        <rFont val="Calibri"/>
        <family val="2"/>
        <scheme val="minor"/>
      </rPr>
      <t xml:space="preserve"> - LEA and SEA
</t>
    </r>
    <r>
      <rPr>
        <b/>
        <sz val="11"/>
        <color theme="1"/>
        <rFont val="Calibri"/>
        <family val="2"/>
        <scheme val="minor"/>
      </rPr>
      <t>Neither</t>
    </r>
    <r>
      <rPr>
        <sz val="11"/>
        <color theme="1"/>
        <rFont val="Calibri"/>
        <family val="2"/>
        <scheme val="minor"/>
      </rPr>
      <t xml:space="preserve"> - Neither LEA or SEA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</si>
  <si>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Learning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</si>
  <si>
    <r>
      <t>FullDay</t>
    </r>
    <r>
      <rPr>
        <sz val="11"/>
        <color theme="1"/>
        <rFont val="Calibri"/>
        <family val="2"/>
        <scheme val="minor"/>
      </rPr>
      <t xml:space="preserve"> - Full-day
</t>
    </r>
    <r>
      <rPr>
        <b/>
        <sz val="11"/>
        <color theme="1"/>
        <rFont val="Calibri"/>
        <family val="2"/>
        <scheme val="minor"/>
      </rPr>
      <t>Part-day</t>
    </r>
    <r>
      <rPr>
        <sz val="11"/>
        <color theme="1"/>
        <rFont val="Calibri"/>
        <family val="2"/>
        <scheme val="minor"/>
      </rPr>
      <t xml:space="preserve"> - Part-day
</t>
    </r>
    <r>
      <rPr>
        <b/>
        <sz val="11"/>
        <color theme="1"/>
        <rFont val="Calibri"/>
        <family val="2"/>
        <scheme val="minor"/>
      </rPr>
      <t>NotProvided</t>
    </r>
    <r>
      <rPr>
        <sz val="11"/>
        <color theme="1"/>
        <rFont val="Calibri"/>
        <family val="2"/>
        <scheme val="minor"/>
      </rPr>
      <t xml:space="preserve"> - Not provided
</t>
    </r>
  </si>
  <si>
    <r>
      <t>FullDayKindergarten</t>
    </r>
    <r>
      <rPr>
        <sz val="11"/>
        <color theme="1"/>
        <rFont val="Calibri"/>
        <family val="2"/>
        <scheme val="minor"/>
      </rPr>
      <t xml:space="preserve"> - Full-Day kindergarten
</t>
    </r>
    <r>
      <rPr>
        <b/>
        <sz val="11"/>
        <color theme="1"/>
        <rFont val="Calibri"/>
        <family val="2"/>
        <scheme val="minor"/>
      </rPr>
      <t>PartDayKindergarten</t>
    </r>
    <r>
      <rPr>
        <sz val="11"/>
        <color theme="1"/>
        <rFont val="Calibri"/>
        <family val="2"/>
        <scheme val="minor"/>
      </rPr>
      <t xml:space="preserve"> - Part-Day kindergarten
</t>
    </r>
    <r>
      <rPr>
        <b/>
        <sz val="11"/>
        <color theme="1"/>
        <rFont val="Calibri"/>
        <family val="2"/>
        <scheme val="minor"/>
      </rPr>
      <t>ExtendedDayKindergarten</t>
    </r>
    <r>
      <rPr>
        <sz val="11"/>
        <color theme="1"/>
        <rFont val="Calibri"/>
        <family val="2"/>
        <scheme val="minor"/>
      </rPr>
      <t xml:space="preserve"> - Extended day kindergarten
</t>
    </r>
  </si>
  <si>
    <r>
      <t>Correspondence</t>
    </r>
    <r>
      <rPr>
        <sz val="11"/>
        <color theme="1"/>
        <rFont val="Calibri"/>
        <family val="2"/>
        <scheme val="minor"/>
      </rPr>
      <t xml:space="preserve"> - Correspondence language
</t>
    </r>
    <r>
      <rPr>
        <b/>
        <sz val="11"/>
        <color theme="1"/>
        <rFont val="Calibri"/>
        <family val="2"/>
        <scheme val="minor"/>
      </rPr>
      <t>Dominant</t>
    </r>
    <r>
      <rPr>
        <sz val="11"/>
        <color theme="1"/>
        <rFont val="Calibri"/>
        <family val="2"/>
        <scheme val="minor"/>
      </rPr>
      <t xml:space="preserve"> - Dominant language
</t>
    </r>
    <r>
      <rPr>
        <b/>
        <sz val="11"/>
        <color theme="1"/>
        <rFont val="Calibri"/>
        <family val="2"/>
        <scheme val="minor"/>
      </rPr>
      <t>Home</t>
    </r>
    <r>
      <rPr>
        <sz val="11"/>
        <color theme="1"/>
        <rFont val="Calibri"/>
        <family val="2"/>
        <scheme val="minor"/>
      </rPr>
      <t xml:space="preserve"> - Home language
</t>
    </r>
    <r>
      <rPr>
        <b/>
        <sz val="11"/>
        <color theme="1"/>
        <rFont val="Calibri"/>
        <family val="2"/>
        <scheme val="minor"/>
      </rPr>
      <t>Native</t>
    </r>
    <r>
      <rPr>
        <sz val="11"/>
        <color theme="1"/>
        <rFont val="Calibri"/>
        <family val="2"/>
        <scheme val="minor"/>
      </rPr>
      <t xml:space="preserve"> - Native language
</t>
    </r>
    <r>
      <rPr>
        <b/>
        <sz val="11"/>
        <color theme="1"/>
        <rFont val="Calibri"/>
        <family val="2"/>
        <scheme val="minor"/>
      </rPr>
      <t>OtherLanguageProficiency</t>
    </r>
    <r>
      <rPr>
        <sz val="11"/>
        <color theme="1"/>
        <rFont val="Calibri"/>
        <family val="2"/>
        <scheme val="minor"/>
      </rPr>
      <t xml:space="preserve"> - Other language proficiency
</t>
    </r>
    <r>
      <rPr>
        <b/>
        <sz val="11"/>
        <color theme="1"/>
        <rFont val="Calibri"/>
        <family val="2"/>
        <scheme val="minor"/>
      </rPr>
      <t>Other</t>
    </r>
    <r>
      <rPr>
        <sz val="11"/>
        <color theme="1"/>
        <rFont val="Calibri"/>
        <family val="2"/>
        <scheme val="minor"/>
      </rPr>
      <t xml:space="preserve"> - Other
</t>
    </r>
  </si>
  <si>
    <r>
      <t>abandoned</t>
    </r>
    <r>
      <rPr>
        <sz val="11"/>
        <color theme="1"/>
        <rFont val="Calibri"/>
        <family val="2"/>
        <scheme val="minor"/>
      </rPr>
      <t xml:space="preserve"> - Indicates the activity provider has determined that the session was abnormally terminated either by an actor or due to a system failure.
</t>
    </r>
    <r>
      <rPr>
        <b/>
        <sz val="11"/>
        <color theme="1"/>
        <rFont val="Calibri"/>
        <family val="2"/>
        <scheme val="minor"/>
      </rPr>
      <t>answered</t>
    </r>
    <r>
      <rPr>
        <sz val="11"/>
        <color theme="1"/>
        <rFont val="Calibri"/>
        <family val="2"/>
        <scheme val="minor"/>
      </rPr>
      <t xml:space="preserve"> - Indicates the actor replied to a question, where the object is generally an activity representing the question. The text of the answer will often be included in the response inside result.
</t>
    </r>
    <r>
      <rPr>
        <b/>
        <sz val="11"/>
        <color theme="1"/>
        <rFont val="Calibri"/>
        <family val="2"/>
        <scheme val="minor"/>
      </rPr>
      <t>asked</t>
    </r>
    <r>
      <rPr>
        <sz val="11"/>
        <color theme="1"/>
        <rFont val="Calibri"/>
        <family val="2"/>
        <scheme val="minor"/>
      </rPr>
      <t xml:space="preserve"> - Indicates an inquiry by an actor with the expectation of a response or answer to a question.
</t>
    </r>
    <r>
      <rPr>
        <b/>
        <sz val="11"/>
        <color theme="1"/>
        <rFont val="Calibri"/>
        <family val="2"/>
        <scheme val="minor"/>
      </rPr>
      <t>attempted</t>
    </r>
    <r>
      <rPr>
        <sz val="11"/>
        <color theme="1"/>
        <rFont val="Calibri"/>
        <family val="2"/>
        <scheme val="minor"/>
      </rPr>
      <t xml:space="preserve"> - Indicates the actor made an effort to access the object. An attempt statement without additional activities could be considered incomplete in some cases.
</t>
    </r>
    <r>
      <rPr>
        <b/>
        <sz val="11"/>
        <color theme="1"/>
        <rFont val="Calibri"/>
        <family val="2"/>
        <scheme val="minor"/>
      </rPr>
      <t>attended</t>
    </r>
    <r>
      <rPr>
        <sz val="11"/>
        <color theme="1"/>
        <rFont val="Calibri"/>
        <family val="2"/>
        <scheme val="minor"/>
      </rPr>
      <t xml:space="preserve"> - Indicates the actor was present at a virtual or physical event or activity.
</t>
    </r>
    <r>
      <rPr>
        <b/>
        <sz val="11"/>
        <color theme="1"/>
        <rFont val="Calibri"/>
        <family val="2"/>
        <scheme val="minor"/>
      </rPr>
      <t>commented</t>
    </r>
    <r>
      <rPr>
        <sz val="11"/>
        <color theme="1"/>
        <rFont val="Calibri"/>
        <family val="2"/>
        <scheme val="minor"/>
      </rPr>
      <t xml:space="preserve"> - Indicates the actor provided digital or written annotations on or about an object.
</t>
    </r>
    <r>
      <rPr>
        <b/>
        <sz val="11"/>
        <color theme="1"/>
        <rFont val="Calibri"/>
        <family val="2"/>
        <scheme val="minor"/>
      </rPr>
      <t>completed</t>
    </r>
    <r>
      <rPr>
        <sz val="11"/>
        <color theme="1"/>
        <rFont val="Calibri"/>
        <family val="2"/>
        <scheme val="minor"/>
      </rPr>
      <t xml:space="preserve"> - Indicates the actor finished or concluded the activity normally.
</t>
    </r>
    <r>
      <rPr>
        <b/>
        <sz val="11"/>
        <color theme="1"/>
        <rFont val="Calibri"/>
        <family val="2"/>
        <scheme val="minor"/>
      </rPr>
      <t>exited</t>
    </r>
    <r>
      <rPr>
        <sz val="11"/>
        <color theme="1"/>
        <rFont val="Calibri"/>
        <family val="2"/>
        <scheme val="minor"/>
      </rPr>
      <t xml:space="preserve"> - Indicates the actor intentionally departed from the activity or object.
</t>
    </r>
    <r>
      <rPr>
        <b/>
        <sz val="11"/>
        <color theme="1"/>
        <rFont val="Calibri"/>
        <family val="2"/>
        <scheme val="minor"/>
      </rPr>
      <t>experienced</t>
    </r>
    <r>
      <rPr>
        <sz val="11"/>
        <color theme="1"/>
        <rFont val="Calibri"/>
        <family val="2"/>
        <scheme val="minor"/>
      </rPr>
      <t xml:space="preserve"> - Indicates the actor only encountered the object, and is applicable in situations where a specific achievement or completion is not required.
</t>
    </r>
    <r>
      <rPr>
        <b/>
        <sz val="11"/>
        <color theme="1"/>
        <rFont val="Calibri"/>
        <family val="2"/>
        <scheme val="minor"/>
      </rPr>
      <t>failed</t>
    </r>
    <r>
      <rPr>
        <sz val="11"/>
        <color theme="1"/>
        <rFont val="Calibri"/>
        <family val="2"/>
        <scheme val="minor"/>
      </rPr>
      <t xml:space="preserve"> - Indicates the actor did not successfully pass an activity to a level of predetermined satisfaction.
</t>
    </r>
    <r>
      <rPr>
        <b/>
        <sz val="11"/>
        <color theme="1"/>
        <rFont val="Calibri"/>
        <family val="2"/>
        <scheme val="minor"/>
      </rPr>
      <t>imported</t>
    </r>
    <r>
      <rPr>
        <sz val="11"/>
        <color theme="1"/>
        <rFont val="Calibri"/>
        <family val="2"/>
        <scheme val="minor"/>
      </rPr>
      <t xml:space="preserve"> - Indicates the actor introduced an object into a physical or virtual location.
</t>
    </r>
    <r>
      <rPr>
        <b/>
        <sz val="11"/>
        <color theme="1"/>
        <rFont val="Calibri"/>
        <family val="2"/>
        <scheme val="minor"/>
      </rPr>
      <t>initialized</t>
    </r>
    <r>
      <rPr>
        <sz val="11"/>
        <color theme="1"/>
        <rFont val="Calibri"/>
        <family val="2"/>
        <scheme val="minor"/>
      </rPr>
      <t xml:space="preserve"> - Indicates the activity provider has determined that the actor successfully started an activity.
</t>
    </r>
    <r>
      <rPr>
        <b/>
        <sz val="11"/>
        <color theme="1"/>
        <rFont val="Calibri"/>
        <family val="2"/>
        <scheme val="minor"/>
      </rPr>
      <t>interacted</t>
    </r>
    <r>
      <rPr>
        <sz val="11"/>
        <color theme="1"/>
        <rFont val="Calibri"/>
        <family val="2"/>
        <scheme val="minor"/>
      </rPr>
      <t xml:space="preserve"> - Indicates the actor engaged with a physical or virtual object.
</t>
    </r>
    <r>
      <rPr>
        <b/>
        <sz val="11"/>
        <color theme="1"/>
        <rFont val="Calibri"/>
        <family val="2"/>
        <scheme val="minor"/>
      </rPr>
      <t>launched</t>
    </r>
    <r>
      <rPr>
        <sz val="11"/>
        <color theme="1"/>
        <rFont val="Calibri"/>
        <family val="2"/>
        <scheme val="minor"/>
      </rPr>
      <t xml:space="preserve"> - Indicates the actor attempted to start an activity.
</t>
    </r>
    <r>
      <rPr>
        <b/>
        <sz val="11"/>
        <color theme="1"/>
        <rFont val="Calibri"/>
        <family val="2"/>
        <scheme val="minor"/>
      </rPr>
      <t>logged-in</t>
    </r>
    <r>
      <rPr>
        <sz val="11"/>
        <color theme="1"/>
        <rFont val="Calibri"/>
        <family val="2"/>
        <scheme val="minor"/>
      </rPr>
      <t xml:space="preserve"> - Indicates the actor gained access to a system or service by identifying and authenticating with the credentials provided by the actor.
</t>
    </r>
    <r>
      <rPr>
        <b/>
        <sz val="11"/>
        <color theme="1"/>
        <rFont val="Calibri"/>
        <family val="2"/>
        <scheme val="minor"/>
      </rPr>
      <t>logged-out</t>
    </r>
    <r>
      <rPr>
        <sz val="11"/>
        <color theme="1"/>
        <rFont val="Calibri"/>
        <family val="2"/>
        <scheme val="minor"/>
      </rPr>
      <t xml:space="preserve"> - Indicates the actor either lost or discontinued access to a system or service.
</t>
    </r>
    <r>
      <rPr>
        <b/>
        <sz val="11"/>
        <color theme="1"/>
        <rFont val="Calibri"/>
        <family val="2"/>
        <scheme val="minor"/>
      </rPr>
      <t>mastered</t>
    </r>
    <r>
      <rPr>
        <sz val="11"/>
        <color theme="1"/>
        <rFont val="Calibri"/>
        <family val="2"/>
        <scheme val="minor"/>
      </rPr>
      <t xml:space="preserve"> - Indicates the highest level of comprehension or competence the actor performed in an activity.
</t>
    </r>
    <r>
      <rPr>
        <b/>
        <sz val="11"/>
        <color theme="1"/>
        <rFont val="Calibri"/>
        <family val="2"/>
        <scheme val="minor"/>
      </rPr>
      <t>passed</t>
    </r>
    <r>
      <rPr>
        <sz val="11"/>
        <color theme="1"/>
        <rFont val="Calibri"/>
        <family val="2"/>
        <scheme val="minor"/>
      </rPr>
      <t xml:space="preserve"> - Indicates the actor successfully passed an activity to a level of predetermined satisfaction.
</t>
    </r>
    <r>
      <rPr>
        <b/>
        <sz val="11"/>
        <color theme="1"/>
        <rFont val="Calibri"/>
        <family val="2"/>
        <scheme val="minor"/>
      </rPr>
      <t>preferred</t>
    </r>
    <r>
      <rPr>
        <sz val="11"/>
        <color theme="1"/>
        <rFont val="Calibri"/>
        <family val="2"/>
        <scheme val="minor"/>
      </rPr>
      <t xml:space="preserve"> - Indicates the selected choices, favored options or settings of an actor in relation to an object or activity.
</t>
    </r>
    <r>
      <rPr>
        <b/>
        <sz val="11"/>
        <color theme="1"/>
        <rFont val="Calibri"/>
        <family val="2"/>
        <scheme val="minor"/>
      </rPr>
      <t>progressed</t>
    </r>
    <r>
      <rPr>
        <sz val="11"/>
        <color theme="1"/>
        <rFont val="Calibri"/>
        <family val="2"/>
        <scheme val="minor"/>
      </rPr>
      <t xml:space="preserve"> - Indicates a value of how much of an actor has advanced or moved through an activity.
</t>
    </r>
    <r>
      <rPr>
        <b/>
        <sz val="11"/>
        <color theme="1"/>
        <rFont val="Calibri"/>
        <family val="2"/>
        <scheme val="minor"/>
      </rPr>
      <t>registered</t>
    </r>
    <r>
      <rPr>
        <sz val="11"/>
        <color theme="1"/>
        <rFont val="Calibri"/>
        <family val="2"/>
        <scheme val="minor"/>
      </rPr>
      <t xml:space="preserve"> - Indicates the actor is officially enrolled or inducted in an activity.
</t>
    </r>
    <r>
      <rPr>
        <b/>
        <sz val="11"/>
        <color theme="1"/>
        <rFont val="Calibri"/>
        <family val="2"/>
        <scheme val="minor"/>
      </rPr>
      <t>responded</t>
    </r>
    <r>
      <rPr>
        <sz val="11"/>
        <color theme="1"/>
        <rFont val="Calibri"/>
        <family val="2"/>
        <scheme val="minor"/>
      </rPr>
      <t xml:space="preserve"> - Indicates an actor reacted or replied to an object.
</t>
    </r>
    <r>
      <rPr>
        <b/>
        <sz val="11"/>
        <color theme="1"/>
        <rFont val="Calibri"/>
        <family val="2"/>
        <scheme val="minor"/>
      </rPr>
      <t>resumed</t>
    </r>
    <r>
      <rPr>
        <sz val="11"/>
        <color theme="1"/>
        <rFont val="Calibri"/>
        <family val="2"/>
        <scheme val="minor"/>
      </rPr>
      <t xml:space="preserve"> - Indicates the application has determined that the actor continued or reopened a suspended attempt on an activity.
</t>
    </r>
    <r>
      <rPr>
        <b/>
        <sz val="11"/>
        <color theme="1"/>
        <rFont val="Calibri"/>
        <family val="2"/>
        <scheme val="minor"/>
      </rPr>
      <t>satisfied</t>
    </r>
    <r>
      <rPr>
        <sz val="11"/>
        <color theme="1"/>
        <rFont val="Calibri"/>
        <family val="2"/>
        <scheme val="minor"/>
      </rPr>
      <t xml:space="preserve"> - Indicates that the authority or activity provider determined the actor has fulfilled the criteria of the object or activity.
</t>
    </r>
    <r>
      <rPr>
        <b/>
        <sz val="11"/>
        <color theme="1"/>
        <rFont val="Calibri"/>
        <family val="2"/>
        <scheme val="minor"/>
      </rPr>
      <t>scored</t>
    </r>
    <r>
      <rPr>
        <sz val="11"/>
        <color theme="1"/>
        <rFont val="Calibri"/>
        <family val="2"/>
        <scheme val="minor"/>
      </rPr>
      <t xml:space="preserve"> - Indicates a numerical value related to an actor's performance on an activity.
</t>
    </r>
    <r>
      <rPr>
        <b/>
        <sz val="11"/>
        <color theme="1"/>
        <rFont val="Calibri"/>
        <family val="2"/>
        <scheme val="minor"/>
      </rPr>
      <t>shared</t>
    </r>
    <r>
      <rPr>
        <sz val="11"/>
        <color theme="1"/>
        <rFont val="Calibri"/>
        <family val="2"/>
        <scheme val="minor"/>
      </rPr>
      <t xml:space="preserve"> - Indicates the actor's intent to openly provide access to an object of common interest to other actors or groups.
</t>
    </r>
    <r>
      <rPr>
        <b/>
        <sz val="11"/>
        <color theme="1"/>
        <rFont val="Calibri"/>
        <family val="2"/>
        <scheme val="minor"/>
      </rPr>
      <t>suspended</t>
    </r>
    <r>
      <rPr>
        <sz val="11"/>
        <color theme="1"/>
        <rFont val="Calibri"/>
        <family val="2"/>
        <scheme val="minor"/>
      </rPr>
      <t xml:space="preserve"> - Indicates the status of a temporarily halted activity when an actor's intent is returning to the or object activity at a later time.
</t>
    </r>
    <r>
      <rPr>
        <b/>
        <sz val="11"/>
        <color theme="1"/>
        <rFont val="Calibri"/>
        <family val="2"/>
        <scheme val="minor"/>
      </rPr>
      <t>terminated</t>
    </r>
    <r>
      <rPr>
        <sz val="11"/>
        <color theme="1"/>
        <rFont val="Calibri"/>
        <family val="2"/>
        <scheme val="minor"/>
      </rPr>
      <t xml:space="preserve"> - Indicates that the actor successfully ended an activity.
</t>
    </r>
    <r>
      <rPr>
        <b/>
        <sz val="11"/>
        <color theme="1"/>
        <rFont val="Calibri"/>
        <family val="2"/>
        <scheme val="minor"/>
      </rPr>
      <t>voided</t>
    </r>
    <r>
      <rPr>
        <sz val="11"/>
        <color theme="1"/>
        <rFont val="Calibri"/>
        <family val="2"/>
        <scheme val="minor"/>
      </rPr>
      <t xml:space="preserve"> - A special reserved verb used by a LRS or application to mark a statement as invalid. See the xAPI specification for details on Voided statements.
</t>
    </r>
    <r>
      <rPr>
        <b/>
        <sz val="11"/>
        <color theme="1"/>
        <rFont val="Calibri"/>
        <family val="2"/>
        <scheme val="minor"/>
      </rPr>
      <t>waived</t>
    </r>
    <r>
      <rPr>
        <sz val="11"/>
        <color theme="1"/>
        <rFont val="Calibri"/>
        <family val="2"/>
        <scheme val="minor"/>
      </rPr>
      <t xml:space="preserve"> - Indicates that the learning activity requirements were met by means other than completing the activity. A waived statement is used to indicate that the activity may be skipped by the actor.
</t>
    </r>
  </si>
  <si>
    <r>
      <t>Week</t>
    </r>
    <r>
      <rPr>
        <sz val="11"/>
        <color theme="1"/>
        <rFont val="Calibri"/>
        <family val="2"/>
        <scheme val="minor"/>
      </rPr>
      <t xml:space="preserve"> - Week
</t>
    </r>
    <r>
      <rPr>
        <b/>
        <sz val="11"/>
        <color theme="1"/>
        <rFont val="Calibri"/>
        <family val="2"/>
        <scheme val="minor"/>
      </rPr>
      <t>Day</t>
    </r>
    <r>
      <rPr>
        <sz val="11"/>
        <color theme="1"/>
        <rFont val="Calibri"/>
        <family val="2"/>
        <scheme val="minor"/>
      </rPr>
      <t xml:space="preserve"> - Day
</t>
    </r>
    <r>
      <rPr>
        <b/>
        <sz val="11"/>
        <color theme="1"/>
        <rFont val="Calibri"/>
        <family val="2"/>
        <scheme val="minor"/>
      </rPr>
      <t>Hour</t>
    </r>
    <r>
      <rPr>
        <sz val="11"/>
        <color theme="1"/>
        <rFont val="Calibri"/>
        <family val="2"/>
        <scheme val="minor"/>
      </rPr>
      <t xml:space="preserve"> - Hour
</t>
    </r>
    <r>
      <rPr>
        <b/>
        <sz val="11"/>
        <color theme="1"/>
        <rFont val="Calibri"/>
        <family val="2"/>
        <scheme val="minor"/>
      </rPr>
      <t>Minute</t>
    </r>
    <r>
      <rPr>
        <sz val="11"/>
        <color theme="1"/>
        <rFont val="Calibri"/>
        <family val="2"/>
        <scheme val="minor"/>
      </rPr>
      <t xml:space="preserve"> - Minute
</t>
    </r>
    <r>
      <rPr>
        <b/>
        <sz val="11"/>
        <color theme="1"/>
        <rFont val="Calibri"/>
        <family val="2"/>
        <scheme val="minor"/>
      </rPr>
      <t>Second</t>
    </r>
    <r>
      <rPr>
        <sz val="11"/>
        <color theme="1"/>
        <rFont val="Calibri"/>
        <family val="2"/>
        <scheme val="minor"/>
      </rPr>
      <t xml:space="preserve"> - Second
</t>
    </r>
  </si>
  <si>
    <r>
      <t>Assignment</t>
    </r>
    <r>
      <rPr>
        <sz val="11"/>
        <color theme="1"/>
        <rFont val="Calibri"/>
        <family val="2"/>
        <scheme val="minor"/>
      </rPr>
      <t xml:space="preserve"> - Assignment
</t>
    </r>
    <r>
      <rPr>
        <b/>
        <sz val="11"/>
        <color theme="1"/>
        <rFont val="Calibri"/>
        <family val="2"/>
        <scheme val="minor"/>
      </rPr>
      <t>LearningResource</t>
    </r>
    <r>
      <rPr>
        <sz val="11"/>
        <color theme="1"/>
        <rFont val="Calibri"/>
        <family val="2"/>
        <scheme val="minor"/>
      </rPr>
      <t xml:space="preserve"> - Learning Resource
</t>
    </r>
    <r>
      <rPr>
        <b/>
        <sz val="11"/>
        <color theme="1"/>
        <rFont val="Calibri"/>
        <family val="2"/>
        <scheme val="minor"/>
      </rPr>
      <t>Activity</t>
    </r>
    <r>
      <rPr>
        <sz val="11"/>
        <color theme="1"/>
        <rFont val="Calibri"/>
        <family val="2"/>
        <scheme val="minor"/>
      </rPr>
      <t xml:space="preserve"> - Activity
</t>
    </r>
    <r>
      <rPr>
        <b/>
        <sz val="11"/>
        <color theme="1"/>
        <rFont val="Calibri"/>
        <family val="2"/>
        <scheme val="minor"/>
      </rPr>
      <t>Lesson</t>
    </r>
    <r>
      <rPr>
        <sz val="11"/>
        <color theme="1"/>
        <rFont val="Calibri"/>
        <family val="2"/>
        <scheme val="minor"/>
      </rPr>
      <t xml:space="preserve"> - Lesson
</t>
    </r>
  </si>
  <si>
    <r>
      <t>AndroidAccessibility</t>
    </r>
    <r>
      <rPr>
        <sz val="11"/>
        <color theme="1"/>
        <rFont val="Calibri"/>
        <family val="2"/>
        <scheme val="minor"/>
      </rPr>
      <t xml:space="preserve"> - Android Accessibility
</t>
    </r>
    <r>
      <rPr>
        <b/>
        <sz val="11"/>
        <color theme="1"/>
        <rFont val="Calibri"/>
        <family val="2"/>
        <scheme val="minor"/>
      </rPr>
      <t>ARIA</t>
    </r>
    <r>
      <rPr>
        <sz val="11"/>
        <color theme="1"/>
        <rFont val="Calibri"/>
        <family val="2"/>
        <scheme val="minor"/>
      </rPr>
      <t xml:space="preserve"> - ARIA
</t>
    </r>
    <r>
      <rPr>
        <b/>
        <sz val="11"/>
        <color theme="1"/>
        <rFont val="Calibri"/>
        <family val="2"/>
        <scheme val="minor"/>
      </rPr>
      <t>ATK</t>
    </r>
    <r>
      <rPr>
        <sz val="11"/>
        <color theme="1"/>
        <rFont val="Calibri"/>
        <family val="2"/>
        <scheme val="minor"/>
      </rPr>
      <t xml:space="preserve"> - ATK
</t>
    </r>
    <r>
      <rPr>
        <b/>
        <sz val="11"/>
        <color theme="1"/>
        <rFont val="Calibri"/>
        <family val="2"/>
        <scheme val="minor"/>
      </rPr>
      <t>AT-SPI</t>
    </r>
    <r>
      <rPr>
        <sz val="11"/>
        <color theme="1"/>
        <rFont val="Calibri"/>
        <family val="2"/>
        <scheme val="minor"/>
      </rPr>
      <t xml:space="preserve"> - AT-SPI
</t>
    </r>
    <r>
      <rPr>
        <b/>
        <sz val="11"/>
        <color theme="1"/>
        <rFont val="Calibri"/>
        <family val="2"/>
        <scheme val="minor"/>
      </rPr>
      <t>BlackberryAccessibility</t>
    </r>
    <r>
      <rPr>
        <sz val="11"/>
        <color theme="1"/>
        <rFont val="Calibri"/>
        <family val="2"/>
        <scheme val="minor"/>
      </rPr>
      <t xml:space="preserve"> - Blackberry Accessibility
</t>
    </r>
    <r>
      <rPr>
        <b/>
        <sz val="11"/>
        <color theme="1"/>
        <rFont val="Calibri"/>
        <family val="2"/>
        <scheme val="minor"/>
      </rPr>
      <t>iAccessible2</t>
    </r>
    <r>
      <rPr>
        <sz val="11"/>
        <color theme="1"/>
        <rFont val="Calibri"/>
        <family val="2"/>
        <scheme val="minor"/>
      </rPr>
      <t xml:space="preserve"> - I Accessible2
</t>
    </r>
    <r>
      <rPr>
        <b/>
        <sz val="11"/>
        <color theme="1"/>
        <rFont val="Calibri"/>
        <family val="2"/>
        <scheme val="minor"/>
      </rPr>
      <t>iOSAccessibility</t>
    </r>
    <r>
      <rPr>
        <sz val="11"/>
        <color theme="1"/>
        <rFont val="Calibri"/>
        <family val="2"/>
        <scheme val="minor"/>
      </rPr>
      <t xml:space="preserve"> - iOS Accessibility
</t>
    </r>
    <r>
      <rPr>
        <b/>
        <sz val="11"/>
        <color theme="1"/>
        <rFont val="Calibri"/>
        <family val="2"/>
        <scheme val="minor"/>
      </rPr>
      <t>JavaAccessibility</t>
    </r>
    <r>
      <rPr>
        <sz val="11"/>
        <color theme="1"/>
        <rFont val="Calibri"/>
        <family val="2"/>
        <scheme val="minor"/>
      </rPr>
      <t xml:space="preserve"> - Java Accessibility
</t>
    </r>
    <r>
      <rPr>
        <b/>
        <sz val="11"/>
        <color theme="1"/>
        <rFont val="Calibri"/>
        <family val="2"/>
        <scheme val="minor"/>
      </rPr>
      <t>MacOSXAccessibility</t>
    </r>
    <r>
      <rPr>
        <sz val="11"/>
        <color theme="1"/>
        <rFont val="Calibri"/>
        <family val="2"/>
        <scheme val="minor"/>
      </rPr>
      <t xml:space="preserve"> - Mac OSX Accessibility
</t>
    </r>
    <r>
      <rPr>
        <b/>
        <sz val="11"/>
        <color theme="1"/>
        <rFont val="Calibri"/>
        <family val="2"/>
        <scheme val="minor"/>
      </rPr>
      <t>MSAA</t>
    </r>
    <r>
      <rPr>
        <sz val="11"/>
        <color theme="1"/>
        <rFont val="Calibri"/>
        <family val="2"/>
        <scheme val="minor"/>
      </rPr>
      <t xml:space="preserve"> - MSAA
</t>
    </r>
    <r>
      <rPr>
        <b/>
        <sz val="11"/>
        <color theme="1"/>
        <rFont val="Calibri"/>
        <family val="2"/>
        <scheme val="minor"/>
      </rPr>
      <t>UIAutomation</t>
    </r>
    <r>
      <rPr>
        <sz val="11"/>
        <color theme="1"/>
        <rFont val="Calibri"/>
        <family val="2"/>
        <scheme val="minor"/>
      </rPr>
      <t xml:space="preserve"> - UI Automation
</t>
    </r>
  </si>
  <si>
    <r>
      <t>Flashing</t>
    </r>
    <r>
      <rPr>
        <sz val="11"/>
        <color theme="1"/>
        <rFont val="Calibri"/>
        <family val="2"/>
        <scheme val="minor"/>
      </rPr>
      <t xml:space="preserve"> - Flashing
</t>
    </r>
    <r>
      <rPr>
        <b/>
        <sz val="11"/>
        <color theme="1"/>
        <rFont val="Calibri"/>
        <family val="2"/>
        <scheme val="minor"/>
      </rPr>
      <t>MotionSimulation</t>
    </r>
    <r>
      <rPr>
        <sz val="11"/>
        <color theme="1"/>
        <rFont val="Calibri"/>
        <family val="2"/>
        <scheme val="minor"/>
      </rPr>
      <t xml:space="preserve"> - Motion simulation
</t>
    </r>
    <r>
      <rPr>
        <b/>
        <sz val="11"/>
        <color theme="1"/>
        <rFont val="Calibri"/>
        <family val="2"/>
        <scheme val="minor"/>
      </rPr>
      <t>Sound</t>
    </r>
    <r>
      <rPr>
        <sz val="11"/>
        <color theme="1"/>
        <rFont val="Calibri"/>
        <family val="2"/>
        <scheme val="minor"/>
      </rPr>
      <t xml:space="preserve"> - Sound
</t>
    </r>
  </si>
  <si>
    <r>
      <t>auditory</t>
    </r>
    <r>
      <rPr>
        <sz val="11"/>
        <color theme="1"/>
        <rFont val="Calibri"/>
        <family val="2"/>
        <scheme val="minor"/>
      </rPr>
      <t xml:space="preserve"> - Auditory
</t>
    </r>
    <r>
      <rPr>
        <b/>
        <sz val="11"/>
        <color theme="1"/>
        <rFont val="Calibri"/>
        <family val="2"/>
        <scheme val="minor"/>
      </rPr>
      <t>colorDependent</t>
    </r>
    <r>
      <rPr>
        <sz val="11"/>
        <color theme="1"/>
        <rFont val="Calibri"/>
        <family val="2"/>
        <scheme val="minor"/>
      </rPr>
      <t xml:space="preserve"> - Color Dependent
</t>
    </r>
    <r>
      <rPr>
        <b/>
        <sz val="11"/>
        <color theme="1"/>
        <rFont val="Calibri"/>
        <family val="2"/>
        <scheme val="minor"/>
      </rPr>
      <t>tactile</t>
    </r>
    <r>
      <rPr>
        <sz val="11"/>
        <color theme="1"/>
        <rFont val="Calibri"/>
        <family val="2"/>
        <scheme val="minor"/>
      </rPr>
      <t xml:space="preserve"> - Tactile
</t>
    </r>
    <r>
      <rPr>
        <b/>
        <sz val="11"/>
        <color theme="1"/>
        <rFont val="Calibri"/>
        <family val="2"/>
        <scheme val="minor"/>
      </rPr>
      <t>textOnImage</t>
    </r>
    <r>
      <rPr>
        <sz val="11"/>
        <color theme="1"/>
        <rFont val="Calibri"/>
        <family val="2"/>
        <scheme val="minor"/>
      </rPr>
      <t xml:space="preserve"> - Text On Image
</t>
    </r>
    <r>
      <rPr>
        <b/>
        <sz val="11"/>
        <color theme="1"/>
        <rFont val="Calibri"/>
        <family val="2"/>
        <scheme val="minor"/>
      </rPr>
      <t>textual</t>
    </r>
    <r>
      <rPr>
        <sz val="11"/>
        <color theme="1"/>
        <rFont val="Calibri"/>
        <family val="2"/>
        <scheme val="minor"/>
      </rPr>
      <t xml:space="preserve"> - Textual
</t>
    </r>
    <r>
      <rPr>
        <b/>
        <sz val="11"/>
        <color theme="1"/>
        <rFont val="Calibri"/>
        <family val="2"/>
        <scheme val="minor"/>
      </rPr>
      <t>visual</t>
    </r>
    <r>
      <rPr>
        <sz val="11"/>
        <color theme="1"/>
        <rFont val="Calibri"/>
        <family val="2"/>
        <scheme val="minor"/>
      </rPr>
      <t xml:space="preserve"> - Visual
</t>
    </r>
  </si>
  <si>
    <r>
      <t>FreeAccess</t>
    </r>
    <r>
      <rPr>
        <sz val="11"/>
        <color theme="1"/>
        <rFont val="Calibri"/>
        <family val="2"/>
        <scheme val="minor"/>
      </rPr>
      <t xml:space="preserve"> - Free Access
</t>
    </r>
    <r>
      <rPr>
        <b/>
        <sz val="11"/>
        <color theme="1"/>
        <rFont val="Calibri"/>
        <family val="2"/>
        <scheme val="minor"/>
      </rPr>
      <t>FreeAccessWithRegistration</t>
    </r>
    <r>
      <rPr>
        <sz val="11"/>
        <color theme="1"/>
        <rFont val="Calibri"/>
        <family val="2"/>
        <scheme val="minor"/>
      </rPr>
      <t xml:space="preserve"> - Free Access with Registration
</t>
    </r>
    <r>
      <rPr>
        <b/>
        <sz val="11"/>
        <color theme="1"/>
        <rFont val="Calibri"/>
        <family val="2"/>
        <scheme val="minor"/>
      </rPr>
      <t>LimitedFreeAccess</t>
    </r>
    <r>
      <rPr>
        <sz val="11"/>
        <color theme="1"/>
        <rFont val="Calibri"/>
        <family val="2"/>
        <scheme val="minor"/>
      </rPr>
      <t xml:space="preserve"> - Limited Free Access
</t>
    </r>
    <r>
      <rPr>
        <b/>
        <sz val="11"/>
        <color theme="1"/>
        <rFont val="Calibri"/>
        <family val="2"/>
        <scheme val="minor"/>
      </rPr>
      <t>AvailableForPurchase</t>
    </r>
    <r>
      <rPr>
        <sz val="11"/>
        <color theme="1"/>
        <rFont val="Calibri"/>
        <family val="2"/>
        <scheme val="minor"/>
      </rPr>
      <t xml:space="preserve"> - Available for Purchase
</t>
    </r>
    <r>
      <rPr>
        <b/>
        <sz val="11"/>
        <color theme="1"/>
        <rFont val="Calibri"/>
        <family val="2"/>
        <scheme val="minor"/>
      </rPr>
      <t>AvailableBySubscription</t>
    </r>
    <r>
      <rPr>
        <sz val="11"/>
        <color theme="1"/>
        <rFont val="Calibri"/>
        <family val="2"/>
        <scheme val="minor"/>
      </rPr>
      <t xml:space="preserve"> - Available by Subscription
</t>
    </r>
    <r>
      <rPr>
        <b/>
        <sz val="11"/>
        <color theme="1"/>
        <rFont val="Calibri"/>
        <family val="2"/>
        <scheme val="minor"/>
      </rPr>
      <t>PublisherDefined</t>
    </r>
    <r>
      <rPr>
        <sz val="11"/>
        <color theme="1"/>
        <rFont val="Calibri"/>
        <family val="2"/>
        <scheme val="minor"/>
      </rPr>
      <t xml:space="preserve"> - Publisher Defined
</t>
    </r>
  </si>
  <si>
    <r>
      <t>Organization</t>
    </r>
    <r>
      <rPr>
        <sz val="11"/>
        <color theme="1"/>
        <rFont val="Calibri"/>
        <family val="2"/>
        <scheme val="minor"/>
      </rPr>
      <t xml:space="preserve"> - Organization
</t>
    </r>
    <r>
      <rPr>
        <b/>
        <sz val="11"/>
        <color theme="1"/>
        <rFont val="Calibri"/>
        <family val="2"/>
        <scheme val="minor"/>
      </rPr>
      <t>Person</t>
    </r>
    <r>
      <rPr>
        <sz val="11"/>
        <color theme="1"/>
        <rFont val="Calibri"/>
        <family val="2"/>
        <scheme val="minor"/>
      </rPr>
      <t xml:space="preserve"> - Person
</t>
    </r>
  </si>
  <si>
    <r>
      <t>Ebook</t>
    </r>
    <r>
      <rPr>
        <sz val="11"/>
        <color theme="1"/>
        <rFont val="Calibri"/>
        <family val="2"/>
        <scheme val="minor"/>
      </rPr>
      <t xml:space="preserve"> - Ebook
</t>
    </r>
    <r>
      <rPr>
        <b/>
        <sz val="11"/>
        <color theme="1"/>
        <rFont val="Calibri"/>
        <family val="2"/>
        <scheme val="minor"/>
      </rPr>
      <t>Hardcover</t>
    </r>
    <r>
      <rPr>
        <sz val="11"/>
        <color theme="1"/>
        <rFont val="Calibri"/>
        <family val="2"/>
        <scheme val="minor"/>
      </rPr>
      <t xml:space="preserve"> - Hardcover
</t>
    </r>
    <r>
      <rPr>
        <b/>
        <sz val="11"/>
        <color theme="1"/>
        <rFont val="Calibri"/>
        <family val="2"/>
        <scheme val="minor"/>
      </rPr>
      <t>Paperback</t>
    </r>
    <r>
      <rPr>
        <sz val="11"/>
        <color theme="1"/>
        <rFont val="Calibri"/>
        <family val="2"/>
        <scheme val="minor"/>
      </rPr>
      <t xml:space="preserve"> - Paperback
</t>
    </r>
    <r>
      <rPr>
        <b/>
        <sz val="11"/>
        <color theme="1"/>
        <rFont val="Calibri"/>
        <family val="2"/>
        <scheme val="minor"/>
      </rPr>
      <t>DAISY202</t>
    </r>
    <r>
      <rPr>
        <sz val="11"/>
        <color theme="1"/>
        <rFont val="Calibri"/>
        <family val="2"/>
        <scheme val="minor"/>
      </rPr>
      <t xml:space="preserve"> - DAISY202
</t>
    </r>
    <r>
      <rPr>
        <b/>
        <sz val="11"/>
        <color theme="1"/>
        <rFont val="Calibri"/>
        <family val="2"/>
        <scheme val="minor"/>
      </rPr>
      <t>DAISY3</t>
    </r>
    <r>
      <rPr>
        <sz val="11"/>
        <color theme="1"/>
        <rFont val="Calibri"/>
        <family val="2"/>
        <scheme val="minor"/>
      </rPr>
      <t xml:space="preserve"> - DAISY3
</t>
    </r>
    <r>
      <rPr>
        <b/>
        <sz val="11"/>
        <color theme="1"/>
        <rFont val="Calibri"/>
        <family val="2"/>
        <scheme val="minor"/>
      </rPr>
      <t>EPUB2</t>
    </r>
    <r>
      <rPr>
        <sz val="11"/>
        <color theme="1"/>
        <rFont val="Calibri"/>
        <family val="2"/>
        <scheme val="minor"/>
      </rPr>
      <t xml:space="preserve"> - EPUB2
</t>
    </r>
    <r>
      <rPr>
        <b/>
        <sz val="11"/>
        <color theme="1"/>
        <rFont val="Calibri"/>
        <family val="2"/>
        <scheme val="minor"/>
      </rPr>
      <t>EPUB3</t>
    </r>
    <r>
      <rPr>
        <sz val="11"/>
        <color theme="1"/>
        <rFont val="Calibri"/>
        <family val="2"/>
        <scheme val="minor"/>
      </rPr>
      <t xml:space="preserve"> - EPUB3
</t>
    </r>
    <r>
      <rPr>
        <b/>
        <sz val="11"/>
        <color theme="1"/>
        <rFont val="Calibri"/>
        <family val="2"/>
        <scheme val="minor"/>
      </rPr>
      <t>Other</t>
    </r>
    <r>
      <rPr>
        <sz val="11"/>
        <color theme="1"/>
        <rFont val="Calibri"/>
        <family val="2"/>
        <scheme val="minor"/>
      </rPr>
      <t xml:space="preserve"> - Other
</t>
    </r>
  </si>
  <si>
    <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TextComplexity</t>
    </r>
    <r>
      <rPr>
        <sz val="11"/>
        <color theme="1"/>
        <rFont val="Calibri"/>
        <family val="2"/>
        <scheme val="minor"/>
      </rPr>
      <t xml:space="preserve"> - Text Complexity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</si>
  <si>
    <r>
      <t>fullAudioControl</t>
    </r>
    <r>
      <rPr>
        <sz val="11"/>
        <color theme="1"/>
        <rFont val="Calibri"/>
        <family val="2"/>
        <scheme val="minor"/>
      </rPr>
      <t xml:space="preserve"> - Full Audio Control
</t>
    </r>
    <r>
      <rPr>
        <b/>
        <sz val="11"/>
        <color theme="1"/>
        <rFont val="Calibri"/>
        <family val="2"/>
        <scheme val="minor"/>
      </rPr>
      <t>fullKeyboardControl</t>
    </r>
    <r>
      <rPr>
        <sz val="11"/>
        <color theme="1"/>
        <rFont val="Calibri"/>
        <family val="2"/>
        <scheme val="minor"/>
      </rPr>
      <t xml:space="preserve"> - Full Keyboard Control
</t>
    </r>
    <r>
      <rPr>
        <b/>
        <sz val="11"/>
        <color theme="1"/>
        <rFont val="Calibri"/>
        <family val="2"/>
        <scheme val="minor"/>
      </rPr>
      <t>fullMouseControl</t>
    </r>
    <r>
      <rPr>
        <sz val="11"/>
        <color theme="1"/>
        <rFont val="Calibri"/>
        <family val="2"/>
        <scheme val="minor"/>
      </rPr>
      <t xml:space="preserve"> - Full Mouse Control
</t>
    </r>
    <r>
      <rPr>
        <b/>
        <sz val="11"/>
        <color theme="1"/>
        <rFont val="Calibri"/>
        <family val="2"/>
        <scheme val="minor"/>
      </rPr>
      <t>fullTouchControl</t>
    </r>
    <r>
      <rPr>
        <sz val="11"/>
        <color theme="1"/>
        <rFont val="Calibri"/>
        <family val="2"/>
        <scheme val="minor"/>
      </rPr>
      <t xml:space="preserve"> - Full Touch Control
</t>
    </r>
    <r>
      <rPr>
        <b/>
        <sz val="11"/>
        <color theme="1"/>
        <rFont val="Calibri"/>
        <family val="2"/>
        <scheme val="minor"/>
      </rPr>
      <t>fullVideoControl</t>
    </r>
    <r>
      <rPr>
        <sz val="11"/>
        <color theme="1"/>
        <rFont val="Calibri"/>
        <family val="2"/>
        <scheme val="minor"/>
      </rPr>
      <t xml:space="preserve"> - Full Video Control
</t>
    </r>
  </si>
  <si>
    <r>
      <t>application</t>
    </r>
    <r>
      <rPr>
        <sz val="11"/>
        <color theme="1"/>
        <rFont val="Calibri"/>
        <family val="2"/>
        <scheme val="minor"/>
      </rPr>
      <t xml:space="preserve"> - Application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example</t>
    </r>
    <r>
      <rPr>
        <sz val="11"/>
        <color theme="1"/>
        <rFont val="Calibri"/>
        <family val="2"/>
        <scheme val="minor"/>
      </rPr>
      <t xml:space="preserve"> - Example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message</t>
    </r>
    <r>
      <rPr>
        <sz val="11"/>
        <color theme="1"/>
        <rFont val="Calibri"/>
        <family val="2"/>
        <scheme val="minor"/>
      </rPr>
      <t xml:space="preserve"> - Message
</t>
    </r>
    <r>
      <rPr>
        <b/>
        <sz val="11"/>
        <color theme="1"/>
        <rFont val="Calibri"/>
        <family val="2"/>
        <scheme val="minor"/>
      </rPr>
      <t>model</t>
    </r>
    <r>
      <rPr>
        <sz val="11"/>
        <color theme="1"/>
        <rFont val="Calibri"/>
        <family val="2"/>
        <scheme val="minor"/>
      </rPr>
      <t xml:space="preserve"> - Model
</t>
    </r>
    <r>
      <rPr>
        <b/>
        <sz val="11"/>
        <color theme="1"/>
        <rFont val="Calibri"/>
        <family val="2"/>
        <scheme val="minor"/>
      </rPr>
      <t>multipart</t>
    </r>
    <r>
      <rPr>
        <sz val="11"/>
        <color theme="1"/>
        <rFont val="Calibri"/>
        <family val="2"/>
        <scheme val="minor"/>
      </rPr>
      <t xml:space="preserve"> - Multipart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video</t>
    </r>
    <r>
      <rPr>
        <sz val="11"/>
        <color theme="1"/>
        <rFont val="Calibri"/>
        <family val="2"/>
        <scheme val="minor"/>
      </rPr>
      <t xml:space="preserve"> - Video
</t>
    </r>
  </si>
  <si>
    <r>
      <t>CurriculumInstruction</t>
    </r>
    <r>
      <rPr>
        <sz val="11"/>
        <color theme="1"/>
        <rFont val="Calibri"/>
        <family val="2"/>
        <scheme val="minor"/>
      </rPr>
      <t xml:space="preserve"> - Curriculum/Instruction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Other</t>
    </r>
    <r>
      <rPr>
        <sz val="11"/>
        <color theme="1"/>
        <rFont val="Calibri"/>
        <family val="2"/>
        <scheme val="minor"/>
      </rPr>
      <t xml:space="preserve"> - Other
</t>
    </r>
  </si>
  <si>
    <r>
      <t>Administrator</t>
    </r>
    <r>
      <rPr>
        <sz val="11"/>
        <color theme="1"/>
        <rFont val="Calibri"/>
        <family val="2"/>
        <scheme val="minor"/>
      </rPr>
      <t xml:space="preserve"> - Administrator
</t>
    </r>
    <r>
      <rPr>
        <b/>
        <sz val="11"/>
        <color theme="1"/>
        <rFont val="Calibri"/>
        <family val="2"/>
        <scheme val="minor"/>
      </rPr>
      <t>Mentor</t>
    </r>
    <r>
      <rPr>
        <sz val="11"/>
        <color theme="1"/>
        <rFont val="Calibri"/>
        <family val="2"/>
        <scheme val="minor"/>
      </rPr>
      <t xml:space="preserve"> - Mentor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Peer-Tutor</t>
    </r>
    <r>
      <rPr>
        <sz val="11"/>
        <color theme="1"/>
        <rFont val="Calibri"/>
        <family val="2"/>
        <scheme val="minor"/>
      </rPr>
      <t xml:space="preserve"> - Peer- Tutor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Teacher</t>
    </r>
    <r>
      <rPr>
        <sz val="11"/>
        <color theme="1"/>
        <rFont val="Calibri"/>
        <family val="2"/>
        <scheme val="minor"/>
      </rPr>
      <t xml:space="preserve"> - Teacher
</t>
    </r>
    <r>
      <rPr>
        <b/>
        <sz val="11"/>
        <color theme="1"/>
        <rFont val="Calibri"/>
        <family val="2"/>
        <scheme val="minor"/>
      </rPr>
      <t>Team</t>
    </r>
    <r>
      <rPr>
        <sz val="11"/>
        <color theme="1"/>
        <rFont val="Calibri"/>
        <family val="2"/>
        <scheme val="minor"/>
      </rPr>
      <t xml:space="preserve"> - Team
</t>
    </r>
    <r>
      <rPr>
        <b/>
        <sz val="11"/>
        <color theme="1"/>
        <rFont val="Calibri"/>
        <family val="2"/>
        <scheme val="minor"/>
      </rPr>
      <t>Other</t>
    </r>
    <r>
      <rPr>
        <sz val="11"/>
        <color theme="1"/>
        <rFont val="Calibri"/>
        <family val="2"/>
        <scheme val="minor"/>
      </rPr>
      <t xml:space="preserve"> - Other
</t>
    </r>
  </si>
  <si>
    <r>
      <t>Asynchronous</t>
    </r>
    <r>
      <rPr>
        <sz val="11"/>
        <color theme="1"/>
        <rFont val="Calibri"/>
        <family val="2"/>
        <scheme val="minor"/>
      </rPr>
      <t xml:space="preserve"> - Student-oriented teaching and learning which is not organized around participants interacting at the same time and in the same space.
</t>
    </r>
    <r>
      <rPr>
        <b/>
        <sz val="11"/>
        <color theme="1"/>
        <rFont val="Calibri"/>
        <family val="2"/>
        <scheme val="minor"/>
      </rPr>
      <t>Synchronous</t>
    </r>
    <r>
      <rPr>
        <sz val="11"/>
        <color theme="1"/>
        <rFont val="Calibri"/>
        <family val="2"/>
        <scheme val="minor"/>
      </rPr>
      <t xml:space="preserve"> - Group-oriented teaching and learning organized around participants interacting at the same time and in the same space.
</t>
    </r>
  </si>
  <si>
    <r>
      <t>Active</t>
    </r>
    <r>
      <rPr>
        <sz val="11"/>
        <color theme="1"/>
        <rFont val="Calibri"/>
        <family val="2"/>
        <scheme val="minor"/>
      </rPr>
      <t xml:space="preserve"> - Active
</t>
    </r>
    <r>
      <rPr>
        <b/>
        <sz val="11"/>
        <color theme="1"/>
        <rFont val="Calibri"/>
        <family val="2"/>
        <scheme val="minor"/>
      </rPr>
      <t>Expositive</t>
    </r>
    <r>
      <rPr>
        <sz val="11"/>
        <color theme="1"/>
        <rFont val="Calibri"/>
        <family val="2"/>
        <scheme val="minor"/>
      </rPr>
      <t xml:space="preserve"> - Expositive
</t>
    </r>
    <r>
      <rPr>
        <b/>
        <sz val="11"/>
        <color theme="1"/>
        <rFont val="Calibri"/>
        <family val="2"/>
        <scheme val="minor"/>
      </rPr>
      <t>Mixed</t>
    </r>
    <r>
      <rPr>
        <sz val="11"/>
        <color theme="1"/>
        <rFont val="Calibri"/>
        <family val="2"/>
        <scheme val="minor"/>
      </rPr>
      <t xml:space="preserve"> - Mixed
</t>
    </r>
  </si>
  <si>
    <r>
      <t>alternativeText</t>
    </r>
    <r>
      <rPr>
        <sz val="11"/>
        <color theme="1"/>
        <rFont val="Calibri"/>
        <family val="2"/>
        <scheme val="minor"/>
      </rPr>
      <t xml:space="preserve"> - Alternative Text
</t>
    </r>
    <r>
      <rPr>
        <b/>
        <sz val="11"/>
        <color theme="1"/>
        <rFont val="Calibri"/>
        <family val="2"/>
        <scheme val="minor"/>
      </rPr>
      <t>audioDescription</t>
    </r>
    <r>
      <rPr>
        <sz val="11"/>
        <color theme="1"/>
        <rFont val="Calibri"/>
        <family val="2"/>
        <scheme val="minor"/>
      </rPr>
      <t xml:space="preserve"> - Audio Description
</t>
    </r>
    <r>
      <rPr>
        <b/>
        <sz val="11"/>
        <color theme="1"/>
        <rFont val="Calibri"/>
        <family val="2"/>
        <scheme val="minor"/>
      </rPr>
      <t>braille</t>
    </r>
    <r>
      <rPr>
        <sz val="11"/>
        <color theme="1"/>
        <rFont val="Calibri"/>
        <family val="2"/>
        <scheme val="minor"/>
      </rPr>
      <t xml:space="preserve"> - Braille
</t>
    </r>
    <r>
      <rPr>
        <b/>
        <sz val="11"/>
        <color theme="1"/>
        <rFont val="Calibri"/>
        <family val="2"/>
        <scheme val="minor"/>
      </rPr>
      <t>captions</t>
    </r>
    <r>
      <rPr>
        <sz val="11"/>
        <color theme="1"/>
        <rFont val="Calibri"/>
        <family val="2"/>
        <scheme val="minor"/>
      </rPr>
      <t xml:space="preserve"> - Captions
</t>
    </r>
    <r>
      <rPr>
        <b/>
        <sz val="11"/>
        <color theme="1"/>
        <rFont val="Calibri"/>
        <family val="2"/>
        <scheme val="minor"/>
      </rPr>
      <t>ChemML</t>
    </r>
    <r>
      <rPr>
        <sz val="11"/>
        <color theme="1"/>
        <rFont val="Calibri"/>
        <family val="2"/>
        <scheme val="minor"/>
      </rPr>
      <t xml:space="preserve"> - Chem M L
</t>
    </r>
    <r>
      <rPr>
        <b/>
        <sz val="11"/>
        <color theme="1"/>
        <rFont val="Calibri"/>
        <family val="2"/>
        <scheme val="minor"/>
      </rPr>
      <t>describedMath</t>
    </r>
    <r>
      <rPr>
        <sz val="11"/>
        <color theme="1"/>
        <rFont val="Calibri"/>
        <family val="2"/>
        <scheme val="minor"/>
      </rPr>
      <t xml:space="preserve"> - Described Math
</t>
    </r>
    <r>
      <rPr>
        <b/>
        <sz val="11"/>
        <color theme="1"/>
        <rFont val="Calibri"/>
        <family val="2"/>
        <scheme val="minor"/>
      </rPr>
      <t>displayTransformability</t>
    </r>
    <r>
      <rPr>
        <sz val="11"/>
        <color theme="1"/>
        <rFont val="Calibri"/>
        <family val="2"/>
        <scheme val="minor"/>
      </rPr>
      <t xml:space="preserve"> - Display Transformability
</t>
    </r>
    <r>
      <rPr>
        <b/>
        <sz val="11"/>
        <color theme="1"/>
        <rFont val="Calibri"/>
        <family val="2"/>
        <scheme val="minor"/>
      </rPr>
      <t>haptic</t>
    </r>
    <r>
      <rPr>
        <sz val="11"/>
        <color theme="1"/>
        <rFont val="Calibri"/>
        <family val="2"/>
        <scheme val="minor"/>
      </rPr>
      <t xml:space="preserve"> - Haptic
</t>
    </r>
    <r>
      <rPr>
        <b/>
        <sz val="11"/>
        <color theme="1"/>
        <rFont val="Calibri"/>
        <family val="2"/>
        <scheme val="minor"/>
      </rPr>
      <t>highContrast</t>
    </r>
    <r>
      <rPr>
        <sz val="11"/>
        <color theme="1"/>
        <rFont val="Calibri"/>
        <family val="2"/>
        <scheme val="minor"/>
      </rPr>
      <t xml:space="preserve"> - High Contrast
</t>
    </r>
    <r>
      <rPr>
        <b/>
        <sz val="11"/>
        <color theme="1"/>
        <rFont val="Calibri"/>
        <family val="2"/>
        <scheme val="minor"/>
      </rPr>
      <t>largePrint</t>
    </r>
    <r>
      <rPr>
        <sz val="11"/>
        <color theme="1"/>
        <rFont val="Calibri"/>
        <family val="2"/>
        <scheme val="minor"/>
      </rPr>
      <t xml:space="preserve"> - Large Print
</t>
    </r>
    <r>
      <rPr>
        <b/>
        <sz val="11"/>
        <color theme="1"/>
        <rFont val="Calibri"/>
        <family val="2"/>
        <scheme val="minor"/>
      </rPr>
      <t>latex</t>
    </r>
    <r>
      <rPr>
        <sz val="11"/>
        <color theme="1"/>
        <rFont val="Calibri"/>
        <family val="2"/>
        <scheme val="minor"/>
      </rPr>
      <t xml:space="preserve"> - Latex
</t>
    </r>
    <r>
      <rPr>
        <b/>
        <sz val="11"/>
        <color theme="1"/>
        <rFont val="Calibri"/>
        <family val="2"/>
        <scheme val="minor"/>
      </rPr>
      <t>longDescription</t>
    </r>
    <r>
      <rPr>
        <sz val="11"/>
        <color theme="1"/>
        <rFont val="Calibri"/>
        <family val="2"/>
        <scheme val="minor"/>
      </rPr>
      <t xml:space="preserve"> - Long Description
</t>
    </r>
    <r>
      <rPr>
        <b/>
        <sz val="11"/>
        <color theme="1"/>
        <rFont val="Calibri"/>
        <family val="2"/>
        <scheme val="minor"/>
      </rPr>
      <t>MathML</t>
    </r>
    <r>
      <rPr>
        <sz val="11"/>
        <color theme="1"/>
        <rFont val="Calibri"/>
        <family val="2"/>
        <scheme val="minor"/>
      </rPr>
      <t xml:space="preserve"> - Math M L
</t>
    </r>
    <r>
      <rPr>
        <b/>
        <sz val="11"/>
        <color theme="1"/>
        <rFont val="Calibri"/>
        <family val="2"/>
        <scheme val="minor"/>
      </rPr>
      <t>musicBraille</t>
    </r>
    <r>
      <rPr>
        <sz val="11"/>
        <color theme="1"/>
        <rFont val="Calibri"/>
        <family val="2"/>
        <scheme val="minor"/>
      </rPr>
      <t xml:space="preserve"> - Music Braille
</t>
    </r>
    <r>
      <rPr>
        <b/>
        <sz val="11"/>
        <color theme="1"/>
        <rFont val="Calibri"/>
        <family val="2"/>
        <scheme val="minor"/>
      </rPr>
      <t>nemethBraille</t>
    </r>
    <r>
      <rPr>
        <sz val="11"/>
        <color theme="1"/>
        <rFont val="Calibri"/>
        <family val="2"/>
        <scheme val="minor"/>
      </rPr>
      <t xml:space="preserve"> - Nemeth Braille
</t>
    </r>
    <r>
      <rPr>
        <b/>
        <sz val="11"/>
        <color theme="1"/>
        <rFont val="Calibri"/>
        <family val="2"/>
        <scheme val="minor"/>
      </rPr>
      <t>signLanguage</t>
    </r>
    <r>
      <rPr>
        <sz val="11"/>
        <color theme="1"/>
        <rFont val="Calibri"/>
        <family val="2"/>
        <scheme val="minor"/>
      </rPr>
      <t xml:space="preserve"> - Sign Language
</t>
    </r>
    <r>
      <rPr>
        <b/>
        <sz val="11"/>
        <color theme="1"/>
        <rFont val="Calibri"/>
        <family val="2"/>
        <scheme val="minor"/>
      </rPr>
      <t>structuralNavigation</t>
    </r>
    <r>
      <rPr>
        <sz val="11"/>
        <color theme="1"/>
        <rFont val="Calibri"/>
        <family val="2"/>
        <scheme val="minor"/>
      </rPr>
      <t xml:space="preserve"> - Structural Navigation
</t>
    </r>
    <r>
      <rPr>
        <b/>
        <sz val="11"/>
        <color theme="1"/>
        <rFont val="Calibri"/>
        <family val="2"/>
        <scheme val="minor"/>
      </rPr>
      <t>tactileGraphics</t>
    </r>
    <r>
      <rPr>
        <sz val="11"/>
        <color theme="1"/>
        <rFont val="Calibri"/>
        <family val="2"/>
        <scheme val="minor"/>
      </rPr>
      <t xml:space="preserve"> - Tactile Graphics
</t>
    </r>
    <r>
      <rPr>
        <b/>
        <sz val="11"/>
        <color theme="1"/>
        <rFont val="Calibri"/>
        <family val="2"/>
        <scheme val="minor"/>
      </rPr>
      <t>tactileObject</t>
    </r>
    <r>
      <rPr>
        <sz val="11"/>
        <color theme="1"/>
        <rFont val="Calibri"/>
        <family val="2"/>
        <scheme val="minor"/>
      </rPr>
      <t xml:space="preserve"> - Tactile Object
</t>
    </r>
    <r>
      <rPr>
        <b/>
        <sz val="11"/>
        <color theme="1"/>
        <rFont val="Calibri"/>
        <family val="2"/>
        <scheme val="minor"/>
      </rPr>
      <t>transcript</t>
    </r>
    <r>
      <rPr>
        <sz val="11"/>
        <color theme="1"/>
        <rFont val="Calibri"/>
        <family val="2"/>
        <scheme val="minor"/>
      </rPr>
      <t xml:space="preserve"> - Transcript
</t>
    </r>
  </si>
  <si>
    <r>
      <t>AudioCD</t>
    </r>
    <r>
      <rPr>
        <sz val="11"/>
        <color theme="1"/>
        <rFont val="Calibri"/>
        <family val="2"/>
        <scheme val="minor"/>
      </rPr>
      <t xml:space="preserve"> - Audio CD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CD-I</t>
    </r>
    <r>
      <rPr>
        <sz val="11"/>
        <color theme="1"/>
        <rFont val="Calibri"/>
        <family val="2"/>
        <scheme val="minor"/>
      </rPr>
      <t xml:space="preserve"> - CD-I
</t>
    </r>
    <r>
      <rPr>
        <b/>
        <sz val="11"/>
        <color theme="1"/>
        <rFont val="Calibri"/>
        <family val="2"/>
        <scheme val="minor"/>
      </rPr>
      <t>CD-ROM</t>
    </r>
    <r>
      <rPr>
        <sz val="11"/>
        <color theme="1"/>
        <rFont val="Calibri"/>
        <family val="2"/>
        <scheme val="minor"/>
      </rPr>
      <t xml:space="preserve"> - CD-ROM
</t>
    </r>
    <r>
      <rPr>
        <b/>
        <sz val="11"/>
        <color theme="1"/>
        <rFont val="Calibri"/>
        <family val="2"/>
        <scheme val="minor"/>
      </rPr>
      <t>Diskette</t>
    </r>
    <r>
      <rPr>
        <sz val="11"/>
        <color theme="1"/>
        <rFont val="Calibri"/>
        <family val="2"/>
        <scheme val="minor"/>
      </rPr>
      <t xml:space="preserve"> - Diskette
</t>
    </r>
    <r>
      <rPr>
        <b/>
        <sz val="11"/>
        <color theme="1"/>
        <rFont val="Calibri"/>
        <family val="2"/>
        <scheme val="minor"/>
      </rPr>
      <t>DuplicationMaster</t>
    </r>
    <r>
      <rPr>
        <sz val="11"/>
        <color theme="1"/>
        <rFont val="Calibri"/>
        <family val="2"/>
        <scheme val="minor"/>
      </rPr>
      <t xml:space="preserve"> - Duplication Master
</t>
    </r>
    <r>
      <rPr>
        <b/>
        <sz val="11"/>
        <color theme="1"/>
        <rFont val="Calibri"/>
        <family val="2"/>
        <scheme val="minor"/>
      </rPr>
      <t>DVD</t>
    </r>
    <r>
      <rPr>
        <sz val="11"/>
        <color theme="1"/>
        <rFont val="Calibri"/>
        <family val="2"/>
        <scheme val="minor"/>
      </rPr>
      <t xml:space="preserve"> - DVD/ Blu-ray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ElectronicSlides</t>
    </r>
    <r>
      <rPr>
        <sz val="11"/>
        <color theme="1"/>
        <rFont val="Calibri"/>
        <family val="2"/>
        <scheme val="minor"/>
      </rPr>
      <t xml:space="preserve"> - Electronic Slides
</t>
    </r>
    <r>
      <rPr>
        <b/>
        <sz val="11"/>
        <color theme="1"/>
        <rFont val="Calibri"/>
        <family val="2"/>
        <scheme val="minor"/>
      </rPr>
      <t>FieldTrip</t>
    </r>
    <r>
      <rPr>
        <sz val="11"/>
        <color theme="1"/>
        <rFont val="Calibri"/>
        <family val="2"/>
        <scheme val="minor"/>
      </rPr>
      <t xml:space="preserve"> - Field Trip
</t>
    </r>
    <r>
      <rPr>
        <b/>
        <sz val="11"/>
        <color theme="1"/>
        <rFont val="Calibri"/>
        <family val="2"/>
        <scheme val="minor"/>
      </rPr>
      <t>Filmstrip</t>
    </r>
    <r>
      <rPr>
        <sz val="11"/>
        <color theme="1"/>
        <rFont val="Calibri"/>
        <family val="2"/>
        <scheme val="minor"/>
      </rPr>
      <t xml:space="preserve"> - Filmstrip
</t>
    </r>
    <r>
      <rPr>
        <b/>
        <sz val="11"/>
        <color theme="1"/>
        <rFont val="Calibri"/>
        <family val="2"/>
        <scheme val="minor"/>
      </rPr>
      <t>Flash</t>
    </r>
    <r>
      <rPr>
        <sz val="11"/>
        <color theme="1"/>
        <rFont val="Calibri"/>
        <family val="2"/>
        <scheme val="minor"/>
      </rPr>
      <t xml:space="preserve"> - Flash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In-Person</t>
    </r>
    <r>
      <rPr>
        <sz val="11"/>
        <color theme="1"/>
        <rFont val="Calibri"/>
        <family val="2"/>
        <scheme val="minor"/>
      </rPr>
      <t xml:space="preserve"> - In-Person/Speaker
</t>
    </r>
    <r>
      <rPr>
        <b/>
        <sz val="11"/>
        <color theme="1"/>
        <rFont val="Calibri"/>
        <family val="2"/>
        <scheme val="minor"/>
      </rPr>
      <t>InteractiveWhiteboard</t>
    </r>
    <r>
      <rPr>
        <sz val="11"/>
        <color theme="1"/>
        <rFont val="Calibri"/>
        <family val="2"/>
        <scheme val="minor"/>
      </rPr>
      <t xml:space="preserve"> - Interactive Whiteboard
</t>
    </r>
    <r>
      <rPr>
        <b/>
        <sz val="11"/>
        <color theme="1"/>
        <rFont val="Calibri"/>
        <family val="2"/>
        <scheme val="minor"/>
      </rPr>
      <t>Manipulative</t>
    </r>
    <r>
      <rPr>
        <sz val="11"/>
        <color theme="1"/>
        <rFont val="Calibri"/>
        <family val="2"/>
        <scheme val="minor"/>
      </rPr>
      <t xml:space="preserve"> - Manipulative
</t>
    </r>
    <r>
      <rPr>
        <b/>
        <sz val="11"/>
        <color theme="1"/>
        <rFont val="Calibri"/>
        <family val="2"/>
        <scheme val="minor"/>
      </rPr>
      <t>MBL</t>
    </r>
    <r>
      <rPr>
        <sz val="11"/>
        <color theme="1"/>
        <rFont val="Calibri"/>
        <family val="2"/>
        <scheme val="minor"/>
      </rPr>
      <t xml:space="preserve"> - MBL (Microcomputer Based)
</t>
    </r>
    <r>
      <rPr>
        <b/>
        <sz val="11"/>
        <color theme="1"/>
        <rFont val="Calibri"/>
        <family val="2"/>
        <scheme val="minor"/>
      </rPr>
      <t>Microfiche</t>
    </r>
    <r>
      <rPr>
        <sz val="11"/>
        <color theme="1"/>
        <rFont val="Calibri"/>
        <family val="2"/>
        <scheme val="minor"/>
      </rPr>
      <t xml:space="preserve"> - Microfiche
</t>
    </r>
    <r>
      <rPr>
        <b/>
        <sz val="11"/>
        <color theme="1"/>
        <rFont val="Calibri"/>
        <family val="2"/>
        <scheme val="minor"/>
      </rPr>
      <t>Overhead</t>
    </r>
    <r>
      <rPr>
        <sz val="11"/>
        <color theme="1"/>
        <rFont val="Calibri"/>
        <family val="2"/>
        <scheme val="minor"/>
      </rPr>
      <t xml:space="preserve"> - Overhead
</t>
    </r>
    <r>
      <rPr>
        <b/>
        <sz val="11"/>
        <color theme="1"/>
        <rFont val="Calibri"/>
        <family val="2"/>
        <scheme val="minor"/>
      </rPr>
      <t>Pamphlet</t>
    </r>
    <r>
      <rPr>
        <sz val="11"/>
        <color theme="1"/>
        <rFont val="Calibri"/>
        <family val="2"/>
        <scheme val="minor"/>
      </rPr>
      <t xml:space="preserve"> - Pamphlet
</t>
    </r>
    <r>
      <rPr>
        <b/>
        <sz val="11"/>
        <color theme="1"/>
        <rFont val="Calibri"/>
        <family val="2"/>
        <scheme val="minor"/>
      </rPr>
      <t>PDF</t>
    </r>
    <r>
      <rPr>
        <sz val="11"/>
        <color theme="1"/>
        <rFont val="Calibri"/>
        <family val="2"/>
        <scheme val="minor"/>
      </rPr>
      <t xml:space="preserve"> - PDF
</t>
    </r>
    <r>
      <rPr>
        <b/>
        <sz val="11"/>
        <color theme="1"/>
        <rFont val="Calibri"/>
        <family val="2"/>
        <scheme val="minor"/>
      </rPr>
      <t>Person-to-Person</t>
    </r>
    <r>
      <rPr>
        <sz val="11"/>
        <color theme="1"/>
        <rFont val="Calibri"/>
        <family val="2"/>
        <scheme val="minor"/>
      </rPr>
      <t xml:space="preserve"> - Person-to-Person
</t>
    </r>
    <r>
      <rPr>
        <b/>
        <sz val="11"/>
        <color theme="1"/>
        <rFont val="Calibri"/>
        <family val="2"/>
        <scheme val="minor"/>
      </rPr>
      <t>PhonographRecord</t>
    </r>
    <r>
      <rPr>
        <sz val="11"/>
        <color theme="1"/>
        <rFont val="Calibri"/>
        <family val="2"/>
        <scheme val="minor"/>
      </rPr>
      <t xml:space="preserve"> - Phonograph Record
</t>
    </r>
    <r>
      <rPr>
        <b/>
        <sz val="11"/>
        <color theme="1"/>
        <rFont val="Calibri"/>
        <family val="2"/>
        <scheme val="minor"/>
      </rPr>
      <t>Photo</t>
    </r>
    <r>
      <rPr>
        <sz val="11"/>
        <color theme="1"/>
        <rFont val="Calibri"/>
        <family val="2"/>
        <scheme val="minor"/>
      </rPr>
      <t xml:space="preserve"> - Photo
</t>
    </r>
    <r>
      <rPr>
        <b/>
        <sz val="11"/>
        <color theme="1"/>
        <rFont val="Calibri"/>
        <family val="2"/>
        <scheme val="minor"/>
      </rPr>
      <t>Podcast</t>
    </r>
    <r>
      <rPr>
        <sz val="11"/>
        <color theme="1"/>
        <rFont val="Calibri"/>
        <family val="2"/>
        <scheme val="minor"/>
      </rPr>
      <t xml:space="preserve"> - Podcast
</t>
    </r>
    <r>
      <rPr>
        <b/>
        <sz val="11"/>
        <color theme="1"/>
        <rFont val="Calibri"/>
        <family val="2"/>
        <scheme val="minor"/>
      </rPr>
      <t>Printed</t>
    </r>
    <r>
      <rPr>
        <sz val="11"/>
        <color theme="1"/>
        <rFont val="Calibri"/>
        <family val="2"/>
        <scheme val="minor"/>
      </rPr>
      <t xml:space="preserve"> - Printed
</t>
    </r>
    <r>
      <rPr>
        <b/>
        <sz val="11"/>
        <color theme="1"/>
        <rFont val="Calibri"/>
        <family val="2"/>
        <scheme val="minor"/>
      </rPr>
      <t>Radio</t>
    </r>
    <r>
      <rPr>
        <sz val="11"/>
        <color theme="1"/>
        <rFont val="Calibri"/>
        <family val="2"/>
        <scheme val="minor"/>
      </rPr>
      <t xml:space="preserve"> - Radio
</t>
    </r>
    <r>
      <rPr>
        <b/>
        <sz val="11"/>
        <color theme="1"/>
        <rFont val="Calibri"/>
        <family val="2"/>
        <scheme val="minor"/>
      </rPr>
      <t>Robotics</t>
    </r>
    <r>
      <rPr>
        <sz val="11"/>
        <color theme="1"/>
        <rFont val="Calibri"/>
        <family val="2"/>
        <scheme val="minor"/>
      </rPr>
      <t xml:space="preserve"> - Robotics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Slides</t>
    </r>
    <r>
      <rPr>
        <sz val="11"/>
        <color theme="1"/>
        <rFont val="Calibri"/>
        <family val="2"/>
        <scheme val="minor"/>
      </rPr>
      <t xml:space="preserve"> - Slides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Transparency</t>
    </r>
    <r>
      <rPr>
        <sz val="11"/>
        <color theme="1"/>
        <rFont val="Calibri"/>
        <family val="2"/>
        <scheme val="minor"/>
      </rPr>
      <t xml:space="preserve"> - Transparency
</t>
    </r>
    <r>
      <rPr>
        <b/>
        <sz val="11"/>
        <color theme="1"/>
        <rFont val="Calibri"/>
        <family val="2"/>
        <scheme val="minor"/>
      </rPr>
      <t>VideoConference</t>
    </r>
    <r>
      <rPr>
        <sz val="11"/>
        <color theme="1"/>
        <rFont val="Calibri"/>
        <family val="2"/>
        <scheme val="minor"/>
      </rPr>
      <t xml:space="preserve"> - Video Conference
</t>
    </r>
    <r>
      <rPr>
        <b/>
        <sz val="11"/>
        <color theme="1"/>
        <rFont val="Calibri"/>
        <family val="2"/>
        <scheme val="minor"/>
      </rPr>
      <t>Videodisc</t>
    </r>
    <r>
      <rPr>
        <sz val="11"/>
        <color theme="1"/>
        <rFont val="Calibri"/>
        <family val="2"/>
        <scheme val="minor"/>
      </rPr>
      <t xml:space="preserve"> - Videodisc
</t>
    </r>
  </si>
  <si>
    <r>
      <t>AlternateAssessment</t>
    </r>
    <r>
      <rPr>
        <sz val="11"/>
        <color theme="1"/>
        <rFont val="Calibri"/>
        <family val="2"/>
        <scheme val="minor"/>
      </rPr>
      <t xml:space="preserve"> - Alternate Assessment
</t>
    </r>
    <r>
      <rPr>
        <b/>
        <sz val="11"/>
        <color theme="1"/>
        <rFont val="Calibri"/>
        <family val="2"/>
        <scheme val="minor"/>
      </rPr>
      <t>AssessmentItem</t>
    </r>
    <r>
      <rPr>
        <sz val="11"/>
        <color theme="1"/>
        <rFont val="Calibri"/>
        <family val="2"/>
        <scheme val="minor"/>
      </rPr>
      <t xml:space="preserve"> - Assessment Item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DemonstrationSimulation</t>
    </r>
    <r>
      <rPr>
        <sz val="11"/>
        <color theme="1"/>
        <rFont val="Calibri"/>
        <family val="2"/>
        <scheme val="minor"/>
      </rPr>
      <t xml:space="preserve"> - Demonstration/Simulation
</t>
    </r>
    <r>
      <rPr>
        <b/>
        <sz val="11"/>
        <color theme="1"/>
        <rFont val="Calibri"/>
        <family val="2"/>
        <scheme val="minor"/>
      </rPr>
      <t>EducatorCurriculumGuide</t>
    </r>
    <r>
      <rPr>
        <sz val="11"/>
        <color theme="1"/>
        <rFont val="Calibri"/>
        <family val="2"/>
        <scheme val="minor"/>
      </rPr>
      <t xml:space="preserve"> - Educator/Curriculum Guide
</t>
    </r>
    <r>
      <rPr>
        <b/>
        <sz val="11"/>
        <color theme="1"/>
        <rFont val="Calibri"/>
        <family val="2"/>
        <scheme val="minor"/>
      </rPr>
      <t>FormativeAssessment</t>
    </r>
    <r>
      <rPr>
        <sz val="11"/>
        <color theme="1"/>
        <rFont val="Calibri"/>
        <family val="2"/>
        <scheme val="minor"/>
      </rPr>
      <t xml:space="preserve"> - Formative assessment
</t>
    </r>
    <r>
      <rPr>
        <b/>
        <sz val="11"/>
        <color theme="1"/>
        <rFont val="Calibri"/>
        <family val="2"/>
        <scheme val="minor"/>
      </rPr>
      <t>ImagesVisuals</t>
    </r>
    <r>
      <rPr>
        <sz val="11"/>
        <color theme="1"/>
        <rFont val="Calibri"/>
        <family val="2"/>
        <scheme val="minor"/>
      </rPr>
      <t xml:space="preserve"> - Images/Visuals
</t>
    </r>
    <r>
      <rPr>
        <b/>
        <sz val="11"/>
        <color theme="1"/>
        <rFont val="Calibri"/>
        <family val="2"/>
        <scheme val="minor"/>
      </rPr>
      <t>InterimSummativeAssessment</t>
    </r>
    <r>
      <rPr>
        <sz val="11"/>
        <color theme="1"/>
        <rFont val="Calibri"/>
        <family val="2"/>
        <scheme val="minor"/>
      </rPr>
      <t xml:space="preserve"> - Interim/Summative Assessment
</t>
    </r>
    <r>
      <rPr>
        <b/>
        <sz val="11"/>
        <color theme="1"/>
        <rFont val="Calibri"/>
        <family val="2"/>
        <scheme val="minor"/>
      </rPr>
      <t>LearningActivity</t>
    </r>
    <r>
      <rPr>
        <sz val="11"/>
        <color theme="1"/>
        <rFont val="Calibri"/>
        <family val="2"/>
        <scheme val="minor"/>
      </rPr>
      <t xml:space="preserve"> - Learning Activity
</t>
    </r>
    <r>
      <rPr>
        <b/>
        <sz val="11"/>
        <color theme="1"/>
        <rFont val="Calibri"/>
        <family val="2"/>
        <scheme val="minor"/>
      </rPr>
      <t>Lesson</t>
    </r>
    <r>
      <rPr>
        <sz val="11"/>
        <color theme="1"/>
        <rFont val="Calibri"/>
        <family val="2"/>
        <scheme val="minor"/>
      </rPr>
      <t xml:space="preserve"> - Lesson
</t>
    </r>
    <r>
      <rPr>
        <b/>
        <sz val="11"/>
        <color theme="1"/>
        <rFont val="Calibri"/>
        <family val="2"/>
        <scheme val="minor"/>
      </rPr>
      <t>PrimarySource</t>
    </r>
    <r>
      <rPr>
        <sz val="11"/>
        <color theme="1"/>
        <rFont val="Calibri"/>
        <family val="2"/>
        <scheme val="minor"/>
      </rPr>
      <t xml:space="preserve"> - Primary Source
</t>
    </r>
    <r>
      <rPr>
        <b/>
        <sz val="11"/>
        <color theme="1"/>
        <rFont val="Calibri"/>
        <family val="2"/>
        <scheme val="minor"/>
      </rPr>
      <t>RubricScoringGuide</t>
    </r>
    <r>
      <rPr>
        <sz val="11"/>
        <color theme="1"/>
        <rFont val="Calibri"/>
        <family val="2"/>
        <scheme val="minor"/>
      </rPr>
      <t xml:space="preserve"> - Rubric/Scoring Guide
</t>
    </r>
    <r>
      <rPr>
        <b/>
        <sz val="11"/>
        <color theme="1"/>
        <rFont val="Calibri"/>
        <family val="2"/>
        <scheme val="minor"/>
      </rPr>
      <t>SelfAssessment</t>
    </r>
    <r>
      <rPr>
        <sz val="11"/>
        <color theme="1"/>
        <rFont val="Calibri"/>
        <family val="2"/>
        <scheme val="minor"/>
      </rPr>
      <t xml:space="preserve"> - Self Assessment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Textbook</t>
    </r>
    <r>
      <rPr>
        <sz val="11"/>
        <color theme="1"/>
        <rFont val="Calibri"/>
        <family val="2"/>
        <scheme val="minor"/>
      </rPr>
      <t xml:space="preserve"> - Textbook
</t>
    </r>
    <r>
      <rPr>
        <b/>
        <sz val="11"/>
        <color theme="1"/>
        <rFont val="Calibri"/>
        <family val="2"/>
        <scheme val="minor"/>
      </rPr>
      <t>Unit</t>
    </r>
    <r>
      <rPr>
        <sz val="11"/>
        <color theme="1"/>
        <rFont val="Calibri"/>
        <family val="2"/>
        <scheme val="minor"/>
      </rPr>
      <t xml:space="preserve"> - Unit
</t>
    </r>
    <r>
      <rPr>
        <b/>
        <sz val="11"/>
        <color theme="1"/>
        <rFont val="Calibri"/>
        <family val="2"/>
        <scheme val="minor"/>
      </rPr>
      <t>Other</t>
    </r>
    <r>
      <rPr>
        <sz val="11"/>
        <color theme="1"/>
        <rFont val="Calibri"/>
        <family val="2"/>
        <scheme val="minor"/>
      </rPr>
      <t xml:space="preserve"> - Other
</t>
    </r>
  </si>
  <si>
    <r>
      <t>Adopted</t>
    </r>
    <r>
      <rPr>
        <sz val="11"/>
        <color theme="1"/>
        <rFont val="Calibri"/>
        <family val="2"/>
        <scheme val="minor"/>
      </rPr>
      <t xml:space="preserve"> - Adopted
</t>
    </r>
    <r>
      <rPr>
        <b/>
        <sz val="11"/>
        <color theme="1"/>
        <rFont val="Calibri"/>
        <family val="2"/>
        <scheme val="minor"/>
      </rPr>
      <t>Draft</t>
    </r>
    <r>
      <rPr>
        <sz val="11"/>
        <color theme="1"/>
        <rFont val="Calibri"/>
        <family val="2"/>
        <scheme val="minor"/>
      </rPr>
      <t xml:space="preserve"> - Draft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Unknown</t>
    </r>
    <r>
      <rPr>
        <sz val="11"/>
        <color theme="1"/>
        <rFont val="Calibri"/>
        <family val="2"/>
        <scheme val="minor"/>
      </rPr>
      <t xml:space="preserve"> - Unknown
</t>
    </r>
  </si>
  <si>
    <r>
      <t>Prerequisite</t>
    </r>
    <r>
      <rPr>
        <sz val="11"/>
        <color theme="1"/>
        <rFont val="Calibri"/>
        <family val="2"/>
        <scheme val="minor"/>
      </rPr>
      <t xml:space="preserve"> - Prerequisite
</t>
    </r>
    <r>
      <rPr>
        <b/>
        <sz val="11"/>
        <color theme="1"/>
        <rFont val="Calibri"/>
        <family val="2"/>
        <scheme val="minor"/>
      </rPr>
      <t>ConformsTo</t>
    </r>
    <r>
      <rPr>
        <sz val="11"/>
        <color theme="1"/>
        <rFont val="Calibri"/>
        <family val="2"/>
        <scheme val="minor"/>
      </rPr>
      <t xml:space="preserve"> - Conforms To
</t>
    </r>
    <r>
      <rPr>
        <b/>
        <sz val="11"/>
        <color theme="1"/>
        <rFont val="Calibri"/>
        <family val="2"/>
        <scheme val="minor"/>
      </rPr>
      <t>Defines</t>
    </r>
    <r>
      <rPr>
        <sz val="11"/>
        <color theme="1"/>
        <rFont val="Calibri"/>
        <family val="2"/>
        <scheme val="minor"/>
      </rPr>
      <t xml:space="preserve"> - Defines
</t>
    </r>
    <r>
      <rPr>
        <b/>
        <sz val="11"/>
        <color theme="1"/>
        <rFont val="Calibri"/>
        <family val="2"/>
        <scheme val="minor"/>
      </rPr>
      <t>HasFormat</t>
    </r>
    <r>
      <rPr>
        <sz val="11"/>
        <color theme="1"/>
        <rFont val="Calibri"/>
        <family val="2"/>
        <scheme val="minor"/>
      </rPr>
      <t xml:space="preserve"> - Has Format
</t>
    </r>
    <r>
      <rPr>
        <b/>
        <sz val="11"/>
        <color theme="1"/>
        <rFont val="Calibri"/>
        <family val="2"/>
        <scheme val="minor"/>
      </rPr>
      <t>HasPart</t>
    </r>
    <r>
      <rPr>
        <sz val="11"/>
        <color theme="1"/>
        <rFont val="Calibri"/>
        <family val="2"/>
        <scheme val="minor"/>
      </rPr>
      <t xml:space="preserve"> - Has Part
</t>
    </r>
    <r>
      <rPr>
        <b/>
        <sz val="11"/>
        <color theme="1"/>
        <rFont val="Calibri"/>
        <family val="2"/>
        <scheme val="minor"/>
      </rPr>
      <t>HasVersion</t>
    </r>
    <r>
      <rPr>
        <sz val="11"/>
        <color theme="1"/>
        <rFont val="Calibri"/>
        <family val="2"/>
        <scheme val="minor"/>
      </rPr>
      <t xml:space="preserve"> - Has Version
</t>
    </r>
    <r>
      <rPr>
        <b/>
        <sz val="11"/>
        <color theme="1"/>
        <rFont val="Calibri"/>
        <family val="2"/>
        <scheme val="minor"/>
      </rPr>
      <t>IsAssessedBy</t>
    </r>
    <r>
      <rPr>
        <sz val="11"/>
        <color theme="1"/>
        <rFont val="Calibri"/>
        <family val="2"/>
        <scheme val="minor"/>
      </rPr>
      <t xml:space="preserve"> - Is Assessed By
</t>
    </r>
    <r>
      <rPr>
        <b/>
        <sz val="11"/>
        <color theme="1"/>
        <rFont val="Calibri"/>
        <family val="2"/>
        <scheme val="minor"/>
      </rPr>
      <t>IsConformedTo</t>
    </r>
    <r>
      <rPr>
        <sz val="11"/>
        <color theme="1"/>
        <rFont val="Calibri"/>
        <family val="2"/>
        <scheme val="minor"/>
      </rPr>
      <t xml:space="preserve"> - Is Conformed To
</t>
    </r>
    <r>
      <rPr>
        <b/>
        <sz val="11"/>
        <color theme="1"/>
        <rFont val="Calibri"/>
        <family val="2"/>
        <scheme val="minor"/>
      </rPr>
      <t>IsDefinedBy</t>
    </r>
    <r>
      <rPr>
        <sz val="11"/>
        <color theme="1"/>
        <rFont val="Calibri"/>
        <family val="2"/>
        <scheme val="minor"/>
      </rPr>
      <t xml:space="preserve"> - Is Defined By
</t>
    </r>
    <r>
      <rPr>
        <b/>
        <sz val="11"/>
        <color theme="1"/>
        <rFont val="Calibri"/>
        <family val="2"/>
        <scheme val="minor"/>
      </rPr>
      <t>FormatOf</t>
    </r>
    <r>
      <rPr>
        <sz val="11"/>
        <color theme="1"/>
        <rFont val="Calibri"/>
        <family val="2"/>
        <scheme val="minor"/>
      </rPr>
      <t xml:space="preserve"> - Is Format of
</t>
    </r>
    <r>
      <rPr>
        <b/>
        <sz val="11"/>
        <color theme="1"/>
        <rFont val="Calibri"/>
        <family val="2"/>
        <scheme val="minor"/>
      </rPr>
      <t>IsPartOf</t>
    </r>
    <r>
      <rPr>
        <sz val="11"/>
        <color theme="1"/>
        <rFont val="Calibri"/>
        <family val="2"/>
        <scheme val="minor"/>
      </rPr>
      <t xml:space="preserve"> - Is Part Of
</t>
    </r>
    <r>
      <rPr>
        <b/>
        <sz val="11"/>
        <color theme="1"/>
        <rFont val="Calibri"/>
        <family val="2"/>
        <scheme val="minor"/>
      </rPr>
      <t>IsPrerequisiteTo</t>
    </r>
    <r>
      <rPr>
        <sz val="11"/>
        <color theme="1"/>
        <rFont val="Calibri"/>
        <family val="2"/>
        <scheme val="minor"/>
      </rPr>
      <t xml:space="preserve"> - Is Prerequisite To
</t>
    </r>
    <r>
      <rPr>
        <b/>
        <sz val="11"/>
        <color theme="1"/>
        <rFont val="Calibri"/>
        <family val="2"/>
        <scheme val="minor"/>
      </rPr>
      <t>ReferencedBy</t>
    </r>
    <r>
      <rPr>
        <sz val="11"/>
        <color theme="1"/>
        <rFont val="Calibri"/>
        <family val="2"/>
        <scheme val="minor"/>
      </rPr>
      <t xml:space="preserve"> - Is Referenced By
</t>
    </r>
    <r>
      <rPr>
        <b/>
        <sz val="11"/>
        <color theme="1"/>
        <rFont val="Calibri"/>
        <family val="2"/>
        <scheme val="minor"/>
      </rPr>
      <t>ReplacedBy</t>
    </r>
    <r>
      <rPr>
        <sz val="11"/>
        <color theme="1"/>
        <rFont val="Calibri"/>
        <family val="2"/>
        <scheme val="minor"/>
      </rPr>
      <t xml:space="preserve"> - Is Replaced By
</t>
    </r>
    <r>
      <rPr>
        <b/>
        <sz val="11"/>
        <color theme="1"/>
        <rFont val="Calibri"/>
        <family val="2"/>
        <scheme val="minor"/>
      </rPr>
      <t>RequiredBy</t>
    </r>
    <r>
      <rPr>
        <sz val="11"/>
        <color theme="1"/>
        <rFont val="Calibri"/>
        <family val="2"/>
        <scheme val="minor"/>
      </rPr>
      <t xml:space="preserve"> - Is Required By
</t>
    </r>
    <r>
      <rPr>
        <b/>
        <sz val="11"/>
        <color theme="1"/>
        <rFont val="Calibri"/>
        <family val="2"/>
        <scheme val="minor"/>
      </rPr>
      <t>IsTaughtBy</t>
    </r>
    <r>
      <rPr>
        <sz val="11"/>
        <color theme="1"/>
        <rFont val="Calibri"/>
        <family val="2"/>
        <scheme val="minor"/>
      </rPr>
      <t xml:space="preserve"> - Is Taught By
</t>
    </r>
    <r>
      <rPr>
        <b/>
        <sz val="11"/>
        <color theme="1"/>
        <rFont val="Calibri"/>
        <family val="2"/>
        <scheme val="minor"/>
      </rPr>
      <t>VersionOf</t>
    </r>
    <r>
      <rPr>
        <sz val="11"/>
        <color theme="1"/>
        <rFont val="Calibri"/>
        <family val="2"/>
        <scheme val="minor"/>
      </rPr>
      <t xml:space="preserve"> - Is Version Of
</t>
    </r>
    <r>
      <rPr>
        <b/>
        <sz val="11"/>
        <color theme="1"/>
        <rFont val="Calibri"/>
        <family val="2"/>
        <scheme val="minor"/>
      </rPr>
      <t>Referenced</t>
    </r>
    <r>
      <rPr>
        <sz val="11"/>
        <color theme="1"/>
        <rFont val="Calibri"/>
        <family val="2"/>
        <scheme val="minor"/>
      </rPr>
      <t xml:space="preserve"> - Referenced
</t>
    </r>
    <r>
      <rPr>
        <b/>
        <sz val="11"/>
        <color theme="1"/>
        <rFont val="Calibri"/>
        <family val="2"/>
        <scheme val="minor"/>
      </rP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ComplexityLevel</t>
    </r>
    <r>
      <rPr>
        <sz val="11"/>
        <color theme="1"/>
        <rFont val="Calibri"/>
        <family val="2"/>
        <scheme val="minor"/>
      </rPr>
      <t xml:space="preserve"> - Complexity Level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r>
      <rPr>
        <b/>
        <sz val="11"/>
        <color theme="1"/>
        <rFont val="Calibri"/>
        <family val="2"/>
        <scheme val="minor"/>
      </rPr>
      <t>Precedes</t>
    </r>
    <r>
      <rPr>
        <sz val="11"/>
        <color theme="1"/>
        <rFont val="Calibri"/>
        <family val="2"/>
        <scheme val="minor"/>
      </rPr>
      <t xml:space="preserve"> - Precedes
</t>
    </r>
    <r>
      <rPr>
        <b/>
        <sz val="11"/>
        <color theme="1"/>
        <rFont val="Calibri"/>
        <family val="2"/>
        <scheme val="minor"/>
      </rPr>
      <t>Follows</t>
    </r>
    <r>
      <rPr>
        <sz val="11"/>
        <color theme="1"/>
        <rFont val="Calibri"/>
        <family val="2"/>
        <scheme val="minor"/>
      </rPr>
      <t xml:space="preserve"> - Follows
</t>
    </r>
    <r>
      <rPr>
        <b/>
        <sz val="11"/>
        <color theme="1"/>
        <rFont val="Calibri"/>
        <family val="2"/>
        <scheme val="minor"/>
      </rPr>
      <t>IsConcurrentTo</t>
    </r>
    <r>
      <rPr>
        <sz val="11"/>
        <color theme="1"/>
        <rFont val="Calibri"/>
        <family val="2"/>
        <scheme val="minor"/>
      </rPr>
      <t xml:space="preserve"> - Is Concurrent To
</t>
    </r>
  </si>
  <si>
    <r>
      <t>Cognitive</t>
    </r>
    <r>
      <rPr>
        <sz val="11"/>
        <color theme="1"/>
        <rFont val="Calibri"/>
        <family val="2"/>
        <scheme val="minor"/>
      </rPr>
      <t xml:space="preserve"> - Cognitive
</t>
    </r>
    <r>
      <rPr>
        <b/>
        <sz val="11"/>
        <color theme="1"/>
        <rFont val="Calibri"/>
        <family val="2"/>
        <scheme val="minor"/>
      </rPr>
      <t>Affective</t>
    </r>
    <r>
      <rPr>
        <sz val="11"/>
        <color theme="1"/>
        <rFont val="Calibri"/>
        <family val="2"/>
        <scheme val="minor"/>
      </rPr>
      <t xml:space="preserve"> - Affective
</t>
    </r>
    <r>
      <rPr>
        <b/>
        <sz val="11"/>
        <color theme="1"/>
        <rFont val="Calibri"/>
        <family val="2"/>
        <scheme val="minor"/>
      </rPr>
      <t>Psychomotor</t>
    </r>
    <r>
      <rPr>
        <sz val="11"/>
        <color theme="1"/>
        <rFont val="Calibri"/>
        <family val="2"/>
        <scheme val="minor"/>
      </rPr>
      <t xml:space="preserve"> - Psychomotor
</t>
    </r>
  </si>
  <si>
    <r>
      <t>Linguistic</t>
    </r>
    <r>
      <rPr>
        <sz val="11"/>
        <color theme="1"/>
        <rFont val="Calibri"/>
        <family val="2"/>
        <scheme val="minor"/>
      </rPr>
      <t xml:space="preserve"> - Linguistic
</t>
    </r>
    <r>
      <rPr>
        <b/>
        <sz val="11"/>
        <color theme="1"/>
        <rFont val="Calibri"/>
        <family val="2"/>
        <scheme val="minor"/>
      </rPr>
      <t>Logic-mathematical</t>
    </r>
    <r>
      <rPr>
        <sz val="11"/>
        <color theme="1"/>
        <rFont val="Calibri"/>
        <family val="2"/>
        <scheme val="minor"/>
      </rPr>
      <t xml:space="preserve"> - Logic-mathematical
</t>
    </r>
    <r>
      <rPr>
        <b/>
        <sz val="11"/>
        <color theme="1"/>
        <rFont val="Calibri"/>
        <family val="2"/>
        <scheme val="minor"/>
      </rPr>
      <t>Musical</t>
    </r>
    <r>
      <rPr>
        <sz val="11"/>
        <color theme="1"/>
        <rFont val="Calibri"/>
        <family val="2"/>
        <scheme val="minor"/>
      </rPr>
      <t xml:space="preserve"> - Musical
</t>
    </r>
    <r>
      <rPr>
        <b/>
        <sz val="11"/>
        <color theme="1"/>
        <rFont val="Calibri"/>
        <family val="2"/>
        <scheme val="minor"/>
      </rPr>
      <t>Spatial</t>
    </r>
    <r>
      <rPr>
        <sz val="11"/>
        <color theme="1"/>
        <rFont val="Calibri"/>
        <family val="2"/>
        <scheme val="minor"/>
      </rPr>
      <t xml:space="preserve"> - Spatial
</t>
    </r>
    <r>
      <rPr>
        <b/>
        <sz val="11"/>
        <color theme="1"/>
        <rFont val="Calibri"/>
        <family val="2"/>
        <scheme val="minor"/>
      </rPr>
      <t>BodilyKinesthetic</t>
    </r>
    <r>
      <rPr>
        <sz val="11"/>
        <color theme="1"/>
        <rFont val="Calibri"/>
        <family val="2"/>
        <scheme val="minor"/>
      </rPr>
      <t xml:space="preserve"> - Bodily/kinesthetic
</t>
    </r>
    <r>
      <rPr>
        <b/>
        <sz val="11"/>
        <color theme="1"/>
        <rFont val="Calibri"/>
        <family val="2"/>
        <scheme val="minor"/>
      </rPr>
      <t>Interpersonal</t>
    </r>
    <r>
      <rPr>
        <sz val="11"/>
        <color theme="1"/>
        <rFont val="Calibri"/>
        <family val="2"/>
        <scheme val="minor"/>
      </rPr>
      <t xml:space="preserve"> - Interpersonal
</t>
    </r>
    <r>
      <rPr>
        <b/>
        <sz val="11"/>
        <color theme="1"/>
        <rFont val="Calibri"/>
        <family val="2"/>
        <scheme val="minor"/>
      </rPr>
      <t>Intrapersonal</t>
    </r>
    <r>
      <rPr>
        <sz val="11"/>
        <color theme="1"/>
        <rFont val="Calibri"/>
        <family val="2"/>
        <scheme val="minor"/>
      </rPr>
      <t xml:space="preserve"> - Intrapersonal
</t>
    </r>
    <r>
      <rPr>
        <b/>
        <sz val="11"/>
        <color theme="1"/>
        <rFont val="Calibri"/>
        <family val="2"/>
        <scheme val="minor"/>
      </rPr>
      <t>Naturalistic</t>
    </r>
    <r>
      <rPr>
        <sz val="11"/>
        <color theme="1"/>
        <rFont val="Calibri"/>
        <family val="2"/>
        <scheme val="minor"/>
      </rPr>
      <t xml:space="preserve"> - Naturalistic
</t>
    </r>
  </si>
  <si>
    <r>
      <t>Vision</t>
    </r>
    <r>
      <rPr>
        <sz val="11"/>
        <color theme="1"/>
        <rFont val="Calibri"/>
        <family val="2"/>
        <scheme val="minor"/>
      </rPr>
      <t xml:space="preserve"> - Vision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Mobility</t>
    </r>
    <r>
      <rPr>
        <sz val="11"/>
        <color theme="1"/>
        <rFont val="Calibri"/>
        <family val="2"/>
        <scheme val="minor"/>
      </rPr>
      <t xml:space="preserve"> - Mobility
</t>
    </r>
    <r>
      <rPr>
        <b/>
        <sz val="11"/>
        <color theme="1"/>
        <rFont val="Calibri"/>
        <family val="2"/>
        <scheme val="minor"/>
      </rPr>
      <t>General</t>
    </r>
    <r>
      <rPr>
        <sz val="11"/>
        <color theme="1"/>
        <rFont val="Calibri"/>
        <family val="2"/>
        <scheme val="minor"/>
      </rPr>
      <t xml:space="preserve"> - General
</t>
    </r>
  </si>
  <si>
    <r>
      <t>SingleIndicator</t>
    </r>
    <r>
      <rPr>
        <sz val="11"/>
        <color theme="1"/>
        <rFont val="Calibri"/>
        <family val="2"/>
        <scheme val="minor"/>
      </rPr>
      <t xml:space="preserve"> - Single Indicator
</t>
    </r>
    <r>
      <rPr>
        <b/>
        <sz val="11"/>
        <color theme="1"/>
        <rFont val="Calibri"/>
        <family val="2"/>
        <scheme val="minor"/>
      </rPr>
      <t>MultipleIndicator</t>
    </r>
    <r>
      <rPr>
        <sz val="11"/>
        <color theme="1"/>
        <rFont val="Calibri"/>
        <family val="2"/>
        <scheme val="minor"/>
      </rPr>
      <t xml:space="preserve"> - Multiple Indicator
</t>
    </r>
    <r>
      <rPr>
        <b/>
        <sz val="11"/>
        <color theme="1"/>
        <rFont val="Calibri"/>
        <family val="2"/>
        <scheme val="minor"/>
      </rPr>
      <t>MultipleCompetency</t>
    </r>
    <r>
      <rPr>
        <sz val="11"/>
        <color theme="1"/>
        <rFont val="Calibri"/>
        <family val="2"/>
        <scheme val="minor"/>
      </rPr>
      <t xml:space="preserve"> - Multiple Competency
</t>
    </r>
    <r>
      <rPr>
        <b/>
        <sz val="11"/>
        <color theme="1"/>
        <rFont val="Calibri"/>
        <family val="2"/>
        <scheme val="minor"/>
      </rPr>
      <t>CannotBeAssessed</t>
    </r>
    <r>
      <rPr>
        <sz val="11"/>
        <color theme="1"/>
        <rFont val="Calibri"/>
        <family val="2"/>
        <scheme val="minor"/>
      </rPr>
      <t xml:space="preserve"> - Cannot be assessed
</t>
    </r>
  </si>
  <si>
    <r>
      <t>Administrative</t>
    </r>
    <r>
      <rPr>
        <sz val="11"/>
        <color theme="1"/>
        <rFont val="Calibri"/>
        <family val="2"/>
        <scheme val="minor"/>
      </rPr>
      <t xml:space="preserve"> - Administrative
</t>
    </r>
    <r>
      <rPr>
        <b/>
        <sz val="11"/>
        <color theme="1"/>
        <rFont val="Calibri"/>
        <family val="2"/>
        <scheme val="minor"/>
      </rPr>
      <t>AnnualLeave</t>
    </r>
    <r>
      <rPr>
        <sz val="11"/>
        <color theme="1"/>
        <rFont val="Calibri"/>
        <family val="2"/>
        <scheme val="minor"/>
      </rPr>
      <t xml:space="preserve"> - Annual leave
</t>
    </r>
    <r>
      <rPr>
        <b/>
        <sz val="11"/>
        <color theme="1"/>
        <rFont val="Calibri"/>
        <family val="2"/>
        <scheme val="minor"/>
      </rPr>
      <t>Bereavement</t>
    </r>
    <r>
      <rPr>
        <sz val="11"/>
        <color theme="1"/>
        <rFont val="Calibri"/>
        <family val="2"/>
        <scheme val="minor"/>
      </rPr>
      <t xml:space="preserve"> - Bereavement
</t>
    </r>
    <r>
      <rPr>
        <b/>
        <sz val="11"/>
        <color theme="1"/>
        <rFont val="Calibri"/>
        <family val="2"/>
        <scheme val="minor"/>
      </rPr>
      <t>CompensatoryLeaveTime</t>
    </r>
    <r>
      <rPr>
        <sz val="11"/>
        <color theme="1"/>
        <rFont val="Calibri"/>
        <family val="2"/>
        <scheme val="minor"/>
      </rPr>
      <t xml:space="preserve"> - Compensatory leave time
</t>
    </r>
    <r>
      <rPr>
        <b/>
        <sz val="11"/>
        <color theme="1"/>
        <rFont val="Calibri"/>
        <family val="2"/>
        <scheme val="minor"/>
      </rPr>
      <t>FamilyAndMedicalLeave</t>
    </r>
    <r>
      <rPr>
        <sz val="11"/>
        <color theme="1"/>
        <rFont val="Calibri"/>
        <family val="2"/>
        <scheme val="minor"/>
      </rPr>
      <t xml:space="preserve"> - Family and medical leave
</t>
    </r>
    <r>
      <rPr>
        <b/>
        <sz val="11"/>
        <color theme="1"/>
        <rFont val="Calibri"/>
        <family val="2"/>
        <scheme val="minor"/>
      </rPr>
      <t>FlexTime</t>
    </r>
    <r>
      <rPr>
        <sz val="11"/>
        <color theme="1"/>
        <rFont val="Calibri"/>
        <family val="2"/>
        <scheme val="minor"/>
      </rPr>
      <t xml:space="preserve"> - Flex time
</t>
    </r>
    <r>
      <rPr>
        <b/>
        <sz val="11"/>
        <color theme="1"/>
        <rFont val="Calibri"/>
        <family val="2"/>
        <scheme val="minor"/>
      </rPr>
      <t>GovernmentRequested</t>
    </r>
    <r>
      <rPr>
        <sz val="11"/>
        <color theme="1"/>
        <rFont val="Calibri"/>
        <family val="2"/>
        <scheme val="minor"/>
      </rPr>
      <t xml:space="preserve"> - Government-requested
</t>
    </r>
    <r>
      <rPr>
        <b/>
        <sz val="11"/>
        <color theme="1"/>
        <rFont val="Calibri"/>
        <family val="2"/>
        <scheme val="minor"/>
      </rPr>
      <t>JuryDuty</t>
    </r>
    <r>
      <rPr>
        <sz val="11"/>
        <color theme="1"/>
        <rFont val="Calibri"/>
        <family val="2"/>
        <scheme val="minor"/>
      </rPr>
      <t xml:space="preserve"> - Jury Duty
</t>
    </r>
    <r>
      <rPr>
        <b/>
        <sz val="11"/>
        <color theme="1"/>
        <rFont val="Calibri"/>
        <family val="2"/>
        <scheme val="minor"/>
      </rPr>
      <t>MilitaryLeave</t>
    </r>
    <r>
      <rPr>
        <sz val="11"/>
        <color theme="1"/>
        <rFont val="Calibri"/>
        <family val="2"/>
        <scheme val="minor"/>
      </rPr>
      <t xml:space="preserve"> - Military leave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Personal</t>
    </r>
    <r>
      <rPr>
        <sz val="11"/>
        <color theme="1"/>
        <rFont val="Calibri"/>
        <family val="2"/>
        <scheme val="minor"/>
      </rPr>
      <t xml:space="preserve"> - Personal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ReleaseTime</t>
    </r>
    <r>
      <rPr>
        <sz val="11"/>
        <color theme="1"/>
        <rFont val="Calibri"/>
        <family val="2"/>
        <scheme val="minor"/>
      </rPr>
      <t xml:space="preserve"> - Release time
</t>
    </r>
    <r>
      <rPr>
        <b/>
        <sz val="11"/>
        <color theme="1"/>
        <rFont val="Calibri"/>
        <family val="2"/>
        <scheme val="minor"/>
      </rPr>
      <t>SabbaticalLeave</t>
    </r>
    <r>
      <rPr>
        <sz val="11"/>
        <color theme="1"/>
        <rFont val="Calibri"/>
        <family val="2"/>
        <scheme val="minor"/>
      </rPr>
      <t xml:space="preserve"> - Sabbatical leave
</t>
    </r>
    <r>
      <rPr>
        <b/>
        <sz val="11"/>
        <color theme="1"/>
        <rFont val="Calibri"/>
        <family val="2"/>
        <scheme val="minor"/>
      </rPr>
      <t>SickLeave</t>
    </r>
    <r>
      <rPr>
        <sz val="11"/>
        <color theme="1"/>
        <rFont val="Calibri"/>
        <family val="2"/>
        <scheme val="minor"/>
      </rPr>
      <t xml:space="preserve"> - Sick leave
</t>
    </r>
    <r>
      <rPr>
        <b/>
        <sz val="11"/>
        <color theme="1"/>
        <rFont val="Calibri"/>
        <family val="2"/>
        <scheme val="minor"/>
      </rPr>
      <t>Suspension</t>
    </r>
    <r>
      <rPr>
        <sz val="11"/>
        <color theme="1"/>
        <rFont val="Calibri"/>
        <family val="2"/>
        <scheme val="minor"/>
      </rPr>
      <t xml:space="preserve"> - Suspension
</t>
    </r>
    <r>
      <rPr>
        <b/>
        <sz val="11"/>
        <color theme="1"/>
        <rFont val="Calibri"/>
        <family val="2"/>
        <scheme val="minor"/>
      </rPr>
      <t>WorkersCompensation</t>
    </r>
    <r>
      <rPr>
        <sz val="11"/>
        <color theme="1"/>
        <rFont val="Calibri"/>
        <family val="2"/>
        <scheme val="minor"/>
      </rPr>
      <t xml:space="preserve"> - Workers compensation
</t>
    </r>
  </si>
  <si>
    <r>
      <t>FourYear</t>
    </r>
    <r>
      <rPr>
        <sz val="11"/>
        <color theme="1"/>
        <rFont val="Calibri"/>
        <family val="2"/>
        <scheme val="minor"/>
      </rPr>
      <t xml:space="preserve"> - Four or more years
</t>
    </r>
    <r>
      <rPr>
        <b/>
        <sz val="11"/>
        <color theme="1"/>
        <rFont val="Calibri"/>
        <family val="2"/>
        <scheme val="minor"/>
      </rPr>
      <t>TwoToFour</t>
    </r>
    <r>
      <rPr>
        <sz val="11"/>
        <color theme="1"/>
        <rFont val="Calibri"/>
        <family val="2"/>
        <scheme val="minor"/>
      </rPr>
      <t xml:space="preserve"> - At least 2 but less than 4 years
</t>
    </r>
    <r>
      <rPr>
        <b/>
        <sz val="11"/>
        <color theme="1"/>
        <rFont val="Calibri"/>
        <family val="2"/>
        <scheme val="minor"/>
      </rPr>
      <t>LessThanTwo</t>
    </r>
    <r>
      <rPr>
        <sz val="11"/>
        <color theme="1"/>
        <rFont val="Calibri"/>
        <family val="2"/>
        <scheme val="minor"/>
      </rPr>
      <t xml:space="preserve"> - Less than 2 years (below associate)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</si>
  <si>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AreaOfEmphasis</t>
    </r>
    <r>
      <rPr>
        <sz val="11"/>
        <color theme="1"/>
        <rFont val="Calibri"/>
        <family val="2"/>
        <scheme val="minor"/>
      </rPr>
      <t xml:space="preserve"> - Area of emphasis or concentration
</t>
    </r>
    <r>
      <rPr>
        <b/>
        <sz val="11"/>
        <color theme="1"/>
        <rFont val="Calibri"/>
        <family val="2"/>
        <scheme val="minor"/>
      </rPr>
      <t>PostDegreeStudy</t>
    </r>
    <r>
      <rPr>
        <sz val="11"/>
        <color theme="1"/>
        <rFont val="Calibri"/>
        <family val="2"/>
        <scheme val="minor"/>
      </rPr>
      <t xml:space="preserve"> - Post-degree study
</t>
    </r>
    <r>
      <rPr>
        <b/>
        <sz val="11"/>
        <color theme="1"/>
        <rFont val="Calibri"/>
        <family val="2"/>
        <scheme val="minor"/>
      </rPr>
      <t>AreaOfInterest</t>
    </r>
    <r>
      <rPr>
        <sz val="11"/>
        <color theme="1"/>
        <rFont val="Calibri"/>
        <family val="2"/>
        <scheme val="minor"/>
      </rPr>
      <t xml:space="preserve"> - Area of Interest
</t>
    </r>
  </si>
  <si>
    <r>
      <t>Yes</t>
    </r>
    <r>
      <rPr>
        <sz val="11"/>
        <color theme="1"/>
        <rFont val="Calibri"/>
        <family val="2"/>
        <scheme val="minor"/>
      </rPr>
      <t xml:space="preserve"> - Currently meets standard for limited English proficiency
</t>
    </r>
    <r>
      <rPr>
        <b/>
        <sz val="11"/>
        <color theme="1"/>
        <rFont val="Calibri"/>
        <family val="2"/>
        <scheme val="minor"/>
      </rPr>
      <t>No</t>
    </r>
    <r>
      <rPr>
        <sz val="11"/>
        <color theme="1"/>
        <rFont val="Calibri"/>
        <family val="2"/>
        <scheme val="minor"/>
      </rPr>
      <t xml:space="preserve"> - Currently does not meet standard for limited English proficiency
</t>
    </r>
    <r>
      <rPr>
        <b/>
        <sz val="11"/>
        <color theme="1"/>
        <rFont val="Calibri"/>
        <family val="2"/>
        <scheme val="minor"/>
      </rPr>
      <t>Ever</t>
    </r>
    <r>
      <rPr>
        <sz val="11"/>
        <color theme="1"/>
        <rFont val="Calibri"/>
        <family val="2"/>
        <scheme val="minor"/>
      </rPr>
      <t xml:space="preserve"> - Ever met standard for limited English proficiency
</t>
    </r>
  </si>
  <si>
    <r>
      <t>TABE</t>
    </r>
    <r>
      <rPr>
        <sz val="11"/>
        <color theme="1"/>
        <rFont val="Calibri"/>
        <family val="2"/>
        <scheme val="minor"/>
      </rPr>
      <t xml:space="preserve"> - TABE
</t>
    </r>
    <r>
      <rPr>
        <b/>
        <sz val="11"/>
        <color theme="1"/>
        <rFont val="Calibri"/>
        <family val="2"/>
        <scheme val="minor"/>
      </rPr>
      <t>CASAS</t>
    </r>
    <r>
      <rPr>
        <sz val="11"/>
        <color theme="1"/>
        <rFont val="Calibri"/>
        <family val="2"/>
        <scheme val="minor"/>
      </rPr>
      <t xml:space="preserve"> - CASAS
</t>
    </r>
    <r>
      <rPr>
        <b/>
        <sz val="11"/>
        <color theme="1"/>
        <rFont val="Calibri"/>
        <family val="2"/>
        <scheme val="minor"/>
      </rPr>
      <t>BEST</t>
    </r>
    <r>
      <rPr>
        <sz val="11"/>
        <color theme="1"/>
        <rFont val="Calibri"/>
        <family val="2"/>
        <scheme val="minor"/>
      </rPr>
      <t xml:space="preserve"> - BEST
</t>
    </r>
    <r>
      <rPr>
        <b/>
        <sz val="11"/>
        <color theme="1"/>
        <rFont val="Calibri"/>
        <family val="2"/>
        <scheme val="minor"/>
      </rPr>
      <t>BESTPlus</t>
    </r>
    <r>
      <rPr>
        <sz val="11"/>
        <color theme="1"/>
        <rFont val="Calibri"/>
        <family val="2"/>
        <scheme val="minor"/>
      </rPr>
      <t xml:space="preserve"> - BESTPlus
</t>
    </r>
    <r>
      <rPr>
        <b/>
        <sz val="11"/>
        <color theme="1"/>
        <rFont val="Calibri"/>
        <family val="2"/>
        <scheme val="minor"/>
      </rPr>
      <t>BESTLiteracy</t>
    </r>
    <r>
      <rPr>
        <sz val="11"/>
        <color theme="1"/>
        <rFont val="Calibri"/>
        <family val="2"/>
        <scheme val="minor"/>
      </rPr>
      <t xml:space="preserve"> - BEST Literacy
</t>
    </r>
    <r>
      <rPr>
        <b/>
        <sz val="11"/>
        <color theme="1"/>
        <rFont val="Calibri"/>
        <family val="2"/>
        <scheme val="minor"/>
      </rPr>
      <t>PPVT-III</t>
    </r>
    <r>
      <rPr>
        <sz val="11"/>
        <color theme="1"/>
        <rFont val="Calibri"/>
        <family val="2"/>
        <scheme val="minor"/>
      </rPr>
      <t xml:space="preserve"> - PPVT-III
</t>
    </r>
    <r>
      <rPr>
        <b/>
        <sz val="11"/>
        <color theme="1"/>
        <rFont val="Calibri"/>
        <family val="2"/>
        <scheme val="minor"/>
      </rPr>
      <t>PPVT-IV</t>
    </r>
    <r>
      <rPr>
        <sz val="11"/>
        <color theme="1"/>
        <rFont val="Calibri"/>
        <family val="2"/>
        <scheme val="minor"/>
      </rPr>
      <t xml:space="preserve"> - PPVT-IV
</t>
    </r>
    <r>
      <rPr>
        <b/>
        <sz val="11"/>
        <color theme="1"/>
        <rFont val="Calibri"/>
        <family val="2"/>
        <scheme val="minor"/>
      </rPr>
      <t>TVIP</t>
    </r>
    <r>
      <rPr>
        <sz val="11"/>
        <color theme="1"/>
        <rFont val="Calibri"/>
        <family val="2"/>
        <scheme val="minor"/>
      </rPr>
      <t xml:space="preserve"> - TVIP
</t>
    </r>
    <r>
      <rPr>
        <b/>
        <sz val="11"/>
        <color theme="1"/>
        <rFont val="Calibri"/>
        <family val="2"/>
        <scheme val="minor"/>
      </rPr>
      <t>PALSPreKUpperCase</t>
    </r>
    <r>
      <rPr>
        <sz val="11"/>
        <color theme="1"/>
        <rFont val="Calibri"/>
        <family val="2"/>
        <scheme val="minor"/>
      </rPr>
      <t xml:space="preserve"> - PALS PreK Upper Case
</t>
    </r>
    <r>
      <rPr>
        <b/>
        <sz val="11"/>
        <color theme="1"/>
        <rFont val="Calibri"/>
        <family val="2"/>
        <scheme val="minor"/>
      </rPr>
      <t>PEPScaleI</t>
    </r>
    <r>
      <rPr>
        <sz val="11"/>
        <color theme="1"/>
        <rFont val="Calibri"/>
        <family val="2"/>
        <scheme val="minor"/>
      </rPr>
      <t xml:space="preserve"> - PEP Scale I
</t>
    </r>
    <r>
      <rPr>
        <b/>
        <sz val="11"/>
        <color theme="1"/>
        <rFont val="Calibri"/>
        <family val="2"/>
        <scheme val="minor"/>
      </rPr>
      <t>PEPScaleII</t>
    </r>
    <r>
      <rPr>
        <sz val="11"/>
        <color theme="1"/>
        <rFont val="Calibri"/>
        <family val="2"/>
        <scheme val="minor"/>
      </rPr>
      <t xml:space="preserve"> - PEP Scale II
</t>
    </r>
    <r>
      <rPr>
        <b/>
        <sz val="11"/>
        <color theme="1"/>
        <rFont val="Calibri"/>
        <family val="2"/>
        <scheme val="minor"/>
      </rPr>
      <t>PEPScaleIII</t>
    </r>
    <r>
      <rPr>
        <sz val="11"/>
        <color theme="1"/>
        <rFont val="Calibri"/>
        <family val="2"/>
        <scheme val="minor"/>
      </rPr>
      <t xml:space="preserve"> - PEP Scale III
</t>
    </r>
    <r>
      <rPr>
        <b/>
        <sz val="11"/>
        <color theme="1"/>
        <rFont val="Calibri"/>
        <family val="2"/>
        <scheme val="minor"/>
      </rPr>
      <t>PEPScaleIV</t>
    </r>
    <r>
      <rPr>
        <sz val="11"/>
        <color theme="1"/>
        <rFont val="Calibri"/>
        <family val="2"/>
        <scheme val="minor"/>
      </rPr>
      <t xml:space="preserve"> - PEP Scale IV
</t>
    </r>
    <r>
      <rPr>
        <b/>
        <sz val="11"/>
        <color theme="1"/>
        <rFont val="Calibri"/>
        <family val="2"/>
        <scheme val="minor"/>
      </rPr>
      <t>Other</t>
    </r>
    <r>
      <rPr>
        <sz val="11"/>
        <color theme="1"/>
        <rFont val="Calibri"/>
        <family val="2"/>
        <scheme val="minor"/>
      </rPr>
      <t xml:space="preserve"> - Other
</t>
    </r>
  </si>
  <si>
    <r>
      <t>FromEligibleProgram</t>
    </r>
    <r>
      <rPr>
        <sz val="11"/>
        <color theme="1"/>
        <rFont val="Calibri"/>
        <family val="2"/>
        <scheme val="minor"/>
      </rPr>
      <t xml:space="preserve"> - From Eligible Program
</t>
    </r>
    <r>
      <rPr>
        <b/>
        <sz val="11"/>
        <color theme="1"/>
        <rFont val="Calibri"/>
        <family val="2"/>
        <scheme val="minor"/>
      </rPr>
      <t>ToEligibleProgram</t>
    </r>
    <r>
      <rPr>
        <sz val="11"/>
        <color theme="1"/>
        <rFont val="Calibri"/>
        <family val="2"/>
        <scheme val="minor"/>
      </rPr>
      <t xml:space="preserve"> - To Eligible Program
</t>
    </r>
  </si>
  <si>
    <r>
      <t>District</t>
    </r>
    <r>
      <rPr>
        <sz val="11"/>
        <color theme="1"/>
        <rFont val="Calibri"/>
        <family val="2"/>
        <scheme val="minor"/>
      </rPr>
      <t xml:space="preserve"> - District-assigned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CENSUSID</t>
    </r>
    <r>
      <rPr>
        <sz val="11"/>
        <color theme="1"/>
        <rFont val="Calibri"/>
        <family val="2"/>
        <scheme val="minor"/>
      </rPr>
      <t xml:space="preserve"> - Census Bureau identification code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</si>
  <si>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NotIdentified</t>
    </r>
    <r>
      <rPr>
        <sz val="11"/>
        <color theme="1"/>
        <rFont val="Calibri"/>
        <family val="2"/>
        <scheme val="minor"/>
      </rPr>
      <t xml:space="preserve"> - Not identified for improvement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</si>
  <si>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ChangedBoundary</t>
    </r>
    <r>
      <rPr>
        <sz val="11"/>
        <color theme="1"/>
        <rFont val="Calibri"/>
        <family val="2"/>
        <scheme val="minor"/>
      </rPr>
      <t xml:space="preserve"> - Changed boundary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FutureAgency</t>
    </r>
    <r>
      <rPr>
        <sz val="11"/>
        <color theme="1"/>
        <rFont val="Calibri"/>
        <family val="2"/>
        <scheme val="minor"/>
      </rPr>
      <t xml:space="preserve"> - Future agency
</t>
    </r>
    <r>
      <rPr>
        <b/>
        <sz val="11"/>
        <color theme="1"/>
        <rFont val="Calibri"/>
        <family val="2"/>
        <scheme val="minor"/>
      </rPr>
      <t>Reopened</t>
    </r>
    <r>
      <rPr>
        <sz val="11"/>
        <color theme="1"/>
        <rFont val="Calibri"/>
        <family val="2"/>
        <scheme val="minor"/>
      </rPr>
      <t xml:space="preserve"> - Reopened
</t>
    </r>
  </si>
  <si>
    <r>
      <t>RegularNotInSupervisoryUnion</t>
    </r>
    <r>
      <rPr>
        <sz val="11"/>
        <color theme="1"/>
        <rFont val="Calibri"/>
        <family val="2"/>
        <scheme val="minor"/>
      </rPr>
      <t xml:space="preserve"> - Regular public school district that is NOT a component of a supervisory union
</t>
    </r>
    <r>
      <rPr>
        <b/>
        <sz val="11"/>
        <color theme="1"/>
        <rFont val="Calibri"/>
        <family val="2"/>
        <scheme val="minor"/>
      </rPr>
      <t>RegularInSupervisoryUnion</t>
    </r>
    <r>
      <rPr>
        <sz val="11"/>
        <color theme="1"/>
        <rFont val="Calibri"/>
        <family val="2"/>
        <scheme val="minor"/>
      </rPr>
      <t xml:space="preserve"> - Regular public school district that is a component of a supervisory union
</t>
    </r>
    <r>
      <rPr>
        <b/>
        <sz val="11"/>
        <color theme="1"/>
        <rFont val="Calibri"/>
        <family val="2"/>
        <scheme val="minor"/>
      </rPr>
      <t>SupervisoryUnion</t>
    </r>
    <r>
      <rPr>
        <sz val="11"/>
        <color theme="1"/>
        <rFont val="Calibri"/>
        <family val="2"/>
        <scheme val="minor"/>
      </rPr>
      <t xml:space="preserve"> - Supervisory Union
</t>
    </r>
    <r>
      <rPr>
        <b/>
        <sz val="11"/>
        <color theme="1"/>
        <rFont val="Calibri"/>
        <family val="2"/>
        <scheme val="minor"/>
      </rPr>
      <t>SpecializedPublicSchoolDistrict</t>
    </r>
    <r>
      <rPr>
        <sz val="11"/>
        <color theme="1"/>
        <rFont val="Calibri"/>
        <family val="2"/>
        <scheme val="minor"/>
      </rPr>
      <t xml:space="preserve"> - Specialized Public School District
</t>
    </r>
    <r>
      <rPr>
        <b/>
        <sz val="11"/>
        <color theme="1"/>
        <rFont val="Calibri"/>
        <family val="2"/>
        <scheme val="minor"/>
      </rPr>
      <t>ServiceAgency</t>
    </r>
    <r>
      <rPr>
        <sz val="11"/>
        <color theme="1"/>
        <rFont val="Calibri"/>
        <family val="2"/>
        <scheme val="minor"/>
      </rPr>
      <t xml:space="preserve"> - Service Agency
</t>
    </r>
    <r>
      <rPr>
        <b/>
        <sz val="11"/>
        <color theme="1"/>
        <rFont val="Calibri"/>
        <family val="2"/>
        <scheme val="minor"/>
      </rPr>
      <t>StateOperatedAgency</t>
    </r>
    <r>
      <rPr>
        <sz val="11"/>
        <color theme="1"/>
        <rFont val="Calibri"/>
        <family val="2"/>
        <scheme val="minor"/>
      </rPr>
      <t xml:space="preserve"> - State Operated Agency
</t>
    </r>
    <r>
      <rPr>
        <b/>
        <sz val="11"/>
        <color theme="1"/>
        <rFont val="Calibri"/>
        <family val="2"/>
        <scheme val="minor"/>
      </rPr>
      <t>FederalOperatedAgency</t>
    </r>
    <r>
      <rPr>
        <sz val="11"/>
        <color theme="1"/>
        <rFont val="Calibri"/>
        <family val="2"/>
        <scheme val="minor"/>
      </rPr>
      <t xml:space="preserve"> - Federal Operated Agency
</t>
    </r>
    <r>
      <rPr>
        <b/>
        <sz val="11"/>
        <color theme="1"/>
        <rFont val="Calibri"/>
        <family val="2"/>
        <scheme val="minor"/>
      </rPr>
      <t>Other</t>
    </r>
    <r>
      <rPr>
        <sz val="11"/>
        <color theme="1"/>
        <rFont val="Calibri"/>
        <family val="2"/>
        <scheme val="minor"/>
      </rPr>
      <t xml:space="preserve"> - Other Local Education Agencies
</t>
    </r>
  </si>
  <si>
    <r>
      <t>All</t>
    </r>
    <r>
      <rPr>
        <sz val="11"/>
        <color theme="1"/>
        <rFont val="Calibri"/>
        <family val="2"/>
        <scheme val="minor"/>
      </rPr>
      <t xml:space="preserve"> - All students participate
</t>
    </r>
    <r>
      <rPr>
        <b/>
        <sz val="11"/>
        <color theme="1"/>
        <rFont val="Calibri"/>
        <family val="2"/>
        <scheme val="minor"/>
      </rPr>
      <t>None</t>
    </r>
    <r>
      <rPr>
        <sz val="11"/>
        <color theme="1"/>
        <rFont val="Calibri"/>
        <family val="2"/>
        <scheme val="minor"/>
      </rPr>
      <t xml:space="preserve"> - No students participate
</t>
    </r>
    <r>
      <rPr>
        <b/>
        <sz val="11"/>
        <color theme="1"/>
        <rFont val="Calibri"/>
        <family val="2"/>
        <scheme val="minor"/>
      </rPr>
      <t>Some</t>
    </r>
    <r>
      <rPr>
        <sz val="11"/>
        <color theme="1"/>
        <rFont val="Calibri"/>
        <family val="2"/>
        <scheme val="minor"/>
      </rPr>
      <t xml:space="preserve"> - Some, but not all, students participate
</t>
    </r>
  </si>
  <si>
    <r>
      <t>01</t>
    </r>
    <r>
      <rPr>
        <sz val="11"/>
        <color theme="1"/>
        <rFont val="Calibri"/>
        <family val="2"/>
        <scheme val="minor"/>
      </rPr>
      <t xml:space="preserve"> - Less than high school
</t>
    </r>
    <r>
      <rPr>
        <b/>
        <sz val="11"/>
        <color theme="1"/>
        <rFont val="Calibri"/>
        <family val="2"/>
        <scheme val="minor"/>
      </rPr>
      <t>02</t>
    </r>
    <r>
      <rPr>
        <sz val="11"/>
        <color theme="1"/>
        <rFont val="Calibri"/>
        <family val="2"/>
        <scheme val="minor"/>
      </rPr>
      <t xml:space="preserve"> - High school diploma or equivalent
</t>
    </r>
    <r>
      <rPr>
        <b/>
        <sz val="11"/>
        <color theme="1"/>
        <rFont val="Calibri"/>
        <family val="2"/>
        <scheme val="minor"/>
      </rPr>
      <t>03</t>
    </r>
    <r>
      <rPr>
        <sz val="11"/>
        <color theme="1"/>
        <rFont val="Calibri"/>
        <family val="2"/>
        <scheme val="minor"/>
      </rPr>
      <t xml:space="preserve"> - Some college but no formal award
</t>
    </r>
    <r>
      <rPr>
        <b/>
        <sz val="11"/>
        <color theme="1"/>
        <rFont val="Calibri"/>
        <family val="2"/>
        <scheme val="minor"/>
      </rPr>
      <t>04</t>
    </r>
    <r>
      <rPr>
        <sz val="11"/>
        <color theme="1"/>
        <rFont val="Calibri"/>
        <family val="2"/>
        <scheme val="minor"/>
      </rPr>
      <t xml:space="preserve"> - Certificate, less than an Associate's degree
</t>
    </r>
    <r>
      <rPr>
        <b/>
        <sz val="11"/>
        <color theme="1"/>
        <rFont val="Calibri"/>
        <family val="2"/>
        <scheme val="minor"/>
      </rPr>
      <t>05</t>
    </r>
    <r>
      <rPr>
        <sz val="11"/>
        <color theme="1"/>
        <rFont val="Calibri"/>
        <family val="2"/>
        <scheme val="minor"/>
      </rPr>
      <t xml:space="preserve"> - Associate's degree
</t>
    </r>
    <r>
      <rPr>
        <b/>
        <sz val="11"/>
        <color theme="1"/>
        <rFont val="Calibri"/>
        <family val="2"/>
        <scheme val="minor"/>
      </rPr>
      <t>06</t>
    </r>
    <r>
      <rPr>
        <sz val="11"/>
        <color theme="1"/>
        <rFont val="Calibri"/>
        <family val="2"/>
        <scheme val="minor"/>
      </rPr>
      <t xml:space="preserve"> - Baccalaureate degree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Doctoral/Professional degree
</t>
    </r>
    <r>
      <rPr>
        <b/>
        <sz val="11"/>
        <color theme="1"/>
        <rFont val="Calibri"/>
        <family val="2"/>
        <scheme val="minor"/>
      </rPr>
      <t>09</t>
    </r>
    <r>
      <rPr>
        <sz val="11"/>
        <color theme="1"/>
        <rFont val="Calibri"/>
        <family val="2"/>
        <scheme val="minor"/>
      </rPr>
      <t xml:space="preserve"> - Unknown
</t>
    </r>
  </si>
  <si>
    <r>
      <t>Chronic</t>
    </r>
    <r>
      <rPr>
        <sz val="11"/>
        <color theme="1"/>
        <rFont val="Calibri"/>
        <family val="2"/>
        <scheme val="minor"/>
      </rPr>
      <t xml:space="preserve"> - Chronic
</t>
    </r>
    <r>
      <rPr>
        <b/>
        <sz val="11"/>
        <color theme="1"/>
        <rFont val="Calibri"/>
        <family val="2"/>
        <scheme val="minor"/>
      </rPr>
      <t>Acute</t>
    </r>
    <r>
      <rPr>
        <sz val="11"/>
        <color theme="1"/>
        <rFont val="Calibri"/>
        <family val="2"/>
        <scheme val="minor"/>
      </rPr>
      <t xml:space="preserve"> - Acute
</t>
    </r>
    <r>
      <rPr>
        <b/>
        <sz val="11"/>
        <color theme="1"/>
        <rFont val="Calibri"/>
        <family val="2"/>
        <scheme val="minor"/>
      </rPr>
      <t>None</t>
    </r>
    <r>
      <rPr>
        <sz val="11"/>
        <color theme="1"/>
        <rFont val="Calibri"/>
        <family val="2"/>
        <scheme val="minor"/>
      </rPr>
      <t xml:space="preserve"> - None
</t>
    </r>
  </si>
  <si>
    <r>
      <t>Individual</t>
    </r>
    <r>
      <rPr>
        <sz val="11"/>
        <color theme="1"/>
        <rFont val="Calibri"/>
        <family val="2"/>
        <scheme val="minor"/>
      </rPr>
      <t xml:space="preserve"> - Individual
</t>
    </r>
    <r>
      <rPr>
        <b/>
        <sz val="11"/>
        <color theme="1"/>
        <rFont val="Calibri"/>
        <family val="2"/>
        <scheme val="minor"/>
      </rPr>
      <t>Group</t>
    </r>
    <r>
      <rPr>
        <sz val="11"/>
        <color theme="1"/>
        <rFont val="Calibri"/>
        <family val="2"/>
        <scheme val="minor"/>
      </rPr>
      <t xml:space="preserve"> - Group
</t>
    </r>
  </si>
  <si>
    <r>
      <t>01</t>
    </r>
    <r>
      <rPr>
        <sz val="11"/>
        <color theme="1"/>
        <rFont val="Calibri"/>
        <family val="2"/>
        <scheme val="minor"/>
      </rPr>
      <t xml:space="preserve"> - Basic School Program
</t>
    </r>
    <r>
      <rPr>
        <b/>
        <sz val="11"/>
        <color theme="1"/>
        <rFont val="Calibri"/>
        <family val="2"/>
        <scheme val="minor"/>
      </rPr>
      <t>02</t>
    </r>
    <r>
      <rPr>
        <sz val="11"/>
        <color theme="1"/>
        <rFont val="Calibri"/>
        <family val="2"/>
        <scheme val="minor"/>
      </rPr>
      <t xml:space="preserve"> - Regular Term MEP-Funded Project
</t>
    </r>
    <r>
      <rPr>
        <b/>
        <sz val="11"/>
        <color theme="1"/>
        <rFont val="Calibri"/>
        <family val="2"/>
        <scheme val="minor"/>
      </rPr>
      <t>03</t>
    </r>
    <r>
      <rPr>
        <sz val="11"/>
        <color theme="1"/>
        <rFont val="Calibri"/>
        <family val="2"/>
        <scheme val="minor"/>
      </rPr>
      <t xml:space="preserve"> - Summer/Intersession MEP-Funded Project
</t>
    </r>
    <r>
      <rPr>
        <b/>
        <sz val="11"/>
        <color theme="1"/>
        <rFont val="Calibri"/>
        <family val="2"/>
        <scheme val="minor"/>
      </rPr>
      <t>04</t>
    </r>
    <r>
      <rPr>
        <sz val="11"/>
        <color theme="1"/>
        <rFont val="Calibri"/>
        <family val="2"/>
        <scheme val="minor"/>
      </rPr>
      <t xml:space="preserve"> - Year Round MEP-Funded Project
</t>
    </r>
    <r>
      <rPr>
        <b/>
        <sz val="11"/>
        <color theme="1"/>
        <rFont val="Calibri"/>
        <family val="2"/>
        <scheme val="minor"/>
      </rPr>
      <t>05</t>
    </r>
    <r>
      <rPr>
        <sz val="11"/>
        <color theme="1"/>
        <rFont val="Calibri"/>
        <family val="2"/>
        <scheme val="minor"/>
      </rPr>
      <t xml:space="preserve"> - Basic School Program and Regular-Term MEP-Funded Project
</t>
    </r>
    <r>
      <rPr>
        <b/>
        <sz val="11"/>
        <color theme="1"/>
        <rFont val="Calibri"/>
        <family val="2"/>
        <scheme val="minor"/>
      </rPr>
      <t>06</t>
    </r>
    <r>
      <rPr>
        <sz val="11"/>
        <color theme="1"/>
        <rFont val="Calibri"/>
        <family val="2"/>
        <scheme val="minor"/>
      </rPr>
      <t xml:space="preserve"> - Residency Only (none of the above)
</t>
    </r>
  </si>
  <si>
    <r>
      <t>SchoolBased</t>
    </r>
    <r>
      <rPr>
        <sz val="11"/>
        <color theme="1"/>
        <rFont val="Calibri"/>
        <family val="2"/>
        <scheme val="minor"/>
      </rPr>
      <t xml:space="preserve"> - School-based MEP Project
</t>
    </r>
    <r>
      <rPr>
        <b/>
        <sz val="11"/>
        <color theme="1"/>
        <rFont val="Calibri"/>
        <family val="2"/>
        <scheme val="minor"/>
      </rPr>
      <t>NonSchoolBased</t>
    </r>
    <r>
      <rPr>
        <sz val="11"/>
        <color theme="1"/>
        <rFont val="Calibri"/>
        <family val="2"/>
        <scheme val="minor"/>
      </rPr>
      <t xml:space="preserve"> - Non-school-based MEP project
</t>
    </r>
  </si>
  <si>
    <r>
      <t>SchoolDay</t>
    </r>
    <r>
      <rPr>
        <sz val="11"/>
        <color theme="1"/>
        <rFont val="Calibri"/>
        <family val="2"/>
        <scheme val="minor"/>
      </rPr>
      <t xml:space="preserve"> - Regular school year - school day only
</t>
    </r>
    <r>
      <rPr>
        <b/>
        <sz val="11"/>
        <color theme="1"/>
        <rFont val="Calibri"/>
        <family val="2"/>
        <scheme val="minor"/>
      </rPr>
      <t>ExtendedDay</t>
    </r>
    <r>
      <rPr>
        <sz val="11"/>
        <color theme="1"/>
        <rFont val="Calibri"/>
        <family val="2"/>
        <scheme val="minor"/>
      </rPr>
      <t xml:space="preserve"> - Regular school year - school day/extended day
</t>
    </r>
    <r>
      <rPr>
        <b/>
        <sz val="11"/>
        <color theme="1"/>
        <rFont val="Calibri"/>
        <family val="2"/>
        <scheme val="minor"/>
      </rPr>
      <t>SummerIntersession</t>
    </r>
    <r>
      <rPr>
        <sz val="11"/>
        <color theme="1"/>
        <rFont val="Calibri"/>
        <family val="2"/>
        <scheme val="minor"/>
      </rPr>
      <t xml:space="preserve"> - Summer/intersession only
</t>
    </r>
    <r>
      <rPr>
        <b/>
        <sz val="11"/>
        <color theme="1"/>
        <rFont val="Calibri"/>
        <family val="2"/>
        <scheme val="minor"/>
      </rPr>
      <t>YearRound</t>
    </r>
    <r>
      <rPr>
        <sz val="11"/>
        <color theme="1"/>
        <rFont val="Calibri"/>
        <family val="2"/>
        <scheme val="minor"/>
      </rPr>
      <t xml:space="preserve"> - Year round
</t>
    </r>
  </si>
  <si>
    <r>
      <t>CounselingServices</t>
    </r>
    <r>
      <rPr>
        <sz val="11"/>
        <color theme="1"/>
        <rFont val="Calibri"/>
        <family val="2"/>
        <scheme val="minor"/>
      </rPr>
      <t xml:space="preserve"> - Counseling Services
</t>
    </r>
    <r>
      <rPr>
        <b/>
        <sz val="11"/>
        <color theme="1"/>
        <rFont val="Calibri"/>
        <family val="2"/>
        <scheme val="minor"/>
      </rPr>
      <t>HighSchoolAccrual</t>
    </r>
    <r>
      <rPr>
        <sz val="11"/>
        <color theme="1"/>
        <rFont val="Calibri"/>
        <family val="2"/>
        <scheme val="minor"/>
      </rPr>
      <t xml:space="preserve"> - High School Accrual
</t>
    </r>
    <r>
      <rPr>
        <b/>
        <sz val="11"/>
        <color theme="1"/>
        <rFont val="Calibri"/>
        <family val="2"/>
        <scheme val="minor"/>
      </rPr>
      <t>InstructionalServices</t>
    </r>
    <r>
      <rPr>
        <sz val="11"/>
        <color theme="1"/>
        <rFont val="Calibri"/>
        <family val="2"/>
        <scheme val="minor"/>
      </rPr>
      <t xml:space="preserve"> - Instructional Services
</t>
    </r>
    <r>
      <rPr>
        <b/>
        <sz val="11"/>
        <color theme="1"/>
        <rFont val="Calibri"/>
        <family val="2"/>
        <scheme val="minor"/>
      </rPr>
      <t>MathematicsInstruction</t>
    </r>
    <r>
      <rPr>
        <sz val="11"/>
        <color theme="1"/>
        <rFont val="Calibri"/>
        <family val="2"/>
        <scheme val="minor"/>
      </rPr>
      <t xml:space="preserve"> - Mathematics Instruction
</t>
    </r>
    <r>
      <rPr>
        <b/>
        <sz val="11"/>
        <color theme="1"/>
        <rFont val="Calibri"/>
        <family val="2"/>
        <scheme val="minor"/>
      </rPr>
      <t>ReadingInstruction</t>
    </r>
    <r>
      <rPr>
        <sz val="11"/>
        <color theme="1"/>
        <rFont val="Calibri"/>
        <family val="2"/>
        <scheme val="minor"/>
      </rPr>
      <t xml:space="preserve"> - Reading Instruction
</t>
    </r>
    <r>
      <rPr>
        <b/>
        <sz val="11"/>
        <color theme="1"/>
        <rFont val="Calibri"/>
        <family val="2"/>
        <scheme val="minor"/>
      </rPr>
      <t>ReferralServices</t>
    </r>
    <r>
      <rPr>
        <sz val="11"/>
        <color theme="1"/>
        <rFont val="Calibri"/>
        <family val="2"/>
        <scheme val="minor"/>
      </rPr>
      <t xml:space="preserve"> - Referral Services
</t>
    </r>
    <r>
      <rPr>
        <b/>
        <sz val="11"/>
        <color theme="1"/>
        <rFont val="Calibri"/>
        <family val="2"/>
        <scheme val="minor"/>
      </rPr>
      <t>SupportServices</t>
    </r>
    <r>
      <rPr>
        <sz val="11"/>
        <color theme="1"/>
        <rFont val="Calibri"/>
        <family val="2"/>
        <scheme val="minor"/>
      </rPr>
      <t xml:space="preserve"> - Support Services
</t>
    </r>
  </si>
  <si>
    <r>
      <t>RegularSchoolYear</t>
    </r>
    <r>
      <rPr>
        <sz val="11"/>
        <color theme="1"/>
        <rFont val="Calibri"/>
        <family val="2"/>
        <scheme val="minor"/>
      </rPr>
      <t xml:space="preserve"> - Regular School Year
</t>
    </r>
    <r>
      <rPr>
        <b/>
        <sz val="11"/>
        <color theme="1"/>
        <rFont val="Calibri"/>
        <family val="2"/>
        <scheme val="minor"/>
      </rPr>
      <t>SummerTerm</t>
    </r>
    <r>
      <rPr>
        <sz val="11"/>
        <color theme="1"/>
        <rFont val="Calibri"/>
        <family val="2"/>
        <scheme val="minor"/>
      </rPr>
      <t xml:space="preserve"> - Summer Term or Intersession
</t>
    </r>
  </si>
  <si>
    <r>
      <t>Teachers</t>
    </r>
    <r>
      <rPr>
        <sz val="11"/>
        <color theme="1"/>
        <rFont val="Calibri"/>
        <family val="2"/>
        <scheme val="minor"/>
      </rPr>
      <t xml:space="preserve"> - Teachers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Counselors</t>
    </r>
    <r>
      <rPr>
        <sz val="11"/>
        <color theme="1"/>
        <rFont val="Calibri"/>
        <family val="2"/>
        <scheme val="minor"/>
      </rPr>
      <t xml:space="preserve"> - Counselors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Recruiters</t>
    </r>
    <r>
      <rPr>
        <sz val="11"/>
        <color theme="1"/>
        <rFont val="Calibri"/>
        <family val="2"/>
        <scheme val="minor"/>
      </rPr>
      <t xml:space="preserve"> - Recruiters
</t>
    </r>
    <r>
      <rPr>
        <b/>
        <sz val="11"/>
        <color theme="1"/>
        <rFont val="Calibri"/>
        <family val="2"/>
        <scheme val="minor"/>
      </rPr>
      <t>RecordsTransferStaff</t>
    </r>
    <r>
      <rPr>
        <sz val="11"/>
        <color theme="1"/>
        <rFont val="Calibri"/>
        <family val="2"/>
        <scheme val="minor"/>
      </rPr>
      <t xml:space="preserve"> - Records Transfer Staff
</t>
    </r>
  </si>
  <si>
    <r>
      <t>NotActive</t>
    </r>
    <r>
      <rPr>
        <sz val="11"/>
        <color theme="1"/>
        <rFont val="Calibri"/>
        <family val="2"/>
        <scheme val="minor"/>
      </rPr>
      <t xml:space="preserve"> - Not Active
</t>
    </r>
    <r>
      <rPr>
        <b/>
        <sz val="11"/>
        <color theme="1"/>
        <rFont val="Calibri"/>
        <family val="2"/>
        <scheme val="minor"/>
      </rPr>
      <t>Active</t>
    </r>
    <r>
      <rPr>
        <sz val="11"/>
        <color theme="1"/>
        <rFont val="Calibri"/>
        <family val="2"/>
        <scheme val="minor"/>
      </rPr>
      <t xml:space="preserve"> - Active
</t>
    </r>
    <r>
      <rPr>
        <b/>
        <sz val="11"/>
        <color theme="1"/>
        <rFont val="Calibri"/>
        <family val="2"/>
        <scheme val="minor"/>
      </rPr>
      <t>Unknown</t>
    </r>
    <r>
      <rPr>
        <sz val="11"/>
        <color theme="1"/>
        <rFont val="Calibri"/>
        <family val="2"/>
        <scheme val="minor"/>
      </rPr>
      <t xml:space="preserve"> - Unknown
</t>
    </r>
  </si>
  <si>
    <r>
      <t>Army</t>
    </r>
    <r>
      <rPr>
        <sz val="11"/>
        <color theme="1"/>
        <rFont val="Calibri"/>
        <family val="2"/>
        <scheme val="minor"/>
      </rPr>
      <t xml:space="preserve"> - Army
</t>
    </r>
    <r>
      <rPr>
        <b/>
        <sz val="11"/>
        <color theme="1"/>
        <rFont val="Calibri"/>
        <family val="2"/>
        <scheme val="minor"/>
      </rPr>
      <t>Navy</t>
    </r>
    <r>
      <rPr>
        <sz val="11"/>
        <color theme="1"/>
        <rFont val="Calibri"/>
        <family val="2"/>
        <scheme val="minor"/>
      </rPr>
      <t xml:space="preserve"> - Navy
</t>
    </r>
    <r>
      <rPr>
        <b/>
        <sz val="11"/>
        <color theme="1"/>
        <rFont val="Calibri"/>
        <family val="2"/>
        <scheme val="minor"/>
      </rPr>
      <t>AirForce</t>
    </r>
    <r>
      <rPr>
        <sz val="11"/>
        <color theme="1"/>
        <rFont val="Calibri"/>
        <family val="2"/>
        <scheme val="minor"/>
      </rPr>
      <t xml:space="preserve"> - Air Force
</t>
    </r>
    <r>
      <rPr>
        <b/>
        <sz val="11"/>
        <color theme="1"/>
        <rFont val="Calibri"/>
        <family val="2"/>
        <scheme val="minor"/>
      </rPr>
      <t>MarineCorps</t>
    </r>
    <r>
      <rPr>
        <sz val="11"/>
        <color theme="1"/>
        <rFont val="Calibri"/>
        <family val="2"/>
        <scheme val="minor"/>
      </rPr>
      <t xml:space="preserve"> - Marine Corps
</t>
    </r>
    <r>
      <rPr>
        <b/>
        <sz val="11"/>
        <color theme="1"/>
        <rFont val="Calibri"/>
        <family val="2"/>
        <scheme val="minor"/>
      </rPr>
      <t>CoastGuard</t>
    </r>
    <r>
      <rPr>
        <sz val="11"/>
        <color theme="1"/>
        <rFont val="Calibri"/>
        <family val="2"/>
        <scheme val="minor"/>
      </rPr>
      <t xml:space="preserve"> - Coast Guard
</t>
    </r>
  </si>
  <si>
    <r>
      <t>NotMilitaryConnected</t>
    </r>
    <r>
      <rPr>
        <sz val="11"/>
        <color theme="1"/>
        <rFont val="Calibri"/>
        <family val="2"/>
        <scheme val="minor"/>
      </rPr>
      <t xml:space="preserve"> - Not Military Connected
</t>
    </r>
    <r>
      <rPr>
        <b/>
        <sz val="11"/>
        <color theme="1"/>
        <rFont val="Calibri"/>
        <family val="2"/>
        <scheme val="minor"/>
      </rPr>
      <t>ActiveDuty</t>
    </r>
    <r>
      <rPr>
        <sz val="11"/>
        <color theme="1"/>
        <rFont val="Calibri"/>
        <family val="2"/>
        <scheme val="minor"/>
      </rPr>
      <t xml:space="preserve"> - Active Duty
</t>
    </r>
    <r>
      <rPr>
        <b/>
        <sz val="11"/>
        <color theme="1"/>
        <rFont val="Calibri"/>
        <family val="2"/>
        <scheme val="minor"/>
      </rPr>
      <t>NationalGuardOrReserve</t>
    </r>
    <r>
      <rPr>
        <sz val="11"/>
        <color theme="1"/>
        <rFont val="Calibri"/>
        <family val="2"/>
        <scheme val="minor"/>
      </rPr>
      <t xml:space="preserve"> - National Guard Or Reserve
</t>
    </r>
    <r>
      <rPr>
        <b/>
        <sz val="11"/>
        <color theme="1"/>
        <rFont val="Calibri"/>
        <family val="2"/>
        <scheme val="minor"/>
      </rPr>
      <t>Unknown</t>
    </r>
    <r>
      <rPr>
        <sz val="11"/>
        <color theme="1"/>
        <rFont val="Calibri"/>
        <family val="2"/>
        <scheme val="minor"/>
      </rPr>
      <t xml:space="preserve"> - Unknown
</t>
    </r>
  </si>
  <si>
    <r>
      <t>NotVeteran</t>
    </r>
    <r>
      <rPr>
        <sz val="11"/>
        <color theme="1"/>
        <rFont val="Calibri"/>
        <family val="2"/>
        <scheme val="minor"/>
      </rPr>
      <t xml:space="preserve"> - Not a Veteran
</t>
    </r>
    <r>
      <rPr>
        <b/>
        <sz val="11"/>
        <color theme="1"/>
        <rFont val="Calibri"/>
        <family val="2"/>
        <scheme val="minor"/>
      </rPr>
      <t>Veteran</t>
    </r>
    <r>
      <rPr>
        <sz val="11"/>
        <color theme="1"/>
        <rFont val="Calibri"/>
        <family val="2"/>
        <scheme val="minor"/>
      </rPr>
      <t xml:space="preserve"> - Veteran
</t>
    </r>
    <r>
      <rPr>
        <b/>
        <sz val="11"/>
        <color theme="1"/>
        <rFont val="Calibri"/>
        <family val="2"/>
        <scheme val="minor"/>
      </rPr>
      <t>Unknown</t>
    </r>
    <r>
      <rPr>
        <sz val="11"/>
        <color theme="1"/>
        <rFont val="Calibri"/>
        <family val="2"/>
        <scheme val="minor"/>
      </rPr>
      <t xml:space="preserve"> - Unknown
</t>
    </r>
  </si>
  <si>
    <r>
      <t>DevelopingInterpretation</t>
    </r>
    <r>
      <rPr>
        <sz val="11"/>
        <color theme="1"/>
        <rFont val="Calibri"/>
        <family val="2"/>
        <scheme val="minor"/>
      </rPr>
      <t xml:space="preserve"> - Developing Interpretation
</t>
    </r>
    <r>
      <rPr>
        <b/>
        <sz val="11"/>
        <color theme="1"/>
        <rFont val="Calibri"/>
        <family val="2"/>
        <scheme val="minor"/>
      </rPr>
      <t>MakingReaderTextConnections</t>
    </r>
    <r>
      <rPr>
        <sz val="11"/>
        <color theme="1"/>
        <rFont val="Calibri"/>
        <family val="2"/>
        <scheme val="minor"/>
      </rPr>
      <t xml:space="preserve"> - Making reader/text connections
</t>
    </r>
    <r>
      <rPr>
        <b/>
        <sz val="11"/>
        <color theme="1"/>
        <rFont val="Calibri"/>
        <family val="2"/>
        <scheme val="minor"/>
      </rPr>
      <t>ExaminingContentAndStructure</t>
    </r>
    <r>
      <rPr>
        <sz val="11"/>
        <color theme="1"/>
        <rFont val="Calibri"/>
        <family val="2"/>
        <scheme val="minor"/>
      </rPr>
      <t xml:space="preserve"> - Examining content and structure
</t>
    </r>
  </si>
  <si>
    <r>
      <t>LowComplexity</t>
    </r>
    <r>
      <rPr>
        <sz val="11"/>
        <color theme="1"/>
        <rFont val="Calibri"/>
        <family val="2"/>
        <scheme val="minor"/>
      </rPr>
      <t xml:space="preserve"> - Low complexity
</t>
    </r>
    <r>
      <rPr>
        <b/>
        <sz val="11"/>
        <color theme="1"/>
        <rFont val="Calibri"/>
        <family val="2"/>
        <scheme val="minor"/>
      </rPr>
      <t>ModerateComplexity</t>
    </r>
    <r>
      <rPr>
        <sz val="11"/>
        <color theme="1"/>
        <rFont val="Calibri"/>
        <family val="2"/>
        <scheme val="minor"/>
      </rPr>
      <t xml:space="preserve"> - Moderate complexity
</t>
    </r>
    <r>
      <rPr>
        <b/>
        <sz val="11"/>
        <color theme="1"/>
        <rFont val="Calibri"/>
        <family val="2"/>
        <scheme val="minor"/>
      </rPr>
      <t>HighComplexity</t>
    </r>
    <r>
      <rPr>
        <sz val="11"/>
        <color theme="1"/>
        <rFont val="Calibri"/>
        <family val="2"/>
        <scheme val="minor"/>
      </rPr>
      <t xml:space="preserve"> - High complexity
</t>
    </r>
  </si>
  <si>
    <r>
      <t>NeglectedPrograms</t>
    </r>
    <r>
      <rPr>
        <sz val="11"/>
        <color theme="1"/>
        <rFont val="Calibri"/>
        <family val="2"/>
        <scheme val="minor"/>
      </rPr>
      <t xml:space="preserve"> - Neglected programs
</t>
    </r>
    <r>
      <rPr>
        <b/>
        <sz val="11"/>
        <color theme="1"/>
        <rFont val="Calibri"/>
        <family val="2"/>
        <scheme val="minor"/>
      </rPr>
      <t>JuvenileDetention</t>
    </r>
    <r>
      <rPr>
        <sz val="11"/>
        <color theme="1"/>
        <rFont val="Calibri"/>
        <family val="2"/>
        <scheme val="minor"/>
      </rPr>
      <t xml:space="preserve"> - Juvenile Detention
</t>
    </r>
    <r>
      <rPr>
        <b/>
        <sz val="11"/>
        <color theme="1"/>
        <rFont val="Calibri"/>
        <family val="2"/>
        <scheme val="minor"/>
      </rPr>
      <t>JuvenileCorrection</t>
    </r>
    <r>
      <rPr>
        <sz val="11"/>
        <color theme="1"/>
        <rFont val="Calibri"/>
        <family val="2"/>
        <scheme val="minor"/>
      </rPr>
      <t xml:space="preserve"> - Juvenile Correction
</t>
    </r>
    <r>
      <rPr>
        <b/>
        <sz val="11"/>
        <color theme="1"/>
        <rFont val="Calibri"/>
        <family val="2"/>
        <scheme val="minor"/>
      </rPr>
      <t>AdultCorrection</t>
    </r>
    <r>
      <rPr>
        <sz val="11"/>
        <color theme="1"/>
        <rFont val="Calibri"/>
        <family val="2"/>
        <scheme val="minor"/>
      </rPr>
      <t xml:space="preserve"> - Adult Correction
</t>
    </r>
    <r>
      <rPr>
        <b/>
        <sz val="11"/>
        <color theme="1"/>
        <rFont val="Calibri"/>
        <family val="2"/>
        <scheme val="minor"/>
      </rPr>
      <t>AtRiskPrograms</t>
    </r>
    <r>
      <rPr>
        <sz val="11"/>
        <color theme="1"/>
        <rFont val="Calibri"/>
        <family val="2"/>
        <scheme val="minor"/>
      </rPr>
      <t xml:space="preserve"> - At-risk programs
</t>
    </r>
    <r>
      <rPr>
        <b/>
        <sz val="11"/>
        <color theme="1"/>
        <rFont val="Calibri"/>
        <family val="2"/>
        <scheme val="minor"/>
      </rPr>
      <t>OtherPrograms</t>
    </r>
    <r>
      <rPr>
        <sz val="11"/>
        <color theme="1"/>
        <rFont val="Calibri"/>
        <family val="2"/>
        <scheme val="minor"/>
      </rPr>
      <t xml:space="preserve"> - Other Programs
</t>
    </r>
  </si>
  <si>
    <r>
      <t>FailedTestingRequirements</t>
    </r>
    <r>
      <rPr>
        <sz val="11"/>
        <color theme="1"/>
        <rFont val="Calibri"/>
        <family val="2"/>
        <scheme val="minor"/>
      </rPr>
      <t xml:space="preserve"> - Failed to meet testing requirements
</t>
    </r>
    <r>
      <rPr>
        <b/>
        <sz val="11"/>
        <color theme="1"/>
        <rFont val="Calibri"/>
        <family val="2"/>
        <scheme val="minor"/>
      </rPr>
      <t>Illness</t>
    </r>
    <r>
      <rPr>
        <sz val="11"/>
        <color theme="1"/>
        <rFont val="Calibri"/>
        <family val="2"/>
        <scheme val="minor"/>
      </rPr>
      <t xml:space="preserve"> - Illness
</t>
    </r>
    <r>
      <rPr>
        <b/>
        <sz val="11"/>
        <color theme="1"/>
        <rFont val="Calibri"/>
        <family val="2"/>
        <scheme val="minor"/>
      </rPr>
      <t>Immaturity</t>
    </r>
    <r>
      <rPr>
        <sz val="11"/>
        <color theme="1"/>
        <rFont val="Calibri"/>
        <family val="2"/>
        <scheme val="minor"/>
      </rPr>
      <t xml:space="preserve"> - Immaturity
</t>
    </r>
    <r>
      <rPr>
        <b/>
        <sz val="11"/>
        <color theme="1"/>
        <rFont val="Calibri"/>
        <family val="2"/>
        <scheme val="minor"/>
      </rPr>
      <t>InadequatePerformance</t>
    </r>
    <r>
      <rPr>
        <sz val="11"/>
        <color theme="1"/>
        <rFont val="Calibri"/>
        <family val="2"/>
        <scheme val="minor"/>
      </rPr>
      <t xml:space="preserve"> - Inadequate performance
</t>
    </r>
    <r>
      <rPr>
        <b/>
        <sz val="11"/>
        <color theme="1"/>
        <rFont val="Calibri"/>
        <family val="2"/>
        <scheme val="minor"/>
      </rPr>
      <t>InsufficientCredits</t>
    </r>
    <r>
      <rPr>
        <sz val="11"/>
        <color theme="1"/>
        <rFont val="Calibri"/>
        <family val="2"/>
        <scheme val="minor"/>
      </rPr>
      <t xml:space="preserve"> - Insufficient credits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ProlongedAbsence</t>
    </r>
    <r>
      <rPr>
        <sz val="11"/>
        <color theme="1"/>
        <rFont val="Calibri"/>
        <family val="2"/>
        <scheme val="minor"/>
      </rPr>
      <t xml:space="preserve"> - Prolonged absence
</t>
    </r>
  </si>
  <si>
    <r>
      <t>Hours</t>
    </r>
    <r>
      <rPr>
        <sz val="11"/>
        <color theme="1"/>
        <rFont val="Calibri"/>
        <family val="2"/>
        <scheme val="minor"/>
      </rPr>
      <t xml:space="preserve"> - Hours
</t>
    </r>
    <r>
      <rPr>
        <b/>
        <sz val="11"/>
        <color theme="1"/>
        <rFont val="Calibri"/>
        <family val="2"/>
        <scheme val="minor"/>
      </rPr>
      <t>Weeks</t>
    </r>
    <r>
      <rPr>
        <sz val="11"/>
        <color theme="1"/>
        <rFont val="Calibri"/>
        <family val="2"/>
        <scheme val="minor"/>
      </rPr>
      <t xml:space="preserve"> - Weeks
</t>
    </r>
    <r>
      <rPr>
        <b/>
        <sz val="11"/>
        <color theme="1"/>
        <rFont val="Calibri"/>
        <family val="2"/>
        <scheme val="minor"/>
      </rPr>
      <t>Quarters</t>
    </r>
    <r>
      <rPr>
        <sz val="11"/>
        <color theme="1"/>
        <rFont val="Calibri"/>
        <family val="2"/>
        <scheme val="minor"/>
      </rPr>
      <t xml:space="preserve"> - Quarters
</t>
    </r>
    <r>
      <rPr>
        <b/>
        <sz val="11"/>
        <color theme="1"/>
        <rFont val="Calibri"/>
        <family val="2"/>
        <scheme val="minor"/>
      </rPr>
      <t>Semesters</t>
    </r>
    <r>
      <rPr>
        <sz val="11"/>
        <color theme="1"/>
        <rFont val="Calibri"/>
        <family val="2"/>
        <scheme val="minor"/>
      </rPr>
      <t xml:space="preserve"> - Semesters
</t>
    </r>
    <r>
      <rPr>
        <b/>
        <sz val="11"/>
        <color theme="1"/>
        <rFont val="Calibri"/>
        <family val="2"/>
        <scheme val="minor"/>
      </rPr>
      <t>Years</t>
    </r>
    <r>
      <rPr>
        <sz val="11"/>
        <color theme="1"/>
        <rFont val="Calibri"/>
        <family val="2"/>
        <scheme val="minor"/>
      </rPr>
      <t xml:space="preserve"> - Years
</t>
    </r>
  </si>
  <si>
    <r>
      <t>Announced</t>
    </r>
    <r>
      <rPr>
        <sz val="11"/>
        <color theme="1"/>
        <rFont val="Calibri"/>
        <family val="2"/>
        <scheme val="minor"/>
      </rPr>
      <t xml:space="preserve"> - Announced
</t>
    </r>
    <r>
      <rPr>
        <b/>
        <sz val="11"/>
        <color theme="1"/>
        <rFont val="Calibri"/>
        <family val="2"/>
        <scheme val="minor"/>
      </rPr>
      <t>Unannounced</t>
    </r>
    <r>
      <rPr>
        <sz val="11"/>
        <color theme="1"/>
        <rFont val="Calibri"/>
        <family val="2"/>
        <scheme val="minor"/>
      </rPr>
      <t xml:space="preserve"> - Unannounced
</t>
    </r>
  </si>
  <si>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</si>
  <si>
    <r>
      <t>Employer</t>
    </r>
    <r>
      <rPr>
        <sz val="11"/>
        <color theme="1"/>
        <rFont val="Calibri"/>
        <family val="2"/>
        <scheme val="minor"/>
      </rPr>
      <t xml:space="preserve"> - Employer
</t>
    </r>
    <r>
      <rPr>
        <b/>
        <sz val="11"/>
        <color theme="1"/>
        <rFont val="Calibri"/>
        <family val="2"/>
        <scheme val="minor"/>
      </rP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(LEA)
</t>
    </r>
    <r>
      <rPr>
        <b/>
        <sz val="11"/>
        <color theme="1"/>
        <rFont val="Calibri"/>
        <family val="2"/>
        <scheme val="minor"/>
      </rPr>
      <t>IEU</t>
    </r>
    <r>
      <rPr>
        <sz val="11"/>
        <color theme="1"/>
        <rFont val="Calibri"/>
        <family val="2"/>
        <scheme val="minor"/>
      </rPr>
      <t xml:space="preserve"> - Intermediate Educational Unit (IEU)
</t>
    </r>
    <r>
      <rPr>
        <b/>
        <sz val="11"/>
        <color theme="1"/>
        <rFont val="Calibri"/>
        <family val="2"/>
        <scheme val="minor"/>
      </rPr>
      <t>SEA</t>
    </r>
    <r>
      <rPr>
        <sz val="11"/>
        <color theme="1"/>
        <rFont val="Calibri"/>
        <family val="2"/>
        <scheme val="minor"/>
      </rPr>
      <t xml:space="preserve"> - State Education Agency (SEA)
</t>
    </r>
    <r>
      <rPr>
        <b/>
        <sz val="11"/>
        <color theme="1"/>
        <rFont val="Calibri"/>
        <family val="2"/>
        <scheme val="minor"/>
      </rPr>
      <t>Recruiter</t>
    </r>
    <r>
      <rPr>
        <sz val="11"/>
        <color theme="1"/>
        <rFont val="Calibri"/>
        <family val="2"/>
        <scheme val="minor"/>
      </rPr>
      <t xml:space="preserve"> - Recruiter
</t>
    </r>
    <r>
      <rPr>
        <b/>
        <sz val="11"/>
        <color theme="1"/>
        <rFont val="Calibri"/>
        <family val="2"/>
        <scheme val="minor"/>
      </rPr>
      <t>EmployeeBenefitCarrier</t>
    </r>
    <r>
      <rPr>
        <sz val="11"/>
        <color theme="1"/>
        <rFont val="Calibri"/>
        <family val="2"/>
        <scheme val="minor"/>
      </rPr>
      <t xml:space="preserve"> - Employee Benefit Carrier
</t>
    </r>
    <r>
      <rPr>
        <b/>
        <sz val="11"/>
        <color theme="1"/>
        <rFont val="Calibri"/>
        <family val="2"/>
        <scheme val="minor"/>
      </rPr>
      <t>EmployeeBenefitContributor</t>
    </r>
    <r>
      <rPr>
        <sz val="11"/>
        <color theme="1"/>
        <rFont val="Calibri"/>
        <family val="2"/>
        <scheme val="minor"/>
      </rPr>
      <t xml:space="preserve"> - Employee Benefit Contributor
</t>
    </r>
    <r>
      <rPr>
        <b/>
        <sz val="11"/>
        <color theme="1"/>
        <rFont val="Calibri"/>
        <family val="2"/>
        <scheme val="minor"/>
      </rPr>
      <t>ProfessionalMembershipOrganization</t>
    </r>
    <r>
      <rPr>
        <sz val="11"/>
        <color theme="1"/>
        <rFont val="Calibri"/>
        <family val="2"/>
        <scheme val="minor"/>
      </rPr>
      <t xml:space="preserve"> - Professional Membership Organization
</t>
    </r>
    <r>
      <rPr>
        <b/>
        <sz val="11"/>
        <color theme="1"/>
        <rFont val="Calibri"/>
        <family val="2"/>
        <scheme val="minor"/>
      </rPr>
      <t>EducationInstitution</t>
    </r>
    <r>
      <rPr>
        <sz val="11"/>
        <color theme="1"/>
        <rFont val="Calibri"/>
        <family val="2"/>
        <scheme val="minor"/>
      </rPr>
      <t xml:space="preserve"> - Education Institution
</t>
    </r>
    <r>
      <rPr>
        <b/>
        <sz val="11"/>
        <color theme="1"/>
        <rFont val="Calibri"/>
        <family val="2"/>
        <scheme val="minor"/>
      </rPr>
      <t>StaffDevelopmentProvider</t>
    </r>
    <r>
      <rPr>
        <sz val="11"/>
        <color theme="1"/>
        <rFont val="Calibri"/>
        <family val="2"/>
        <scheme val="minor"/>
      </rPr>
      <t xml:space="preserve"> - Staff Development Provider
</t>
    </r>
    <r>
      <rPr>
        <b/>
        <sz val="11"/>
        <color theme="1"/>
        <rFont val="Calibri"/>
        <family val="2"/>
        <scheme val="minor"/>
      </rPr>
      <t>Facility</t>
    </r>
    <r>
      <rPr>
        <sz val="11"/>
        <color theme="1"/>
        <rFont val="Calibri"/>
        <family val="2"/>
        <scheme val="minor"/>
      </rPr>
      <t xml:space="preserve"> - Facility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ServiceProvider</t>
    </r>
    <r>
      <rPr>
        <sz val="11"/>
        <color theme="1"/>
        <rFont val="Calibri"/>
        <family val="2"/>
        <scheme val="minor"/>
      </rPr>
      <t xml:space="preserve"> - Service Provider
</t>
    </r>
    <r>
      <rPr>
        <b/>
        <sz val="11"/>
        <color theme="1"/>
        <rFont val="Calibri"/>
        <family val="2"/>
        <scheme val="minor"/>
      </rPr>
      <t>AffiliatedInstitution</t>
    </r>
    <r>
      <rPr>
        <sz val="11"/>
        <color theme="1"/>
        <rFont val="Calibri"/>
        <family val="2"/>
        <scheme val="minor"/>
      </rPr>
      <t xml:space="preserve"> - Affiliated Institution
</t>
    </r>
    <r>
      <rPr>
        <b/>
        <sz val="11"/>
        <color theme="1"/>
        <rFont val="Calibri"/>
        <family val="2"/>
        <scheme val="minor"/>
      </rPr>
      <t>GoverningBoard</t>
    </r>
    <r>
      <rPr>
        <sz val="11"/>
        <color theme="1"/>
        <rFont val="Calibri"/>
        <family val="2"/>
        <scheme val="minor"/>
      </rPr>
      <t xml:space="preserve"> - Governing Board
</t>
    </r>
    <r>
      <rPr>
        <b/>
        <sz val="11"/>
        <color theme="1"/>
        <rFont val="Calibri"/>
        <family val="2"/>
        <scheme val="minor"/>
      </rPr>
      <t>CredentialingOrganization</t>
    </r>
    <r>
      <rPr>
        <sz val="11"/>
        <color theme="1"/>
        <rFont val="Calibri"/>
        <family val="2"/>
        <scheme val="minor"/>
      </rPr>
      <t xml:space="preserve"> - Credentialing Organization
</t>
    </r>
    <r>
      <rPr>
        <b/>
        <sz val="11"/>
        <color theme="1"/>
        <rFont val="Calibri"/>
        <family val="2"/>
        <scheme val="minor"/>
      </rPr>
      <t>AccreditingOrganization</t>
    </r>
    <r>
      <rPr>
        <sz val="11"/>
        <color theme="1"/>
        <rFont val="Calibri"/>
        <family val="2"/>
        <scheme val="minor"/>
      </rPr>
      <t xml:space="preserve"> - Accrediting Organization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IDEAPartCLeadAgency</t>
    </r>
    <r>
      <rPr>
        <sz val="11"/>
        <color theme="1"/>
        <rFont val="Calibri"/>
        <family val="2"/>
        <scheme val="minor"/>
      </rPr>
      <t xml:space="preserve"> - IDEA Part C Lead Agency
</t>
    </r>
    <r>
      <rPr>
        <b/>
        <sz val="11"/>
        <color theme="1"/>
        <rFont val="Calibri"/>
        <family val="2"/>
        <scheme val="minor"/>
      </rPr>
      <t>CharterSchoolManagementOrganization</t>
    </r>
    <r>
      <rPr>
        <sz val="11"/>
        <color theme="1"/>
        <rFont val="Calibri"/>
        <family val="2"/>
        <scheme val="minor"/>
      </rPr>
      <t xml:space="preserve"> - Charter School Management Organization
</t>
    </r>
    <r>
      <rPr>
        <b/>
        <sz val="11"/>
        <color theme="1"/>
        <rFont val="Calibri"/>
        <family val="2"/>
        <scheme val="minor"/>
      </rPr>
      <t>CharterSchoolAuthorizingOrganization</t>
    </r>
    <r>
      <rPr>
        <sz val="11"/>
        <color theme="1"/>
        <rFont val="Calibri"/>
        <family val="2"/>
        <scheme val="minor"/>
      </rPr>
      <t xml:space="preserve"> - Charter School Authorizing Organization
</t>
    </r>
  </si>
  <si>
    <r>
      <t>Alias</t>
    </r>
    <r>
      <rPr>
        <sz val="11"/>
        <color theme="1"/>
        <rFont val="Calibri"/>
        <family val="2"/>
        <scheme val="minor"/>
      </rPr>
      <t xml:space="preserve"> - Alias
</t>
    </r>
    <r>
      <rPr>
        <b/>
        <sz val="11"/>
        <color theme="1"/>
        <rFont val="Calibri"/>
        <family val="2"/>
        <scheme val="minor"/>
      </rPr>
      <t>Nickname</t>
    </r>
    <r>
      <rPr>
        <sz val="11"/>
        <color theme="1"/>
        <rFont val="Calibri"/>
        <family val="2"/>
        <scheme val="minor"/>
      </rPr>
      <t xml:space="preserve"> - Nickname
</t>
    </r>
    <r>
      <rPr>
        <b/>
        <sz val="11"/>
        <color theme="1"/>
        <rFont val="Calibri"/>
        <family val="2"/>
        <scheme val="minor"/>
      </rPr>
      <t>OtherName</t>
    </r>
    <r>
      <rPr>
        <sz val="11"/>
        <color theme="1"/>
        <rFont val="Calibri"/>
        <family val="2"/>
        <scheme val="minor"/>
      </rPr>
      <t xml:space="preserve"> - Other name
</t>
    </r>
    <r>
      <rPr>
        <b/>
        <sz val="11"/>
        <color theme="1"/>
        <rFont val="Calibri"/>
        <family val="2"/>
        <scheme val="minor"/>
      </rPr>
      <t>PreviousLegalName</t>
    </r>
    <r>
      <rPr>
        <sz val="11"/>
        <color theme="1"/>
        <rFont val="Calibri"/>
        <family val="2"/>
        <scheme val="minor"/>
      </rPr>
      <t xml:space="preserve"> - Previous legal name
</t>
    </r>
    <r>
      <rPr>
        <b/>
        <sz val="11"/>
        <color theme="1"/>
        <rFont val="Calibri"/>
        <family val="2"/>
        <scheme val="minor"/>
      </rPr>
      <t>PreferredFamilyName</t>
    </r>
    <r>
      <rPr>
        <sz val="11"/>
        <color theme="1"/>
        <rFont val="Calibri"/>
        <family val="2"/>
        <scheme val="minor"/>
      </rPr>
      <t xml:space="preserve"> - Preferred Family Name
</t>
    </r>
    <r>
      <rPr>
        <b/>
        <sz val="11"/>
        <color theme="1"/>
        <rFont val="Calibri"/>
        <family val="2"/>
        <scheme val="minor"/>
      </rPr>
      <t>PreferredGivenName</t>
    </r>
    <r>
      <rPr>
        <sz val="11"/>
        <color theme="1"/>
        <rFont val="Calibri"/>
        <family val="2"/>
        <scheme val="minor"/>
      </rPr>
      <t xml:space="preserve"> - Preferred Given Name
</t>
    </r>
    <r>
      <rPr>
        <b/>
        <sz val="11"/>
        <color theme="1"/>
        <rFont val="Calibri"/>
        <family val="2"/>
        <scheme val="minor"/>
      </rPr>
      <t>FullName</t>
    </r>
    <r>
      <rPr>
        <sz val="11"/>
        <color theme="1"/>
        <rFont val="Calibri"/>
        <family val="2"/>
        <scheme val="minor"/>
      </rPr>
      <t xml:space="preserve"> - Full Name
</t>
    </r>
  </si>
  <si>
    <r>
      <t>Qualified</t>
    </r>
    <r>
      <rPr>
        <sz val="11"/>
        <color theme="1"/>
        <rFont val="Calibri"/>
        <family val="2"/>
        <scheme val="minor"/>
      </rPr>
      <t xml:space="preserve"> - Qualified
</t>
    </r>
    <r>
      <rPr>
        <b/>
        <sz val="11"/>
        <color theme="1"/>
        <rFont val="Calibri"/>
        <family val="2"/>
        <scheme val="minor"/>
      </rPr>
      <t>NotQualified</t>
    </r>
    <r>
      <rPr>
        <sz val="11"/>
        <color theme="1"/>
        <rFont val="Calibri"/>
        <family val="2"/>
        <scheme val="minor"/>
      </rPr>
      <t xml:space="preserve"> - Not Qualified
</t>
    </r>
  </si>
  <si>
    <r>
      <t>InPerson</t>
    </r>
    <r>
      <rPr>
        <sz val="11"/>
        <color theme="1"/>
        <rFont val="Calibri"/>
        <family val="2"/>
        <scheme val="minor"/>
      </rPr>
      <t xml:space="preserve"> - In-person
</t>
    </r>
    <r>
      <rPr>
        <b/>
        <sz val="11"/>
        <color theme="1"/>
        <rFont val="Calibri"/>
        <family val="2"/>
        <scheme val="minor"/>
      </rPr>
      <t>Phone</t>
    </r>
    <r>
      <rPr>
        <sz val="11"/>
        <color theme="1"/>
        <rFont val="Calibri"/>
        <family val="2"/>
        <scheme val="minor"/>
      </rPr>
      <t xml:space="preserve"> - Phone
</t>
    </r>
    <r>
      <rPr>
        <b/>
        <sz val="11"/>
        <color theme="1"/>
        <rFont val="Calibri"/>
        <family val="2"/>
        <scheme val="minor"/>
      </rPr>
      <t>Website</t>
    </r>
    <r>
      <rPr>
        <sz val="11"/>
        <color theme="1"/>
        <rFont val="Calibri"/>
        <family val="2"/>
        <scheme val="minor"/>
      </rPr>
      <t xml:space="preserve"> - Website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Newsletter</t>
    </r>
    <r>
      <rPr>
        <sz val="11"/>
        <color theme="1"/>
        <rFont val="Calibri"/>
        <family val="2"/>
        <scheme val="minor"/>
      </rPr>
      <t xml:space="preserve"> - Newsletter
</t>
    </r>
    <r>
      <rPr>
        <b/>
        <sz val="11"/>
        <color theme="1"/>
        <rFont val="Calibri"/>
        <family val="2"/>
        <scheme val="minor"/>
      </rPr>
      <t>BulletinBoard</t>
    </r>
    <r>
      <rPr>
        <sz val="11"/>
        <color theme="1"/>
        <rFont val="Calibri"/>
        <family val="2"/>
        <scheme val="minor"/>
      </rPr>
      <t xml:space="preserve"> - Bulletin board
</t>
    </r>
    <r>
      <rPr>
        <b/>
        <sz val="11"/>
        <color theme="1"/>
        <rFont val="Calibri"/>
        <family val="2"/>
        <scheme val="minor"/>
      </rPr>
      <t>HomeVisit</t>
    </r>
    <r>
      <rPr>
        <sz val="11"/>
        <color theme="1"/>
        <rFont val="Calibri"/>
        <family val="2"/>
        <scheme val="minor"/>
      </rPr>
      <t xml:space="preserve"> - Home visit
</t>
    </r>
    <r>
      <rPr>
        <b/>
        <sz val="11"/>
        <color theme="1"/>
        <rFont val="Calibri"/>
        <family val="2"/>
        <scheme val="minor"/>
      </rPr>
      <t>Fax</t>
    </r>
    <r>
      <rPr>
        <sz val="11"/>
        <color theme="1"/>
        <rFont val="Calibri"/>
        <family val="2"/>
        <scheme val="minor"/>
      </rPr>
      <t xml:space="preserve"> - Fax
</t>
    </r>
    <r>
      <rPr>
        <b/>
        <sz val="11"/>
        <color theme="1"/>
        <rFont val="Calibri"/>
        <family val="2"/>
        <scheme val="minor"/>
      </rPr>
      <t>Other</t>
    </r>
    <r>
      <rPr>
        <sz val="11"/>
        <color theme="1"/>
        <rFont val="Calibri"/>
        <family val="2"/>
        <scheme val="minor"/>
      </rPr>
      <t xml:space="preserve"> - Other
</t>
    </r>
  </si>
  <si>
    <r>
      <t>FreeBreakfast</t>
    </r>
    <r>
      <rPr>
        <sz val="11"/>
        <color theme="1"/>
        <rFont val="Calibri"/>
        <family val="2"/>
        <scheme val="minor"/>
      </rPr>
      <t xml:space="preserve"> - Free breakfast
</t>
    </r>
    <r>
      <rPr>
        <b/>
        <sz val="11"/>
        <color theme="1"/>
        <rFont val="Calibri"/>
        <family val="2"/>
        <scheme val="minor"/>
      </rPr>
      <t>FreeLunch</t>
    </r>
    <r>
      <rPr>
        <sz val="11"/>
        <color theme="1"/>
        <rFont val="Calibri"/>
        <family val="2"/>
        <scheme val="minor"/>
      </rPr>
      <t xml:space="preserve"> - Free lunch
</t>
    </r>
    <r>
      <rPr>
        <b/>
        <sz val="11"/>
        <color theme="1"/>
        <rFont val="Calibri"/>
        <family val="2"/>
        <scheme val="minor"/>
      </rPr>
      <t>FreeMilk</t>
    </r>
    <r>
      <rPr>
        <sz val="11"/>
        <color theme="1"/>
        <rFont val="Calibri"/>
        <family val="2"/>
        <scheme val="minor"/>
      </rPr>
      <t xml:space="preserve"> - Free milk
</t>
    </r>
    <r>
      <rPr>
        <b/>
        <sz val="11"/>
        <color theme="1"/>
        <rFont val="Calibri"/>
        <family val="2"/>
        <scheme val="minor"/>
      </rPr>
      <t>FreeSnack</t>
    </r>
    <r>
      <rPr>
        <sz val="11"/>
        <color theme="1"/>
        <rFont val="Calibri"/>
        <family val="2"/>
        <scheme val="minor"/>
      </rPr>
      <t xml:space="preserve"> - Free snack
</t>
    </r>
    <r>
      <rPr>
        <b/>
        <sz val="11"/>
        <color theme="1"/>
        <rFont val="Calibri"/>
        <family val="2"/>
        <scheme val="minor"/>
      </rPr>
      <t>FreeSupper</t>
    </r>
    <r>
      <rPr>
        <sz val="11"/>
        <color theme="1"/>
        <rFont val="Calibri"/>
        <family val="2"/>
        <scheme val="minor"/>
      </rPr>
      <t xml:space="preserve"> - Free supper
</t>
    </r>
    <r>
      <rPr>
        <b/>
        <sz val="11"/>
        <color theme="1"/>
        <rFont val="Calibri"/>
        <family val="2"/>
        <scheme val="minor"/>
      </rPr>
      <t>FullPriceBreakfast</t>
    </r>
    <r>
      <rPr>
        <sz val="11"/>
        <color theme="1"/>
        <rFont val="Calibri"/>
        <family val="2"/>
        <scheme val="minor"/>
      </rPr>
      <t xml:space="preserve"> - Full price breakfast
</t>
    </r>
    <r>
      <rPr>
        <b/>
        <sz val="11"/>
        <color theme="1"/>
        <rFont val="Calibri"/>
        <family val="2"/>
        <scheme val="minor"/>
      </rPr>
      <t>FullPriceLunch</t>
    </r>
    <r>
      <rPr>
        <sz val="11"/>
        <color theme="1"/>
        <rFont val="Calibri"/>
        <family val="2"/>
        <scheme val="minor"/>
      </rPr>
      <t xml:space="preserve"> - Full price lunch
</t>
    </r>
    <r>
      <rPr>
        <b/>
        <sz val="11"/>
        <color theme="1"/>
        <rFont val="Calibri"/>
        <family val="2"/>
        <scheme val="minor"/>
      </rPr>
      <t>FullPriceMilk</t>
    </r>
    <r>
      <rPr>
        <sz val="11"/>
        <color theme="1"/>
        <rFont val="Calibri"/>
        <family val="2"/>
        <scheme val="minor"/>
      </rPr>
      <t xml:space="preserve"> - Full price milk
</t>
    </r>
    <r>
      <rPr>
        <b/>
        <sz val="11"/>
        <color theme="1"/>
        <rFont val="Calibri"/>
        <family val="2"/>
        <scheme val="minor"/>
      </rPr>
      <t>FullPriceSnack</t>
    </r>
    <r>
      <rPr>
        <sz val="11"/>
        <color theme="1"/>
        <rFont val="Calibri"/>
        <family val="2"/>
        <scheme val="minor"/>
      </rPr>
      <t xml:space="preserve"> - Full price snack
</t>
    </r>
    <r>
      <rPr>
        <b/>
        <sz val="11"/>
        <color theme="1"/>
        <rFont val="Calibri"/>
        <family val="2"/>
        <scheme val="minor"/>
      </rPr>
      <t>FullPriceSupper</t>
    </r>
    <r>
      <rPr>
        <sz val="11"/>
        <color theme="1"/>
        <rFont val="Calibri"/>
        <family val="2"/>
        <scheme val="minor"/>
      </rPr>
      <t xml:space="preserve"> - Full price supper
</t>
    </r>
    <r>
      <rPr>
        <b/>
        <sz val="11"/>
        <color theme="1"/>
        <rFont val="Calibri"/>
        <family val="2"/>
        <scheme val="minor"/>
      </rPr>
      <t>ReducedPriceBreakfast</t>
    </r>
    <r>
      <rPr>
        <sz val="11"/>
        <color theme="1"/>
        <rFont val="Calibri"/>
        <family val="2"/>
        <scheme val="minor"/>
      </rPr>
      <t xml:space="preserve"> - Reduced price breakfast
</t>
    </r>
    <r>
      <rPr>
        <b/>
        <sz val="11"/>
        <color theme="1"/>
        <rFont val="Calibri"/>
        <family val="2"/>
        <scheme val="minor"/>
      </rPr>
      <t>ReducedPriceLunch</t>
    </r>
    <r>
      <rPr>
        <sz val="11"/>
        <color theme="1"/>
        <rFont val="Calibri"/>
        <family val="2"/>
        <scheme val="minor"/>
      </rPr>
      <t xml:space="preserve"> - Reduced price lunch
</t>
    </r>
    <r>
      <rPr>
        <b/>
        <sz val="11"/>
        <color theme="1"/>
        <rFont val="Calibri"/>
        <family val="2"/>
        <scheme val="minor"/>
      </rPr>
      <t>ReducedPriceSnack</t>
    </r>
    <r>
      <rPr>
        <sz val="11"/>
        <color theme="1"/>
        <rFont val="Calibri"/>
        <family val="2"/>
        <scheme val="minor"/>
      </rPr>
      <t xml:space="preserve"> - Reduced price snack
</t>
    </r>
    <r>
      <rPr>
        <b/>
        <sz val="11"/>
        <color theme="1"/>
        <rFont val="Calibri"/>
        <family val="2"/>
        <scheme val="minor"/>
      </rPr>
      <t>ReducedPriceSupper</t>
    </r>
    <r>
      <rPr>
        <sz val="11"/>
        <color theme="1"/>
        <rFont val="Calibri"/>
        <family val="2"/>
        <scheme val="minor"/>
      </rPr>
      <t xml:space="preserve"> - Reduced price supper
</t>
    </r>
    <r>
      <rPr>
        <b/>
        <sz val="11"/>
        <color theme="1"/>
        <rFont val="Calibri"/>
        <family val="2"/>
        <scheme val="minor"/>
      </rPr>
      <t>Other</t>
    </r>
    <r>
      <rPr>
        <sz val="11"/>
        <color theme="1"/>
        <rFont val="Calibri"/>
        <family val="2"/>
        <scheme val="minor"/>
      </rPr>
      <t xml:space="preserve"> - Other
</t>
    </r>
  </si>
  <si>
    <r>
      <t>Met</t>
    </r>
    <r>
      <rPr>
        <sz val="11"/>
        <color theme="1"/>
        <rFont val="Calibri"/>
        <family val="2"/>
        <scheme val="minor"/>
      </rPr>
      <t xml:space="preserve"> - Met 95%
</t>
    </r>
    <r>
      <rPr>
        <b/>
        <sz val="11"/>
        <color theme="1"/>
        <rFont val="Calibri"/>
        <family val="2"/>
        <scheme val="minor"/>
      </rPr>
      <t>DidNotMeet</t>
    </r>
    <r>
      <rPr>
        <sz val="11"/>
        <color theme="1"/>
        <rFont val="Calibri"/>
        <family val="2"/>
        <scheme val="minor"/>
      </rPr>
      <t xml:space="preserve"> - Did not Meet 95%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</si>
  <si>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Institution</t>
    </r>
    <r>
      <rPr>
        <sz val="11"/>
        <color theme="1"/>
        <rFont val="Calibri"/>
        <family val="2"/>
        <scheme val="minor"/>
      </rPr>
      <t xml:space="preserve"> - Institution-assigned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</si>
  <si>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Aunt</t>
    </r>
    <r>
      <rPr>
        <sz val="11"/>
        <color theme="1"/>
        <rFont val="Calibri"/>
        <family val="2"/>
        <scheme val="minor"/>
      </rPr>
      <t xml:space="preserve"> - Aunt
</t>
    </r>
    <r>
      <rPr>
        <b/>
        <sz val="11"/>
        <color theme="1"/>
        <rFont val="Calibri"/>
        <family val="2"/>
        <scheme val="minor"/>
      </rPr>
      <t>Brother</t>
    </r>
    <r>
      <rPr>
        <sz val="11"/>
        <color theme="1"/>
        <rFont val="Calibri"/>
        <family val="2"/>
        <scheme val="minor"/>
      </rPr>
      <t xml:space="preserve"> - Brother
</t>
    </r>
    <r>
      <rPr>
        <b/>
        <sz val="11"/>
        <color theme="1"/>
        <rFont val="Calibri"/>
        <family val="2"/>
        <scheme val="minor"/>
      </rPr>
      <t>BrotherInLaw</t>
    </r>
    <r>
      <rPr>
        <sz val="11"/>
        <color theme="1"/>
        <rFont val="Calibri"/>
        <family val="2"/>
        <scheme val="minor"/>
      </rPr>
      <t xml:space="preserve"> - Brother-in-law
</t>
    </r>
    <r>
      <rPr>
        <b/>
        <sz val="11"/>
        <color theme="1"/>
        <rFont val="Calibri"/>
        <family val="2"/>
        <scheme val="minor"/>
      </rPr>
      <t>CourtAppointedGuardian</t>
    </r>
    <r>
      <rPr>
        <sz val="11"/>
        <color theme="1"/>
        <rFont val="Calibri"/>
        <family val="2"/>
        <scheme val="minor"/>
      </rPr>
      <t xml:space="preserve"> - Court appointed guardian
</t>
    </r>
    <r>
      <rPr>
        <b/>
        <sz val="11"/>
        <color theme="1"/>
        <rFont val="Calibri"/>
        <family val="2"/>
        <scheme val="minor"/>
      </rPr>
      <t>Daughter</t>
    </r>
    <r>
      <rPr>
        <sz val="11"/>
        <color theme="1"/>
        <rFont val="Calibri"/>
        <family val="2"/>
        <scheme val="minor"/>
      </rPr>
      <t xml:space="preserve"> - Daughter
</t>
    </r>
    <r>
      <rPr>
        <b/>
        <sz val="11"/>
        <color theme="1"/>
        <rFont val="Calibri"/>
        <family val="2"/>
        <scheme val="minor"/>
      </rPr>
      <t>DaughterInLaw</t>
    </r>
    <r>
      <rPr>
        <sz val="11"/>
        <color theme="1"/>
        <rFont val="Calibri"/>
        <family val="2"/>
        <scheme val="minor"/>
      </rPr>
      <t xml:space="preserve"> - Daughter-in-law
</t>
    </r>
    <r>
      <rPr>
        <b/>
        <sz val="11"/>
        <color theme="1"/>
        <rFont val="Calibri"/>
        <family val="2"/>
        <scheme val="minor"/>
      </rPr>
      <t>Employer</t>
    </r>
    <r>
      <rPr>
        <sz val="11"/>
        <color theme="1"/>
        <rFont val="Calibri"/>
        <family val="2"/>
        <scheme val="minor"/>
      </rPr>
      <t xml:space="preserve"> - Employer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FathersSignificantOther</t>
    </r>
    <r>
      <rPr>
        <sz val="11"/>
        <color theme="1"/>
        <rFont val="Calibri"/>
        <family val="2"/>
        <scheme val="minor"/>
      </rPr>
      <t xml:space="preserve"> - Father's significant other
</t>
    </r>
    <r>
      <rPr>
        <b/>
        <sz val="11"/>
        <color theme="1"/>
        <rFont val="Calibri"/>
        <family val="2"/>
        <scheme val="minor"/>
      </rPr>
      <t>FathersCivilPartner</t>
    </r>
    <r>
      <rPr>
        <sz val="11"/>
        <color theme="1"/>
        <rFont val="Calibri"/>
        <family val="2"/>
        <scheme val="minor"/>
      </rPr>
      <t xml:space="preserve"> - Father's civil partner
</t>
    </r>
    <r>
      <rPr>
        <b/>
        <sz val="11"/>
        <color theme="1"/>
        <rFont val="Calibri"/>
        <family val="2"/>
        <scheme val="minor"/>
      </rPr>
      <t>FatherInLaw</t>
    </r>
    <r>
      <rPr>
        <sz val="11"/>
        <color theme="1"/>
        <rFont val="Calibri"/>
        <family val="2"/>
        <scheme val="minor"/>
      </rPr>
      <t xml:space="preserve"> - Father-in-law
</t>
    </r>
    <r>
      <rPr>
        <b/>
        <sz val="11"/>
        <color theme="1"/>
        <rFont val="Calibri"/>
        <family val="2"/>
        <scheme val="minor"/>
      </rPr>
      <t>Fiance</t>
    </r>
    <r>
      <rPr>
        <sz val="11"/>
        <color theme="1"/>
        <rFont val="Calibri"/>
        <family val="2"/>
        <scheme val="minor"/>
      </rPr>
      <t xml:space="preserve"> - Fiance
</t>
    </r>
    <r>
      <rPr>
        <b/>
        <sz val="11"/>
        <color theme="1"/>
        <rFont val="Calibri"/>
        <family val="2"/>
        <scheme val="minor"/>
      </rPr>
      <t>Fiancee</t>
    </r>
    <r>
      <rPr>
        <sz val="11"/>
        <color theme="1"/>
        <rFont val="Calibri"/>
        <family val="2"/>
        <scheme val="minor"/>
      </rPr>
      <t xml:space="preserve"> - Fiancee
</t>
    </r>
    <r>
      <rPr>
        <b/>
        <sz val="11"/>
        <color theme="1"/>
        <rFont val="Calibri"/>
        <family val="2"/>
        <scheme val="minor"/>
      </rPr>
      <t>Friend</t>
    </r>
    <r>
      <rPr>
        <sz val="11"/>
        <color theme="1"/>
        <rFont val="Calibri"/>
        <family val="2"/>
        <scheme val="minor"/>
      </rPr>
      <t xml:space="preserve"> - Friend
</t>
    </r>
    <r>
      <rPr>
        <b/>
        <sz val="11"/>
        <color theme="1"/>
        <rFont val="Calibri"/>
        <family val="2"/>
        <scheme val="minor"/>
      </rPr>
      <t>Grandfather</t>
    </r>
    <r>
      <rPr>
        <sz val="11"/>
        <color theme="1"/>
        <rFont val="Calibri"/>
        <family val="2"/>
        <scheme val="minor"/>
      </rPr>
      <t xml:space="preserve"> - Grandfather
</t>
    </r>
    <r>
      <rPr>
        <b/>
        <sz val="11"/>
        <color theme="1"/>
        <rFont val="Calibri"/>
        <family val="2"/>
        <scheme val="minor"/>
      </rPr>
      <t>Grandmother</t>
    </r>
    <r>
      <rPr>
        <sz val="11"/>
        <color theme="1"/>
        <rFont val="Calibri"/>
        <family val="2"/>
        <scheme val="minor"/>
      </rPr>
      <t xml:space="preserve"> - Grandmother
</t>
    </r>
    <r>
      <rPr>
        <b/>
        <sz val="11"/>
        <color theme="1"/>
        <rFont val="Calibri"/>
        <family val="2"/>
        <scheme val="minor"/>
      </rPr>
      <t>Husband</t>
    </r>
    <r>
      <rPr>
        <sz val="11"/>
        <color theme="1"/>
        <rFont val="Calibri"/>
        <family val="2"/>
        <scheme val="minor"/>
      </rPr>
      <t xml:space="preserve"> - Husband
</t>
    </r>
    <r>
      <rPr>
        <b/>
        <sz val="11"/>
        <color theme="1"/>
        <rFont val="Calibri"/>
        <family val="2"/>
        <scheme val="minor"/>
      </rPr>
      <t>MothersSignificantOther</t>
    </r>
    <r>
      <rPr>
        <sz val="11"/>
        <color theme="1"/>
        <rFont val="Calibri"/>
        <family val="2"/>
        <scheme val="minor"/>
      </rPr>
      <t xml:space="preserve"> - Mother's significant other
</t>
    </r>
    <r>
      <rPr>
        <b/>
        <sz val="11"/>
        <color theme="1"/>
        <rFont val="Calibri"/>
        <family val="2"/>
        <scheme val="minor"/>
      </rPr>
      <t>Mother</t>
    </r>
    <r>
      <rPr>
        <sz val="11"/>
        <color theme="1"/>
        <rFont val="Calibri"/>
        <family val="2"/>
        <scheme val="minor"/>
      </rPr>
      <t xml:space="preserve"> - Mother
</t>
    </r>
    <r>
      <rPr>
        <b/>
        <sz val="11"/>
        <color theme="1"/>
        <rFont val="Calibri"/>
        <family val="2"/>
        <scheme val="minor"/>
      </rPr>
      <t>MothersCivilPartner</t>
    </r>
    <r>
      <rPr>
        <sz val="11"/>
        <color theme="1"/>
        <rFont val="Calibri"/>
        <family val="2"/>
        <scheme val="minor"/>
      </rPr>
      <t xml:space="preserve"> - Mother's civil partner
</t>
    </r>
    <r>
      <rPr>
        <b/>
        <sz val="11"/>
        <color theme="1"/>
        <rFont val="Calibri"/>
        <family val="2"/>
        <scheme val="minor"/>
      </rPr>
      <t>Nephew</t>
    </r>
    <r>
      <rPr>
        <sz val="11"/>
        <color theme="1"/>
        <rFont val="Calibri"/>
        <family val="2"/>
        <scheme val="minor"/>
      </rPr>
      <t xml:space="preserve"> - Nephew
</t>
    </r>
    <r>
      <rPr>
        <b/>
        <sz val="11"/>
        <color theme="1"/>
        <rFont val="Calibri"/>
        <family val="2"/>
        <scheme val="minor"/>
      </rPr>
      <t>Niece</t>
    </r>
    <r>
      <rPr>
        <sz val="11"/>
        <color theme="1"/>
        <rFont val="Calibri"/>
        <family val="2"/>
        <scheme val="minor"/>
      </rPr>
      <t xml:space="preserve"> - Niece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SignificantOther</t>
    </r>
    <r>
      <rPr>
        <sz val="11"/>
        <color theme="1"/>
        <rFont val="Calibri"/>
        <family val="2"/>
        <scheme val="minor"/>
      </rPr>
      <t xml:space="preserve"> - Significant other
</t>
    </r>
    <r>
      <rPr>
        <b/>
        <sz val="11"/>
        <color theme="1"/>
        <rFont val="Calibri"/>
        <family val="2"/>
        <scheme val="minor"/>
      </rPr>
      <t>Sister</t>
    </r>
    <r>
      <rPr>
        <sz val="11"/>
        <color theme="1"/>
        <rFont val="Calibri"/>
        <family val="2"/>
        <scheme val="minor"/>
      </rPr>
      <t xml:space="preserve"> - Sister
</t>
    </r>
    <r>
      <rPr>
        <b/>
        <sz val="11"/>
        <color theme="1"/>
        <rFont val="Calibri"/>
        <family val="2"/>
        <scheme val="minor"/>
      </rPr>
      <t>Son</t>
    </r>
    <r>
      <rPr>
        <sz val="11"/>
        <color theme="1"/>
        <rFont val="Calibri"/>
        <family val="2"/>
        <scheme val="minor"/>
      </rPr>
      <t xml:space="preserve"> - Son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Ward</t>
    </r>
    <r>
      <rPr>
        <sz val="11"/>
        <color theme="1"/>
        <rFont val="Calibri"/>
        <family val="2"/>
        <scheme val="minor"/>
      </rPr>
      <t xml:space="preserve"> - Ward
</t>
    </r>
    <r>
      <rPr>
        <b/>
        <sz val="11"/>
        <color theme="1"/>
        <rFont val="Calibri"/>
        <family val="2"/>
        <scheme val="minor"/>
      </rPr>
      <t>Wife</t>
    </r>
    <r>
      <rPr>
        <sz val="11"/>
        <color theme="1"/>
        <rFont val="Calibri"/>
        <family val="2"/>
        <scheme val="minor"/>
      </rPr>
      <t xml:space="preserve"> - Wife
</t>
    </r>
  </si>
  <si>
    <r>
      <t>01003</t>
    </r>
    <r>
      <rPr>
        <sz val="11"/>
        <color theme="1"/>
        <rFont val="Calibri"/>
        <family val="2"/>
        <scheme val="minor"/>
      </rPr>
      <t xml:space="preserve"> - Baptismal or church certificate
</t>
    </r>
    <r>
      <rPr>
        <b/>
        <sz val="11"/>
        <color theme="1"/>
        <rFont val="Calibri"/>
        <family val="2"/>
        <scheme val="minor"/>
      </rPr>
      <t>01004</t>
    </r>
    <r>
      <rPr>
        <sz val="11"/>
        <color theme="1"/>
        <rFont val="Calibri"/>
        <family val="2"/>
        <scheme val="minor"/>
      </rPr>
      <t xml:space="preserve"> - Birth certificate
</t>
    </r>
    <r>
      <rPr>
        <b/>
        <sz val="11"/>
        <color theme="1"/>
        <rFont val="Calibri"/>
        <family val="2"/>
        <scheme val="minor"/>
      </rPr>
      <t>01012</t>
    </r>
    <r>
      <rPr>
        <sz val="11"/>
        <color theme="1"/>
        <rFont val="Calibri"/>
        <family val="2"/>
        <scheme val="minor"/>
      </rPr>
      <t xml:space="preserve"> - Driver's license
</t>
    </r>
    <r>
      <rPr>
        <b/>
        <sz val="11"/>
        <color theme="1"/>
        <rFont val="Calibri"/>
        <family val="2"/>
        <scheme val="minor"/>
      </rPr>
      <t>01005</t>
    </r>
    <r>
      <rPr>
        <sz val="11"/>
        <color theme="1"/>
        <rFont val="Calibri"/>
        <family val="2"/>
        <scheme val="minor"/>
      </rPr>
      <t xml:space="preserve"> - Entry in family Bible
</t>
    </r>
    <r>
      <rPr>
        <b/>
        <sz val="11"/>
        <color theme="1"/>
        <rFont val="Calibri"/>
        <family val="2"/>
        <scheme val="minor"/>
      </rPr>
      <t>01006</t>
    </r>
    <r>
      <rPr>
        <sz val="11"/>
        <color theme="1"/>
        <rFont val="Calibri"/>
        <family val="2"/>
        <scheme val="minor"/>
      </rPr>
      <t xml:space="preserve"> - Hospital certificate
</t>
    </r>
    <r>
      <rPr>
        <b/>
        <sz val="11"/>
        <color theme="1"/>
        <rFont val="Calibri"/>
        <family val="2"/>
        <scheme val="minor"/>
      </rPr>
      <t>01013</t>
    </r>
    <r>
      <rPr>
        <sz val="11"/>
        <color theme="1"/>
        <rFont val="Calibri"/>
        <family val="2"/>
        <scheme val="minor"/>
      </rPr>
      <t xml:space="preserve"> - Immigration document/visa
</t>
    </r>
    <r>
      <rPr>
        <b/>
        <sz val="11"/>
        <color theme="1"/>
        <rFont val="Calibri"/>
        <family val="2"/>
        <scheme val="minor"/>
      </rPr>
      <t>02382</t>
    </r>
    <r>
      <rPr>
        <sz val="11"/>
        <color theme="1"/>
        <rFont val="Calibri"/>
        <family val="2"/>
        <scheme val="minor"/>
      </rPr>
      <t xml:space="preserve"> - Life insurance policy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03424</t>
    </r>
    <r>
      <rPr>
        <sz val="11"/>
        <color theme="1"/>
        <rFont val="Calibri"/>
        <family val="2"/>
        <scheme val="minor"/>
      </rPr>
      <t xml:space="preserve"> - Other non-official document
</t>
    </r>
    <r>
      <rPr>
        <b/>
        <sz val="11"/>
        <color theme="1"/>
        <rFont val="Calibri"/>
        <family val="2"/>
        <scheme val="minor"/>
      </rPr>
      <t>03423</t>
    </r>
    <r>
      <rPr>
        <sz val="11"/>
        <color theme="1"/>
        <rFont val="Calibri"/>
        <family val="2"/>
        <scheme val="minor"/>
      </rPr>
      <t xml:space="preserve"> - Other official document
</t>
    </r>
    <r>
      <rPr>
        <b/>
        <sz val="11"/>
        <color theme="1"/>
        <rFont val="Calibri"/>
        <family val="2"/>
        <scheme val="minor"/>
      </rPr>
      <t>01007</t>
    </r>
    <r>
      <rPr>
        <sz val="11"/>
        <color theme="1"/>
        <rFont val="Calibri"/>
        <family val="2"/>
        <scheme val="minor"/>
      </rPr>
      <t xml:space="preserve"> - Parent's affidavit
</t>
    </r>
    <r>
      <rPr>
        <b/>
        <sz val="11"/>
        <color theme="1"/>
        <rFont val="Calibri"/>
        <family val="2"/>
        <scheme val="minor"/>
      </rPr>
      <t>01008</t>
    </r>
    <r>
      <rPr>
        <sz val="11"/>
        <color theme="1"/>
        <rFont val="Calibri"/>
        <family val="2"/>
        <scheme val="minor"/>
      </rPr>
      <t xml:space="preserve"> - Passport
</t>
    </r>
    <r>
      <rPr>
        <b/>
        <sz val="11"/>
        <color theme="1"/>
        <rFont val="Calibri"/>
        <family val="2"/>
        <scheme val="minor"/>
      </rPr>
      <t>01009</t>
    </r>
    <r>
      <rPr>
        <sz val="11"/>
        <color theme="1"/>
        <rFont val="Calibri"/>
        <family val="2"/>
        <scheme val="minor"/>
      </rPr>
      <t xml:space="preserve"> - Physician's certificate
</t>
    </r>
    <r>
      <rPr>
        <b/>
        <sz val="11"/>
        <color theme="1"/>
        <rFont val="Calibri"/>
        <family val="2"/>
        <scheme val="minor"/>
      </rPr>
      <t>01010</t>
    </r>
    <r>
      <rPr>
        <sz val="11"/>
        <color theme="1"/>
        <rFont val="Calibri"/>
        <family val="2"/>
        <scheme val="minor"/>
      </rPr>
      <t xml:space="preserve"> - Previously verified school records
</t>
    </r>
    <r>
      <rPr>
        <b/>
        <sz val="11"/>
        <color theme="1"/>
        <rFont val="Calibri"/>
        <family val="2"/>
        <scheme val="minor"/>
      </rPr>
      <t>01011</t>
    </r>
    <r>
      <rPr>
        <sz val="11"/>
        <color theme="1"/>
        <rFont val="Calibri"/>
        <family val="2"/>
        <scheme val="minor"/>
      </rPr>
      <t xml:space="preserve"> - State-issued ID
</t>
    </r>
  </si>
  <si>
    <r>
      <t>01</t>
    </r>
    <r>
      <rPr>
        <sz val="11"/>
        <color theme="1"/>
        <rFont val="Calibri"/>
        <family val="2"/>
        <scheme val="minor"/>
      </rPr>
      <t xml:space="preserve"> - Staff feedback
</t>
    </r>
    <r>
      <rPr>
        <b/>
        <sz val="11"/>
        <color theme="1"/>
        <rFont val="Calibri"/>
        <family val="2"/>
        <scheme val="minor"/>
      </rPr>
      <t>02</t>
    </r>
    <r>
      <rPr>
        <sz val="11"/>
        <color theme="1"/>
        <rFont val="Calibri"/>
        <family val="2"/>
        <scheme val="minor"/>
      </rPr>
      <t xml:space="preserve"> - Staff meetings
</t>
    </r>
    <r>
      <rPr>
        <b/>
        <sz val="11"/>
        <color theme="1"/>
        <rFont val="Calibri"/>
        <family val="2"/>
        <scheme val="minor"/>
      </rPr>
      <t>03</t>
    </r>
    <r>
      <rPr>
        <sz val="11"/>
        <color theme="1"/>
        <rFont val="Calibri"/>
        <family val="2"/>
        <scheme val="minor"/>
      </rPr>
      <t xml:space="preserve"> - Annual performance evaluation
</t>
    </r>
    <r>
      <rPr>
        <b/>
        <sz val="11"/>
        <color theme="1"/>
        <rFont val="Calibri"/>
        <family val="2"/>
        <scheme val="minor"/>
      </rPr>
      <t>04</t>
    </r>
    <r>
      <rPr>
        <sz val="11"/>
        <color theme="1"/>
        <rFont val="Calibri"/>
        <family val="2"/>
        <scheme val="minor"/>
      </rPr>
      <t xml:space="preserve"> - Personal development plans
</t>
    </r>
    <r>
      <rPr>
        <b/>
        <sz val="11"/>
        <color theme="1"/>
        <rFont val="Calibri"/>
        <family val="2"/>
        <scheme val="minor"/>
      </rPr>
      <t>05</t>
    </r>
    <r>
      <rPr>
        <sz val="11"/>
        <color theme="1"/>
        <rFont val="Calibri"/>
        <family val="2"/>
        <scheme val="minor"/>
      </rPr>
      <t xml:space="preserve"> - New staff orientation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</si>
  <si>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r>
      <rPr>
        <b/>
        <sz val="11"/>
        <color theme="1"/>
        <rFont val="Calibri"/>
        <family val="2"/>
        <scheme val="minor"/>
      </rPr>
      <t>04</t>
    </r>
    <r>
      <rPr>
        <sz val="11"/>
        <color theme="1"/>
        <rFont val="Calibri"/>
        <family val="2"/>
        <scheme val="minor"/>
      </rPr>
      <t xml:space="preserve"> - Less than full-time but at least three quarter-time
</t>
    </r>
    <r>
      <rPr>
        <b/>
        <sz val="11"/>
        <color theme="1"/>
        <rFont val="Calibri"/>
        <family val="2"/>
        <scheme val="minor"/>
      </rPr>
      <t>05</t>
    </r>
    <r>
      <rPr>
        <sz val="11"/>
        <color theme="1"/>
        <rFont val="Calibri"/>
        <family val="2"/>
        <scheme val="minor"/>
      </rPr>
      <t xml:space="preserve"> - Less than three quarter-time but at least half-time
</t>
    </r>
  </si>
  <si>
    <r>
      <t>FirstTime</t>
    </r>
    <r>
      <rPr>
        <sz val="11"/>
        <color theme="1"/>
        <rFont val="Calibri"/>
        <family val="2"/>
        <scheme val="minor"/>
      </rPr>
      <t xml:space="preserve"> - First time at institution, non-transfer in
</t>
    </r>
    <r>
      <rPr>
        <b/>
        <sz val="11"/>
        <color theme="1"/>
        <rFont val="Calibri"/>
        <family val="2"/>
        <scheme val="minor"/>
      </rPr>
      <t>Continuing</t>
    </r>
    <r>
      <rPr>
        <sz val="11"/>
        <color theme="1"/>
        <rFont val="Calibri"/>
        <family val="2"/>
        <scheme val="minor"/>
      </rPr>
      <t xml:space="preserve"> - Continuing
</t>
    </r>
    <r>
      <rPr>
        <b/>
        <sz val="11"/>
        <color theme="1"/>
        <rFont val="Calibri"/>
        <family val="2"/>
        <scheme val="minor"/>
      </rPr>
      <t>Re-admit</t>
    </r>
    <r>
      <rPr>
        <sz val="11"/>
        <color theme="1"/>
        <rFont val="Calibri"/>
        <family val="2"/>
        <scheme val="minor"/>
      </rPr>
      <t xml:space="preserve"> - Re-admit
</t>
    </r>
    <r>
      <rPr>
        <b/>
        <sz val="11"/>
        <color theme="1"/>
        <rFont val="Calibri"/>
        <family val="2"/>
        <scheme val="minor"/>
      </rPr>
      <t>TransferIn</t>
    </r>
    <r>
      <rPr>
        <sz val="11"/>
        <color theme="1"/>
        <rFont val="Calibri"/>
        <family val="2"/>
        <scheme val="minor"/>
      </rPr>
      <t xml:space="preserve"> - Transfer in
</t>
    </r>
  </si>
  <si>
    <r>
      <t>Withdrawn</t>
    </r>
    <r>
      <rPr>
        <sz val="11"/>
        <color theme="1"/>
        <rFont val="Calibri"/>
        <family val="2"/>
        <scheme val="minor"/>
      </rPr>
      <t xml:space="preserve"> - Withdrawn
</t>
    </r>
    <r>
      <rPr>
        <b/>
        <sz val="11"/>
        <color theme="1"/>
        <rFont val="Calibri"/>
        <family val="2"/>
        <scheme val="minor"/>
      </rPr>
      <t>Graduated</t>
    </r>
    <r>
      <rPr>
        <sz val="11"/>
        <color theme="1"/>
        <rFont val="Calibri"/>
        <family val="2"/>
        <scheme val="minor"/>
      </rPr>
      <t xml:space="preserve"> - Graduated
</t>
    </r>
    <r>
      <rPr>
        <b/>
        <sz val="11"/>
        <color theme="1"/>
        <rFont val="Calibri"/>
        <family val="2"/>
        <scheme val="minor"/>
      </rPr>
      <t>ApprovedLeaveOfAbsence</t>
    </r>
    <r>
      <rPr>
        <sz val="11"/>
        <color theme="1"/>
        <rFont val="Calibri"/>
        <family val="2"/>
        <scheme val="minor"/>
      </rPr>
      <t xml:space="preserve"> - Approved Leave of Absence
</t>
    </r>
    <r>
      <rPr>
        <b/>
        <sz val="11"/>
        <color theme="1"/>
        <rFont val="Calibri"/>
        <family val="2"/>
        <scheme val="minor"/>
      </rPr>
      <t>Deceased</t>
    </r>
    <r>
      <rPr>
        <sz val="11"/>
        <color theme="1"/>
        <rFont val="Calibri"/>
        <family val="2"/>
        <scheme val="minor"/>
      </rPr>
      <t xml:space="preserve"> - Deceased
</t>
    </r>
    <r>
      <rPr>
        <b/>
        <sz val="11"/>
        <color theme="1"/>
        <rFont val="Calibri"/>
        <family val="2"/>
        <scheme val="minor"/>
      </rPr>
      <t>Unknown</t>
    </r>
    <r>
      <rPr>
        <sz val="11"/>
        <color theme="1"/>
        <rFont val="Calibri"/>
        <family val="2"/>
        <scheme val="minor"/>
      </rPr>
      <t xml:space="preserve"> - Unknown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</si>
  <si>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Other</t>
    </r>
    <r>
      <rPr>
        <sz val="11"/>
        <color theme="1"/>
        <rFont val="Calibri"/>
        <family val="2"/>
        <scheme val="minor"/>
      </rPr>
      <t xml:space="preserve"> - Other
</t>
    </r>
  </si>
  <si>
    <r>
      <t>PreAndPostTest</t>
    </r>
    <r>
      <rPr>
        <sz val="11"/>
        <color theme="1"/>
        <rFont val="Calibri"/>
        <family val="2"/>
        <scheme val="minor"/>
      </rPr>
      <t xml:space="preserve"> - The student took both a pre-test and post-test
</t>
    </r>
    <r>
      <rPr>
        <b/>
        <sz val="11"/>
        <color theme="1"/>
        <rFont val="Calibri"/>
        <family val="2"/>
        <scheme val="minor"/>
      </rPr>
      <t>DidNotTakeBoth</t>
    </r>
    <r>
      <rPr>
        <sz val="11"/>
        <color theme="1"/>
        <rFont val="Calibri"/>
        <family val="2"/>
        <scheme val="minor"/>
      </rPr>
      <t xml:space="preserve"> - The student did not take both a pre-test and a post-test
</t>
    </r>
  </si>
  <si>
    <r>
      <t>Semester</t>
    </r>
    <r>
      <rPr>
        <sz val="11"/>
        <color theme="1"/>
        <rFont val="Calibri"/>
        <family val="2"/>
        <scheme val="minor"/>
      </rPr>
      <t xml:space="preserve"> - Semester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4-1-4</t>
    </r>
    <r>
      <rPr>
        <sz val="11"/>
        <color theme="1"/>
        <rFont val="Calibri"/>
        <family val="2"/>
        <scheme val="minor"/>
      </rPr>
      <t xml:space="preserve"> - 4-1-4 or similar plan
</t>
    </r>
    <r>
      <rPr>
        <b/>
        <sz val="11"/>
        <color theme="1"/>
        <rFont val="Calibri"/>
        <family val="2"/>
        <scheme val="minor"/>
      </rPr>
      <t>Other</t>
    </r>
    <r>
      <rPr>
        <sz val="11"/>
        <color theme="1"/>
        <rFont val="Calibri"/>
        <family val="2"/>
        <scheme val="minor"/>
      </rPr>
      <t xml:space="preserve"> - Other academic plan
</t>
    </r>
    <r>
      <rPr>
        <b/>
        <sz val="11"/>
        <color theme="1"/>
        <rFont val="Calibri"/>
        <family val="2"/>
        <scheme val="minor"/>
      </rPr>
      <t>DiffersByProgram</t>
    </r>
    <r>
      <rPr>
        <sz val="11"/>
        <color theme="1"/>
        <rFont val="Calibri"/>
        <family val="2"/>
        <scheme val="minor"/>
      </rPr>
      <t xml:space="preserve"> - Differs by program
</t>
    </r>
    <r>
      <rPr>
        <b/>
        <sz val="11"/>
        <color theme="1"/>
        <rFont val="Calibri"/>
        <family val="2"/>
        <scheme val="minor"/>
      </rPr>
      <t>ContinuousBasis</t>
    </r>
    <r>
      <rPr>
        <sz val="11"/>
        <color theme="1"/>
        <rFont val="Calibri"/>
        <family val="2"/>
        <scheme val="minor"/>
      </rPr>
      <t xml:space="preserve"> - Continuous basis
</t>
    </r>
  </si>
  <si>
    <r>
      <t>All</t>
    </r>
    <r>
      <rPr>
        <sz val="11"/>
        <color theme="1"/>
        <rFont val="Calibri"/>
        <family val="2"/>
        <scheme val="minor"/>
      </rPr>
      <t xml:space="preserve"> - All students
</t>
    </r>
    <r>
      <rPr>
        <b/>
        <sz val="11"/>
        <color theme="1"/>
        <rFont val="Calibri"/>
        <family val="2"/>
        <scheme val="minor"/>
      </rPr>
      <t>IDEA</t>
    </r>
    <r>
      <rPr>
        <sz val="11"/>
        <color theme="1"/>
        <rFont val="Calibri"/>
        <family val="2"/>
        <scheme val="minor"/>
      </rPr>
      <t xml:space="preserve"> - Students with disabilities (IDEA)
</t>
    </r>
    <r>
      <rPr>
        <b/>
        <sz val="11"/>
        <color theme="1"/>
        <rFont val="Calibri"/>
        <family val="2"/>
        <scheme val="minor"/>
      </rPr>
      <t>TitleI</t>
    </r>
    <r>
      <rPr>
        <sz val="11"/>
        <color theme="1"/>
        <rFont val="Calibri"/>
        <family val="2"/>
        <scheme val="minor"/>
      </rPr>
      <t xml:space="preserve"> - Students in Title I schools
</t>
    </r>
    <r>
      <rPr>
        <b/>
        <sz val="11"/>
        <color theme="1"/>
        <rFont val="Calibri"/>
        <family val="2"/>
        <scheme val="minor"/>
      </rPr>
      <t>LowIncome</t>
    </r>
    <r>
      <rPr>
        <sz val="11"/>
        <color theme="1"/>
        <rFont val="Calibri"/>
        <family val="2"/>
        <scheme val="minor"/>
      </rPr>
      <t xml:space="preserve"> - Students from low income families
</t>
    </r>
    <r>
      <rPr>
        <b/>
        <sz val="11"/>
        <color theme="1"/>
        <rFont val="Calibri"/>
        <family val="2"/>
        <scheme val="minor"/>
      </rPr>
      <t>Other</t>
    </r>
    <r>
      <rPr>
        <sz val="11"/>
        <color theme="1"/>
        <rFont val="Calibri"/>
        <family val="2"/>
        <scheme val="minor"/>
      </rPr>
      <t xml:space="preserve"> - Other
</t>
    </r>
  </si>
  <si>
    <r>
      <t>Age0-2</t>
    </r>
    <r>
      <rPr>
        <sz val="11"/>
        <color theme="1"/>
        <rFont val="Calibri"/>
        <family val="2"/>
        <scheme val="minor"/>
      </rPr>
      <t xml:space="preserve"> - Students aged 0-2
</t>
    </r>
    <r>
      <rPr>
        <b/>
        <sz val="11"/>
        <color theme="1"/>
        <rFont val="Calibri"/>
        <family val="2"/>
        <scheme val="minor"/>
      </rPr>
      <t>Age3</t>
    </r>
    <r>
      <rPr>
        <sz val="11"/>
        <color theme="1"/>
        <rFont val="Calibri"/>
        <family val="2"/>
        <scheme val="minor"/>
      </rPr>
      <t xml:space="preserve"> - Students aged 3
</t>
    </r>
    <r>
      <rPr>
        <b/>
        <sz val="11"/>
        <color theme="1"/>
        <rFont val="Calibri"/>
        <family val="2"/>
        <scheme val="minor"/>
      </rPr>
      <t>Age4</t>
    </r>
    <r>
      <rPr>
        <sz val="11"/>
        <color theme="1"/>
        <rFont val="Calibri"/>
        <family val="2"/>
        <scheme val="minor"/>
      </rPr>
      <t xml:space="preserve"> - Students aged 4
</t>
    </r>
    <r>
      <rPr>
        <b/>
        <sz val="11"/>
        <color theme="1"/>
        <rFont val="Calibri"/>
        <family val="2"/>
        <scheme val="minor"/>
      </rPr>
      <t>NoPreK</t>
    </r>
    <r>
      <rPr>
        <sz val="11"/>
        <color theme="1"/>
        <rFont val="Calibri"/>
        <family val="2"/>
        <scheme val="minor"/>
      </rPr>
      <t xml:space="preserve"> - No pre-kindergarten or only for IDEA students
</t>
    </r>
  </si>
  <si>
    <r>
      <t>13290</t>
    </r>
    <r>
      <rPr>
        <sz val="11"/>
        <color theme="1"/>
        <rFont val="Calibri"/>
        <family val="2"/>
        <scheme val="minor"/>
      </rPr>
      <t xml:space="preserve"> - Present - Disciplinary action, receiving instruction
</t>
    </r>
    <r>
      <rPr>
        <b/>
        <sz val="11"/>
        <color theme="1"/>
        <rFont val="Calibri"/>
        <family val="2"/>
        <scheme val="minor"/>
      </rPr>
      <t>13288</t>
    </r>
    <r>
      <rPr>
        <sz val="11"/>
        <color theme="1"/>
        <rFont val="Calibri"/>
        <family val="2"/>
        <scheme val="minor"/>
      </rPr>
      <t xml:space="preserve"> - Present - In school, regular instructional program
</t>
    </r>
    <r>
      <rPr>
        <b/>
        <sz val="11"/>
        <color theme="1"/>
        <rFont val="Calibri"/>
        <family val="2"/>
        <scheme val="minor"/>
      </rPr>
      <t>13289</t>
    </r>
    <r>
      <rPr>
        <sz val="11"/>
        <color theme="1"/>
        <rFont val="Calibri"/>
        <family val="2"/>
        <scheme val="minor"/>
      </rPr>
      <t xml:space="preserve"> - Present - Nontraditional school setting, regular instructional program
</t>
    </r>
    <r>
      <rPr>
        <b/>
        <sz val="11"/>
        <color theme="1"/>
        <rFont val="Calibri"/>
        <family val="2"/>
        <scheme val="minor"/>
      </rPr>
      <t>13291</t>
    </r>
    <r>
      <rPr>
        <sz val="11"/>
        <color theme="1"/>
        <rFont val="Calibri"/>
        <family val="2"/>
        <scheme val="minor"/>
      </rPr>
      <t xml:space="preserve"> - Present - Out of school, regular instructional program activity
</t>
    </r>
    <r>
      <rPr>
        <b/>
        <sz val="11"/>
        <color theme="1"/>
        <rFont val="Calibri"/>
        <family val="2"/>
        <scheme val="minor"/>
      </rPr>
      <t>13292</t>
    </r>
    <r>
      <rPr>
        <sz val="11"/>
        <color theme="1"/>
        <rFont val="Calibri"/>
        <family val="2"/>
        <scheme val="minor"/>
      </rPr>
      <t xml:space="preserve"> - Present - Out of school, school-approved extracurricular or cocurricular activity
</t>
    </r>
  </si>
  <si>
    <r>
      <t>AUT</t>
    </r>
    <r>
      <rPr>
        <sz val="11"/>
        <color theme="1"/>
        <rFont val="Calibri"/>
        <family val="2"/>
        <scheme val="minor"/>
      </rPr>
      <t xml:space="preserve"> - Autism
</t>
    </r>
    <r>
      <rPr>
        <b/>
        <sz val="11"/>
        <color theme="1"/>
        <rFont val="Calibri"/>
        <family val="2"/>
        <scheme val="minor"/>
      </rPr>
      <t>DB</t>
    </r>
    <r>
      <rPr>
        <sz val="11"/>
        <color theme="1"/>
        <rFont val="Calibri"/>
        <family val="2"/>
        <scheme val="minor"/>
      </rPr>
      <t xml:space="preserve"> - Deaf-blindness
</t>
    </r>
    <r>
      <rPr>
        <b/>
        <sz val="11"/>
        <color theme="1"/>
        <rFont val="Calibri"/>
        <family val="2"/>
        <scheme val="minor"/>
      </rPr>
      <t>DD</t>
    </r>
    <r>
      <rPr>
        <sz val="11"/>
        <color theme="1"/>
        <rFont val="Calibri"/>
        <family val="2"/>
        <scheme val="minor"/>
      </rPr>
      <t xml:space="preserve"> - Developmental delay
</t>
    </r>
    <r>
      <rPr>
        <b/>
        <sz val="11"/>
        <color theme="1"/>
        <rFont val="Calibri"/>
        <family val="2"/>
        <scheme val="minor"/>
      </rPr>
      <t>EMN</t>
    </r>
    <r>
      <rPr>
        <sz val="11"/>
        <color theme="1"/>
        <rFont val="Calibri"/>
        <family val="2"/>
        <scheme val="minor"/>
      </rPr>
      <t xml:space="preserve"> - Emotional disturbance
</t>
    </r>
    <r>
      <rPr>
        <b/>
        <sz val="11"/>
        <color theme="1"/>
        <rFont val="Calibri"/>
        <family val="2"/>
        <scheme val="minor"/>
      </rPr>
      <t>HI</t>
    </r>
    <r>
      <rPr>
        <sz val="11"/>
        <color theme="1"/>
        <rFont val="Calibri"/>
        <family val="2"/>
        <scheme val="minor"/>
      </rPr>
      <t xml:space="preserve"> - Hearing impairment
</t>
    </r>
    <r>
      <rPr>
        <b/>
        <sz val="11"/>
        <color theme="1"/>
        <rFont val="Calibri"/>
        <family val="2"/>
        <scheme val="minor"/>
      </rPr>
      <t>ID</t>
    </r>
    <r>
      <rPr>
        <sz val="11"/>
        <color theme="1"/>
        <rFont val="Calibri"/>
        <family val="2"/>
        <scheme val="minor"/>
      </rPr>
      <t xml:space="preserve"> - Intellectual Disability
</t>
    </r>
    <r>
      <rPr>
        <b/>
        <sz val="11"/>
        <color theme="1"/>
        <rFont val="Calibri"/>
        <family val="2"/>
        <scheme val="minor"/>
      </rPr>
      <t>MD</t>
    </r>
    <r>
      <rPr>
        <sz val="11"/>
        <color theme="1"/>
        <rFont val="Calibri"/>
        <family val="2"/>
        <scheme val="minor"/>
      </rPr>
      <t xml:space="preserve"> - Multiple disabilities
</t>
    </r>
    <r>
      <rPr>
        <b/>
        <sz val="11"/>
        <color theme="1"/>
        <rFont val="Calibri"/>
        <family val="2"/>
        <scheme val="minor"/>
      </rPr>
      <t>OI</t>
    </r>
    <r>
      <rPr>
        <sz val="11"/>
        <color theme="1"/>
        <rFont val="Calibri"/>
        <family val="2"/>
        <scheme val="minor"/>
      </rPr>
      <t xml:space="preserve"> - Orthopedic impairment
</t>
    </r>
    <r>
      <rPr>
        <b/>
        <sz val="11"/>
        <color theme="1"/>
        <rFont val="Calibri"/>
        <family val="2"/>
        <scheme val="minor"/>
      </rPr>
      <t>OHI</t>
    </r>
    <r>
      <rPr>
        <sz val="11"/>
        <color theme="1"/>
        <rFont val="Calibri"/>
        <family val="2"/>
        <scheme val="minor"/>
      </rPr>
      <t xml:space="preserve"> - Other health impairment
</t>
    </r>
    <r>
      <rPr>
        <b/>
        <sz val="11"/>
        <color theme="1"/>
        <rFont val="Calibri"/>
        <family val="2"/>
        <scheme val="minor"/>
      </rPr>
      <t>SLD</t>
    </r>
    <r>
      <rPr>
        <sz val="11"/>
        <color theme="1"/>
        <rFont val="Calibri"/>
        <family val="2"/>
        <scheme val="minor"/>
      </rPr>
      <t xml:space="preserve"> - Specific learning disability
</t>
    </r>
    <r>
      <rPr>
        <b/>
        <sz val="11"/>
        <color theme="1"/>
        <rFont val="Calibri"/>
        <family val="2"/>
        <scheme val="minor"/>
      </rPr>
      <t>SLI</t>
    </r>
    <r>
      <rPr>
        <sz val="11"/>
        <color theme="1"/>
        <rFont val="Calibri"/>
        <family val="2"/>
        <scheme val="minor"/>
      </rPr>
      <t xml:space="preserve"> - Speech or language impairment
</t>
    </r>
    <r>
      <rPr>
        <b/>
        <sz val="11"/>
        <color theme="1"/>
        <rFont val="Calibri"/>
        <family val="2"/>
        <scheme val="minor"/>
      </rPr>
      <t>TBI</t>
    </r>
    <r>
      <rPr>
        <sz val="11"/>
        <color theme="1"/>
        <rFont val="Calibri"/>
        <family val="2"/>
        <scheme val="minor"/>
      </rPr>
      <t xml:space="preserve"> - Traumatic brain injury
</t>
    </r>
    <r>
      <rPr>
        <b/>
        <sz val="11"/>
        <color theme="1"/>
        <rFont val="Calibri"/>
        <family val="2"/>
        <scheme val="minor"/>
      </rPr>
      <t>VI</t>
    </r>
    <r>
      <rPr>
        <sz val="11"/>
        <color theme="1"/>
        <rFont val="Calibri"/>
        <family val="2"/>
        <scheme val="minor"/>
      </rPr>
      <t xml:space="preserve"> - Visual impairment
</t>
    </r>
  </si>
  <si>
    <r>
      <t>QRIS</t>
    </r>
    <r>
      <rPr>
        <sz val="11"/>
        <color theme="1"/>
        <rFont val="Calibri"/>
        <family val="2"/>
        <scheme val="minor"/>
      </rPr>
      <t xml:space="preserve"> - Quality Rating and Improvement System
</t>
    </r>
    <r>
      <rPr>
        <b/>
        <sz val="11"/>
        <color theme="1"/>
        <rFont val="Calibri"/>
        <family val="2"/>
        <scheme val="minor"/>
      </rPr>
      <t>Licensing</t>
    </r>
    <r>
      <rPr>
        <sz val="11"/>
        <color theme="1"/>
        <rFont val="Calibri"/>
        <family val="2"/>
        <scheme val="minor"/>
      </rPr>
      <t xml:space="preserve"> - Licensing
</t>
    </r>
    <r>
      <rPr>
        <b/>
        <sz val="11"/>
        <color theme="1"/>
        <rFont val="Calibri"/>
        <family val="2"/>
        <scheme val="minor"/>
      </rPr>
      <t>StateStandard</t>
    </r>
    <r>
      <rPr>
        <sz val="11"/>
        <color theme="1"/>
        <rFont val="Calibri"/>
        <family val="2"/>
        <scheme val="minor"/>
      </rPr>
      <t xml:space="preserve"> - State standard
</t>
    </r>
    <r>
      <rPr>
        <b/>
        <sz val="11"/>
        <color theme="1"/>
        <rFont val="Calibri"/>
        <family val="2"/>
        <scheme val="minor"/>
      </rPr>
      <t>Other</t>
    </r>
    <r>
      <rPr>
        <sz val="11"/>
        <color theme="1"/>
        <rFont val="Calibri"/>
        <family val="2"/>
        <scheme val="minor"/>
      </rPr>
      <t xml:space="preserve"> - Other
</t>
    </r>
  </si>
  <si>
    <r>
      <t>Hours</t>
    </r>
    <r>
      <rPr>
        <sz val="11"/>
        <color theme="1"/>
        <rFont val="Calibri"/>
        <family val="2"/>
        <scheme val="minor"/>
      </rPr>
      <t xml:space="preserve"> - Hours
</t>
    </r>
    <r>
      <rPr>
        <b/>
        <sz val="11"/>
        <color theme="1"/>
        <rFont val="Calibri"/>
        <family val="2"/>
        <scheme val="minor"/>
      </rPr>
      <t>CEUs</t>
    </r>
    <r>
      <rPr>
        <sz val="11"/>
        <color theme="1"/>
        <rFont val="Calibri"/>
        <family val="2"/>
        <scheme val="minor"/>
      </rPr>
      <t xml:space="preserve"> - Continuing Education Units
</t>
    </r>
    <r>
      <rPr>
        <b/>
        <sz val="11"/>
        <color theme="1"/>
        <rFont val="Calibri"/>
        <family val="2"/>
        <scheme val="minor"/>
      </rPr>
      <t>QuarterCredits</t>
    </r>
    <r>
      <rPr>
        <sz val="11"/>
        <color theme="1"/>
        <rFont val="Calibri"/>
        <family val="2"/>
        <scheme val="minor"/>
      </rPr>
      <t xml:space="preserve"> - Quarter credits
</t>
    </r>
    <r>
      <rPr>
        <b/>
        <sz val="11"/>
        <color theme="1"/>
        <rFont val="Calibri"/>
        <family val="2"/>
        <scheme val="minor"/>
      </rPr>
      <t>SemesterCredits</t>
    </r>
    <r>
      <rPr>
        <sz val="11"/>
        <color theme="1"/>
        <rFont val="Calibri"/>
        <family val="2"/>
        <scheme val="minor"/>
      </rPr>
      <t xml:space="preserve"> - Semester credits
</t>
    </r>
  </si>
  <si>
    <r>
      <t>IN</t>
    </r>
    <r>
      <rPr>
        <sz val="11"/>
        <color theme="1"/>
        <rFont val="Calibri"/>
        <family val="2"/>
        <scheme val="minor"/>
      </rPr>
      <t xml:space="preserve"> - Infant
</t>
    </r>
    <r>
      <rPr>
        <b/>
        <sz val="11"/>
        <color theme="1"/>
        <rFont val="Calibri"/>
        <family val="2"/>
        <scheme val="minor"/>
      </rPr>
      <t>TO</t>
    </r>
    <r>
      <rPr>
        <sz val="11"/>
        <color theme="1"/>
        <rFont val="Calibri"/>
        <family val="2"/>
        <scheme val="minor"/>
      </rPr>
      <t xml:space="preserve"> - 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t>
    </r>
    <r>
      <rPr>
        <sz val="11"/>
        <color theme="1"/>
        <rFont val="Calibri"/>
        <family val="2"/>
        <scheme val="minor"/>
      </rPr>
      <t xml:space="preserve"> - Other
</t>
    </r>
  </si>
  <si>
    <r>
      <t>Beginner</t>
    </r>
    <r>
      <rPr>
        <sz val="11"/>
        <color theme="1"/>
        <rFont val="Calibri"/>
        <family val="2"/>
        <scheme val="minor"/>
      </rPr>
      <t xml:space="preserve"> - Beginner
</t>
    </r>
    <r>
      <rPr>
        <b/>
        <sz val="11"/>
        <color theme="1"/>
        <rFont val="Calibri"/>
        <family val="2"/>
        <scheme val="minor"/>
      </rPr>
      <t>Intermediate</t>
    </r>
    <r>
      <rPr>
        <sz val="11"/>
        <color theme="1"/>
        <rFont val="Calibri"/>
        <family val="2"/>
        <scheme val="minor"/>
      </rPr>
      <t xml:space="preserve"> - Intermediate
</t>
    </r>
    <r>
      <rPr>
        <b/>
        <sz val="11"/>
        <color theme="1"/>
        <rFont val="Calibri"/>
        <family val="2"/>
        <scheme val="minor"/>
      </rPr>
      <t>Advanced</t>
    </r>
    <r>
      <rPr>
        <sz val="11"/>
        <color theme="1"/>
        <rFont val="Calibri"/>
        <family val="2"/>
        <scheme val="minor"/>
      </rPr>
      <t xml:space="preserve"> - Advanced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</si>
  <si>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Other</t>
    </r>
    <r>
      <rPr>
        <sz val="11"/>
        <color theme="1"/>
        <rFont val="Calibri"/>
        <family val="2"/>
        <scheme val="minor"/>
      </rPr>
      <t xml:space="preserve"> - Other
</t>
    </r>
  </si>
  <si>
    <r>
      <t>CollegeCourse</t>
    </r>
    <r>
      <rPr>
        <sz val="11"/>
        <color theme="1"/>
        <rFont val="Calibri"/>
        <family val="2"/>
        <scheme val="minor"/>
      </rPr>
      <t xml:space="preserve"> - College Course
</t>
    </r>
    <r>
      <rPr>
        <b/>
        <sz val="11"/>
        <color theme="1"/>
        <rFont val="Calibri"/>
        <family val="2"/>
        <scheme val="minor"/>
      </rPr>
      <t>Coaching</t>
    </r>
    <r>
      <rPr>
        <sz val="11"/>
        <color theme="1"/>
        <rFont val="Calibri"/>
        <family val="2"/>
        <scheme val="minor"/>
      </rPr>
      <t xml:space="preserve"> - Coaching
</t>
    </r>
    <r>
      <rPr>
        <b/>
        <sz val="11"/>
        <color theme="1"/>
        <rFont val="Calibri"/>
        <family val="2"/>
        <scheme val="minor"/>
      </rPr>
      <t>Mentoring</t>
    </r>
    <r>
      <rPr>
        <sz val="11"/>
        <color theme="1"/>
        <rFont val="Calibri"/>
        <family val="2"/>
        <scheme val="minor"/>
      </rPr>
      <t xml:space="preserve"> - Mentoring
</t>
    </r>
    <r>
      <rPr>
        <b/>
        <sz val="11"/>
        <color theme="1"/>
        <rFont val="Calibri"/>
        <family val="2"/>
        <scheme val="minor"/>
      </rPr>
      <t>Consultation</t>
    </r>
    <r>
      <rPr>
        <sz val="11"/>
        <color theme="1"/>
        <rFont val="Calibri"/>
        <family val="2"/>
        <scheme val="minor"/>
      </rPr>
      <t xml:space="preserve"> - Consultation
</t>
    </r>
    <r>
      <rPr>
        <b/>
        <sz val="11"/>
        <color theme="1"/>
        <rFont val="Calibri"/>
        <family val="2"/>
        <scheme val="minor"/>
      </rPr>
      <t>P2P</t>
    </r>
    <r>
      <rPr>
        <sz val="11"/>
        <color theme="1"/>
        <rFont val="Calibri"/>
        <family val="2"/>
        <scheme val="minor"/>
      </rPr>
      <t xml:space="preserve"> - Person-to-Person
</t>
    </r>
    <r>
      <rPr>
        <b/>
        <sz val="11"/>
        <color theme="1"/>
        <rFont val="Calibri"/>
        <family val="2"/>
        <scheme val="minor"/>
      </rPr>
      <t>TechnicalAssistance</t>
    </r>
    <r>
      <rPr>
        <sz val="11"/>
        <color theme="1"/>
        <rFont val="Calibri"/>
        <family val="2"/>
        <scheme val="minor"/>
      </rPr>
      <t xml:space="preserve"> - Technical Assistance
</t>
    </r>
    <r>
      <rPr>
        <b/>
        <sz val="11"/>
        <color theme="1"/>
        <rFont val="Calibri"/>
        <family val="2"/>
        <scheme val="minor"/>
      </rPr>
      <t>Advisement</t>
    </r>
    <r>
      <rPr>
        <sz val="11"/>
        <color theme="1"/>
        <rFont val="Calibri"/>
        <family val="2"/>
        <scheme val="minor"/>
      </rPr>
      <t xml:space="preserve"> - Advisement
</t>
    </r>
    <r>
      <rPr>
        <b/>
        <sz val="11"/>
        <color theme="1"/>
        <rFont val="Calibri"/>
        <family val="2"/>
        <scheme val="minor"/>
      </rPr>
      <t>OneTimeWorkshopTraining</t>
    </r>
    <r>
      <rPr>
        <sz val="11"/>
        <color theme="1"/>
        <rFont val="Calibri"/>
        <family val="2"/>
        <scheme val="minor"/>
      </rPr>
      <t xml:space="preserve"> - One-time Workshop Training
</t>
    </r>
    <r>
      <rPr>
        <b/>
        <sz val="11"/>
        <color theme="1"/>
        <rFont val="Calibri"/>
        <family val="2"/>
        <scheme val="minor"/>
      </rPr>
      <t>SeriesOfWorkshopsTraining</t>
    </r>
    <r>
      <rPr>
        <sz val="11"/>
        <color theme="1"/>
        <rFont val="Calibri"/>
        <family val="2"/>
        <scheme val="minor"/>
      </rPr>
      <t xml:space="preserve"> - Series of Workshops Training
</t>
    </r>
    <r>
      <rPr>
        <b/>
        <sz val="11"/>
        <color theme="1"/>
        <rFont val="Calibri"/>
        <family val="2"/>
        <scheme val="minor"/>
      </rPr>
      <t>Other</t>
    </r>
    <r>
      <rPr>
        <sz val="11"/>
        <color theme="1"/>
        <rFont val="Calibri"/>
        <family val="2"/>
        <scheme val="minor"/>
      </rPr>
      <t xml:space="preserve"> - Other
</t>
    </r>
  </si>
  <si>
    <r>
      <t>Onsite</t>
    </r>
    <r>
      <rPr>
        <sz val="11"/>
        <color theme="1"/>
        <rFont val="Calibri"/>
        <family val="2"/>
        <scheme val="minor"/>
      </rPr>
      <t xml:space="preserve"> - Onsite
</t>
    </r>
    <r>
      <rPr>
        <b/>
        <sz val="11"/>
        <color theme="1"/>
        <rFont val="Calibri"/>
        <family val="2"/>
        <scheme val="minor"/>
      </rPr>
      <t>Virtual</t>
    </r>
    <r>
      <rPr>
        <sz val="11"/>
        <color theme="1"/>
        <rFont val="Calibri"/>
        <family val="2"/>
        <scheme val="minor"/>
      </rPr>
      <t xml:space="preserve"> - Virtual classroom
</t>
    </r>
    <r>
      <rPr>
        <b/>
        <sz val="11"/>
        <color theme="1"/>
        <rFont val="Calibri"/>
        <family val="2"/>
        <scheme val="minor"/>
      </rPr>
      <t>Off-Site</t>
    </r>
    <r>
      <rPr>
        <sz val="11"/>
        <color theme="1"/>
        <rFont val="Calibri"/>
        <family val="2"/>
        <scheme val="minor"/>
      </rPr>
      <t xml:space="preserve"> - Off-site classroom
</t>
    </r>
    <r>
      <rPr>
        <b/>
        <sz val="11"/>
        <color theme="1"/>
        <rFont val="Calibri"/>
        <family val="2"/>
        <scheme val="minor"/>
      </rPr>
      <t>Conference</t>
    </r>
    <r>
      <rPr>
        <sz val="11"/>
        <color theme="1"/>
        <rFont val="Calibri"/>
        <family val="2"/>
        <scheme val="minor"/>
      </rPr>
      <t xml:space="preserve"> - Conference
</t>
    </r>
  </si>
  <si>
    <r>
      <t>01</t>
    </r>
    <r>
      <rPr>
        <sz val="11"/>
        <color theme="1"/>
        <rFont val="Calibri"/>
        <family val="2"/>
        <scheme val="minor"/>
      </rPr>
      <t xml:space="preserve"> - One time non-credit
</t>
    </r>
    <r>
      <rPr>
        <b/>
        <sz val="11"/>
        <color theme="1"/>
        <rFont val="Calibri"/>
        <family val="2"/>
        <scheme val="minor"/>
      </rPr>
      <t>02</t>
    </r>
    <r>
      <rPr>
        <sz val="11"/>
        <color theme="1"/>
        <rFont val="Calibri"/>
        <family val="2"/>
        <scheme val="minor"/>
      </rPr>
      <t xml:space="preserve"> - One time credit paid
</t>
    </r>
    <r>
      <rPr>
        <b/>
        <sz val="11"/>
        <color theme="1"/>
        <rFont val="Calibri"/>
        <family val="2"/>
        <scheme val="minor"/>
      </rPr>
      <t>03</t>
    </r>
    <r>
      <rPr>
        <sz val="11"/>
        <color theme="1"/>
        <rFont val="Calibri"/>
        <family val="2"/>
        <scheme val="minor"/>
      </rPr>
      <t xml:space="preserve"> - On-going non-credit paid
</t>
    </r>
    <r>
      <rPr>
        <b/>
        <sz val="11"/>
        <color theme="1"/>
        <rFont val="Calibri"/>
        <family val="2"/>
        <scheme val="minor"/>
      </rPr>
      <t>04</t>
    </r>
    <r>
      <rPr>
        <sz val="11"/>
        <color theme="1"/>
        <rFont val="Calibri"/>
        <family val="2"/>
        <scheme val="minor"/>
      </rPr>
      <t xml:space="preserve"> - On-going credit paid
</t>
    </r>
    <r>
      <rPr>
        <b/>
        <sz val="11"/>
        <color theme="1"/>
        <rFont val="Calibri"/>
        <family val="2"/>
        <scheme val="minor"/>
      </rPr>
      <t>05</t>
    </r>
    <r>
      <rPr>
        <sz val="11"/>
        <color theme="1"/>
        <rFont val="Calibri"/>
        <family val="2"/>
        <scheme val="minor"/>
      </rPr>
      <t xml:space="preserve"> - Salary bonus
</t>
    </r>
    <r>
      <rPr>
        <b/>
        <sz val="11"/>
        <color theme="1"/>
        <rFont val="Calibri"/>
        <family val="2"/>
        <scheme val="minor"/>
      </rPr>
      <t>06</t>
    </r>
    <r>
      <rPr>
        <sz val="11"/>
        <color theme="1"/>
        <rFont val="Calibri"/>
        <family val="2"/>
        <scheme val="minor"/>
      </rPr>
      <t xml:space="preserve"> - Wage enhancement
</t>
    </r>
    <r>
      <rPr>
        <b/>
        <sz val="11"/>
        <color theme="1"/>
        <rFont val="Calibri"/>
        <family val="2"/>
        <scheme val="minor"/>
      </rPr>
      <t>07</t>
    </r>
    <r>
      <rPr>
        <sz val="11"/>
        <color theme="1"/>
        <rFont val="Calibri"/>
        <family val="2"/>
        <scheme val="minor"/>
      </rPr>
      <t xml:space="preserve"> - Tuition reimbursement
</t>
    </r>
    <r>
      <rPr>
        <b/>
        <sz val="11"/>
        <color theme="1"/>
        <rFont val="Calibri"/>
        <family val="2"/>
        <scheme val="minor"/>
      </rPr>
      <t>08</t>
    </r>
    <r>
      <rPr>
        <sz val="11"/>
        <color theme="1"/>
        <rFont val="Calibri"/>
        <family val="2"/>
        <scheme val="minor"/>
      </rPr>
      <t xml:space="preserve"> - Travel child care
</t>
    </r>
    <r>
      <rPr>
        <b/>
        <sz val="11"/>
        <color theme="1"/>
        <rFont val="Calibri"/>
        <family val="2"/>
        <scheme val="minor"/>
      </rPr>
      <t>09</t>
    </r>
    <r>
      <rPr>
        <sz val="11"/>
        <color theme="1"/>
        <rFont val="Calibri"/>
        <family val="2"/>
        <scheme val="minor"/>
      </rPr>
      <t xml:space="preserve"> - Release time
</t>
    </r>
    <r>
      <rPr>
        <b/>
        <sz val="11"/>
        <color theme="1"/>
        <rFont val="Calibri"/>
        <family val="2"/>
        <scheme val="minor"/>
      </rPr>
      <t>10</t>
    </r>
    <r>
      <rPr>
        <sz val="11"/>
        <color theme="1"/>
        <rFont val="Calibri"/>
        <family val="2"/>
        <scheme val="minor"/>
      </rPr>
      <t xml:space="preserve"> - Scholarship
</t>
    </r>
    <r>
      <rPr>
        <b/>
        <sz val="11"/>
        <color theme="1"/>
        <rFont val="Calibri"/>
        <family val="2"/>
        <scheme val="minor"/>
      </rPr>
      <t>11</t>
    </r>
    <r>
      <rPr>
        <sz val="11"/>
        <color theme="1"/>
        <rFont val="Calibri"/>
        <family val="2"/>
        <scheme val="minor"/>
      </rPr>
      <t xml:space="preserve"> - Loan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</si>
  <si>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Conference</t>
    </r>
    <r>
      <rPr>
        <sz val="11"/>
        <color theme="1"/>
        <rFont val="Calibri"/>
        <family val="2"/>
        <scheme val="minor"/>
      </rPr>
      <t xml:space="preserve"> - Conference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r>
      <rPr>
        <b/>
        <sz val="11"/>
        <color theme="1"/>
        <rFont val="Calibri"/>
        <family val="2"/>
        <scheme val="minor"/>
      </rPr>
      <t>Other</t>
    </r>
    <r>
      <rPr>
        <sz val="11"/>
        <color theme="1"/>
        <rFont val="Calibri"/>
        <family val="2"/>
        <scheme val="minor"/>
      </rPr>
      <t xml:space="preserve"> - Other
</t>
    </r>
  </si>
  <si>
    <r>
      <t>Registering</t>
    </r>
    <r>
      <rPr>
        <sz val="11"/>
        <color theme="1"/>
        <rFont val="Calibri"/>
        <family val="2"/>
        <scheme val="minor"/>
      </rPr>
      <t xml:space="preserve"> - Registering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Cancelled</t>
    </r>
    <r>
      <rPr>
        <sz val="11"/>
        <color theme="1"/>
        <rFont val="Calibri"/>
        <family val="2"/>
        <scheme val="minor"/>
      </rPr>
      <t xml:space="preserve"> - Cancelled
</t>
    </r>
  </si>
  <si>
    <r>
      <t>04723</t>
    </r>
    <r>
      <rPr>
        <sz val="11"/>
        <color theme="1"/>
        <rFont val="Calibri"/>
        <family val="2"/>
        <scheme val="minor"/>
      </rPr>
      <t xml:space="preserve"> - Athletic coach
</t>
    </r>
    <r>
      <rPr>
        <b/>
        <sz val="11"/>
        <color theme="1"/>
        <rFont val="Calibri"/>
        <family val="2"/>
        <scheme val="minor"/>
      </rPr>
      <t>04724</t>
    </r>
    <r>
      <rPr>
        <sz val="11"/>
        <color theme="1"/>
        <rFont val="Calibri"/>
        <family val="2"/>
        <scheme val="minor"/>
      </rPr>
      <t xml:space="preserve"> - Behavioral management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04726</t>
    </r>
    <r>
      <rPr>
        <sz val="11"/>
        <color theme="1"/>
        <rFont val="Calibri"/>
        <family val="2"/>
        <scheme val="minor"/>
      </rPr>
      <t xml:space="preserve"> - Curriculum specialist
</t>
    </r>
    <r>
      <rPr>
        <b/>
        <sz val="11"/>
        <color theme="1"/>
        <rFont val="Calibri"/>
        <family val="2"/>
        <scheme val="minor"/>
      </rPr>
      <t>04727</t>
    </r>
    <r>
      <rPr>
        <sz val="11"/>
        <color theme="1"/>
        <rFont val="Calibri"/>
        <family val="2"/>
        <scheme val="minor"/>
      </rPr>
      <t xml:space="preserve"> - Education diagnostician
</t>
    </r>
    <r>
      <rPr>
        <b/>
        <sz val="11"/>
        <color theme="1"/>
        <rFont val="Calibri"/>
        <family val="2"/>
        <scheme val="minor"/>
      </rPr>
      <t>04728</t>
    </r>
    <r>
      <rPr>
        <sz val="11"/>
        <color theme="1"/>
        <rFont val="Calibri"/>
        <family val="2"/>
        <scheme val="minor"/>
      </rPr>
      <t xml:space="preserve"> - Librarian/media consultant
</t>
    </r>
    <r>
      <rPr>
        <b/>
        <sz val="11"/>
        <color theme="1"/>
        <rFont val="Calibri"/>
        <family val="2"/>
        <scheme val="minor"/>
      </rPr>
      <t>04729</t>
    </r>
    <r>
      <rPr>
        <sz val="11"/>
        <color theme="1"/>
        <rFont val="Calibri"/>
        <family val="2"/>
        <scheme val="minor"/>
      </rPr>
      <t xml:space="preserve"> - Remedial specialist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04731</t>
    </r>
    <r>
      <rPr>
        <sz val="11"/>
        <color theme="1"/>
        <rFont val="Calibri"/>
        <family val="2"/>
        <scheme val="minor"/>
      </rPr>
      <t xml:space="preserve"> - Student teacher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04733</t>
    </r>
    <r>
      <rPr>
        <sz val="11"/>
        <color theme="1"/>
        <rFont val="Calibri"/>
        <family val="2"/>
        <scheme val="minor"/>
      </rPr>
      <t xml:space="preserve"> - Teacher trainer
</t>
    </r>
    <r>
      <rPr>
        <b/>
        <sz val="11"/>
        <color theme="1"/>
        <rFont val="Calibri"/>
        <family val="2"/>
        <scheme val="minor"/>
      </rPr>
      <t>04734</t>
    </r>
    <r>
      <rPr>
        <sz val="11"/>
        <color theme="1"/>
        <rFont val="Calibri"/>
        <family val="2"/>
        <scheme val="minor"/>
      </rPr>
      <t xml:space="preserve"> - Teaching intern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09999</t>
    </r>
    <r>
      <rPr>
        <sz val="11"/>
        <color theme="1"/>
        <rFont val="Calibri"/>
        <family val="2"/>
        <scheme val="minor"/>
      </rPr>
      <t xml:space="preserve"> - Other
</t>
    </r>
  </si>
  <si>
    <r>
      <t>OccupationalLicense</t>
    </r>
    <r>
      <rPr>
        <sz val="11"/>
        <color theme="1"/>
        <rFont val="Calibri"/>
        <family val="2"/>
        <scheme val="minor"/>
      </rPr>
      <t xml:space="preserve"> - Occupational License
</t>
    </r>
    <r>
      <rPr>
        <b/>
        <sz val="11"/>
        <color theme="1"/>
        <rFont val="Calibri"/>
        <family val="2"/>
        <scheme val="minor"/>
      </rPr>
      <t>IndustryCertification</t>
    </r>
    <r>
      <rPr>
        <sz val="11"/>
        <color theme="1"/>
        <rFont val="Calibri"/>
        <family val="2"/>
        <scheme val="minor"/>
      </rPr>
      <t xml:space="preserve"> - Industry-recognized Certification
</t>
    </r>
    <r>
      <rPr>
        <b/>
        <sz val="11"/>
        <color theme="1"/>
        <rFont val="Calibri"/>
        <family val="2"/>
        <scheme val="minor"/>
      </rPr>
      <t>ApprenticeshipCertificate</t>
    </r>
    <r>
      <rPr>
        <sz val="11"/>
        <color theme="1"/>
        <rFont val="Calibri"/>
        <family val="2"/>
        <scheme val="minor"/>
      </rPr>
      <t xml:space="preserve"> - Apprenticeship Certificate
</t>
    </r>
    <r>
      <rPr>
        <b/>
        <sz val="11"/>
        <color theme="1"/>
        <rFont val="Calibri"/>
        <family val="2"/>
        <scheme val="minor"/>
      </rPr>
      <t>EmployerCertification</t>
    </r>
    <r>
      <rPr>
        <sz val="11"/>
        <color theme="1"/>
        <rFont val="Calibri"/>
        <family val="2"/>
        <scheme val="minor"/>
      </rPr>
      <t xml:space="preserve"> - Employer certification
</t>
    </r>
    <r>
      <rPr>
        <b/>
        <sz val="11"/>
        <color theme="1"/>
        <rFont val="Calibri"/>
        <family val="2"/>
        <scheme val="minor"/>
      </rPr>
      <t>PreEmploymentTraining</t>
    </r>
    <r>
      <rPr>
        <sz val="11"/>
        <color theme="1"/>
        <rFont val="Calibri"/>
        <family val="2"/>
        <scheme val="minor"/>
      </rPr>
      <t xml:space="preserve"> - Pre-employment training certificate
</t>
    </r>
    <r>
      <rPr>
        <b/>
        <sz val="11"/>
        <color theme="1"/>
        <rFont val="Calibri"/>
        <family val="2"/>
        <scheme val="minor"/>
      </rPr>
      <t>OtherOccupational</t>
    </r>
    <r>
      <rPr>
        <sz val="11"/>
        <color theme="1"/>
        <rFont val="Calibri"/>
        <family val="2"/>
        <scheme val="minor"/>
      </rPr>
      <t xml:space="preserve"> - Other recognized occupational skills credential
</t>
    </r>
  </si>
  <si>
    <r>
      <t>Proficient</t>
    </r>
    <r>
      <rPr>
        <sz val="11"/>
        <color theme="1"/>
        <rFont val="Calibri"/>
        <family val="2"/>
        <scheme val="minor"/>
      </rPr>
      <t xml:space="preserve"> - Proficient
</t>
    </r>
    <r>
      <rPr>
        <b/>
        <sz val="11"/>
        <color theme="1"/>
        <rFont val="Calibri"/>
        <family val="2"/>
        <scheme val="minor"/>
      </rPr>
      <t>NotProficient</t>
    </r>
    <r>
      <rPr>
        <sz val="11"/>
        <color theme="1"/>
        <rFont val="Calibri"/>
        <family val="2"/>
        <scheme val="minor"/>
      </rPr>
      <t xml:space="preserve"> - Not proficient
</t>
    </r>
  </si>
  <si>
    <r>
      <t>Met</t>
    </r>
    <r>
      <rPr>
        <sz val="11"/>
        <color theme="1"/>
        <rFont val="Calibri"/>
        <family val="2"/>
        <scheme val="minor"/>
      </rPr>
      <t xml:space="preserve"> - Met: Regular Determination
</t>
    </r>
    <r>
      <rPr>
        <b/>
        <sz val="11"/>
        <color theme="1"/>
        <rFont val="Calibri"/>
        <family val="2"/>
        <scheme val="minor"/>
      </rPr>
      <t>MetGrowthModel</t>
    </r>
    <r>
      <rPr>
        <sz val="11"/>
        <color theme="1"/>
        <rFont val="Calibri"/>
        <family val="2"/>
        <scheme val="minor"/>
      </rPr>
      <t xml:space="preserve"> - Met: Growth Model 
</t>
    </r>
    <r>
      <rPr>
        <b/>
        <sz val="11"/>
        <color theme="1"/>
        <rFont val="Calibri"/>
        <family val="2"/>
        <scheme val="minor"/>
      </rPr>
      <t>MetBecauseSafeHarbor</t>
    </r>
    <r>
      <rPr>
        <sz val="11"/>
        <color theme="1"/>
        <rFont val="Calibri"/>
        <family val="2"/>
        <scheme val="minor"/>
      </rPr>
      <t xml:space="preserve"> - Met Because of Safe Harbor
</t>
    </r>
    <r>
      <rPr>
        <b/>
        <sz val="11"/>
        <color theme="1"/>
        <rFont val="Calibri"/>
        <family val="2"/>
        <scheme val="minor"/>
      </rPr>
      <t>DidNotMeetTarget</t>
    </r>
    <r>
      <rPr>
        <sz val="11"/>
        <color theme="1"/>
        <rFont val="Calibri"/>
        <family val="2"/>
        <scheme val="minor"/>
      </rPr>
      <t xml:space="preserve"> - Did Not Meet Target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</si>
  <si>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13452</t>
    </r>
    <r>
      <rPr>
        <sz val="11"/>
        <color theme="1"/>
        <rFont val="Calibri"/>
        <family val="2"/>
        <scheme val="minor"/>
      </rPr>
      <t xml:space="preserve"> - General Intellectual Aptitude only
</t>
    </r>
    <r>
      <rPr>
        <b/>
        <sz val="11"/>
        <color theme="1"/>
        <rFont val="Calibri"/>
        <family val="2"/>
        <scheme val="minor"/>
      </rPr>
      <t>13453</t>
    </r>
    <r>
      <rPr>
        <sz val="11"/>
        <color theme="1"/>
        <rFont val="Calibri"/>
        <family val="2"/>
        <scheme val="minor"/>
      </rPr>
      <t xml:space="preserve"> - Specific Academic Aptitude only
</t>
    </r>
    <r>
      <rPr>
        <b/>
        <sz val="11"/>
        <color theme="1"/>
        <rFont val="Calibri"/>
        <family val="2"/>
        <scheme val="minor"/>
      </rPr>
      <t>13454</t>
    </r>
    <r>
      <rPr>
        <sz val="11"/>
        <color theme="1"/>
        <rFont val="Calibri"/>
        <family val="2"/>
        <scheme val="minor"/>
      </rPr>
      <t xml:space="preserve"> - Visual/Performing Arts only
</t>
    </r>
    <r>
      <rPr>
        <b/>
        <sz val="11"/>
        <color theme="1"/>
        <rFont val="Calibri"/>
        <family val="2"/>
        <scheme val="minor"/>
      </rPr>
      <t>13456</t>
    </r>
    <r>
      <rPr>
        <sz val="11"/>
        <color theme="1"/>
        <rFont val="Calibri"/>
        <family val="2"/>
        <scheme val="minor"/>
      </rPr>
      <t xml:space="preserve"> - General Intellectual Aptitude &amp; Specific Academic Aptitude
</t>
    </r>
    <r>
      <rPr>
        <b/>
        <sz val="11"/>
        <color theme="1"/>
        <rFont val="Calibri"/>
        <family val="2"/>
        <scheme val="minor"/>
      </rPr>
      <t>13457</t>
    </r>
    <r>
      <rPr>
        <sz val="11"/>
        <color theme="1"/>
        <rFont val="Calibri"/>
        <family val="2"/>
        <scheme val="minor"/>
      </rPr>
      <t xml:space="preserve"> - General Intellectual Aptitude &amp; Visual/Performing Arts
</t>
    </r>
    <r>
      <rPr>
        <b/>
        <sz val="11"/>
        <color theme="1"/>
        <rFont val="Calibri"/>
        <family val="2"/>
        <scheme val="minor"/>
      </rPr>
      <t>13458</t>
    </r>
    <r>
      <rPr>
        <sz val="11"/>
        <color theme="1"/>
        <rFont val="Calibri"/>
        <family val="2"/>
        <scheme val="minor"/>
      </rPr>
      <t xml:space="preserve"> - General Intellectual Aptitude &amp; Technical/Practical Arts
</t>
    </r>
    <r>
      <rPr>
        <b/>
        <sz val="11"/>
        <color theme="1"/>
        <rFont val="Calibri"/>
        <family val="2"/>
        <scheme val="minor"/>
      </rPr>
      <t>13459</t>
    </r>
    <r>
      <rPr>
        <sz val="11"/>
        <color theme="1"/>
        <rFont val="Calibri"/>
        <family val="2"/>
        <scheme val="minor"/>
      </rPr>
      <t xml:space="preserve"> - Specific Academic Aptitude &amp; Visual/Performing Arts
</t>
    </r>
    <r>
      <rPr>
        <b/>
        <sz val="11"/>
        <color theme="1"/>
        <rFont val="Calibri"/>
        <family val="2"/>
        <scheme val="minor"/>
      </rPr>
      <t>13460</t>
    </r>
    <r>
      <rPr>
        <sz val="11"/>
        <color theme="1"/>
        <rFont val="Calibri"/>
        <family val="2"/>
        <scheme val="minor"/>
      </rPr>
      <t xml:space="preserve"> - Specific Academic Aptitude &amp; Technical/Practical Arts
</t>
    </r>
    <r>
      <rPr>
        <b/>
        <sz val="11"/>
        <color theme="1"/>
        <rFont val="Calibri"/>
        <family val="2"/>
        <scheme val="minor"/>
      </rPr>
      <t>13461</t>
    </r>
    <r>
      <rPr>
        <sz val="11"/>
        <color theme="1"/>
        <rFont val="Calibri"/>
        <family val="2"/>
        <scheme val="minor"/>
      </rPr>
      <t xml:space="preserve"> - Visual/Performing Arts &amp; Technical/Practical Arts
</t>
    </r>
    <r>
      <rPr>
        <b/>
        <sz val="11"/>
        <color theme="1"/>
        <rFont val="Calibri"/>
        <family val="2"/>
        <scheme val="minor"/>
      </rPr>
      <t>13462</t>
    </r>
    <r>
      <rPr>
        <sz val="11"/>
        <color theme="1"/>
        <rFont val="Calibri"/>
        <family val="2"/>
        <scheme val="minor"/>
      </rPr>
      <t xml:space="preserve"> - General Intellectual Aptitude, Specific Academic Aptitude, and Visual Performing Arts
</t>
    </r>
    <r>
      <rPr>
        <b/>
        <sz val="11"/>
        <color theme="1"/>
        <rFont val="Calibri"/>
        <family val="2"/>
        <scheme val="minor"/>
      </rPr>
      <t>13463</t>
    </r>
    <r>
      <rPr>
        <sz val="11"/>
        <color theme="1"/>
        <rFont val="Calibri"/>
        <family val="2"/>
        <scheme val="minor"/>
      </rPr>
      <t xml:space="preserve"> - General Intellectual Aptitude, Specific Academic Aptitude, &amp; Technical/Practical Arts
</t>
    </r>
    <r>
      <rPr>
        <b/>
        <sz val="11"/>
        <color theme="1"/>
        <rFont val="Calibri"/>
        <family val="2"/>
        <scheme val="minor"/>
      </rPr>
      <t>13464</t>
    </r>
    <r>
      <rPr>
        <sz val="11"/>
        <color theme="1"/>
        <rFont val="Calibri"/>
        <family val="2"/>
        <scheme val="minor"/>
      </rPr>
      <t xml:space="preserve"> - Specific Academic Aptitude, Visual/Performing Arts, &amp; Technical/Practical Arts
</t>
    </r>
    <r>
      <rPr>
        <b/>
        <sz val="11"/>
        <color theme="1"/>
        <rFont val="Calibri"/>
        <family val="2"/>
        <scheme val="minor"/>
      </rPr>
      <t>13465</t>
    </r>
    <r>
      <rPr>
        <sz val="11"/>
        <color theme="1"/>
        <rFont val="Calibri"/>
        <family val="2"/>
        <scheme val="minor"/>
      </rPr>
      <t xml:space="preserve"> - General Intellectual &amp; Specific Academic Aptitude, Visual/Performing Arts &amp; Technical/Practical Arts
</t>
    </r>
    <r>
      <rPr>
        <b/>
        <sz val="11"/>
        <color theme="1"/>
        <rFont val="Calibri"/>
        <family val="2"/>
        <scheme val="minor"/>
      </rPr>
      <t>06002</t>
    </r>
    <r>
      <rPr>
        <sz val="11"/>
        <color theme="1"/>
        <rFont val="Calibri"/>
        <family val="2"/>
        <scheme val="minor"/>
      </rPr>
      <t xml:space="preserve"> - Not specified
</t>
    </r>
    <r>
      <rPr>
        <b/>
        <sz val="11"/>
        <color theme="1"/>
        <rFont val="Calibri"/>
        <family val="2"/>
        <scheme val="minor"/>
      </rPr>
      <t>09999</t>
    </r>
    <r>
      <rPr>
        <sz val="11"/>
        <color theme="1"/>
        <rFont val="Calibri"/>
        <family val="2"/>
        <scheme val="minor"/>
      </rPr>
      <t xml:space="preserve"> - Other
</t>
    </r>
  </si>
  <si>
    <r>
      <t>Referred</t>
    </r>
    <r>
      <rPr>
        <sz val="11"/>
        <color theme="1"/>
        <rFont val="Calibri"/>
        <family val="2"/>
        <scheme val="minor"/>
      </rPr>
      <t xml:space="preserve"> - Referred to program
</t>
    </r>
    <r>
      <rPr>
        <b/>
        <sz val="11"/>
        <color theme="1"/>
        <rFont val="Calibri"/>
        <family val="2"/>
        <scheme val="minor"/>
      </rPr>
      <t>Eligible</t>
    </r>
    <r>
      <rPr>
        <sz val="11"/>
        <color theme="1"/>
        <rFont val="Calibri"/>
        <family val="2"/>
        <scheme val="minor"/>
      </rPr>
      <t xml:space="preserve"> - Eligible for program
</t>
    </r>
    <r>
      <rPr>
        <b/>
        <sz val="11"/>
        <color theme="1"/>
        <rFont val="Calibri"/>
        <family val="2"/>
        <scheme val="minor"/>
      </rPr>
      <t>NotEligible</t>
    </r>
    <r>
      <rPr>
        <sz val="11"/>
        <color theme="1"/>
        <rFont val="Calibri"/>
        <family val="2"/>
        <scheme val="minor"/>
      </rPr>
      <t xml:space="preserve"> - Not eligible for program
</t>
    </r>
    <r>
      <rPr>
        <b/>
        <sz val="11"/>
        <color theme="1"/>
        <rFont val="Calibri"/>
        <family val="2"/>
        <scheme val="minor"/>
      </rPr>
      <t>Active</t>
    </r>
    <r>
      <rPr>
        <sz val="11"/>
        <color theme="1"/>
        <rFont val="Calibri"/>
        <family val="2"/>
        <scheme val="minor"/>
      </rPr>
      <t xml:space="preserve"> - Active in program
</t>
    </r>
    <r>
      <rPr>
        <b/>
        <sz val="11"/>
        <color theme="1"/>
        <rFont val="Calibri"/>
        <family val="2"/>
        <scheme val="minor"/>
      </rPr>
      <t>Exited</t>
    </r>
    <r>
      <rPr>
        <sz val="11"/>
        <color theme="1"/>
        <rFont val="Calibri"/>
        <family val="2"/>
        <scheme val="minor"/>
      </rPr>
      <t xml:space="preserve"> - Exited program
</t>
    </r>
    <r>
      <rPr>
        <b/>
        <sz val="11"/>
        <color theme="1"/>
        <rFont val="Calibri"/>
        <family val="2"/>
        <scheme val="minor"/>
      </rPr>
      <t>Withdrew</t>
    </r>
    <r>
      <rPr>
        <sz val="11"/>
        <color theme="1"/>
        <rFont val="Calibri"/>
        <family val="2"/>
        <scheme val="minor"/>
      </rPr>
      <t xml:space="preserve"> - Withdrew/refused program
</t>
    </r>
    <r>
      <rPr>
        <b/>
        <sz val="11"/>
        <color theme="1"/>
        <rFont val="Calibri"/>
        <family val="2"/>
        <scheme val="minor"/>
      </rPr>
      <t>Other</t>
    </r>
    <r>
      <rPr>
        <sz val="11"/>
        <color theme="1"/>
        <rFont val="Calibri"/>
        <family val="2"/>
        <scheme val="minor"/>
      </rPr>
      <t xml:space="preserve"> - Other
</t>
    </r>
  </si>
  <si>
    <r>
      <t>Business</t>
    </r>
    <r>
      <rPr>
        <sz val="11"/>
        <color theme="1"/>
        <rFont val="Calibri"/>
        <family val="2"/>
        <scheme val="minor"/>
      </rPr>
      <t xml:space="preserve"> - Business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EducationServiceCenter</t>
    </r>
    <r>
      <rPr>
        <sz val="11"/>
        <color theme="1"/>
        <rFont val="Calibri"/>
        <family val="2"/>
        <scheme val="minor"/>
      </rPr>
      <t xml:space="preserve"> - Education Service Center
</t>
    </r>
    <r>
      <rPr>
        <b/>
        <sz val="11"/>
        <color theme="1"/>
        <rFont val="Calibri"/>
        <family val="2"/>
        <scheme val="minor"/>
      </rPr>
      <t>Federal</t>
    </r>
    <r>
      <rPr>
        <sz val="11"/>
        <color theme="1"/>
        <rFont val="Calibri"/>
        <family val="2"/>
        <scheme val="minor"/>
      </rPr>
      <t xml:space="preserve"> - Federal government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NonProfit</t>
    </r>
    <r>
      <rPr>
        <sz val="11"/>
        <color theme="1"/>
        <rFont val="Calibri"/>
        <family val="2"/>
        <scheme val="minor"/>
      </rPr>
      <t xml:space="preserve"> - Non-profit organization
</t>
    </r>
    <r>
      <rPr>
        <b/>
        <sz val="11"/>
        <color theme="1"/>
        <rFont val="Calibri"/>
        <family val="2"/>
        <scheme val="minor"/>
      </rPr>
      <t>Postsecondary</t>
    </r>
    <r>
      <rPr>
        <sz val="11"/>
        <color theme="1"/>
        <rFont val="Calibri"/>
        <family val="2"/>
        <scheme val="minor"/>
      </rPr>
      <t xml:space="preserve"> - Postsecondary institution
</t>
    </r>
    <r>
      <rPr>
        <b/>
        <sz val="11"/>
        <color theme="1"/>
        <rFont val="Calibri"/>
        <family val="2"/>
        <scheme val="minor"/>
      </rPr>
      <t>Private</t>
    </r>
    <r>
      <rPr>
        <sz val="11"/>
        <color theme="1"/>
        <rFont val="Calibri"/>
        <family val="2"/>
        <scheme val="minor"/>
      </rPr>
      <t xml:space="preserve"> - Private organization
</t>
    </r>
    <r>
      <rPr>
        <b/>
        <sz val="11"/>
        <color theme="1"/>
        <rFont val="Calibri"/>
        <family val="2"/>
        <scheme val="minor"/>
      </rPr>
      <t>Regional</t>
    </r>
    <r>
      <rPr>
        <sz val="11"/>
        <color theme="1"/>
        <rFont val="Calibri"/>
        <family val="2"/>
        <scheme val="minor"/>
      </rPr>
      <t xml:space="preserve"> - Regional or intermediate education agency
</t>
    </r>
    <r>
      <rPr>
        <b/>
        <sz val="11"/>
        <color theme="1"/>
        <rFont val="Calibri"/>
        <family val="2"/>
        <scheme val="minor"/>
      </rPr>
      <t>Religious</t>
    </r>
    <r>
      <rPr>
        <sz val="11"/>
        <color theme="1"/>
        <rFont val="Calibri"/>
        <family val="2"/>
        <scheme val="minor"/>
      </rPr>
      <t xml:space="preserve"> - Religious organization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SEA</t>
    </r>
    <r>
      <rPr>
        <sz val="11"/>
        <color theme="1"/>
        <rFont val="Calibri"/>
        <family val="2"/>
        <scheme val="minor"/>
      </rPr>
      <t xml:space="preserve"> - State Education Agency
</t>
    </r>
    <r>
      <rPr>
        <b/>
        <sz val="11"/>
        <color theme="1"/>
        <rFont val="Calibri"/>
        <family val="2"/>
        <scheme val="minor"/>
      </rPr>
      <t>Other</t>
    </r>
    <r>
      <rPr>
        <sz val="11"/>
        <color theme="1"/>
        <rFont val="Calibri"/>
        <family val="2"/>
        <scheme val="minor"/>
      </rPr>
      <t xml:space="preserve"> - Other
</t>
    </r>
  </si>
  <si>
    <r>
      <t>73056</t>
    </r>
    <r>
      <rPr>
        <sz val="11"/>
        <color theme="1"/>
        <rFont val="Calibri"/>
        <family val="2"/>
        <scheme val="minor"/>
      </rPr>
      <t xml:space="preserve"> - Adult Basic Education
</t>
    </r>
    <r>
      <rPr>
        <b/>
        <sz val="11"/>
        <color theme="1"/>
        <rFont val="Calibri"/>
        <family val="2"/>
        <scheme val="minor"/>
      </rPr>
      <t>73058</t>
    </r>
    <r>
      <rPr>
        <sz val="11"/>
        <color theme="1"/>
        <rFont val="Calibri"/>
        <family val="2"/>
        <scheme val="minor"/>
      </rPr>
      <t xml:space="preserve"> - Adult English as a Second Language
</t>
    </r>
    <r>
      <rPr>
        <b/>
        <sz val="11"/>
        <color theme="1"/>
        <rFont val="Calibri"/>
        <family val="2"/>
        <scheme val="minor"/>
      </rPr>
      <t>73057</t>
    </r>
    <r>
      <rPr>
        <sz val="11"/>
        <color theme="1"/>
        <rFont val="Calibri"/>
        <family val="2"/>
        <scheme val="minor"/>
      </rPr>
      <t xml:space="preserve"> - Adult Secondary Education
</t>
    </r>
    <r>
      <rPr>
        <b/>
        <sz val="11"/>
        <color theme="1"/>
        <rFont val="Calibri"/>
        <family val="2"/>
        <scheme val="minor"/>
      </rPr>
      <t>04961</t>
    </r>
    <r>
      <rPr>
        <sz val="11"/>
        <color theme="1"/>
        <rFont val="Calibri"/>
        <family val="2"/>
        <scheme val="minor"/>
      </rPr>
      <t xml:space="preserve"> - Alternative Education
</t>
    </r>
    <r>
      <rPr>
        <b/>
        <sz val="11"/>
        <color theme="1"/>
        <rFont val="Calibri"/>
        <family val="2"/>
        <scheme val="minor"/>
      </rPr>
      <t>04932</t>
    </r>
    <r>
      <rPr>
        <sz val="11"/>
        <color theme="1"/>
        <rFont val="Calibri"/>
        <family val="2"/>
        <scheme val="minor"/>
      </rPr>
      <t xml:space="preserve"> - Athletics
</t>
    </r>
    <r>
      <rPr>
        <b/>
        <sz val="11"/>
        <color theme="1"/>
        <rFont val="Calibri"/>
        <family val="2"/>
        <scheme val="minor"/>
      </rPr>
      <t>04923</t>
    </r>
    <r>
      <rPr>
        <sz val="11"/>
        <color theme="1"/>
        <rFont val="Calibri"/>
        <family val="2"/>
        <scheme val="minor"/>
      </rPr>
      <t xml:space="preserve"> - Bilingual education program
</t>
    </r>
    <r>
      <rPr>
        <b/>
        <sz val="11"/>
        <color theme="1"/>
        <rFont val="Calibri"/>
        <family val="2"/>
        <scheme val="minor"/>
      </rPr>
      <t>04906</t>
    </r>
    <r>
      <rPr>
        <sz val="11"/>
        <color theme="1"/>
        <rFont val="Calibri"/>
        <family val="2"/>
        <scheme val="minor"/>
      </rPr>
      <t xml:space="preserve"> - Career and Technical Education
</t>
    </r>
    <r>
      <rPr>
        <b/>
        <sz val="11"/>
        <color theme="1"/>
        <rFont val="Calibri"/>
        <family val="2"/>
        <scheme val="minor"/>
      </rPr>
      <t>04931</t>
    </r>
    <r>
      <rPr>
        <sz val="11"/>
        <color theme="1"/>
        <rFont val="Calibri"/>
        <family val="2"/>
        <scheme val="minor"/>
      </rPr>
      <t xml:space="preserve"> - Cocurricular programs
</t>
    </r>
    <r>
      <rPr>
        <b/>
        <sz val="11"/>
        <color theme="1"/>
        <rFont val="Calibri"/>
        <family val="2"/>
        <scheme val="minor"/>
      </rPr>
      <t>04958</t>
    </r>
    <r>
      <rPr>
        <sz val="11"/>
        <color theme="1"/>
        <rFont val="Calibri"/>
        <family val="2"/>
        <scheme val="minor"/>
      </rPr>
      <t xml:space="preserve"> - College preparatory
</t>
    </r>
    <r>
      <rPr>
        <b/>
        <sz val="11"/>
        <color theme="1"/>
        <rFont val="Calibri"/>
        <family val="2"/>
        <scheme val="minor"/>
      </rPr>
      <t>04945</t>
    </r>
    <r>
      <rPr>
        <sz val="11"/>
        <color theme="1"/>
        <rFont val="Calibri"/>
        <family val="2"/>
        <scheme val="minor"/>
      </rPr>
      <t xml:space="preserve"> - Community service program
</t>
    </r>
    <r>
      <rPr>
        <b/>
        <sz val="11"/>
        <color theme="1"/>
        <rFont val="Calibri"/>
        <family val="2"/>
        <scheme val="minor"/>
      </rPr>
      <t>04944</t>
    </r>
    <r>
      <rPr>
        <sz val="11"/>
        <color theme="1"/>
        <rFont val="Calibri"/>
        <family val="2"/>
        <scheme val="minor"/>
      </rPr>
      <t xml:space="preserve"> - Community/junior college education program
</t>
    </r>
    <r>
      <rPr>
        <b/>
        <sz val="11"/>
        <color theme="1"/>
        <rFont val="Calibri"/>
        <family val="2"/>
        <scheme val="minor"/>
      </rPr>
      <t>04922</t>
    </r>
    <r>
      <rPr>
        <sz val="11"/>
        <color theme="1"/>
        <rFont val="Calibri"/>
        <family val="2"/>
        <scheme val="minor"/>
      </rPr>
      <t xml:space="preserve"> - Compensatory services for disadvantaged students
</t>
    </r>
    <r>
      <rPr>
        <b/>
        <sz val="11"/>
        <color theme="1"/>
        <rFont val="Calibri"/>
        <family val="2"/>
        <scheme val="minor"/>
      </rPr>
      <t>73059</t>
    </r>
    <r>
      <rPr>
        <sz val="11"/>
        <color theme="1"/>
        <rFont val="Calibri"/>
        <family val="2"/>
        <scheme val="minor"/>
      </rPr>
      <t xml:space="preserve"> - Continuing Education
</t>
    </r>
    <r>
      <rPr>
        <b/>
        <sz val="11"/>
        <color theme="1"/>
        <rFont val="Calibri"/>
        <family val="2"/>
        <scheme val="minor"/>
      </rPr>
      <t>04956</t>
    </r>
    <r>
      <rPr>
        <sz val="11"/>
        <color theme="1"/>
        <rFont val="Calibri"/>
        <family val="2"/>
        <scheme val="minor"/>
      </rPr>
      <t xml:space="preserve"> - Counseling services
</t>
    </r>
    <r>
      <rPr>
        <b/>
        <sz val="11"/>
        <color theme="1"/>
        <rFont val="Calibri"/>
        <family val="2"/>
        <scheme val="minor"/>
      </rPr>
      <t>14609</t>
    </r>
    <r>
      <rPr>
        <sz val="11"/>
        <color theme="1"/>
        <rFont val="Calibri"/>
        <family val="2"/>
        <scheme val="minor"/>
      </rPr>
      <t xml:space="preserve"> - Early Head Start
</t>
    </r>
    <r>
      <rPr>
        <b/>
        <sz val="11"/>
        <color theme="1"/>
        <rFont val="Calibri"/>
        <family val="2"/>
        <scheme val="minor"/>
      </rPr>
      <t>04928</t>
    </r>
    <r>
      <rPr>
        <sz val="11"/>
        <color theme="1"/>
        <rFont val="Calibri"/>
        <family val="2"/>
        <scheme val="minor"/>
      </rPr>
      <t xml:space="preserve"> - English as a second language (ESL) program
</t>
    </r>
    <r>
      <rPr>
        <b/>
        <sz val="11"/>
        <color theme="1"/>
        <rFont val="Calibri"/>
        <family val="2"/>
        <scheme val="minor"/>
      </rPr>
      <t>04919</t>
    </r>
    <r>
      <rPr>
        <sz val="11"/>
        <color theme="1"/>
        <rFont val="Calibri"/>
        <family val="2"/>
        <scheme val="minor"/>
      </rPr>
      <t xml:space="preserve"> - Even Start
</t>
    </r>
    <r>
      <rPr>
        <b/>
        <sz val="11"/>
        <color theme="1"/>
        <rFont val="Calibri"/>
        <family val="2"/>
        <scheme val="minor"/>
      </rPr>
      <t>04955</t>
    </r>
    <r>
      <rPr>
        <sz val="11"/>
        <color theme="1"/>
        <rFont val="Calibri"/>
        <family val="2"/>
        <scheme val="minor"/>
      </rPr>
      <t xml:space="preserve"> - Extended day/child care services
</t>
    </r>
    <r>
      <rPr>
        <b/>
        <sz val="11"/>
        <color theme="1"/>
        <rFont val="Calibri"/>
        <family val="2"/>
        <scheme val="minor"/>
      </rPr>
      <t>04930</t>
    </r>
    <r>
      <rPr>
        <sz val="11"/>
        <color theme="1"/>
        <rFont val="Calibri"/>
        <family val="2"/>
        <scheme val="minor"/>
      </rPr>
      <t xml:space="preserve"> - Gifted and talented program
</t>
    </r>
    <r>
      <rPr>
        <b/>
        <sz val="11"/>
        <color theme="1"/>
        <rFont val="Calibri"/>
        <family val="2"/>
        <scheme val="minor"/>
      </rPr>
      <t>04918</t>
    </r>
    <r>
      <rPr>
        <sz val="11"/>
        <color theme="1"/>
        <rFont val="Calibri"/>
        <family val="2"/>
        <scheme val="minor"/>
      </rPr>
      <t xml:space="preserve"> - Head start
</t>
    </r>
    <r>
      <rPr>
        <b/>
        <sz val="11"/>
        <color theme="1"/>
        <rFont val="Calibri"/>
        <family val="2"/>
        <scheme val="minor"/>
      </rPr>
      <t>04963</t>
    </r>
    <r>
      <rPr>
        <sz val="11"/>
        <color theme="1"/>
        <rFont val="Calibri"/>
        <family val="2"/>
        <scheme val="minor"/>
      </rPr>
      <t xml:space="preserve"> - Health Services Program
</t>
    </r>
    <r>
      <rPr>
        <b/>
        <sz val="11"/>
        <color theme="1"/>
        <rFont val="Calibri"/>
        <family val="2"/>
        <scheme val="minor"/>
      </rPr>
      <t>04957</t>
    </r>
    <r>
      <rPr>
        <sz val="11"/>
        <color theme="1"/>
        <rFont val="Calibri"/>
        <family val="2"/>
        <scheme val="minor"/>
      </rPr>
      <t xml:space="preserve"> - Immigrant education
</t>
    </r>
    <r>
      <rPr>
        <b/>
        <sz val="11"/>
        <color theme="1"/>
        <rFont val="Calibri"/>
        <family val="2"/>
        <scheme val="minor"/>
      </rPr>
      <t>04921</t>
    </r>
    <r>
      <rPr>
        <sz val="11"/>
        <color theme="1"/>
        <rFont val="Calibri"/>
        <family val="2"/>
        <scheme val="minor"/>
      </rPr>
      <t xml:space="preserve"> - Indian education
</t>
    </r>
    <r>
      <rPr>
        <b/>
        <sz val="11"/>
        <color theme="1"/>
        <rFont val="Calibri"/>
        <family val="2"/>
        <scheme val="minor"/>
      </rPr>
      <t>04959</t>
    </r>
    <r>
      <rPr>
        <sz val="11"/>
        <color theme="1"/>
        <rFont val="Calibri"/>
        <family val="2"/>
        <scheme val="minor"/>
      </rPr>
      <t xml:space="preserve"> - International Baccalaureate
</t>
    </r>
    <r>
      <rPr>
        <b/>
        <sz val="11"/>
        <color theme="1"/>
        <rFont val="Calibri"/>
        <family val="2"/>
        <scheme val="minor"/>
      </rPr>
      <t>04962</t>
    </r>
    <r>
      <rPr>
        <sz val="11"/>
        <color theme="1"/>
        <rFont val="Calibri"/>
        <family val="2"/>
        <scheme val="minor"/>
      </rPr>
      <t xml:space="preserve"> - Library/Media Services Program
</t>
    </r>
    <r>
      <rPr>
        <b/>
        <sz val="11"/>
        <color theme="1"/>
        <rFont val="Calibri"/>
        <family val="2"/>
        <scheme val="minor"/>
      </rPr>
      <t>04960</t>
    </r>
    <r>
      <rPr>
        <sz val="11"/>
        <color theme="1"/>
        <rFont val="Calibri"/>
        <family val="2"/>
        <scheme val="minor"/>
      </rPr>
      <t xml:space="preserve"> - Magnet/Special Program Emphasis
</t>
    </r>
    <r>
      <rPr>
        <b/>
        <sz val="11"/>
        <color theme="1"/>
        <rFont val="Calibri"/>
        <family val="2"/>
        <scheme val="minor"/>
      </rPr>
      <t>04920</t>
    </r>
    <r>
      <rPr>
        <sz val="11"/>
        <color theme="1"/>
        <rFont val="Calibri"/>
        <family val="2"/>
        <scheme val="minor"/>
      </rPr>
      <t xml:space="preserve"> - Migrant education
</t>
    </r>
    <r>
      <rPr>
        <b/>
        <sz val="11"/>
        <color theme="1"/>
        <rFont val="Calibri"/>
        <family val="2"/>
        <scheme val="minor"/>
      </rPr>
      <t>04887</t>
    </r>
    <r>
      <rPr>
        <sz val="11"/>
        <color theme="1"/>
        <rFont val="Calibri"/>
        <family val="2"/>
        <scheme val="minor"/>
      </rPr>
      <t xml:space="preserve"> - Regular education
</t>
    </r>
    <r>
      <rPr>
        <b/>
        <sz val="11"/>
        <color theme="1"/>
        <rFont val="Calibri"/>
        <family val="2"/>
        <scheme val="minor"/>
      </rPr>
      <t>04964</t>
    </r>
    <r>
      <rPr>
        <sz val="11"/>
        <color theme="1"/>
        <rFont val="Calibri"/>
        <family val="2"/>
        <scheme val="minor"/>
      </rPr>
      <t xml:space="preserve"> - Remedial education
</t>
    </r>
    <r>
      <rPr>
        <b/>
        <sz val="11"/>
        <color theme="1"/>
        <rFont val="Calibri"/>
        <family val="2"/>
        <scheme val="minor"/>
      </rPr>
      <t>04967</t>
    </r>
    <r>
      <rPr>
        <sz val="11"/>
        <color theme="1"/>
        <rFont val="Calibri"/>
        <family val="2"/>
        <scheme val="minor"/>
      </rPr>
      <t xml:space="preserve"> - Section 504 Placement
</t>
    </r>
    <r>
      <rPr>
        <b/>
        <sz val="11"/>
        <color theme="1"/>
        <rFont val="Calibri"/>
        <family val="2"/>
        <scheme val="minor"/>
      </rPr>
      <t>04966</t>
    </r>
    <r>
      <rPr>
        <sz val="11"/>
        <color theme="1"/>
        <rFont val="Calibri"/>
        <family val="2"/>
        <scheme val="minor"/>
      </rPr>
      <t xml:space="preserve"> - Service learning
</t>
    </r>
    <r>
      <rPr>
        <b/>
        <sz val="11"/>
        <color theme="1"/>
        <rFont val="Calibri"/>
        <family val="2"/>
        <scheme val="minor"/>
      </rPr>
      <t>04888</t>
    </r>
    <r>
      <rPr>
        <sz val="11"/>
        <color theme="1"/>
        <rFont val="Calibri"/>
        <family val="2"/>
        <scheme val="minor"/>
      </rPr>
      <t xml:space="preserve"> - Special Education Services
</t>
    </r>
    <r>
      <rPr>
        <b/>
        <sz val="11"/>
        <color theme="1"/>
        <rFont val="Calibri"/>
        <family val="2"/>
        <scheme val="minor"/>
      </rPr>
      <t>04954</t>
    </r>
    <r>
      <rPr>
        <sz val="11"/>
        <color theme="1"/>
        <rFont val="Calibri"/>
        <family val="2"/>
        <scheme val="minor"/>
      </rPr>
      <t xml:space="preserve"> - Student retention/ Dropout Prevention
</t>
    </r>
    <r>
      <rPr>
        <b/>
        <sz val="11"/>
        <color theme="1"/>
        <rFont val="Calibri"/>
        <family val="2"/>
        <scheme val="minor"/>
      </rPr>
      <t>04953</t>
    </r>
    <r>
      <rPr>
        <sz val="11"/>
        <color theme="1"/>
        <rFont val="Calibri"/>
        <family val="2"/>
        <scheme val="minor"/>
      </rPr>
      <t xml:space="preserve"> - Substance abuse education/prevention
</t>
    </r>
    <r>
      <rPr>
        <b/>
        <sz val="11"/>
        <color theme="1"/>
        <rFont val="Calibri"/>
        <family val="2"/>
        <scheme val="minor"/>
      </rPr>
      <t>73204</t>
    </r>
    <r>
      <rPr>
        <sz val="11"/>
        <color theme="1"/>
        <rFont val="Calibri"/>
        <family val="2"/>
        <scheme val="minor"/>
      </rPr>
      <t xml:space="preserve"> - Targeted intervention program
</t>
    </r>
    <r>
      <rPr>
        <b/>
        <sz val="11"/>
        <color theme="1"/>
        <rFont val="Calibri"/>
        <family val="2"/>
        <scheme val="minor"/>
      </rPr>
      <t>04968</t>
    </r>
    <r>
      <rPr>
        <sz val="11"/>
        <color theme="1"/>
        <rFont val="Calibri"/>
        <family val="2"/>
        <scheme val="minor"/>
      </rPr>
      <t xml:space="preserve"> - Teacher professional development / Mentoring
</t>
    </r>
    <r>
      <rPr>
        <b/>
        <sz val="11"/>
        <color theme="1"/>
        <rFont val="Calibri"/>
        <family val="2"/>
        <scheme val="minor"/>
      </rPr>
      <t>04917</t>
    </r>
    <r>
      <rPr>
        <sz val="11"/>
        <color theme="1"/>
        <rFont val="Calibri"/>
        <family val="2"/>
        <scheme val="minor"/>
      </rPr>
      <t xml:space="preserve"> - Technical preparatory
</t>
    </r>
    <r>
      <rPr>
        <b/>
        <sz val="11"/>
        <color theme="1"/>
        <rFont val="Calibri"/>
        <family val="2"/>
        <scheme val="minor"/>
      </rPr>
      <t>73090</t>
    </r>
    <r>
      <rPr>
        <sz val="11"/>
        <color theme="1"/>
        <rFont val="Calibri"/>
        <family val="2"/>
        <scheme val="minor"/>
      </rPr>
      <t xml:space="preserve"> - Work-based Learning Opportunities
</t>
    </r>
    <r>
      <rPr>
        <b/>
        <sz val="11"/>
        <color theme="1"/>
        <rFont val="Calibri"/>
        <family val="2"/>
        <scheme val="minor"/>
      </rPr>
      <t>09999</t>
    </r>
    <r>
      <rPr>
        <sz val="11"/>
        <color theme="1"/>
        <rFont val="Calibri"/>
        <family val="2"/>
        <scheme val="minor"/>
      </rPr>
      <t xml:space="preserve"> - Other
</t>
    </r>
  </si>
  <si>
    <r>
      <t>NEGGRADE</t>
    </r>
    <r>
      <rPr>
        <sz val="11"/>
        <color theme="1"/>
        <rFont val="Calibri"/>
        <family val="2"/>
        <scheme val="minor"/>
      </rPr>
      <t xml:space="preserve"> - Negative grade level change
</t>
    </r>
    <r>
      <rPr>
        <b/>
        <sz val="11"/>
        <color theme="1"/>
        <rFont val="Calibri"/>
        <family val="2"/>
        <scheme val="minor"/>
      </rPr>
      <t>NOCHANGE</t>
    </r>
    <r>
      <rPr>
        <sz val="11"/>
        <color theme="1"/>
        <rFont val="Calibri"/>
        <family val="2"/>
        <scheme val="minor"/>
      </rPr>
      <t xml:space="preserve"> - No change
</t>
    </r>
    <r>
      <rPr>
        <b/>
        <sz val="11"/>
        <color theme="1"/>
        <rFont val="Calibri"/>
        <family val="2"/>
        <scheme val="minor"/>
      </rPr>
      <t>UPHALFGRADE</t>
    </r>
    <r>
      <rPr>
        <sz val="11"/>
        <color theme="1"/>
        <rFont val="Calibri"/>
        <family val="2"/>
        <scheme val="minor"/>
      </rPr>
      <t xml:space="preserve"> - Improvement of up to one half grade level
</t>
    </r>
    <r>
      <rPr>
        <b/>
        <sz val="11"/>
        <color theme="1"/>
        <rFont val="Calibri"/>
        <family val="2"/>
        <scheme val="minor"/>
      </rPr>
      <t>UPONEGRADE</t>
    </r>
    <r>
      <rPr>
        <sz val="11"/>
        <color theme="1"/>
        <rFont val="Calibri"/>
        <family val="2"/>
        <scheme val="minor"/>
      </rPr>
      <t xml:space="preserve"> - Improvement from one half grade level up to one full grade level
</t>
    </r>
    <r>
      <rPr>
        <b/>
        <sz val="11"/>
        <color theme="1"/>
        <rFont val="Calibri"/>
        <family val="2"/>
        <scheme val="minor"/>
      </rPr>
      <t>UPGTONE</t>
    </r>
    <r>
      <rPr>
        <sz val="11"/>
        <color theme="1"/>
        <rFont val="Calibri"/>
        <family val="2"/>
        <scheme val="minor"/>
      </rPr>
      <t xml:space="preserve"> - Improvement of more than one full grade level
</t>
    </r>
  </si>
  <si>
    <r>
      <t>AcceleratedPromotion</t>
    </r>
    <r>
      <rPr>
        <sz val="11"/>
        <color theme="1"/>
        <rFont val="Calibri"/>
        <family val="2"/>
        <scheme val="minor"/>
      </rPr>
      <t xml:space="preserve"> - Accelerated promotion
</t>
    </r>
    <r>
      <rPr>
        <b/>
        <sz val="11"/>
        <color theme="1"/>
        <rFont val="Calibri"/>
        <family val="2"/>
        <scheme val="minor"/>
      </rPr>
      <t>ContinuousPromotion</t>
    </r>
    <r>
      <rPr>
        <sz val="11"/>
        <color theme="1"/>
        <rFont val="Calibri"/>
        <family val="2"/>
        <scheme val="minor"/>
      </rPr>
      <t xml:space="preserve"> - Continuous promotion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ProbationaryPromotion</t>
    </r>
    <r>
      <rPr>
        <sz val="11"/>
        <color theme="1"/>
        <rFont val="Calibri"/>
        <family val="2"/>
        <scheme val="minor"/>
      </rPr>
      <t xml:space="preserve"> - Probationary promotion
</t>
    </r>
    <r>
      <rPr>
        <b/>
        <sz val="11"/>
        <color theme="1"/>
        <rFont val="Calibri"/>
        <family val="2"/>
        <scheme val="minor"/>
      </rPr>
      <t>RegularPromotion</t>
    </r>
    <r>
      <rPr>
        <sz val="11"/>
        <color theme="1"/>
        <rFont val="Calibri"/>
        <family val="2"/>
        <scheme val="minor"/>
      </rPr>
      <t xml:space="preserve"> - Regular promotion
</t>
    </r>
    <r>
      <rPr>
        <b/>
        <sz val="11"/>
        <color theme="1"/>
        <rFont val="Calibri"/>
        <family val="2"/>
        <scheme val="minor"/>
      </rPr>
      <t>VariableProgress</t>
    </r>
    <r>
      <rPr>
        <sz val="11"/>
        <color theme="1"/>
        <rFont val="Calibri"/>
        <family val="2"/>
        <scheme val="minor"/>
      </rPr>
      <t xml:space="preserve"> - Variable progress
</t>
    </r>
  </si>
  <si>
    <r>
      <t>BankStatement</t>
    </r>
    <r>
      <rPr>
        <sz val="11"/>
        <color theme="1"/>
        <rFont val="Calibri"/>
        <family val="2"/>
        <scheme val="minor"/>
      </rPr>
      <t xml:space="preserve"> - Bank statement
</t>
    </r>
    <r>
      <rPr>
        <b/>
        <sz val="11"/>
        <color theme="1"/>
        <rFont val="Calibri"/>
        <family val="2"/>
        <scheme val="minor"/>
      </rPr>
      <t>UtilityBill</t>
    </r>
    <r>
      <rPr>
        <sz val="11"/>
        <color theme="1"/>
        <rFont val="Calibri"/>
        <family val="2"/>
        <scheme val="minor"/>
      </rPr>
      <t xml:space="preserve"> - Utility bill
</t>
    </r>
    <r>
      <rPr>
        <b/>
        <sz val="11"/>
        <color theme="1"/>
        <rFont val="Calibri"/>
        <family val="2"/>
        <scheme val="minor"/>
      </rPr>
      <t>Lease</t>
    </r>
    <r>
      <rPr>
        <sz val="11"/>
        <color theme="1"/>
        <rFont val="Calibri"/>
        <family val="2"/>
        <scheme val="minor"/>
      </rPr>
      <t xml:space="preserve"> - Lease
</t>
    </r>
    <r>
      <rPr>
        <b/>
        <sz val="11"/>
        <color theme="1"/>
        <rFont val="Calibri"/>
        <family val="2"/>
        <scheme val="minor"/>
      </rPr>
      <t>Other</t>
    </r>
    <r>
      <rPr>
        <sz val="11"/>
        <color theme="1"/>
        <rFont val="Calibri"/>
        <family val="2"/>
        <scheme val="minor"/>
      </rPr>
      <t xml:space="preserve"> - Other
</t>
    </r>
  </si>
  <si>
    <r>
      <t>ImplementedAllGrades</t>
    </r>
    <r>
      <rPr>
        <sz val="11"/>
        <color theme="1"/>
        <rFont val="Calibri"/>
        <family val="2"/>
        <scheme val="minor"/>
      </rPr>
      <t xml:space="preserve"> - Implemented at all grade levels
</t>
    </r>
    <r>
      <rPr>
        <b/>
        <sz val="11"/>
        <color theme="1"/>
        <rFont val="Calibri"/>
        <family val="2"/>
        <scheme val="minor"/>
      </rPr>
      <t>ImplementedSomeGrades</t>
    </r>
    <r>
      <rPr>
        <sz val="11"/>
        <color theme="1"/>
        <rFont val="Calibri"/>
        <family val="2"/>
        <scheme val="minor"/>
      </rPr>
      <t xml:space="preserve"> - Implemented at some but not all grade levels
</t>
    </r>
    <r>
      <rPr>
        <b/>
        <sz val="11"/>
        <color theme="1"/>
        <rFont val="Calibri"/>
        <family val="2"/>
        <scheme val="minor"/>
      </rPr>
      <t>UnableToImplement</t>
    </r>
    <r>
      <rPr>
        <sz val="11"/>
        <color theme="1"/>
        <rFont val="Calibri"/>
        <family val="2"/>
        <scheme val="minor"/>
      </rPr>
      <t xml:space="preserve"> - Unable to implement at any grades levels
</t>
    </r>
    <r>
      <rPr>
        <b/>
        <sz val="11"/>
        <color theme="1"/>
        <rFont val="Calibri"/>
        <family val="2"/>
        <scheme val="minor"/>
      </rPr>
      <t>NotRequiredToImplement</t>
    </r>
    <r>
      <rPr>
        <sz val="11"/>
        <color theme="1"/>
        <rFont val="Calibri"/>
        <family val="2"/>
        <scheme val="minor"/>
      </rPr>
      <t xml:space="preserve"> - Not required to implement public school choice
</t>
    </r>
  </si>
  <si>
    <r>
      <t>01652</t>
    </r>
    <r>
      <rPr>
        <sz val="11"/>
        <color theme="1"/>
        <rFont val="Calibri"/>
        <family val="2"/>
        <scheme val="minor"/>
      </rPr>
      <t xml:space="preserve"> - Resident of administrative unit and usual school attendance area
</t>
    </r>
    <r>
      <rPr>
        <b/>
        <sz val="11"/>
        <color theme="1"/>
        <rFont val="Calibri"/>
        <family val="2"/>
        <scheme val="minor"/>
      </rPr>
      <t>01653</t>
    </r>
    <r>
      <rPr>
        <sz val="11"/>
        <color theme="1"/>
        <rFont val="Calibri"/>
        <family val="2"/>
        <scheme val="minor"/>
      </rPr>
      <t xml:space="preserve"> - Resident of administrative unit, but of other school attendance area
</t>
    </r>
    <r>
      <rPr>
        <b/>
        <sz val="11"/>
        <color theme="1"/>
        <rFont val="Calibri"/>
        <family val="2"/>
        <scheme val="minor"/>
      </rPr>
      <t>01654</t>
    </r>
    <r>
      <rPr>
        <sz val="11"/>
        <color theme="1"/>
        <rFont val="Calibri"/>
        <family val="2"/>
        <scheme val="minor"/>
      </rPr>
      <t xml:space="preserve"> - Resident of this state, but not of this administrative unit
</t>
    </r>
    <r>
      <rPr>
        <b/>
        <sz val="11"/>
        <color theme="1"/>
        <rFont val="Calibri"/>
        <family val="2"/>
        <scheme val="minor"/>
      </rPr>
      <t>01655</t>
    </r>
    <r>
      <rPr>
        <sz val="11"/>
        <color theme="1"/>
        <rFont val="Calibri"/>
        <family val="2"/>
        <scheme val="minor"/>
      </rPr>
      <t xml:space="preserve"> - Resident of an administrative unit that crosses state boundaries
</t>
    </r>
    <r>
      <rPr>
        <b/>
        <sz val="11"/>
        <color theme="1"/>
        <rFont val="Calibri"/>
        <family val="2"/>
        <scheme val="minor"/>
      </rPr>
      <t>01656</t>
    </r>
    <r>
      <rPr>
        <sz val="11"/>
        <color theme="1"/>
        <rFont val="Calibri"/>
        <family val="2"/>
        <scheme val="minor"/>
      </rPr>
      <t xml:space="preserve"> - Resident of another state
</t>
    </r>
  </si>
  <si>
    <r>
      <t>LicensingVisits</t>
    </r>
    <r>
      <rPr>
        <sz val="11"/>
        <color theme="1"/>
        <rFont val="Calibri"/>
        <family val="2"/>
        <scheme val="minor"/>
      </rPr>
      <t xml:space="preserve"> - Licensing Visits
</t>
    </r>
    <r>
      <rPr>
        <b/>
        <sz val="11"/>
        <color theme="1"/>
        <rFont val="Calibri"/>
        <family val="2"/>
        <scheme val="minor"/>
      </rPr>
      <t>HeathSafety</t>
    </r>
    <r>
      <rPr>
        <sz val="11"/>
        <color theme="1"/>
        <rFont val="Calibri"/>
        <family val="2"/>
        <scheme val="minor"/>
      </rPr>
      <t xml:space="preserve"> - Health and Safety
</t>
    </r>
    <r>
      <rPr>
        <b/>
        <sz val="11"/>
        <color theme="1"/>
        <rFont val="Calibri"/>
        <family val="2"/>
        <scheme val="minor"/>
      </rPr>
      <t>Renewal</t>
    </r>
    <r>
      <rPr>
        <sz val="11"/>
        <color theme="1"/>
        <rFont val="Calibri"/>
        <family val="2"/>
        <scheme val="minor"/>
      </rPr>
      <t xml:space="preserve"> - Renewal
</t>
    </r>
    <r>
      <rPr>
        <b/>
        <sz val="11"/>
        <color theme="1"/>
        <rFont val="Calibri"/>
        <family val="2"/>
        <scheme val="minor"/>
      </rPr>
      <t>Review</t>
    </r>
    <r>
      <rPr>
        <sz val="11"/>
        <color theme="1"/>
        <rFont val="Calibri"/>
        <family val="2"/>
        <scheme val="minor"/>
      </rPr>
      <t xml:space="preserve"> - Review
</t>
    </r>
    <r>
      <rPr>
        <b/>
        <sz val="11"/>
        <color theme="1"/>
        <rFont val="Calibri"/>
        <family val="2"/>
        <scheme val="minor"/>
      </rPr>
      <t>Other</t>
    </r>
    <r>
      <rPr>
        <sz val="11"/>
        <color theme="1"/>
        <rFont val="Calibri"/>
        <family val="2"/>
        <scheme val="minor"/>
      </rPr>
      <t xml:space="preserve"> - Other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</si>
  <si>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</si>
  <si>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NoOperatingQRIS</t>
    </r>
    <r>
      <rPr>
        <sz val="11"/>
        <color theme="1"/>
        <rFont val="Calibri"/>
        <family val="2"/>
        <scheme val="minor"/>
      </rPr>
      <t xml:space="preserve"> - No Operating QRIS
</t>
    </r>
    <r>
      <rPr>
        <b/>
        <sz val="11"/>
        <color theme="1"/>
        <rFont val="Calibri"/>
        <family val="2"/>
        <scheme val="minor"/>
      </rPr>
      <t>InformationUnavailable</t>
    </r>
    <r>
      <rPr>
        <sz val="11"/>
        <color theme="1"/>
        <rFont val="Calibri"/>
        <family val="2"/>
        <scheme val="minor"/>
      </rPr>
      <t xml:space="preserve"> - Information Unavailable
</t>
    </r>
  </si>
  <si>
    <r>
      <t>Family</t>
    </r>
    <r>
      <rPr>
        <sz val="11"/>
        <color theme="1"/>
        <rFont val="Calibri"/>
        <family val="2"/>
        <scheme val="minor"/>
      </rPr>
      <t xml:space="preserve"> - Family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BeyondProgramControl</t>
    </r>
    <r>
      <rPr>
        <sz val="11"/>
        <color theme="1"/>
        <rFont val="Calibri"/>
        <family val="2"/>
        <scheme val="minor"/>
      </rPr>
      <t xml:space="preserve"> - Other beyond the control of the program
</t>
    </r>
    <r>
      <rPr>
        <b/>
        <sz val="11"/>
        <color theme="1"/>
        <rFont val="Calibri"/>
        <family val="2"/>
        <scheme val="minor"/>
      </rPr>
      <t>Promotion</t>
    </r>
    <r>
      <rPr>
        <sz val="11"/>
        <color theme="1"/>
        <rFont val="Calibri"/>
        <family val="2"/>
        <scheme val="minor"/>
      </rPr>
      <t xml:space="preserve"> - Promotion or advancement
</t>
    </r>
  </si>
  <si>
    <r>
      <t>03451</t>
    </r>
    <r>
      <rPr>
        <sz val="11"/>
        <color theme="1"/>
        <rFont val="Calibri"/>
        <family val="2"/>
        <scheme val="minor"/>
      </rPr>
      <t xml:space="preserve"> - Absent
</t>
    </r>
    <r>
      <rPr>
        <b/>
        <sz val="11"/>
        <color theme="1"/>
        <rFont val="Calibri"/>
        <family val="2"/>
        <scheme val="minor"/>
      </rPr>
      <t>03455</t>
    </r>
    <r>
      <rPr>
        <sz val="11"/>
        <color theme="1"/>
        <rFont val="Calibri"/>
        <family val="2"/>
        <scheme val="minor"/>
      </rPr>
      <t xml:space="preserve"> - Disruptive behavior
</t>
    </r>
    <r>
      <rPr>
        <b/>
        <sz val="11"/>
        <color theme="1"/>
        <rFont val="Calibri"/>
        <family val="2"/>
        <scheme val="minor"/>
      </rPr>
      <t>03454</t>
    </r>
    <r>
      <rPr>
        <sz val="11"/>
        <color theme="1"/>
        <rFont val="Calibri"/>
        <family val="2"/>
        <scheme val="minor"/>
      </rPr>
      <t xml:space="preserve"> - Medical waiver
</t>
    </r>
    <r>
      <rPr>
        <b/>
        <sz val="11"/>
        <color theme="1"/>
        <rFont val="Calibri"/>
        <family val="2"/>
        <scheme val="minor"/>
      </rPr>
      <t>03456</t>
    </r>
    <r>
      <rPr>
        <sz val="11"/>
        <color theme="1"/>
        <rFont val="Calibri"/>
        <family val="2"/>
        <scheme val="minor"/>
      </rPr>
      <t xml:space="preserve"> - Previously passed the examination
</t>
    </r>
    <r>
      <rPr>
        <b/>
        <sz val="11"/>
        <color theme="1"/>
        <rFont val="Calibri"/>
        <family val="2"/>
        <scheme val="minor"/>
      </rPr>
      <t>03452</t>
    </r>
    <r>
      <rPr>
        <sz val="11"/>
        <color theme="1"/>
        <rFont val="Calibri"/>
        <family val="2"/>
        <scheme val="minor"/>
      </rPr>
      <t xml:space="preserve"> - Refusal by parent
</t>
    </r>
    <r>
      <rPr>
        <b/>
        <sz val="11"/>
        <color theme="1"/>
        <rFont val="Calibri"/>
        <family val="2"/>
        <scheme val="minor"/>
      </rPr>
      <t>03453</t>
    </r>
    <r>
      <rPr>
        <sz val="11"/>
        <color theme="1"/>
        <rFont val="Calibri"/>
        <family val="2"/>
        <scheme val="minor"/>
      </rPr>
      <t xml:space="preserve"> - Refusal by student
</t>
    </r>
    <r>
      <rPr>
        <b/>
        <sz val="11"/>
        <color theme="1"/>
        <rFont val="Calibri"/>
        <family val="2"/>
        <scheme val="minor"/>
      </rPr>
      <t>09999</t>
    </r>
    <r>
      <rPr>
        <sz val="11"/>
        <color theme="1"/>
        <rFont val="Calibri"/>
        <family val="2"/>
        <scheme val="minor"/>
      </rPr>
      <t xml:space="preserve"> - Other
</t>
    </r>
  </si>
  <si>
    <r>
      <t>00997</t>
    </r>
    <r>
      <rPr>
        <sz val="11"/>
        <color theme="1"/>
        <rFont val="Calibri"/>
        <family val="2"/>
        <scheme val="minor"/>
      </rPr>
      <t xml:space="preserve"> - Business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00753</t>
    </r>
    <r>
      <rPr>
        <sz val="11"/>
        <color theme="1"/>
        <rFont val="Calibri"/>
        <family val="2"/>
        <scheme val="minor"/>
      </rPr>
      <t xml:space="preserve"> - Home of student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03506</t>
    </r>
    <r>
      <rPr>
        <sz val="11"/>
        <color theme="1"/>
        <rFont val="Calibri"/>
        <family val="2"/>
        <scheme val="minor"/>
      </rPr>
      <t xml:space="preserve"> - Mobile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00341</t>
    </r>
    <r>
      <rPr>
        <sz val="11"/>
        <color theme="1"/>
        <rFont val="Calibri"/>
        <family val="2"/>
        <scheme val="minor"/>
      </rPr>
      <t xml:space="preserve"> - Other K-12 educational institution
</t>
    </r>
    <r>
      <rPr>
        <b/>
        <sz val="11"/>
        <color theme="1"/>
        <rFont val="Calibri"/>
        <family val="2"/>
        <scheme val="minor"/>
      </rPr>
      <t>00342</t>
    </r>
    <r>
      <rPr>
        <sz val="11"/>
        <color theme="1"/>
        <rFont val="Calibri"/>
        <family val="2"/>
        <scheme val="minor"/>
      </rPr>
      <t xml:space="preserve"> - Postsecondary facility
</t>
    </r>
    <r>
      <rPr>
        <b/>
        <sz val="11"/>
        <color theme="1"/>
        <rFont val="Calibri"/>
        <family val="2"/>
        <scheme val="minor"/>
      </rPr>
      <t>00675</t>
    </r>
    <r>
      <rPr>
        <sz val="11"/>
        <color theme="1"/>
        <rFont val="Calibri"/>
        <family val="2"/>
        <scheme val="minor"/>
      </rPr>
      <t xml:space="preserve"> - School
</t>
    </r>
  </si>
  <si>
    <r>
      <t>00737</t>
    </r>
    <r>
      <rPr>
        <sz val="11"/>
        <color theme="1"/>
        <rFont val="Calibri"/>
        <family val="2"/>
        <scheme val="minor"/>
      </rPr>
      <t xml:space="preserve"> - Athletic awards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00743</t>
    </r>
    <r>
      <rPr>
        <sz val="11"/>
        <color theme="1"/>
        <rFont val="Calibri"/>
        <family val="2"/>
        <scheme val="minor"/>
      </rPr>
      <t xml:space="preserve"> - Honor award
</t>
    </r>
    <r>
      <rPr>
        <b/>
        <sz val="11"/>
        <color theme="1"/>
        <rFont val="Calibri"/>
        <family val="2"/>
        <scheme val="minor"/>
      </rPr>
      <t>02048</t>
    </r>
    <r>
      <rPr>
        <sz val="11"/>
        <color theme="1"/>
        <rFont val="Calibri"/>
        <family val="2"/>
        <scheme val="minor"/>
      </rPr>
      <t xml:space="preserve"> - Letter of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00746</t>
    </r>
    <r>
      <rPr>
        <sz val="11"/>
        <color theme="1"/>
        <rFont val="Calibri"/>
        <family val="2"/>
        <scheme val="minor"/>
      </rPr>
      <t xml:space="preserve"> - Monogram/letter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</si>
  <si>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Yes</t>
    </r>
    <r>
      <rPr>
        <sz val="11"/>
        <color theme="1"/>
        <rFont val="Calibri"/>
        <family val="2"/>
        <scheme val="minor"/>
      </rPr>
      <t xml:space="preserve"> - Reconstituted school
</t>
    </r>
    <r>
      <rPr>
        <b/>
        <sz val="11"/>
        <color theme="1"/>
        <rFont val="Calibri"/>
        <family val="2"/>
        <scheme val="minor"/>
      </rPr>
      <t>No</t>
    </r>
    <r>
      <rPr>
        <sz val="11"/>
        <color theme="1"/>
        <rFont val="Calibri"/>
        <family val="2"/>
        <scheme val="minor"/>
      </rPr>
      <t xml:space="preserve"> - Not a reconstituted school
</t>
    </r>
  </si>
  <si>
    <r>
      <t>WaitingList</t>
    </r>
    <r>
      <rPr>
        <sz val="11"/>
        <color theme="1"/>
        <rFont val="Calibri"/>
        <family val="2"/>
        <scheme val="minor"/>
      </rPr>
      <t xml:space="preserve"> - Waiting list
</t>
    </r>
    <r>
      <rPr>
        <b/>
        <sz val="11"/>
        <color theme="1"/>
        <rFont val="Calibri"/>
        <family val="2"/>
        <scheme val="minor"/>
      </rPr>
      <t>ParentDeclined</t>
    </r>
    <r>
      <rPr>
        <sz val="11"/>
        <color theme="1"/>
        <rFont val="Calibri"/>
        <family val="2"/>
        <scheme val="minor"/>
      </rPr>
      <t xml:space="preserve"> - Parent declined service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Unreachable</t>
    </r>
    <r>
      <rPr>
        <sz val="11"/>
        <color theme="1"/>
        <rFont val="Calibri"/>
        <family val="2"/>
        <scheme val="minor"/>
      </rPr>
      <t xml:space="preserve"> - Unable to contact parent/family/guardian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Other</t>
    </r>
    <r>
      <rPr>
        <sz val="11"/>
        <color theme="1"/>
        <rFont val="Calibri"/>
        <family val="2"/>
        <scheme val="minor"/>
      </rPr>
      <t xml:space="preserve"> - Other
</t>
    </r>
  </si>
  <si>
    <r>
      <t>FeeForService</t>
    </r>
    <r>
      <rPr>
        <sz val="11"/>
        <color theme="1"/>
        <rFont val="Calibri"/>
        <family val="2"/>
        <scheme val="minor"/>
      </rPr>
      <t xml:space="preserve"> - Fee for Service
</t>
    </r>
    <r>
      <rPr>
        <b/>
        <sz val="11"/>
        <color theme="1"/>
        <rFont val="Calibri"/>
        <family val="2"/>
        <scheme val="minor"/>
      </rPr>
      <t>CapitatedRate</t>
    </r>
    <r>
      <rPr>
        <sz val="11"/>
        <color theme="1"/>
        <rFont val="Calibri"/>
        <family val="2"/>
        <scheme val="minor"/>
      </rPr>
      <t xml:space="preserve"> - Capitated Rate
</t>
    </r>
    <r>
      <rPr>
        <b/>
        <sz val="11"/>
        <color theme="1"/>
        <rFont val="Calibri"/>
        <family val="2"/>
        <scheme val="minor"/>
      </rPr>
      <t>GrantContract</t>
    </r>
    <r>
      <rPr>
        <sz val="11"/>
        <color theme="1"/>
        <rFont val="Calibri"/>
        <family val="2"/>
        <scheme val="minor"/>
      </rPr>
      <t xml:space="preserve"> - Grant/contract
</t>
    </r>
    <r>
      <rPr>
        <b/>
        <sz val="11"/>
        <color theme="1"/>
        <rFont val="Calibri"/>
        <family val="2"/>
        <scheme val="minor"/>
      </rPr>
      <t>Subsidy</t>
    </r>
    <r>
      <rPr>
        <sz val="11"/>
        <color theme="1"/>
        <rFont val="Calibri"/>
        <family val="2"/>
        <scheme val="minor"/>
      </rPr>
      <t xml:space="preserve"> - Subsidy
</t>
    </r>
    <r>
      <rPr>
        <b/>
        <sz val="11"/>
        <color theme="1"/>
        <rFont val="Calibri"/>
        <family val="2"/>
        <scheme val="minor"/>
      </rPr>
      <t>Other</t>
    </r>
    <r>
      <rPr>
        <sz val="11"/>
        <color theme="1"/>
        <rFont val="Calibri"/>
        <family val="2"/>
        <scheme val="minor"/>
      </rPr>
      <t xml:space="preserve"> - Other
</t>
    </r>
  </si>
  <si>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</si>
  <si>
    <r>
      <t>RA1</t>
    </r>
    <r>
      <rPr>
        <sz val="11"/>
        <color theme="1"/>
        <rFont val="Calibri"/>
        <family val="2"/>
        <scheme val="minor"/>
      </rPr>
      <t xml:space="preserve"> - Replacement of all or most of the school staff (which may include the principal)
</t>
    </r>
    <r>
      <rPr>
        <b/>
        <sz val="11"/>
        <color theme="1"/>
        <rFont val="Calibri"/>
        <family val="2"/>
        <scheme val="minor"/>
      </rPr>
      <t>RA2</t>
    </r>
    <r>
      <rPr>
        <sz val="11"/>
        <color theme="1"/>
        <rFont val="Calibri"/>
        <family val="2"/>
        <scheme val="minor"/>
      </rPr>
      <t xml:space="preserve"> - Reopening the school as a public charter school
</t>
    </r>
    <r>
      <rPr>
        <b/>
        <sz val="11"/>
        <color theme="1"/>
        <rFont val="Calibri"/>
        <family val="2"/>
        <scheme val="minor"/>
      </rPr>
      <t>RA3</t>
    </r>
    <r>
      <rPr>
        <sz val="11"/>
        <color theme="1"/>
        <rFont val="Calibri"/>
        <family val="2"/>
        <scheme val="minor"/>
      </rPr>
      <t xml:space="preserve"> - Entering into a contract with a private entity to operate the school
</t>
    </r>
    <r>
      <rPr>
        <b/>
        <sz val="11"/>
        <color theme="1"/>
        <rFont val="Calibri"/>
        <family val="2"/>
        <scheme val="minor"/>
      </rPr>
      <t>RA4</t>
    </r>
    <r>
      <rPr>
        <sz val="11"/>
        <color theme="1"/>
        <rFont val="Calibri"/>
        <family val="2"/>
        <scheme val="minor"/>
      </rPr>
      <t xml:space="preserve"> - Take of the school by the state
</t>
    </r>
    <r>
      <rPr>
        <b/>
        <sz val="11"/>
        <color theme="1"/>
        <rFont val="Calibri"/>
        <family val="2"/>
        <scheme val="minor"/>
      </rPr>
      <t>RA5</t>
    </r>
    <r>
      <rPr>
        <sz val="11"/>
        <color theme="1"/>
        <rFont val="Calibri"/>
        <family val="2"/>
        <scheme val="minor"/>
      </rPr>
      <t xml:space="preserve"> - Other major restructuring of the school governance
</t>
    </r>
  </si>
  <si>
    <r>
      <t>Newborn</t>
    </r>
    <r>
      <rPr>
        <sz val="11"/>
        <color theme="1"/>
        <rFont val="Calibri"/>
        <family val="2"/>
        <scheme val="minor"/>
      </rPr>
      <t xml:space="preserve"> - Newborn well child visit
</t>
    </r>
    <r>
      <rPr>
        <b/>
        <sz val="11"/>
        <color theme="1"/>
        <rFont val="Calibri"/>
        <family val="2"/>
        <scheme val="minor"/>
      </rPr>
      <t>3To5Days</t>
    </r>
    <r>
      <rPr>
        <sz val="11"/>
        <color theme="1"/>
        <rFont val="Calibri"/>
        <family val="2"/>
        <scheme val="minor"/>
      </rPr>
      <t xml:space="preserve"> - 3 to 5 days well child visit
</t>
    </r>
    <r>
      <rPr>
        <b/>
        <sz val="11"/>
        <color theme="1"/>
        <rFont val="Calibri"/>
        <family val="2"/>
        <scheme val="minor"/>
      </rPr>
      <t>1Month</t>
    </r>
    <r>
      <rPr>
        <sz val="11"/>
        <color theme="1"/>
        <rFont val="Calibri"/>
        <family val="2"/>
        <scheme val="minor"/>
      </rPr>
      <t xml:space="preserve"> - 1 month well child visit
</t>
    </r>
    <r>
      <rPr>
        <b/>
        <sz val="11"/>
        <color theme="1"/>
        <rFont val="Calibri"/>
        <family val="2"/>
        <scheme val="minor"/>
      </rPr>
      <t>2Months</t>
    </r>
    <r>
      <rPr>
        <sz val="11"/>
        <color theme="1"/>
        <rFont val="Calibri"/>
        <family val="2"/>
        <scheme val="minor"/>
      </rPr>
      <t xml:space="preserve"> - 2 months well child visit
</t>
    </r>
    <r>
      <rPr>
        <b/>
        <sz val="11"/>
        <color theme="1"/>
        <rFont val="Calibri"/>
        <family val="2"/>
        <scheme val="minor"/>
      </rPr>
      <t>4Months</t>
    </r>
    <r>
      <rPr>
        <sz val="11"/>
        <color theme="1"/>
        <rFont val="Calibri"/>
        <family val="2"/>
        <scheme val="minor"/>
      </rPr>
      <t xml:space="preserve"> - 4 months well child visit
</t>
    </r>
    <r>
      <rPr>
        <b/>
        <sz val="11"/>
        <color theme="1"/>
        <rFont val="Calibri"/>
        <family val="2"/>
        <scheme val="minor"/>
      </rPr>
      <t>6Months</t>
    </r>
    <r>
      <rPr>
        <sz val="11"/>
        <color theme="1"/>
        <rFont val="Calibri"/>
        <family val="2"/>
        <scheme val="minor"/>
      </rPr>
      <t xml:space="preserve"> - 6 months well child visit
</t>
    </r>
    <r>
      <rPr>
        <b/>
        <sz val="11"/>
        <color theme="1"/>
        <rFont val="Calibri"/>
        <family val="2"/>
        <scheme val="minor"/>
      </rPr>
      <t>9Months</t>
    </r>
    <r>
      <rPr>
        <sz val="11"/>
        <color theme="1"/>
        <rFont val="Calibri"/>
        <family val="2"/>
        <scheme val="minor"/>
      </rPr>
      <t xml:space="preserve"> - 9 months well child visit
</t>
    </r>
    <r>
      <rPr>
        <b/>
        <sz val="11"/>
        <color theme="1"/>
        <rFont val="Calibri"/>
        <family val="2"/>
        <scheme val="minor"/>
      </rPr>
      <t>12Months</t>
    </r>
    <r>
      <rPr>
        <sz val="11"/>
        <color theme="1"/>
        <rFont val="Calibri"/>
        <family val="2"/>
        <scheme val="minor"/>
      </rPr>
      <t xml:space="preserve"> - 12 months well child visit
</t>
    </r>
    <r>
      <rPr>
        <b/>
        <sz val="11"/>
        <color theme="1"/>
        <rFont val="Calibri"/>
        <family val="2"/>
        <scheme val="minor"/>
      </rPr>
      <t>15Months</t>
    </r>
    <r>
      <rPr>
        <sz val="11"/>
        <color theme="1"/>
        <rFont val="Calibri"/>
        <family val="2"/>
        <scheme val="minor"/>
      </rPr>
      <t xml:space="preserve"> - 15 months well child visit
</t>
    </r>
    <r>
      <rPr>
        <b/>
        <sz val="11"/>
        <color theme="1"/>
        <rFont val="Calibri"/>
        <family val="2"/>
        <scheme val="minor"/>
      </rPr>
      <t>18Months</t>
    </r>
    <r>
      <rPr>
        <sz val="11"/>
        <color theme="1"/>
        <rFont val="Calibri"/>
        <family val="2"/>
        <scheme val="minor"/>
      </rPr>
      <t xml:space="preserve"> - 18 months well child visit
</t>
    </r>
    <r>
      <rPr>
        <b/>
        <sz val="11"/>
        <color theme="1"/>
        <rFont val="Calibri"/>
        <family val="2"/>
        <scheme val="minor"/>
      </rPr>
      <t>24Months</t>
    </r>
    <r>
      <rPr>
        <sz val="11"/>
        <color theme="1"/>
        <rFont val="Calibri"/>
        <family val="2"/>
        <scheme val="minor"/>
      </rPr>
      <t xml:space="preserve"> - 24 months well child visit
</t>
    </r>
    <r>
      <rPr>
        <b/>
        <sz val="11"/>
        <color theme="1"/>
        <rFont val="Calibri"/>
        <family val="2"/>
        <scheme val="minor"/>
      </rPr>
      <t>30Months</t>
    </r>
    <r>
      <rPr>
        <sz val="11"/>
        <color theme="1"/>
        <rFont val="Calibri"/>
        <family val="2"/>
        <scheme val="minor"/>
      </rPr>
      <t xml:space="preserve"> - 30 months well child visit
</t>
    </r>
    <r>
      <rPr>
        <b/>
        <sz val="11"/>
        <color theme="1"/>
        <rFont val="Calibri"/>
        <family val="2"/>
        <scheme val="minor"/>
      </rPr>
      <t>36Months</t>
    </r>
    <r>
      <rPr>
        <sz val="11"/>
        <color theme="1"/>
        <rFont val="Calibri"/>
        <family val="2"/>
        <scheme val="minor"/>
      </rPr>
      <t xml:space="preserve"> - 36 months well child visit
</t>
    </r>
    <r>
      <rPr>
        <b/>
        <sz val="11"/>
        <color theme="1"/>
        <rFont val="Calibri"/>
        <family val="2"/>
        <scheme val="minor"/>
      </rPr>
      <t>48Months</t>
    </r>
    <r>
      <rPr>
        <sz val="11"/>
        <color theme="1"/>
        <rFont val="Calibri"/>
        <family val="2"/>
        <scheme val="minor"/>
      </rPr>
      <t xml:space="preserve"> - 48 months well child visit
</t>
    </r>
    <r>
      <rPr>
        <b/>
        <sz val="11"/>
        <color theme="1"/>
        <rFont val="Calibri"/>
        <family val="2"/>
        <scheme val="minor"/>
      </rPr>
      <t>60Months</t>
    </r>
    <r>
      <rPr>
        <sz val="11"/>
        <color theme="1"/>
        <rFont val="Calibri"/>
        <family val="2"/>
        <scheme val="minor"/>
      </rPr>
      <t xml:space="preserve"> - 60 months well child visit
</t>
    </r>
  </si>
  <si>
    <r>
      <t>B</t>
    </r>
    <r>
      <rPr>
        <sz val="11"/>
        <color theme="1"/>
        <rFont val="Calibri"/>
        <family val="2"/>
        <scheme val="minor"/>
      </rPr>
      <t xml:space="preserve"> - Basic or remedial
</t>
    </r>
    <r>
      <rPr>
        <b/>
        <sz val="11"/>
        <color theme="1"/>
        <rFont val="Calibri"/>
        <family val="2"/>
        <scheme val="minor"/>
      </rPr>
      <t>E</t>
    </r>
    <r>
      <rPr>
        <sz val="11"/>
        <color theme="1"/>
        <rFont val="Calibri"/>
        <family val="2"/>
        <scheme val="minor"/>
      </rPr>
      <t xml:space="preserve"> - Enriched or advanced
</t>
    </r>
    <r>
      <rPr>
        <b/>
        <sz val="11"/>
        <color theme="1"/>
        <rFont val="Calibri"/>
        <family val="2"/>
        <scheme val="minor"/>
      </rPr>
      <t>G</t>
    </r>
    <r>
      <rPr>
        <sz val="11"/>
        <color theme="1"/>
        <rFont val="Calibri"/>
        <family val="2"/>
        <scheme val="minor"/>
      </rPr>
      <t xml:space="preserve"> - General or regular
</t>
    </r>
    <r>
      <rPr>
        <b/>
        <sz val="11"/>
        <color theme="1"/>
        <rFont val="Calibri"/>
        <family val="2"/>
        <scheme val="minor"/>
      </rPr>
      <t>H</t>
    </r>
    <r>
      <rPr>
        <sz val="11"/>
        <color theme="1"/>
        <rFont val="Calibri"/>
        <family val="2"/>
        <scheme val="minor"/>
      </rPr>
      <t xml:space="preserve"> - Honors
</t>
    </r>
    <r>
      <rPr>
        <b/>
        <sz val="11"/>
        <color theme="1"/>
        <rFont val="Calibri"/>
        <family val="2"/>
        <scheme val="minor"/>
      </rPr>
      <t>C</t>
    </r>
    <r>
      <rPr>
        <sz val="11"/>
        <color theme="1"/>
        <rFont val="Calibri"/>
        <family val="2"/>
        <scheme val="minor"/>
      </rPr>
      <t xml:space="preserve"> - College
</t>
    </r>
    <r>
      <rPr>
        <b/>
        <sz val="11"/>
        <color theme="1"/>
        <rFont val="Calibri"/>
        <family val="2"/>
        <scheme val="minor"/>
      </rPr>
      <t>X</t>
    </r>
    <r>
      <rPr>
        <sz val="11"/>
        <color theme="1"/>
        <rFont val="Calibri"/>
        <family val="2"/>
        <scheme val="minor"/>
      </rPr>
      <t xml:space="preserve"> - No specified level of rigor
</t>
    </r>
  </si>
  <si>
    <r>
      <t>01</t>
    </r>
    <r>
      <rPr>
        <sz val="11"/>
        <color theme="1"/>
        <rFont val="Calibri"/>
        <family val="2"/>
        <scheme val="minor"/>
      </rPr>
      <t xml:space="preserve"> - English Language and Literature
</t>
    </r>
    <r>
      <rPr>
        <b/>
        <sz val="11"/>
        <color theme="1"/>
        <rFont val="Calibri"/>
        <family val="2"/>
        <scheme val="minor"/>
      </rPr>
      <t>02</t>
    </r>
    <r>
      <rPr>
        <sz val="11"/>
        <color theme="1"/>
        <rFont val="Calibri"/>
        <family val="2"/>
        <scheme val="minor"/>
      </rPr>
      <t xml:space="preserve"> - Mathematics
</t>
    </r>
    <r>
      <rPr>
        <b/>
        <sz val="11"/>
        <color theme="1"/>
        <rFont val="Calibri"/>
        <family val="2"/>
        <scheme val="minor"/>
      </rPr>
      <t>03</t>
    </r>
    <r>
      <rPr>
        <sz val="11"/>
        <color theme="1"/>
        <rFont val="Calibri"/>
        <family val="2"/>
        <scheme val="minor"/>
      </rPr>
      <t xml:space="preserve"> - Life and Physical Sciences
</t>
    </r>
    <r>
      <rPr>
        <b/>
        <sz val="11"/>
        <color theme="1"/>
        <rFont val="Calibri"/>
        <family val="2"/>
        <scheme val="minor"/>
      </rPr>
      <t>04</t>
    </r>
    <r>
      <rPr>
        <sz val="11"/>
        <color theme="1"/>
        <rFont val="Calibri"/>
        <family val="2"/>
        <scheme val="minor"/>
      </rPr>
      <t xml:space="preserve"> - Social Sciences and History
</t>
    </r>
    <r>
      <rPr>
        <b/>
        <sz val="11"/>
        <color theme="1"/>
        <rFont val="Calibri"/>
        <family val="2"/>
        <scheme val="minor"/>
      </rPr>
      <t>05</t>
    </r>
    <r>
      <rPr>
        <sz val="11"/>
        <color theme="1"/>
        <rFont val="Calibri"/>
        <family val="2"/>
        <scheme val="minor"/>
      </rPr>
      <t xml:space="preserve"> - Fine and Performing Arts
</t>
    </r>
    <r>
      <rPr>
        <b/>
        <sz val="11"/>
        <color theme="1"/>
        <rFont val="Calibri"/>
        <family val="2"/>
        <scheme val="minor"/>
      </rPr>
      <t>06</t>
    </r>
    <r>
      <rPr>
        <sz val="11"/>
        <color theme="1"/>
        <rFont val="Calibri"/>
        <family val="2"/>
        <scheme val="minor"/>
      </rPr>
      <t xml:space="preserve"> - Foreign Language and Literature
</t>
    </r>
    <r>
      <rPr>
        <b/>
        <sz val="11"/>
        <color theme="1"/>
        <rFont val="Calibri"/>
        <family val="2"/>
        <scheme val="minor"/>
      </rPr>
      <t>07</t>
    </r>
    <r>
      <rPr>
        <sz val="11"/>
        <color theme="1"/>
        <rFont val="Calibri"/>
        <family val="2"/>
        <scheme val="minor"/>
      </rPr>
      <t xml:space="preserve"> - Religious Education and Theology
</t>
    </r>
    <r>
      <rPr>
        <b/>
        <sz val="11"/>
        <color theme="1"/>
        <rFont val="Calibri"/>
        <family val="2"/>
        <scheme val="minor"/>
      </rPr>
      <t>08</t>
    </r>
    <r>
      <rPr>
        <sz val="11"/>
        <color theme="1"/>
        <rFont val="Calibri"/>
        <family val="2"/>
        <scheme val="minor"/>
      </rPr>
      <t xml:space="preserve"> - Physical, Health, and Safety Education
</t>
    </r>
    <r>
      <rPr>
        <b/>
        <sz val="11"/>
        <color theme="1"/>
        <rFont val="Calibri"/>
        <family val="2"/>
        <scheme val="minor"/>
      </rPr>
      <t>09</t>
    </r>
    <r>
      <rPr>
        <sz val="11"/>
        <color theme="1"/>
        <rFont val="Calibri"/>
        <family val="2"/>
        <scheme val="minor"/>
      </rPr>
      <t xml:space="preserve"> - Military Science
</t>
    </r>
    <r>
      <rPr>
        <b/>
        <sz val="11"/>
        <color theme="1"/>
        <rFont val="Calibri"/>
        <family val="2"/>
        <scheme val="minor"/>
      </rPr>
      <t>10</t>
    </r>
    <r>
      <rPr>
        <sz val="11"/>
        <color theme="1"/>
        <rFont val="Calibri"/>
        <family val="2"/>
        <scheme val="minor"/>
      </rPr>
      <t xml:space="preserve"> - Computer and Information Sciences
</t>
    </r>
    <r>
      <rPr>
        <b/>
        <sz val="11"/>
        <color theme="1"/>
        <rFont val="Calibri"/>
        <family val="2"/>
        <scheme val="minor"/>
      </rPr>
      <t>11</t>
    </r>
    <r>
      <rPr>
        <sz val="11"/>
        <color theme="1"/>
        <rFont val="Calibri"/>
        <family val="2"/>
        <scheme val="minor"/>
      </rPr>
      <t xml:space="preserve"> - Communication and Audio/Visual Technology
</t>
    </r>
    <r>
      <rPr>
        <b/>
        <sz val="11"/>
        <color theme="1"/>
        <rFont val="Calibri"/>
        <family val="2"/>
        <scheme val="minor"/>
      </rPr>
      <t>12</t>
    </r>
    <r>
      <rPr>
        <sz val="11"/>
        <color theme="1"/>
        <rFont val="Calibri"/>
        <family val="2"/>
        <scheme val="minor"/>
      </rPr>
      <t xml:space="preserve"> - Business and Marketing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Health Care Sciences
</t>
    </r>
    <r>
      <rPr>
        <b/>
        <sz val="11"/>
        <color theme="1"/>
        <rFont val="Calibri"/>
        <family val="2"/>
        <scheme val="minor"/>
      </rPr>
      <t>15</t>
    </r>
    <r>
      <rPr>
        <sz val="11"/>
        <color theme="1"/>
        <rFont val="Calibri"/>
        <family val="2"/>
        <scheme val="minor"/>
      </rPr>
      <t xml:space="preserve"> - Public, Protective, and Government Service
</t>
    </r>
    <r>
      <rPr>
        <b/>
        <sz val="11"/>
        <color theme="1"/>
        <rFont val="Calibri"/>
        <family val="2"/>
        <scheme val="minor"/>
      </rPr>
      <t>16</t>
    </r>
    <r>
      <rPr>
        <sz val="11"/>
        <color theme="1"/>
        <rFont val="Calibri"/>
        <family val="2"/>
        <scheme val="minor"/>
      </rPr>
      <t xml:space="preserve"> - Hospitality and Tourism
</t>
    </r>
    <r>
      <rPr>
        <b/>
        <sz val="11"/>
        <color theme="1"/>
        <rFont val="Calibri"/>
        <family val="2"/>
        <scheme val="minor"/>
      </rPr>
      <t>17</t>
    </r>
    <r>
      <rPr>
        <sz val="11"/>
        <color theme="1"/>
        <rFont val="Calibri"/>
        <family val="2"/>
        <scheme val="minor"/>
      </rPr>
      <t xml:space="preserve"> - Architecture and Construction
</t>
    </r>
    <r>
      <rPr>
        <b/>
        <sz val="11"/>
        <color theme="1"/>
        <rFont val="Calibri"/>
        <family val="2"/>
        <scheme val="minor"/>
      </rPr>
      <t>18</t>
    </r>
    <r>
      <rPr>
        <sz val="11"/>
        <color theme="1"/>
        <rFont val="Calibri"/>
        <family val="2"/>
        <scheme val="minor"/>
      </rPr>
      <t xml:space="preserve"> - Agriculture, Food, and Natural Resources
</t>
    </r>
    <r>
      <rPr>
        <b/>
        <sz val="11"/>
        <color theme="1"/>
        <rFont val="Calibri"/>
        <family val="2"/>
        <scheme val="minor"/>
      </rPr>
      <t>19</t>
    </r>
    <r>
      <rPr>
        <sz val="11"/>
        <color theme="1"/>
        <rFont val="Calibri"/>
        <family val="2"/>
        <scheme val="minor"/>
      </rPr>
      <t xml:space="preserve"> - Human Services
</t>
    </r>
    <r>
      <rPr>
        <b/>
        <sz val="11"/>
        <color theme="1"/>
        <rFont val="Calibri"/>
        <family val="2"/>
        <scheme val="minor"/>
      </rPr>
      <t>20</t>
    </r>
    <r>
      <rPr>
        <sz val="11"/>
        <color theme="1"/>
        <rFont val="Calibri"/>
        <family val="2"/>
        <scheme val="minor"/>
      </rPr>
      <t xml:space="preserve"> - Transportation, Distribution and Logistics
</t>
    </r>
    <r>
      <rPr>
        <b/>
        <sz val="11"/>
        <color theme="1"/>
        <rFont val="Calibri"/>
        <family val="2"/>
        <scheme val="minor"/>
      </rPr>
      <t>21</t>
    </r>
    <r>
      <rPr>
        <sz val="11"/>
        <color theme="1"/>
        <rFont val="Calibri"/>
        <family val="2"/>
        <scheme val="minor"/>
      </rPr>
      <t xml:space="preserve"> - Engineering and Technology
</t>
    </r>
    <r>
      <rPr>
        <b/>
        <sz val="11"/>
        <color theme="1"/>
        <rFont val="Calibri"/>
        <family val="2"/>
        <scheme val="minor"/>
      </rPr>
      <t>22</t>
    </r>
    <r>
      <rPr>
        <sz val="11"/>
        <color theme="1"/>
        <rFont val="Calibri"/>
        <family val="2"/>
        <scheme val="minor"/>
      </rPr>
      <t xml:space="preserve"> - Miscellaneous
</t>
    </r>
    <r>
      <rPr>
        <b/>
        <sz val="11"/>
        <color theme="1"/>
        <rFont val="Calibri"/>
        <family val="2"/>
        <scheme val="minor"/>
      </rPr>
      <t>23</t>
    </r>
    <r>
      <rPr>
        <sz val="11"/>
        <color theme="1"/>
        <rFont val="Calibri"/>
        <family val="2"/>
        <scheme val="minor"/>
      </rPr>
      <t xml:space="preserve"> - Non-Subject-Specific
</t>
    </r>
  </si>
  <si>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StateUniversitySystem</t>
    </r>
    <r>
      <rPr>
        <sz val="11"/>
        <color theme="1"/>
        <rFont val="Calibri"/>
        <family val="2"/>
        <scheme val="minor"/>
      </rPr>
      <t xml:space="preserve"> - State University System assigned number
</t>
    </r>
    <r>
      <rPr>
        <b/>
        <sz val="11"/>
        <color theme="1"/>
        <rFont val="Calibri"/>
        <family val="2"/>
        <scheme val="minor"/>
      </rPr>
      <t>Other</t>
    </r>
    <r>
      <rPr>
        <sz val="11"/>
        <color theme="1"/>
        <rFont val="Calibri"/>
        <family val="2"/>
        <scheme val="minor"/>
      </rPr>
      <t xml:space="preserve"> - Other
</t>
    </r>
  </si>
  <si>
    <r>
      <t>Turnaround</t>
    </r>
    <r>
      <rPr>
        <sz val="11"/>
        <color theme="1"/>
        <rFont val="Calibri"/>
        <family val="2"/>
        <scheme val="minor"/>
      </rPr>
      <t xml:space="preserve"> - Turnaround model
</t>
    </r>
    <r>
      <rPr>
        <b/>
        <sz val="11"/>
        <color theme="1"/>
        <rFont val="Calibri"/>
        <family val="2"/>
        <scheme val="minor"/>
      </rPr>
      <t>Restart</t>
    </r>
    <r>
      <rPr>
        <sz val="11"/>
        <color theme="1"/>
        <rFont val="Calibri"/>
        <family val="2"/>
        <scheme val="minor"/>
      </rPr>
      <t xml:space="preserve"> - Restart model
</t>
    </r>
    <r>
      <rPr>
        <b/>
        <sz val="11"/>
        <color theme="1"/>
        <rFont val="Calibri"/>
        <family val="2"/>
        <scheme val="minor"/>
      </rPr>
      <t>Closure</t>
    </r>
    <r>
      <rPr>
        <sz val="11"/>
        <color theme="1"/>
        <rFont val="Calibri"/>
        <family val="2"/>
        <scheme val="minor"/>
      </rPr>
      <t xml:space="preserve"> - School closure model
</t>
    </r>
    <r>
      <rPr>
        <b/>
        <sz val="11"/>
        <color theme="1"/>
        <rFont val="Calibri"/>
        <family val="2"/>
        <scheme val="minor"/>
      </rPr>
      <t>Transformation</t>
    </r>
    <r>
      <rPr>
        <sz val="11"/>
        <color theme="1"/>
        <rFont val="Calibri"/>
        <family val="2"/>
        <scheme val="minor"/>
      </rPr>
      <t xml:space="preserve"> - Transformation model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</si>
  <si>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Planning</t>
    </r>
    <r>
      <rPr>
        <sz val="11"/>
        <color theme="1"/>
        <rFont val="Calibri"/>
        <family val="2"/>
        <scheme val="minor"/>
      </rPr>
      <t xml:space="preserve"> - Planning for restructuring
</t>
    </r>
    <r>
      <rPr>
        <b/>
        <sz val="11"/>
        <color theme="1"/>
        <rFont val="Calibri"/>
        <family val="2"/>
        <scheme val="minor"/>
      </rPr>
      <t>Restructuring</t>
    </r>
    <r>
      <rPr>
        <sz val="11"/>
        <color theme="1"/>
        <rFont val="Calibri"/>
        <family val="2"/>
        <scheme val="minor"/>
      </rPr>
      <t xml:space="preserve"> - Restructuring
</t>
    </r>
    <r>
      <rPr>
        <b/>
        <sz val="11"/>
        <color theme="1"/>
        <rFont val="Calibri"/>
        <family val="2"/>
        <scheme val="minor"/>
      </rPr>
      <t>NA</t>
    </r>
    <r>
      <rPr>
        <sz val="11"/>
        <color theme="1"/>
        <rFont val="Calibri"/>
        <family val="2"/>
        <scheme val="minor"/>
      </rPr>
      <t xml:space="preserve"> - Not applicable
</t>
    </r>
  </si>
  <si>
    <r>
      <t>00013</t>
    </r>
    <r>
      <rPr>
        <sz val="11"/>
        <color theme="1"/>
        <rFont val="Calibri"/>
        <family val="2"/>
        <scheme val="minor"/>
      </rPr>
      <t xml:space="preserve"> - Adult
</t>
    </r>
    <r>
      <rPr>
        <b/>
        <sz val="11"/>
        <color theme="1"/>
        <rFont val="Calibri"/>
        <family val="2"/>
        <scheme val="minor"/>
      </rPr>
      <t>01302</t>
    </r>
    <r>
      <rPr>
        <sz val="11"/>
        <color theme="1"/>
        <rFont val="Calibri"/>
        <family val="2"/>
        <scheme val="minor"/>
      </rPr>
      <t xml:space="preserve"> - All levels
</t>
    </r>
    <r>
      <rPr>
        <b/>
        <sz val="11"/>
        <color theme="1"/>
        <rFont val="Calibri"/>
        <family val="2"/>
        <scheme val="minor"/>
      </rPr>
      <t>01304</t>
    </r>
    <r>
      <rPr>
        <sz val="11"/>
        <color theme="1"/>
        <rFont val="Calibri"/>
        <family val="2"/>
        <scheme val="minor"/>
      </rPr>
      <t xml:space="preserve"> - Elementary
</t>
    </r>
    <r>
      <rPr>
        <b/>
        <sz val="11"/>
        <color theme="1"/>
        <rFont val="Calibri"/>
        <family val="2"/>
        <scheme val="minor"/>
      </rPr>
      <t>02402</t>
    </r>
    <r>
      <rPr>
        <sz val="11"/>
        <color theme="1"/>
        <rFont val="Calibri"/>
        <family val="2"/>
        <scheme val="minor"/>
      </rPr>
      <t xml:space="preserve"> - High school
</t>
    </r>
    <r>
      <rPr>
        <b/>
        <sz val="11"/>
        <color theme="1"/>
        <rFont val="Calibri"/>
        <family val="2"/>
        <scheme val="minor"/>
      </rPr>
      <t>00787</t>
    </r>
    <r>
      <rPr>
        <sz val="11"/>
        <color theme="1"/>
        <rFont val="Calibri"/>
        <family val="2"/>
        <scheme val="minor"/>
      </rPr>
      <t xml:space="preserve"> - Infant/toddler
</t>
    </r>
    <r>
      <rPr>
        <b/>
        <sz val="11"/>
        <color theme="1"/>
        <rFont val="Calibri"/>
        <family val="2"/>
        <scheme val="minor"/>
      </rPr>
      <t>02399</t>
    </r>
    <r>
      <rPr>
        <sz val="11"/>
        <color theme="1"/>
        <rFont val="Calibri"/>
        <family val="2"/>
        <scheme val="minor"/>
      </rPr>
      <t xml:space="preserve"> - Intermediate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02400</t>
    </r>
    <r>
      <rPr>
        <sz val="11"/>
        <color theme="1"/>
        <rFont val="Calibri"/>
        <family val="2"/>
        <scheme val="minor"/>
      </rPr>
      <t xml:space="preserve"> - Middle
</t>
    </r>
    <r>
      <rPr>
        <b/>
        <sz val="11"/>
        <color theme="1"/>
        <rFont val="Calibri"/>
        <family val="2"/>
        <scheme val="minor"/>
      </rPr>
      <t>01981</t>
    </r>
    <r>
      <rPr>
        <sz val="11"/>
        <color theme="1"/>
        <rFont val="Calibri"/>
        <family val="2"/>
        <scheme val="minor"/>
      </rPr>
      <t xml:space="preserve"> - Pre-kindergarten/early childhood
</t>
    </r>
    <r>
      <rPr>
        <b/>
        <sz val="11"/>
        <color theme="1"/>
        <rFont val="Calibri"/>
        <family val="2"/>
        <scheme val="minor"/>
      </rPr>
      <t>02397</t>
    </r>
    <r>
      <rPr>
        <sz val="11"/>
        <color theme="1"/>
        <rFont val="Calibri"/>
        <family val="2"/>
        <scheme val="minor"/>
      </rPr>
      <t xml:space="preserve"> - Primary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73066</t>
    </r>
    <r>
      <rPr>
        <sz val="11"/>
        <color theme="1"/>
        <rFont val="Calibri"/>
        <family val="2"/>
        <scheme val="minor"/>
      </rPr>
      <t xml:space="preserve"> - Joint secondary and postsecondary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</si>
  <si>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ChangedAgency</t>
    </r>
    <r>
      <rPr>
        <sz val="11"/>
        <color theme="1"/>
        <rFont val="Calibri"/>
        <family val="2"/>
        <scheme val="minor"/>
      </rPr>
      <t xml:space="preserve"> - Changed Agency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FutureSchool</t>
    </r>
    <r>
      <rPr>
        <sz val="11"/>
        <color theme="1"/>
        <rFont val="Calibri"/>
        <family val="2"/>
        <scheme val="minor"/>
      </rPr>
      <t xml:space="preserve"> - Future school
</t>
    </r>
    <r>
      <rPr>
        <b/>
        <sz val="11"/>
        <color theme="1"/>
        <rFont val="Calibri"/>
        <family val="2"/>
        <scheme val="minor"/>
      </rPr>
      <t>Reopened</t>
    </r>
    <r>
      <rPr>
        <sz val="11"/>
        <color theme="1"/>
        <rFont val="Calibri"/>
        <family val="2"/>
        <scheme val="minor"/>
      </rPr>
      <t xml:space="preserve"> - Reopened
</t>
    </r>
  </si>
  <si>
    <r>
      <t>Regular</t>
    </r>
    <r>
      <rPr>
        <sz val="11"/>
        <color theme="1"/>
        <rFont val="Calibri"/>
        <family val="2"/>
        <scheme val="minor"/>
      </rPr>
      <t xml:space="preserve"> - Regular School
</t>
    </r>
    <r>
      <rPr>
        <b/>
        <sz val="11"/>
        <color theme="1"/>
        <rFont val="Calibri"/>
        <family val="2"/>
        <scheme val="minor"/>
      </rPr>
      <t>Special</t>
    </r>
    <r>
      <rPr>
        <sz val="11"/>
        <color theme="1"/>
        <rFont val="Calibri"/>
        <family val="2"/>
        <scheme val="minor"/>
      </rPr>
      <t xml:space="preserve"> - Special Education School
</t>
    </r>
    <r>
      <rPr>
        <b/>
        <sz val="11"/>
        <color theme="1"/>
        <rFont val="Calibri"/>
        <family val="2"/>
        <scheme val="minor"/>
      </rPr>
      <t>CareerAndTechnical</t>
    </r>
    <r>
      <rPr>
        <sz val="11"/>
        <color theme="1"/>
        <rFont val="Calibri"/>
        <family val="2"/>
        <scheme val="minor"/>
      </rPr>
      <t xml:space="preserve"> - Career and Technical Education School
</t>
    </r>
    <r>
      <rPr>
        <b/>
        <sz val="11"/>
        <color theme="1"/>
        <rFont val="Calibri"/>
        <family val="2"/>
        <scheme val="minor"/>
      </rPr>
      <t>Alternative</t>
    </r>
    <r>
      <rPr>
        <sz val="11"/>
        <color theme="1"/>
        <rFont val="Calibri"/>
        <family val="2"/>
        <scheme val="minor"/>
      </rPr>
      <t xml:space="preserve"> - Alternative Education School
</t>
    </r>
  </si>
  <si>
    <r>
      <t>03066</t>
    </r>
    <r>
      <rPr>
        <sz val="11"/>
        <color theme="1"/>
        <rFont val="Calibri"/>
        <family val="2"/>
        <scheme val="minor"/>
      </rPr>
      <t xml:space="preserve"> - Alcohol-related
</t>
    </r>
    <r>
      <rPr>
        <b/>
        <sz val="11"/>
        <color theme="1"/>
        <rFont val="Calibri"/>
        <family val="2"/>
        <scheme val="minor"/>
      </rPr>
      <t>03067</t>
    </r>
    <r>
      <rPr>
        <sz val="11"/>
        <color theme="1"/>
        <rFont val="Calibri"/>
        <family val="2"/>
        <scheme val="minor"/>
      </rPr>
      <t xml:space="preserve"> - Drug-related
</t>
    </r>
    <r>
      <rPr>
        <b/>
        <sz val="11"/>
        <color theme="1"/>
        <rFont val="Calibri"/>
        <family val="2"/>
        <scheme val="minor"/>
      </rPr>
      <t>03068</t>
    </r>
    <r>
      <rPr>
        <sz val="11"/>
        <color theme="1"/>
        <rFont val="Calibri"/>
        <family val="2"/>
        <scheme val="minor"/>
      </rPr>
      <t xml:space="preserve"> - Gang-related
</t>
    </r>
    <r>
      <rPr>
        <b/>
        <sz val="11"/>
        <color theme="1"/>
        <rFont val="Calibri"/>
        <family val="2"/>
        <scheme val="minor"/>
      </rPr>
      <t>13778</t>
    </r>
    <r>
      <rPr>
        <sz val="11"/>
        <color theme="1"/>
        <rFont val="Calibri"/>
        <family val="2"/>
        <scheme val="minor"/>
      </rPr>
      <t xml:space="preserve"> - Hate-related (Disability)
</t>
    </r>
    <r>
      <rPr>
        <b/>
        <sz val="11"/>
        <color theme="1"/>
        <rFont val="Calibri"/>
        <family val="2"/>
        <scheme val="minor"/>
      </rPr>
      <t>13777</t>
    </r>
    <r>
      <rPr>
        <sz val="11"/>
        <color theme="1"/>
        <rFont val="Calibri"/>
        <family val="2"/>
        <scheme val="minor"/>
      </rPr>
      <t xml:space="preserve"> - Hate-related (Other)
</t>
    </r>
    <r>
      <rPr>
        <b/>
        <sz val="11"/>
        <color theme="1"/>
        <rFont val="Calibri"/>
        <family val="2"/>
        <scheme val="minor"/>
      </rPr>
      <t>13779</t>
    </r>
    <r>
      <rPr>
        <sz val="11"/>
        <color theme="1"/>
        <rFont val="Calibri"/>
        <family val="2"/>
        <scheme val="minor"/>
      </rPr>
      <t xml:space="preserve"> - Hate-related (Race, Color, or National Origin)
</t>
    </r>
    <r>
      <rPr>
        <b/>
        <sz val="11"/>
        <color theme="1"/>
        <rFont val="Calibri"/>
        <family val="2"/>
        <scheme val="minor"/>
      </rPr>
      <t>13780</t>
    </r>
    <r>
      <rPr>
        <sz val="11"/>
        <color theme="1"/>
        <rFont val="Calibri"/>
        <family val="2"/>
        <scheme val="minor"/>
      </rPr>
      <t xml:space="preserve"> - Hate-related (Sex)
</t>
    </r>
    <r>
      <rPr>
        <b/>
        <sz val="11"/>
        <color theme="1"/>
        <rFont val="Calibri"/>
        <family val="2"/>
        <scheme val="minor"/>
      </rPr>
      <t>03070</t>
    </r>
    <r>
      <rPr>
        <sz val="11"/>
        <color theme="1"/>
        <rFont val="Calibri"/>
        <family val="2"/>
        <scheme val="minor"/>
      </rPr>
      <t xml:space="preserve"> - Weapon-related
</t>
    </r>
  </si>
  <si>
    <r>
      <t>FullDayFullYear</t>
    </r>
    <r>
      <rPr>
        <sz val="11"/>
        <color theme="1"/>
        <rFont val="Calibri"/>
        <family val="2"/>
        <scheme val="minor"/>
      </rPr>
      <t xml:space="preserve"> - Full-day/full-year
</t>
    </r>
    <r>
      <rPr>
        <b/>
        <sz val="11"/>
        <color theme="1"/>
        <rFont val="Calibri"/>
        <family val="2"/>
        <scheme val="minor"/>
      </rPr>
      <t>FullDayPartYear</t>
    </r>
    <r>
      <rPr>
        <sz val="11"/>
        <color theme="1"/>
        <rFont val="Calibri"/>
        <family val="2"/>
        <scheme val="minor"/>
      </rPr>
      <t xml:space="preserve"> - Full-day/part-year
</t>
    </r>
    <r>
      <rPr>
        <b/>
        <sz val="11"/>
        <color theme="1"/>
        <rFont val="Calibri"/>
        <family val="2"/>
        <scheme val="minor"/>
      </rPr>
      <t>PartDayFullYear</t>
    </r>
    <r>
      <rPr>
        <sz val="11"/>
        <color theme="1"/>
        <rFont val="Calibri"/>
        <family val="2"/>
        <scheme val="minor"/>
      </rPr>
      <t xml:space="preserve"> - Part-day/full-year
</t>
    </r>
    <r>
      <rPr>
        <b/>
        <sz val="11"/>
        <color theme="1"/>
        <rFont val="Calibri"/>
        <family val="2"/>
        <scheme val="minor"/>
      </rPr>
      <t>PartDayPartYear</t>
    </r>
    <r>
      <rPr>
        <sz val="11"/>
        <color theme="1"/>
        <rFont val="Calibri"/>
        <family val="2"/>
        <scheme val="minor"/>
      </rPr>
      <t xml:space="preserve"> - Part-day/part-year
</t>
    </r>
    <r>
      <rPr>
        <b/>
        <sz val="11"/>
        <color theme="1"/>
        <rFont val="Calibri"/>
        <family val="2"/>
        <scheme val="minor"/>
      </rPr>
      <t>HomeBased</t>
    </r>
    <r>
      <rPr>
        <sz val="11"/>
        <color theme="1"/>
        <rFont val="Calibri"/>
        <family val="2"/>
        <scheme val="minor"/>
      </rPr>
      <t xml:space="preserve"> - Home based
</t>
    </r>
    <r>
      <rPr>
        <b/>
        <sz val="11"/>
        <color theme="1"/>
        <rFont val="Calibri"/>
        <family val="2"/>
        <scheme val="minor"/>
      </rPr>
      <t>NA</t>
    </r>
    <r>
      <rPr>
        <sz val="11"/>
        <color theme="1"/>
        <rFont val="Calibri"/>
        <family val="2"/>
        <scheme val="minor"/>
      </rPr>
      <t xml:space="preserve"> - Not applicable
</t>
    </r>
  </si>
  <si>
    <r>
      <t>FullSchoolYear</t>
    </r>
    <r>
      <rPr>
        <sz val="11"/>
        <color theme="1"/>
        <rFont val="Calibri"/>
        <family val="2"/>
        <scheme val="minor"/>
      </rPr>
      <t xml:space="preserve"> - Full School Year
</t>
    </r>
    <r>
      <rPr>
        <b/>
        <sz val="11"/>
        <color theme="1"/>
        <rFont val="Calibri"/>
        <family val="2"/>
        <scheme val="minor"/>
      </rPr>
      <t>Intersession</t>
    </r>
    <r>
      <rPr>
        <sz val="11"/>
        <color theme="1"/>
        <rFont val="Calibri"/>
        <family val="2"/>
        <scheme val="minor"/>
      </rPr>
      <t xml:space="preserve"> - Intersession
</t>
    </r>
    <r>
      <rPr>
        <b/>
        <sz val="11"/>
        <color theme="1"/>
        <rFont val="Calibri"/>
        <family val="2"/>
        <scheme val="minor"/>
      </rPr>
      <t>LongSession</t>
    </r>
    <r>
      <rPr>
        <sz val="11"/>
        <color theme="1"/>
        <rFont val="Calibri"/>
        <family val="2"/>
        <scheme val="minor"/>
      </rPr>
      <t xml:space="preserve"> - Long Session
</t>
    </r>
    <r>
      <rPr>
        <b/>
        <sz val="11"/>
        <color theme="1"/>
        <rFont val="Calibri"/>
        <family val="2"/>
        <scheme val="minor"/>
      </rPr>
      <t>MiniTerm</t>
    </r>
    <r>
      <rPr>
        <sz val="11"/>
        <color theme="1"/>
        <rFont val="Calibri"/>
        <family val="2"/>
        <scheme val="minor"/>
      </rPr>
      <t xml:space="preserve"> - Mini Term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Quinmester</t>
    </r>
    <r>
      <rPr>
        <sz val="11"/>
        <color theme="1"/>
        <rFont val="Calibri"/>
        <family val="2"/>
        <scheme val="minor"/>
      </rPr>
      <t xml:space="preserve"> - Quinmester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SummerTerm</t>
    </r>
    <r>
      <rPr>
        <sz val="11"/>
        <color theme="1"/>
        <rFont val="Calibri"/>
        <family val="2"/>
        <scheme val="minor"/>
      </rPr>
      <t xml:space="preserve"> - Summer Term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TwelveMonth</t>
    </r>
    <r>
      <rPr>
        <sz val="11"/>
        <color theme="1"/>
        <rFont val="Calibri"/>
        <family val="2"/>
        <scheme val="minor"/>
      </rPr>
      <t xml:space="preserve"> - Twelve Month
</t>
    </r>
    <r>
      <rPr>
        <b/>
        <sz val="11"/>
        <color theme="1"/>
        <rFont val="Calibri"/>
        <family val="2"/>
        <scheme val="minor"/>
      </rPr>
      <t>Other</t>
    </r>
    <r>
      <rPr>
        <sz val="11"/>
        <color theme="1"/>
        <rFont val="Calibri"/>
        <family val="2"/>
        <scheme val="minor"/>
      </rPr>
      <t xml:space="preserve"> - Other
</t>
    </r>
  </si>
  <si>
    <r>
      <t>Male</t>
    </r>
    <r>
      <rPr>
        <sz val="11"/>
        <color theme="1"/>
        <rFont val="Calibri"/>
        <family val="2"/>
        <scheme val="minor"/>
      </rPr>
      <t xml:space="preserve"> - Male
</t>
    </r>
    <r>
      <rPr>
        <b/>
        <sz val="11"/>
        <color theme="1"/>
        <rFont val="Calibri"/>
        <family val="2"/>
        <scheme val="minor"/>
      </rPr>
      <t>Female</t>
    </r>
    <r>
      <rPr>
        <sz val="11"/>
        <color theme="1"/>
        <rFont val="Calibri"/>
        <family val="2"/>
        <scheme val="minor"/>
      </rPr>
      <t xml:space="preserve"> - Female
</t>
    </r>
    <r>
      <rPr>
        <b/>
        <sz val="11"/>
        <color theme="1"/>
        <rFont val="Calibri"/>
        <family val="2"/>
        <scheme val="minor"/>
      </rPr>
      <t>NotSelected</t>
    </r>
    <r>
      <rPr>
        <sz val="11"/>
        <color theme="1"/>
        <rFont val="Calibri"/>
        <family val="2"/>
        <scheme val="minor"/>
      </rPr>
      <t xml:space="preserve"> - Not selected
</t>
    </r>
  </si>
  <si>
    <r>
      <t>Wages</t>
    </r>
    <r>
      <rPr>
        <sz val="11"/>
        <color theme="1"/>
        <rFont val="Calibri"/>
        <family val="2"/>
        <scheme val="minor"/>
      </rPr>
      <t xml:space="preserve"> - Wages
</t>
    </r>
    <r>
      <rPr>
        <b/>
        <sz val="11"/>
        <color theme="1"/>
        <rFont val="Calibri"/>
        <family val="2"/>
        <scheme val="minor"/>
      </rPr>
      <t>Alimony</t>
    </r>
    <r>
      <rPr>
        <sz val="11"/>
        <color theme="1"/>
        <rFont val="Calibri"/>
        <family val="2"/>
        <scheme val="minor"/>
      </rPr>
      <t xml:space="preserve"> - Alimony
</t>
    </r>
    <r>
      <rPr>
        <b/>
        <sz val="11"/>
        <color theme="1"/>
        <rFont val="Calibri"/>
        <family val="2"/>
        <scheme val="minor"/>
      </rPr>
      <t>ChildSupport</t>
    </r>
    <r>
      <rPr>
        <sz val="11"/>
        <color theme="1"/>
        <rFont val="Calibri"/>
        <family val="2"/>
        <scheme val="minor"/>
      </rPr>
      <t xml:space="preserve"> - Child support
</t>
    </r>
    <r>
      <rPr>
        <b/>
        <sz val="11"/>
        <color theme="1"/>
        <rFont val="Calibri"/>
        <family val="2"/>
        <scheme val="minor"/>
      </rPr>
      <t>WorkersComp</t>
    </r>
    <r>
      <rPr>
        <sz val="11"/>
        <color theme="1"/>
        <rFont val="Calibri"/>
        <family val="2"/>
        <scheme val="minor"/>
      </rPr>
      <t xml:space="preserve"> - Worker's compensation
</t>
    </r>
    <r>
      <rPr>
        <b/>
        <sz val="11"/>
        <color theme="1"/>
        <rFont val="Calibri"/>
        <family val="2"/>
        <scheme val="minor"/>
      </rPr>
      <t>Unemployment</t>
    </r>
    <r>
      <rPr>
        <sz val="11"/>
        <color theme="1"/>
        <rFont val="Calibri"/>
        <family val="2"/>
        <scheme val="minor"/>
      </rPr>
      <t xml:space="preserve"> - Unemployment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Agricultural</t>
    </r>
    <r>
      <rPr>
        <sz val="11"/>
        <color theme="1"/>
        <rFont val="Calibri"/>
        <family val="2"/>
        <scheme val="minor"/>
      </rPr>
      <t xml:space="preserve"> - Agricultural
</t>
    </r>
    <r>
      <rPr>
        <b/>
        <sz val="11"/>
        <color theme="1"/>
        <rFont val="Calibri"/>
        <family val="2"/>
        <scheme val="minor"/>
      </rPr>
      <t>Other</t>
    </r>
    <r>
      <rPr>
        <sz val="11"/>
        <color theme="1"/>
        <rFont val="Calibri"/>
        <family val="2"/>
        <scheme val="minor"/>
      </rPr>
      <t xml:space="preserve"> - Other
</t>
    </r>
  </si>
  <si>
    <r>
      <t>ELL</t>
    </r>
    <r>
      <rPr>
        <sz val="11"/>
        <color theme="1"/>
        <rFont val="Calibri"/>
        <family val="2"/>
        <scheme val="minor"/>
      </rPr>
      <t xml:space="preserve"> - English language learners
</t>
    </r>
    <r>
      <rPr>
        <b/>
        <sz val="11"/>
        <color theme="1"/>
        <rFont val="Calibri"/>
        <family val="2"/>
        <scheme val="minor"/>
      </rPr>
      <t>CWD</t>
    </r>
    <r>
      <rPr>
        <sz val="11"/>
        <color theme="1"/>
        <rFont val="Calibri"/>
        <family val="2"/>
        <scheme val="minor"/>
      </rPr>
      <t xml:space="preserve"> - Children with disabilities
</t>
    </r>
    <r>
      <rPr>
        <b/>
        <sz val="11"/>
        <color theme="1"/>
        <rFont val="Calibri"/>
        <family val="2"/>
        <scheme val="minor"/>
      </rPr>
      <t>Homeless</t>
    </r>
    <r>
      <rPr>
        <sz val="11"/>
        <color theme="1"/>
        <rFont val="Calibri"/>
        <family val="2"/>
        <scheme val="minor"/>
      </rPr>
      <t xml:space="preserve"> - Homeless
</t>
    </r>
    <r>
      <rPr>
        <b/>
        <sz val="11"/>
        <color theme="1"/>
        <rFont val="Calibri"/>
        <family val="2"/>
        <scheme val="minor"/>
      </rPr>
      <t>MentalHealth</t>
    </r>
    <r>
      <rPr>
        <sz val="11"/>
        <color theme="1"/>
        <rFont val="Calibri"/>
        <family val="2"/>
        <scheme val="minor"/>
      </rPr>
      <t xml:space="preserve"> - Mental health
</t>
    </r>
    <r>
      <rPr>
        <b/>
        <sz val="11"/>
        <color theme="1"/>
        <rFont val="Calibri"/>
        <family val="2"/>
        <scheme val="minor"/>
      </rPr>
      <t>SpecialHealthNeeds</t>
    </r>
    <r>
      <rPr>
        <sz val="11"/>
        <color theme="1"/>
        <rFont val="Calibri"/>
        <family val="2"/>
        <scheme val="minor"/>
      </rPr>
      <t xml:space="preserve"> - Special health needs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Other</t>
    </r>
    <r>
      <rPr>
        <sz val="11"/>
        <color theme="1"/>
        <rFont val="Calibri"/>
        <family val="2"/>
        <scheme val="minor"/>
      </rPr>
      <t xml:space="preserve"> - Other
</t>
    </r>
  </si>
  <si>
    <r>
      <t>3TO5</t>
    </r>
    <r>
      <rPr>
        <sz val="11"/>
        <color theme="1"/>
        <rFont val="Calibri"/>
        <family val="2"/>
        <scheme val="minor"/>
      </rPr>
      <t xml:space="preserve"> - 3 through 5
</t>
    </r>
    <r>
      <rPr>
        <b/>
        <sz val="11"/>
        <color theme="1"/>
        <rFont val="Calibri"/>
        <family val="2"/>
        <scheme val="minor"/>
      </rPr>
      <t>6TO21</t>
    </r>
    <r>
      <rPr>
        <sz val="11"/>
        <color theme="1"/>
        <rFont val="Calibri"/>
        <family val="2"/>
        <scheme val="minor"/>
      </rPr>
      <t xml:space="preserve"> - 6 through 21
</t>
    </r>
  </si>
  <si>
    <r>
      <t>HighSchoolDiploma</t>
    </r>
    <r>
      <rPr>
        <sz val="11"/>
        <color theme="1"/>
        <rFont val="Calibri"/>
        <family val="2"/>
        <scheme val="minor"/>
      </rPr>
      <t xml:space="preserve"> - Graduated with regular high school diploma
</t>
    </r>
    <r>
      <rPr>
        <b/>
        <sz val="11"/>
        <color theme="1"/>
        <rFont val="Calibri"/>
        <family val="2"/>
        <scheme val="minor"/>
      </rPr>
      <t>ReceivedCertificate</t>
    </r>
    <r>
      <rPr>
        <sz val="11"/>
        <color theme="1"/>
        <rFont val="Calibri"/>
        <family val="2"/>
        <scheme val="minor"/>
      </rPr>
      <t xml:space="preserve"> - Received a certificate
</t>
    </r>
    <r>
      <rPr>
        <b/>
        <sz val="11"/>
        <color theme="1"/>
        <rFont val="Calibri"/>
        <family val="2"/>
        <scheme val="minor"/>
      </rPr>
      <t>ReachedMaximumAge</t>
    </r>
    <r>
      <rPr>
        <sz val="11"/>
        <color theme="1"/>
        <rFont val="Calibri"/>
        <family val="2"/>
        <scheme val="minor"/>
      </rPr>
      <t xml:space="preserve"> - Reached maximum age
</t>
    </r>
    <r>
      <rPr>
        <b/>
        <sz val="11"/>
        <color theme="1"/>
        <rFont val="Calibri"/>
        <family val="2"/>
        <scheme val="minor"/>
      </rPr>
      <t>Died</t>
    </r>
    <r>
      <rPr>
        <sz val="11"/>
        <color theme="1"/>
        <rFont val="Calibri"/>
        <family val="2"/>
        <scheme val="minor"/>
      </rPr>
      <t xml:space="preserve"> - Died
</t>
    </r>
    <r>
      <rPr>
        <b/>
        <sz val="11"/>
        <color theme="1"/>
        <rFont val="Calibri"/>
        <family val="2"/>
        <scheme val="minor"/>
      </rPr>
      <t>MovedAndContinuing</t>
    </r>
    <r>
      <rPr>
        <sz val="11"/>
        <color theme="1"/>
        <rFont val="Calibri"/>
        <family val="2"/>
        <scheme val="minor"/>
      </rPr>
      <t xml:space="preserve"> - Moved, known to be continuing
</t>
    </r>
    <r>
      <rPr>
        <b/>
        <sz val="11"/>
        <color theme="1"/>
        <rFont val="Calibri"/>
        <family val="2"/>
        <scheme val="minor"/>
      </rPr>
      <t>DroppedOut</t>
    </r>
    <r>
      <rPr>
        <sz val="11"/>
        <color theme="1"/>
        <rFont val="Calibri"/>
        <family val="2"/>
        <scheme val="minor"/>
      </rPr>
      <t xml:space="preserve"> - Dropped out
</t>
    </r>
    <r>
      <rPr>
        <b/>
        <sz val="11"/>
        <color theme="1"/>
        <rFont val="Calibri"/>
        <family val="2"/>
        <scheme val="minor"/>
      </rPr>
      <t>Transferred</t>
    </r>
    <r>
      <rPr>
        <sz val="11"/>
        <color theme="1"/>
        <rFont val="Calibri"/>
        <family val="2"/>
        <scheme val="minor"/>
      </rPr>
      <t xml:space="preserve"> - Transferred to regular education
</t>
    </r>
    <r>
      <rPr>
        <b/>
        <sz val="11"/>
        <color theme="1"/>
        <rFont val="Calibri"/>
        <family val="2"/>
        <scheme val="minor"/>
      </rPr>
      <t>PartCNoLongerEligible</t>
    </r>
    <r>
      <rPr>
        <sz val="11"/>
        <color theme="1"/>
        <rFont val="Calibri"/>
        <family val="2"/>
        <scheme val="minor"/>
      </rPr>
      <t xml:space="preserve"> - No longer eligible for Part C prior to reaching age three.
</t>
    </r>
    <r>
      <rPr>
        <b/>
        <sz val="11"/>
        <color theme="1"/>
        <rFont val="Calibri"/>
        <family val="2"/>
        <scheme val="minor"/>
      </rPr>
      <t>PartBEligibleExitingPartC</t>
    </r>
    <r>
      <rPr>
        <sz val="11"/>
        <color theme="1"/>
        <rFont val="Calibri"/>
        <family val="2"/>
        <scheme val="minor"/>
      </rPr>
      <t xml:space="preserve"> - Part B eligible, exiting Part C.
</t>
    </r>
    <r>
      <rPr>
        <b/>
        <sz val="11"/>
        <color theme="1"/>
        <rFont val="Calibri"/>
        <family val="2"/>
        <scheme val="minor"/>
      </rPr>
      <t>PartBEligibleContinuingPartC</t>
    </r>
    <r>
      <rPr>
        <sz val="11"/>
        <color theme="1"/>
        <rFont val="Calibri"/>
        <family val="2"/>
        <scheme val="minor"/>
      </rPr>
      <t xml:space="preserve"> - Part B eligible, continuing in Part C.
</t>
    </r>
    <r>
      <rPr>
        <b/>
        <sz val="11"/>
        <color theme="1"/>
        <rFont val="Calibri"/>
        <family val="2"/>
        <scheme val="minor"/>
      </rPr>
      <t>NotPartBElgibleExitingPartCWithReferrrals</t>
    </r>
    <r>
      <rPr>
        <sz val="11"/>
        <color theme="1"/>
        <rFont val="Calibri"/>
        <family val="2"/>
        <scheme val="minor"/>
      </rPr>
      <t xml:space="preserve"> - Not eligible for Part B, exit with referrals to other programs.
</t>
    </r>
    <r>
      <rPr>
        <b/>
        <sz val="11"/>
        <color theme="1"/>
        <rFont val="Calibri"/>
        <family val="2"/>
        <scheme val="minor"/>
      </rPr>
      <t>NotPartBElgibleExitingPartCWithoutReferrrals</t>
    </r>
    <r>
      <rPr>
        <sz val="11"/>
        <color theme="1"/>
        <rFont val="Calibri"/>
        <family val="2"/>
        <scheme val="minor"/>
      </rPr>
      <t xml:space="preserve"> - Not eligible for Part B, exit with no referrals.
</t>
    </r>
    <r>
      <rPr>
        <b/>
        <sz val="11"/>
        <color theme="1"/>
        <rFont val="Calibri"/>
        <family val="2"/>
        <scheme val="minor"/>
      </rPr>
      <t>PartBEligibilityNotDeterminedExitingPartC</t>
    </r>
    <r>
      <rPr>
        <sz val="11"/>
        <color theme="1"/>
        <rFont val="Calibri"/>
        <family val="2"/>
        <scheme val="minor"/>
      </rPr>
      <t xml:space="preserve"> - Part B eligibility not determined.
</t>
    </r>
    <r>
      <rPr>
        <b/>
        <sz val="11"/>
        <color theme="1"/>
        <rFont val="Calibri"/>
        <family val="2"/>
        <scheme val="minor"/>
      </rPr>
      <t>WithdrawalByParent</t>
    </r>
    <r>
      <rPr>
        <sz val="11"/>
        <color theme="1"/>
        <rFont val="Calibri"/>
        <family val="2"/>
        <scheme val="minor"/>
      </rPr>
      <t xml:space="preserve"> - Withdrawal by parent (or guardian).
</t>
    </r>
    <r>
      <rPr>
        <b/>
        <sz val="11"/>
        <color theme="1"/>
        <rFont val="Calibri"/>
        <family val="2"/>
        <scheme val="minor"/>
      </rPr>
      <t>MovedOutOfState</t>
    </r>
    <r>
      <rPr>
        <sz val="11"/>
        <color theme="1"/>
        <rFont val="Calibri"/>
        <family val="2"/>
        <scheme val="minor"/>
      </rPr>
      <t xml:space="preserve"> - Moved out of State
</t>
    </r>
    <r>
      <rPr>
        <b/>
        <sz val="11"/>
        <color theme="1"/>
        <rFont val="Calibri"/>
        <family val="2"/>
        <scheme val="minor"/>
      </rPr>
      <t>Unreachable</t>
    </r>
    <r>
      <rPr>
        <sz val="11"/>
        <color theme="1"/>
        <rFont val="Calibri"/>
        <family val="2"/>
        <scheme val="minor"/>
      </rPr>
      <t xml:space="preserve"> - Attempts to contact the parent and/or child were unsuccessful.
</t>
    </r>
  </si>
  <si>
    <r>
      <t>PSYCH</t>
    </r>
    <r>
      <rPr>
        <sz val="11"/>
        <color theme="1"/>
        <rFont val="Calibri"/>
        <family val="2"/>
        <scheme val="minor"/>
      </rPr>
      <t xml:space="preserve"> - Psychologists
</t>
    </r>
    <r>
      <rPr>
        <b/>
        <sz val="11"/>
        <color theme="1"/>
        <rFont val="Calibri"/>
        <family val="2"/>
        <scheme val="minor"/>
      </rPr>
      <t>SOCIALWORK</t>
    </r>
    <r>
      <rPr>
        <sz val="11"/>
        <color theme="1"/>
        <rFont val="Calibri"/>
        <family val="2"/>
        <scheme val="minor"/>
      </rPr>
      <t xml:space="preserve"> - Social Workers
</t>
    </r>
    <r>
      <rPr>
        <b/>
        <sz val="11"/>
        <color theme="1"/>
        <rFont val="Calibri"/>
        <family val="2"/>
        <scheme val="minor"/>
      </rPr>
      <t>OCCTHERAP</t>
    </r>
    <r>
      <rPr>
        <sz val="11"/>
        <color theme="1"/>
        <rFont val="Calibri"/>
        <family val="2"/>
        <scheme val="minor"/>
      </rPr>
      <t xml:space="preserve"> - Occupational Therapists
</t>
    </r>
    <r>
      <rPr>
        <b/>
        <sz val="11"/>
        <color theme="1"/>
        <rFont val="Calibri"/>
        <family val="2"/>
        <scheme val="minor"/>
      </rPr>
      <t>AUDIO</t>
    </r>
    <r>
      <rPr>
        <sz val="11"/>
        <color theme="1"/>
        <rFont val="Calibri"/>
        <family val="2"/>
        <scheme val="minor"/>
      </rPr>
      <t xml:space="preserve"> - Audiologists
</t>
    </r>
    <r>
      <rPr>
        <b/>
        <sz val="11"/>
        <color theme="1"/>
        <rFont val="Calibri"/>
        <family val="2"/>
        <scheme val="minor"/>
      </rPr>
      <t>PEANDREC</t>
    </r>
    <r>
      <rPr>
        <sz val="11"/>
        <color theme="1"/>
        <rFont val="Calibri"/>
        <family val="2"/>
        <scheme val="minor"/>
      </rPr>
      <t xml:space="preserve"> - Physical Education Teachers and Recreation and Therapeutic Recreation Specialists
</t>
    </r>
    <r>
      <rPr>
        <b/>
        <sz val="11"/>
        <color theme="1"/>
        <rFont val="Calibri"/>
        <family val="2"/>
        <scheme val="minor"/>
      </rPr>
      <t>PHYSTHERAP</t>
    </r>
    <r>
      <rPr>
        <sz val="11"/>
        <color theme="1"/>
        <rFont val="Calibri"/>
        <family val="2"/>
        <scheme val="minor"/>
      </rPr>
      <t xml:space="preserve"> - Physical Therapists
</t>
    </r>
    <r>
      <rPr>
        <b/>
        <sz val="11"/>
        <color theme="1"/>
        <rFont val="Calibri"/>
        <family val="2"/>
        <scheme val="minor"/>
      </rPr>
      <t>SPEECHPATH</t>
    </r>
    <r>
      <rPr>
        <sz val="11"/>
        <color theme="1"/>
        <rFont val="Calibri"/>
        <family val="2"/>
        <scheme val="minor"/>
      </rPr>
      <t xml:space="preserve"> - Speech-Language Pathologists
</t>
    </r>
    <r>
      <rPr>
        <b/>
        <sz val="11"/>
        <color theme="1"/>
        <rFont val="Calibri"/>
        <family val="2"/>
        <scheme val="minor"/>
      </rPr>
      <t>INTERPRET</t>
    </r>
    <r>
      <rPr>
        <sz val="11"/>
        <color theme="1"/>
        <rFont val="Calibri"/>
        <family val="2"/>
        <scheme val="minor"/>
      </rPr>
      <t xml:space="preserve"> - Interpreters
</t>
    </r>
    <r>
      <rPr>
        <b/>
        <sz val="11"/>
        <color theme="1"/>
        <rFont val="Calibri"/>
        <family val="2"/>
        <scheme val="minor"/>
      </rPr>
      <t>COUNSELOR</t>
    </r>
    <r>
      <rPr>
        <sz val="11"/>
        <color theme="1"/>
        <rFont val="Calibri"/>
        <family val="2"/>
        <scheme val="minor"/>
      </rPr>
      <t xml:space="preserve"> - Counselors and Rehabilitation Counselors
</t>
    </r>
    <r>
      <rPr>
        <b/>
        <sz val="11"/>
        <color theme="1"/>
        <rFont val="Calibri"/>
        <family val="2"/>
        <scheme val="minor"/>
      </rPr>
      <t>ORIENTMOBIL</t>
    </r>
    <r>
      <rPr>
        <sz val="11"/>
        <color theme="1"/>
        <rFont val="Calibri"/>
        <family val="2"/>
        <scheme val="minor"/>
      </rPr>
      <t xml:space="preserve"> - Orientation and Mobility Specialists
</t>
    </r>
    <r>
      <rPr>
        <b/>
        <sz val="11"/>
        <color theme="1"/>
        <rFont val="Calibri"/>
        <family val="2"/>
        <scheme val="minor"/>
      </rPr>
      <t>MEDNURSE</t>
    </r>
    <r>
      <rPr>
        <sz val="11"/>
        <color theme="1"/>
        <rFont val="Calibri"/>
        <family val="2"/>
        <scheme val="minor"/>
      </rPr>
      <t xml:space="preserve"> - Medical/Nursing Service Staff
</t>
    </r>
  </si>
  <si>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</si>
  <si>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SAT_Reading</t>
    </r>
    <r>
      <rPr>
        <sz val="11"/>
        <color theme="1"/>
        <rFont val="Calibri"/>
        <family val="2"/>
        <scheme val="minor"/>
      </rPr>
      <t xml:space="preserve"> - SAT Reading
</t>
    </r>
    <r>
      <rPr>
        <b/>
        <sz val="11"/>
        <color theme="1"/>
        <rFont val="Calibri"/>
        <family val="2"/>
        <scheme val="minor"/>
      </rPr>
      <t>SAT_Writing</t>
    </r>
    <r>
      <rPr>
        <sz val="11"/>
        <color theme="1"/>
        <rFont val="Calibri"/>
        <family val="2"/>
        <scheme val="minor"/>
      </rPr>
      <t xml:space="preserve"> - SAT Writing
</t>
    </r>
    <r>
      <rPr>
        <b/>
        <sz val="11"/>
        <color theme="1"/>
        <rFont val="Calibri"/>
        <family val="2"/>
        <scheme val="minor"/>
      </rPr>
      <t>SAT_Math</t>
    </r>
    <r>
      <rPr>
        <sz val="11"/>
        <color theme="1"/>
        <rFont val="Calibri"/>
        <family val="2"/>
        <scheme val="minor"/>
      </rPr>
      <t xml:space="preserve"> - SAT Math
</t>
    </r>
    <r>
      <rPr>
        <b/>
        <sz val="11"/>
        <color theme="1"/>
        <rFont val="Calibri"/>
        <family val="2"/>
        <scheme val="minor"/>
      </rPr>
      <t>SAT_Total</t>
    </r>
    <r>
      <rPr>
        <sz val="11"/>
        <color theme="1"/>
        <rFont val="Calibri"/>
        <family val="2"/>
        <scheme val="minor"/>
      </rPr>
      <t xml:space="preserve"> - SAT Total
</t>
    </r>
    <r>
      <rPr>
        <b/>
        <sz val="11"/>
        <color theme="1"/>
        <rFont val="Calibri"/>
        <family val="2"/>
        <scheme val="minor"/>
      </rPr>
      <t>ACT_English</t>
    </r>
    <r>
      <rPr>
        <sz val="11"/>
        <color theme="1"/>
        <rFont val="Calibri"/>
        <family val="2"/>
        <scheme val="minor"/>
      </rPr>
      <t xml:space="preserve"> - ACT English
</t>
    </r>
    <r>
      <rPr>
        <b/>
        <sz val="11"/>
        <color theme="1"/>
        <rFont val="Calibri"/>
        <family val="2"/>
        <scheme val="minor"/>
      </rPr>
      <t>ACT_Math</t>
    </r>
    <r>
      <rPr>
        <sz val="11"/>
        <color theme="1"/>
        <rFont val="Calibri"/>
        <family val="2"/>
        <scheme val="minor"/>
      </rPr>
      <t xml:space="preserve"> - ACT Math
</t>
    </r>
    <r>
      <rPr>
        <b/>
        <sz val="11"/>
        <color theme="1"/>
        <rFont val="Calibri"/>
        <family val="2"/>
        <scheme val="minor"/>
      </rPr>
      <t>ACT_Reading</t>
    </r>
    <r>
      <rPr>
        <sz val="11"/>
        <color theme="1"/>
        <rFont val="Calibri"/>
        <family val="2"/>
        <scheme val="minor"/>
      </rPr>
      <t xml:space="preserve"> - ACT Reading
</t>
    </r>
    <r>
      <rPr>
        <b/>
        <sz val="11"/>
        <color theme="1"/>
        <rFont val="Calibri"/>
        <family val="2"/>
        <scheme val="minor"/>
      </rPr>
      <t>ACT_Science</t>
    </r>
    <r>
      <rPr>
        <sz val="11"/>
        <color theme="1"/>
        <rFont val="Calibri"/>
        <family val="2"/>
        <scheme val="minor"/>
      </rPr>
      <t xml:space="preserve"> - ACT Science
</t>
    </r>
    <r>
      <rPr>
        <b/>
        <sz val="11"/>
        <color theme="1"/>
        <rFont val="Calibri"/>
        <family val="2"/>
        <scheme val="minor"/>
      </rPr>
      <t>ACT_Composite</t>
    </r>
    <r>
      <rPr>
        <sz val="11"/>
        <color theme="1"/>
        <rFont val="Calibri"/>
        <family val="2"/>
        <scheme val="minor"/>
      </rPr>
      <t xml:space="preserve"> - ACT Composite
</t>
    </r>
    <r>
      <rPr>
        <b/>
        <sz val="11"/>
        <color theme="1"/>
        <rFont val="Calibri"/>
        <family val="2"/>
        <scheme val="minor"/>
      </rPr>
      <t>COMPASS_reading</t>
    </r>
    <r>
      <rPr>
        <sz val="11"/>
        <color theme="1"/>
        <rFont val="Calibri"/>
        <family val="2"/>
        <scheme val="minor"/>
      </rPr>
      <t xml:space="preserve"> - COMPASS reading
</t>
    </r>
    <r>
      <rPr>
        <b/>
        <sz val="11"/>
        <color theme="1"/>
        <rFont val="Calibri"/>
        <family val="2"/>
        <scheme val="minor"/>
      </rPr>
      <t>COMPASS_writing</t>
    </r>
    <r>
      <rPr>
        <sz val="11"/>
        <color theme="1"/>
        <rFont val="Calibri"/>
        <family val="2"/>
        <scheme val="minor"/>
      </rPr>
      <t xml:space="preserve"> - COMPASS writing
</t>
    </r>
    <r>
      <rPr>
        <b/>
        <sz val="11"/>
        <color theme="1"/>
        <rFont val="Calibri"/>
        <family val="2"/>
        <scheme val="minor"/>
      </rPr>
      <t>COMPASS_math</t>
    </r>
    <r>
      <rPr>
        <sz val="11"/>
        <color theme="1"/>
        <rFont val="Calibri"/>
        <family val="2"/>
        <scheme val="minor"/>
      </rPr>
      <t xml:space="preserve"> - COMPASS math
</t>
    </r>
    <r>
      <rPr>
        <b/>
        <sz val="11"/>
        <color theme="1"/>
        <rFont val="Calibri"/>
        <family val="2"/>
        <scheme val="minor"/>
      </rPr>
      <t>Accuplacer_reading</t>
    </r>
    <r>
      <rPr>
        <sz val="11"/>
        <color theme="1"/>
        <rFont val="Calibri"/>
        <family val="2"/>
        <scheme val="minor"/>
      </rPr>
      <t xml:space="preserve"> - Accuplacer reading
</t>
    </r>
    <r>
      <rPr>
        <b/>
        <sz val="11"/>
        <color theme="1"/>
        <rFont val="Calibri"/>
        <family val="2"/>
        <scheme val="minor"/>
      </rPr>
      <t>Accuplacer_writing</t>
    </r>
    <r>
      <rPr>
        <sz val="11"/>
        <color theme="1"/>
        <rFont val="Calibri"/>
        <family val="2"/>
        <scheme val="minor"/>
      </rPr>
      <t xml:space="preserve"> - Accuplacer writing
</t>
    </r>
    <r>
      <rPr>
        <b/>
        <sz val="11"/>
        <color theme="1"/>
        <rFont val="Calibri"/>
        <family val="2"/>
        <scheme val="minor"/>
      </rPr>
      <t>Accuplacer_math</t>
    </r>
    <r>
      <rPr>
        <sz val="11"/>
        <color theme="1"/>
        <rFont val="Calibri"/>
        <family val="2"/>
        <scheme val="minor"/>
      </rPr>
      <t xml:space="preserve"> - Accuplacer math
</t>
    </r>
    <r>
      <rPr>
        <b/>
        <sz val="11"/>
        <color theme="1"/>
        <rFont val="Calibri"/>
        <family val="2"/>
        <scheme val="minor"/>
      </rPr>
      <t>Other</t>
    </r>
    <r>
      <rPr>
        <sz val="11"/>
        <color theme="1"/>
        <rFont val="Calibri"/>
        <family val="2"/>
        <scheme val="minor"/>
      </rPr>
      <t xml:space="preserve"> - Other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</si>
  <si>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r>
      <rPr>
        <b/>
        <sz val="11"/>
        <color theme="1"/>
        <rFont val="Calibri"/>
        <family val="2"/>
        <scheme val="minor"/>
      </rPr>
      <t>AA</t>
    </r>
    <r>
      <rPr>
        <sz val="11"/>
        <color theme="1"/>
        <rFont val="Calibri"/>
        <family val="2"/>
        <scheme val="minor"/>
      </rPr>
      <t xml:space="preserve"> - Armed Forces America
</t>
    </r>
    <r>
      <rPr>
        <b/>
        <sz val="11"/>
        <color theme="1"/>
        <rFont val="Calibri"/>
        <family val="2"/>
        <scheme val="minor"/>
      </rPr>
      <t>AE</t>
    </r>
    <r>
      <rPr>
        <sz val="11"/>
        <color theme="1"/>
        <rFont val="Calibri"/>
        <family val="2"/>
        <scheme val="minor"/>
      </rPr>
      <t xml:space="preserve"> - Armed Forces Africa, Canada, Europe, and Mideast
</t>
    </r>
    <r>
      <rPr>
        <b/>
        <sz val="11"/>
        <color theme="1"/>
        <rFont val="Calibri"/>
        <family val="2"/>
        <scheme val="minor"/>
      </rPr>
      <t>AP</t>
    </r>
    <r>
      <rPr>
        <sz val="11"/>
        <color theme="1"/>
        <rFont val="Calibri"/>
        <family val="2"/>
        <scheme val="minor"/>
      </rPr>
      <t xml:space="preserve"> - Armed Forces Pacific
</t>
    </r>
  </si>
  <si>
    <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</si>
  <si>
    <r>
      <t>01</t>
    </r>
    <r>
      <rPr>
        <sz val="11"/>
        <color theme="1"/>
        <rFont val="Calibri"/>
        <family val="2"/>
        <scheme val="minor"/>
      </rPr>
      <t xml:space="preserve"> - Alabama
</t>
    </r>
    <r>
      <rPr>
        <b/>
        <sz val="11"/>
        <color theme="1"/>
        <rFont val="Calibri"/>
        <family val="2"/>
        <scheme val="minor"/>
      </rPr>
      <t>02</t>
    </r>
    <r>
      <rPr>
        <sz val="11"/>
        <color theme="1"/>
        <rFont val="Calibri"/>
        <family val="2"/>
        <scheme val="minor"/>
      </rPr>
      <t xml:space="preserve"> - Alaska
</t>
    </r>
    <r>
      <rPr>
        <b/>
        <sz val="11"/>
        <color theme="1"/>
        <rFont val="Calibri"/>
        <family val="2"/>
        <scheme val="minor"/>
      </rPr>
      <t>04</t>
    </r>
    <r>
      <rPr>
        <sz val="11"/>
        <color theme="1"/>
        <rFont val="Calibri"/>
        <family val="2"/>
        <scheme val="minor"/>
      </rPr>
      <t xml:space="preserve"> - Arizona
</t>
    </r>
    <r>
      <rPr>
        <b/>
        <sz val="11"/>
        <color theme="1"/>
        <rFont val="Calibri"/>
        <family val="2"/>
        <scheme val="minor"/>
      </rPr>
      <t>05</t>
    </r>
    <r>
      <rPr>
        <sz val="11"/>
        <color theme="1"/>
        <rFont val="Calibri"/>
        <family val="2"/>
        <scheme val="minor"/>
      </rPr>
      <t xml:space="preserve"> - Arkansas
</t>
    </r>
    <r>
      <rPr>
        <b/>
        <sz val="11"/>
        <color theme="1"/>
        <rFont val="Calibri"/>
        <family val="2"/>
        <scheme val="minor"/>
      </rPr>
      <t>06</t>
    </r>
    <r>
      <rPr>
        <sz val="11"/>
        <color theme="1"/>
        <rFont val="Calibri"/>
        <family val="2"/>
        <scheme val="minor"/>
      </rPr>
      <t xml:space="preserve"> - California
</t>
    </r>
    <r>
      <rPr>
        <b/>
        <sz val="11"/>
        <color theme="1"/>
        <rFont val="Calibri"/>
        <family val="2"/>
        <scheme val="minor"/>
      </rPr>
      <t>08</t>
    </r>
    <r>
      <rPr>
        <sz val="11"/>
        <color theme="1"/>
        <rFont val="Calibri"/>
        <family val="2"/>
        <scheme val="minor"/>
      </rPr>
      <t xml:space="preserve"> - Colorado
</t>
    </r>
    <r>
      <rPr>
        <b/>
        <sz val="11"/>
        <color theme="1"/>
        <rFont val="Calibri"/>
        <family val="2"/>
        <scheme val="minor"/>
      </rPr>
      <t>09</t>
    </r>
    <r>
      <rPr>
        <sz val="11"/>
        <color theme="1"/>
        <rFont val="Calibri"/>
        <family val="2"/>
        <scheme val="minor"/>
      </rPr>
      <t xml:space="preserve"> - Connecticut
</t>
    </r>
    <r>
      <rPr>
        <b/>
        <sz val="11"/>
        <color theme="1"/>
        <rFont val="Calibri"/>
        <family val="2"/>
        <scheme val="minor"/>
      </rPr>
      <t>10</t>
    </r>
    <r>
      <rPr>
        <sz val="11"/>
        <color theme="1"/>
        <rFont val="Calibri"/>
        <family val="2"/>
        <scheme val="minor"/>
      </rPr>
      <t xml:space="preserve"> - Delaware
</t>
    </r>
    <r>
      <rPr>
        <b/>
        <sz val="11"/>
        <color theme="1"/>
        <rFont val="Calibri"/>
        <family val="2"/>
        <scheme val="minor"/>
      </rPr>
      <t>11</t>
    </r>
    <r>
      <rPr>
        <sz val="11"/>
        <color theme="1"/>
        <rFont val="Calibri"/>
        <family val="2"/>
        <scheme val="minor"/>
      </rPr>
      <t xml:space="preserve"> - District of Columbia
</t>
    </r>
    <r>
      <rPr>
        <b/>
        <sz val="11"/>
        <color theme="1"/>
        <rFont val="Calibri"/>
        <family val="2"/>
        <scheme val="minor"/>
      </rPr>
      <t>12</t>
    </r>
    <r>
      <rPr>
        <sz val="11"/>
        <color theme="1"/>
        <rFont val="Calibri"/>
        <family val="2"/>
        <scheme val="minor"/>
      </rPr>
      <t xml:space="preserve"> - Florida
</t>
    </r>
    <r>
      <rPr>
        <b/>
        <sz val="11"/>
        <color theme="1"/>
        <rFont val="Calibri"/>
        <family val="2"/>
        <scheme val="minor"/>
      </rPr>
      <t>13</t>
    </r>
    <r>
      <rPr>
        <sz val="11"/>
        <color theme="1"/>
        <rFont val="Calibri"/>
        <family val="2"/>
        <scheme val="minor"/>
      </rPr>
      <t xml:space="preserve"> - Georgia
</t>
    </r>
    <r>
      <rPr>
        <b/>
        <sz val="11"/>
        <color theme="1"/>
        <rFont val="Calibri"/>
        <family val="2"/>
        <scheme val="minor"/>
      </rPr>
      <t>15</t>
    </r>
    <r>
      <rPr>
        <sz val="11"/>
        <color theme="1"/>
        <rFont val="Calibri"/>
        <family val="2"/>
        <scheme val="minor"/>
      </rPr>
      <t xml:space="preserve"> - Hawaii
</t>
    </r>
    <r>
      <rPr>
        <b/>
        <sz val="11"/>
        <color theme="1"/>
        <rFont val="Calibri"/>
        <family val="2"/>
        <scheme val="minor"/>
      </rPr>
      <t>16</t>
    </r>
    <r>
      <rPr>
        <sz val="11"/>
        <color theme="1"/>
        <rFont val="Calibri"/>
        <family val="2"/>
        <scheme val="minor"/>
      </rPr>
      <t xml:space="preserve"> - Idaho
</t>
    </r>
    <r>
      <rPr>
        <b/>
        <sz val="11"/>
        <color theme="1"/>
        <rFont val="Calibri"/>
        <family val="2"/>
        <scheme val="minor"/>
      </rPr>
      <t>17</t>
    </r>
    <r>
      <rPr>
        <sz val="11"/>
        <color theme="1"/>
        <rFont val="Calibri"/>
        <family val="2"/>
        <scheme val="minor"/>
      </rPr>
      <t xml:space="preserve"> - Illinois
</t>
    </r>
    <r>
      <rPr>
        <b/>
        <sz val="11"/>
        <color theme="1"/>
        <rFont val="Calibri"/>
        <family val="2"/>
        <scheme val="minor"/>
      </rPr>
      <t>18</t>
    </r>
    <r>
      <rPr>
        <sz val="11"/>
        <color theme="1"/>
        <rFont val="Calibri"/>
        <family val="2"/>
        <scheme val="minor"/>
      </rPr>
      <t xml:space="preserve"> - Indiana
</t>
    </r>
    <r>
      <rPr>
        <b/>
        <sz val="11"/>
        <color theme="1"/>
        <rFont val="Calibri"/>
        <family val="2"/>
        <scheme val="minor"/>
      </rPr>
      <t>19</t>
    </r>
    <r>
      <rPr>
        <sz val="11"/>
        <color theme="1"/>
        <rFont val="Calibri"/>
        <family val="2"/>
        <scheme val="minor"/>
      </rPr>
      <t xml:space="preserve"> - Iowa
</t>
    </r>
    <r>
      <rPr>
        <b/>
        <sz val="11"/>
        <color theme="1"/>
        <rFont val="Calibri"/>
        <family val="2"/>
        <scheme val="minor"/>
      </rPr>
      <t>20</t>
    </r>
    <r>
      <rPr>
        <sz val="11"/>
        <color theme="1"/>
        <rFont val="Calibri"/>
        <family val="2"/>
        <scheme val="minor"/>
      </rPr>
      <t xml:space="preserve"> - Kansas 
</t>
    </r>
    <r>
      <rPr>
        <b/>
        <sz val="11"/>
        <color theme="1"/>
        <rFont val="Calibri"/>
        <family val="2"/>
        <scheme val="minor"/>
      </rPr>
      <t>21</t>
    </r>
    <r>
      <rPr>
        <sz val="11"/>
        <color theme="1"/>
        <rFont val="Calibri"/>
        <family val="2"/>
        <scheme val="minor"/>
      </rPr>
      <t xml:space="preserve"> - Kentucky
</t>
    </r>
    <r>
      <rPr>
        <b/>
        <sz val="11"/>
        <color theme="1"/>
        <rFont val="Calibri"/>
        <family val="2"/>
        <scheme val="minor"/>
      </rPr>
      <t>22</t>
    </r>
    <r>
      <rPr>
        <sz val="11"/>
        <color theme="1"/>
        <rFont val="Calibri"/>
        <family val="2"/>
        <scheme val="minor"/>
      </rPr>
      <t xml:space="preserve"> - Louisiana
</t>
    </r>
    <r>
      <rPr>
        <b/>
        <sz val="11"/>
        <color theme="1"/>
        <rFont val="Calibri"/>
        <family val="2"/>
        <scheme val="minor"/>
      </rPr>
      <t>23</t>
    </r>
    <r>
      <rPr>
        <sz val="11"/>
        <color theme="1"/>
        <rFont val="Calibri"/>
        <family val="2"/>
        <scheme val="minor"/>
      </rPr>
      <t xml:space="preserve"> - Maine
</t>
    </r>
    <r>
      <rPr>
        <b/>
        <sz val="11"/>
        <color theme="1"/>
        <rFont val="Calibri"/>
        <family val="2"/>
        <scheme val="minor"/>
      </rPr>
      <t>24</t>
    </r>
    <r>
      <rPr>
        <sz val="11"/>
        <color theme="1"/>
        <rFont val="Calibri"/>
        <family val="2"/>
        <scheme val="minor"/>
      </rPr>
      <t xml:space="preserve"> - Maryland
</t>
    </r>
    <r>
      <rPr>
        <b/>
        <sz val="11"/>
        <color theme="1"/>
        <rFont val="Calibri"/>
        <family val="2"/>
        <scheme val="minor"/>
      </rPr>
      <t>25</t>
    </r>
    <r>
      <rPr>
        <sz val="11"/>
        <color theme="1"/>
        <rFont val="Calibri"/>
        <family val="2"/>
        <scheme val="minor"/>
      </rPr>
      <t xml:space="preserve"> - Massachusetts
</t>
    </r>
    <r>
      <rPr>
        <b/>
        <sz val="11"/>
        <color theme="1"/>
        <rFont val="Calibri"/>
        <family val="2"/>
        <scheme val="minor"/>
      </rPr>
      <t>26</t>
    </r>
    <r>
      <rPr>
        <sz val="11"/>
        <color theme="1"/>
        <rFont val="Calibri"/>
        <family val="2"/>
        <scheme val="minor"/>
      </rPr>
      <t xml:space="preserve"> - Michigan
</t>
    </r>
    <r>
      <rPr>
        <b/>
        <sz val="11"/>
        <color theme="1"/>
        <rFont val="Calibri"/>
        <family val="2"/>
        <scheme val="minor"/>
      </rPr>
      <t>27</t>
    </r>
    <r>
      <rPr>
        <sz val="11"/>
        <color theme="1"/>
        <rFont val="Calibri"/>
        <family val="2"/>
        <scheme val="minor"/>
      </rPr>
      <t xml:space="preserve"> - Minnesota
</t>
    </r>
    <r>
      <rPr>
        <b/>
        <sz val="11"/>
        <color theme="1"/>
        <rFont val="Calibri"/>
        <family val="2"/>
        <scheme val="minor"/>
      </rPr>
      <t>28</t>
    </r>
    <r>
      <rPr>
        <sz val="11"/>
        <color theme="1"/>
        <rFont val="Calibri"/>
        <family val="2"/>
        <scheme val="minor"/>
      </rPr>
      <t xml:space="preserve"> - Mississippi
</t>
    </r>
    <r>
      <rPr>
        <b/>
        <sz val="11"/>
        <color theme="1"/>
        <rFont val="Calibri"/>
        <family val="2"/>
        <scheme val="minor"/>
      </rPr>
      <t>29</t>
    </r>
    <r>
      <rPr>
        <sz val="11"/>
        <color theme="1"/>
        <rFont val="Calibri"/>
        <family val="2"/>
        <scheme val="minor"/>
      </rPr>
      <t xml:space="preserve"> - Missouri
</t>
    </r>
    <r>
      <rPr>
        <b/>
        <sz val="11"/>
        <color theme="1"/>
        <rFont val="Calibri"/>
        <family val="2"/>
        <scheme val="minor"/>
      </rPr>
      <t>30</t>
    </r>
    <r>
      <rPr>
        <sz val="11"/>
        <color theme="1"/>
        <rFont val="Calibri"/>
        <family val="2"/>
        <scheme val="minor"/>
      </rPr>
      <t xml:space="preserve"> - Montana
</t>
    </r>
    <r>
      <rPr>
        <b/>
        <sz val="11"/>
        <color theme="1"/>
        <rFont val="Calibri"/>
        <family val="2"/>
        <scheme val="minor"/>
      </rPr>
      <t>31</t>
    </r>
    <r>
      <rPr>
        <sz val="11"/>
        <color theme="1"/>
        <rFont val="Calibri"/>
        <family val="2"/>
        <scheme val="minor"/>
      </rPr>
      <t xml:space="preserve"> - Nebraska
</t>
    </r>
    <r>
      <rPr>
        <b/>
        <sz val="11"/>
        <color theme="1"/>
        <rFont val="Calibri"/>
        <family val="2"/>
        <scheme val="minor"/>
      </rPr>
      <t>32</t>
    </r>
    <r>
      <rPr>
        <sz val="11"/>
        <color theme="1"/>
        <rFont val="Calibri"/>
        <family val="2"/>
        <scheme val="minor"/>
      </rPr>
      <t xml:space="preserve"> - Nevada
</t>
    </r>
    <r>
      <rPr>
        <b/>
        <sz val="11"/>
        <color theme="1"/>
        <rFont val="Calibri"/>
        <family val="2"/>
        <scheme val="minor"/>
      </rPr>
      <t>33</t>
    </r>
    <r>
      <rPr>
        <sz val="11"/>
        <color theme="1"/>
        <rFont val="Calibri"/>
        <family val="2"/>
        <scheme val="minor"/>
      </rPr>
      <t xml:space="preserve"> - New Hampshire
</t>
    </r>
    <r>
      <rPr>
        <b/>
        <sz val="11"/>
        <color theme="1"/>
        <rFont val="Calibri"/>
        <family val="2"/>
        <scheme val="minor"/>
      </rPr>
      <t>34</t>
    </r>
    <r>
      <rPr>
        <sz val="11"/>
        <color theme="1"/>
        <rFont val="Calibri"/>
        <family val="2"/>
        <scheme val="minor"/>
      </rPr>
      <t xml:space="preserve"> - New Jersey
</t>
    </r>
    <r>
      <rPr>
        <b/>
        <sz val="11"/>
        <color theme="1"/>
        <rFont val="Calibri"/>
        <family val="2"/>
        <scheme val="minor"/>
      </rPr>
      <t>35</t>
    </r>
    <r>
      <rPr>
        <sz val="11"/>
        <color theme="1"/>
        <rFont val="Calibri"/>
        <family val="2"/>
        <scheme val="minor"/>
      </rPr>
      <t xml:space="preserve"> - New Mexico
</t>
    </r>
    <r>
      <rPr>
        <b/>
        <sz val="11"/>
        <color theme="1"/>
        <rFont val="Calibri"/>
        <family val="2"/>
        <scheme val="minor"/>
      </rPr>
      <t>36</t>
    </r>
    <r>
      <rPr>
        <sz val="11"/>
        <color theme="1"/>
        <rFont val="Calibri"/>
        <family val="2"/>
        <scheme val="minor"/>
      </rPr>
      <t xml:space="preserve"> - New York
</t>
    </r>
    <r>
      <rPr>
        <b/>
        <sz val="11"/>
        <color theme="1"/>
        <rFont val="Calibri"/>
        <family val="2"/>
        <scheme val="minor"/>
      </rPr>
      <t>37</t>
    </r>
    <r>
      <rPr>
        <sz val="11"/>
        <color theme="1"/>
        <rFont val="Calibri"/>
        <family val="2"/>
        <scheme val="minor"/>
      </rPr>
      <t xml:space="preserve"> - North Carolina
</t>
    </r>
    <r>
      <rPr>
        <b/>
        <sz val="11"/>
        <color theme="1"/>
        <rFont val="Calibri"/>
        <family val="2"/>
        <scheme val="minor"/>
      </rPr>
      <t>38</t>
    </r>
    <r>
      <rPr>
        <sz val="11"/>
        <color theme="1"/>
        <rFont val="Calibri"/>
        <family val="2"/>
        <scheme val="minor"/>
      </rPr>
      <t xml:space="preserve"> - North Dakota
</t>
    </r>
    <r>
      <rPr>
        <b/>
        <sz val="11"/>
        <color theme="1"/>
        <rFont val="Calibri"/>
        <family val="2"/>
        <scheme val="minor"/>
      </rPr>
      <t>39</t>
    </r>
    <r>
      <rPr>
        <sz val="11"/>
        <color theme="1"/>
        <rFont val="Calibri"/>
        <family val="2"/>
        <scheme val="minor"/>
      </rPr>
      <t xml:space="preserve"> - Ohio
</t>
    </r>
    <r>
      <rPr>
        <b/>
        <sz val="11"/>
        <color theme="1"/>
        <rFont val="Calibri"/>
        <family val="2"/>
        <scheme val="minor"/>
      </rPr>
      <t>40</t>
    </r>
    <r>
      <rPr>
        <sz val="11"/>
        <color theme="1"/>
        <rFont val="Calibri"/>
        <family val="2"/>
        <scheme val="minor"/>
      </rPr>
      <t xml:space="preserve"> - Oklahoma
</t>
    </r>
    <r>
      <rPr>
        <b/>
        <sz val="11"/>
        <color theme="1"/>
        <rFont val="Calibri"/>
        <family val="2"/>
        <scheme val="minor"/>
      </rPr>
      <t>41</t>
    </r>
    <r>
      <rPr>
        <sz val="11"/>
        <color theme="1"/>
        <rFont val="Calibri"/>
        <family val="2"/>
        <scheme val="minor"/>
      </rPr>
      <t xml:space="preserve"> - Oregon
</t>
    </r>
    <r>
      <rPr>
        <b/>
        <sz val="11"/>
        <color theme="1"/>
        <rFont val="Calibri"/>
        <family val="2"/>
        <scheme val="minor"/>
      </rPr>
      <t>42</t>
    </r>
    <r>
      <rPr>
        <sz val="11"/>
        <color theme="1"/>
        <rFont val="Calibri"/>
        <family val="2"/>
        <scheme val="minor"/>
      </rPr>
      <t xml:space="preserve"> - Pennsylvania
</t>
    </r>
    <r>
      <rPr>
        <b/>
        <sz val="11"/>
        <color theme="1"/>
        <rFont val="Calibri"/>
        <family val="2"/>
        <scheme val="minor"/>
      </rPr>
      <t>44</t>
    </r>
    <r>
      <rPr>
        <sz val="11"/>
        <color theme="1"/>
        <rFont val="Calibri"/>
        <family val="2"/>
        <scheme val="minor"/>
      </rPr>
      <t xml:space="preserve"> - Rhode Island
</t>
    </r>
    <r>
      <rPr>
        <b/>
        <sz val="11"/>
        <color theme="1"/>
        <rFont val="Calibri"/>
        <family val="2"/>
        <scheme val="minor"/>
      </rPr>
      <t>45</t>
    </r>
    <r>
      <rPr>
        <sz val="11"/>
        <color theme="1"/>
        <rFont val="Calibri"/>
        <family val="2"/>
        <scheme val="minor"/>
      </rPr>
      <t xml:space="preserve"> - South Carolina
</t>
    </r>
    <r>
      <rPr>
        <b/>
        <sz val="11"/>
        <color theme="1"/>
        <rFont val="Calibri"/>
        <family val="2"/>
        <scheme val="minor"/>
      </rPr>
      <t>46</t>
    </r>
    <r>
      <rPr>
        <sz val="11"/>
        <color theme="1"/>
        <rFont val="Calibri"/>
        <family val="2"/>
        <scheme val="minor"/>
      </rPr>
      <t xml:space="preserve"> - South Dakota
</t>
    </r>
    <r>
      <rPr>
        <b/>
        <sz val="11"/>
        <color theme="1"/>
        <rFont val="Calibri"/>
        <family val="2"/>
        <scheme val="minor"/>
      </rPr>
      <t>47</t>
    </r>
    <r>
      <rPr>
        <sz val="11"/>
        <color theme="1"/>
        <rFont val="Calibri"/>
        <family val="2"/>
        <scheme val="minor"/>
      </rPr>
      <t xml:space="preserve"> - Tennessee
</t>
    </r>
    <r>
      <rPr>
        <b/>
        <sz val="11"/>
        <color theme="1"/>
        <rFont val="Calibri"/>
        <family val="2"/>
        <scheme val="minor"/>
      </rPr>
      <t>48</t>
    </r>
    <r>
      <rPr>
        <sz val="11"/>
        <color theme="1"/>
        <rFont val="Calibri"/>
        <family val="2"/>
        <scheme val="minor"/>
      </rPr>
      <t xml:space="preserve"> - Texas
</t>
    </r>
    <r>
      <rPr>
        <b/>
        <sz val="11"/>
        <color theme="1"/>
        <rFont val="Calibri"/>
        <family val="2"/>
        <scheme val="minor"/>
      </rPr>
      <t>49</t>
    </r>
    <r>
      <rPr>
        <sz val="11"/>
        <color theme="1"/>
        <rFont val="Calibri"/>
        <family val="2"/>
        <scheme val="minor"/>
      </rPr>
      <t xml:space="preserve"> - Utah
</t>
    </r>
    <r>
      <rPr>
        <b/>
        <sz val="11"/>
        <color theme="1"/>
        <rFont val="Calibri"/>
        <family val="2"/>
        <scheme val="minor"/>
      </rPr>
      <t>50</t>
    </r>
    <r>
      <rPr>
        <sz val="11"/>
        <color theme="1"/>
        <rFont val="Calibri"/>
        <family val="2"/>
        <scheme val="minor"/>
      </rPr>
      <t xml:space="preserve"> - Vermont
</t>
    </r>
    <r>
      <rPr>
        <b/>
        <sz val="11"/>
        <color theme="1"/>
        <rFont val="Calibri"/>
        <family val="2"/>
        <scheme val="minor"/>
      </rPr>
      <t>51</t>
    </r>
    <r>
      <rPr>
        <sz val="11"/>
        <color theme="1"/>
        <rFont val="Calibri"/>
        <family val="2"/>
        <scheme val="minor"/>
      </rPr>
      <t xml:space="preserve"> - Virginia
</t>
    </r>
    <r>
      <rPr>
        <b/>
        <sz val="11"/>
        <color theme="1"/>
        <rFont val="Calibri"/>
        <family val="2"/>
        <scheme val="minor"/>
      </rPr>
      <t>53</t>
    </r>
    <r>
      <rPr>
        <sz val="11"/>
        <color theme="1"/>
        <rFont val="Calibri"/>
        <family val="2"/>
        <scheme val="minor"/>
      </rPr>
      <t xml:space="preserve"> - Washington
</t>
    </r>
    <r>
      <rPr>
        <b/>
        <sz val="11"/>
        <color theme="1"/>
        <rFont val="Calibri"/>
        <family val="2"/>
        <scheme val="minor"/>
      </rPr>
      <t>54</t>
    </r>
    <r>
      <rPr>
        <sz val="11"/>
        <color theme="1"/>
        <rFont val="Calibri"/>
        <family val="2"/>
        <scheme val="minor"/>
      </rPr>
      <t xml:space="preserve"> - West Virginia
</t>
    </r>
    <r>
      <rPr>
        <b/>
        <sz val="11"/>
        <color theme="1"/>
        <rFont val="Calibri"/>
        <family val="2"/>
        <scheme val="minor"/>
      </rPr>
      <t>55</t>
    </r>
    <r>
      <rPr>
        <sz val="11"/>
        <color theme="1"/>
        <rFont val="Calibri"/>
        <family val="2"/>
        <scheme val="minor"/>
      </rPr>
      <t xml:space="preserve"> - Wisconsin
</t>
    </r>
    <r>
      <rPr>
        <b/>
        <sz val="11"/>
        <color theme="1"/>
        <rFont val="Calibri"/>
        <family val="2"/>
        <scheme val="minor"/>
      </rPr>
      <t>56</t>
    </r>
    <r>
      <rPr>
        <sz val="11"/>
        <color theme="1"/>
        <rFont val="Calibri"/>
        <family val="2"/>
        <scheme val="minor"/>
      </rPr>
      <t xml:space="preserve"> - Wyoming
</t>
    </r>
    <r>
      <rPr>
        <b/>
        <sz val="11"/>
        <color theme="1"/>
        <rFont val="Calibri"/>
        <family val="2"/>
        <scheme val="minor"/>
      </rPr>
      <t>60</t>
    </r>
    <r>
      <rPr>
        <sz val="11"/>
        <color theme="1"/>
        <rFont val="Calibri"/>
        <family val="2"/>
        <scheme val="minor"/>
      </rPr>
      <t xml:space="preserve"> - American Samoa
</t>
    </r>
    <r>
      <rPr>
        <b/>
        <sz val="11"/>
        <color theme="1"/>
        <rFont val="Calibri"/>
        <family val="2"/>
        <scheme val="minor"/>
      </rPr>
      <t>64</t>
    </r>
    <r>
      <rPr>
        <sz val="11"/>
        <color theme="1"/>
        <rFont val="Calibri"/>
        <family val="2"/>
        <scheme val="minor"/>
      </rPr>
      <t xml:space="preserve"> - Federated States of Micronesia
</t>
    </r>
    <r>
      <rPr>
        <b/>
        <sz val="11"/>
        <color theme="1"/>
        <rFont val="Calibri"/>
        <family val="2"/>
        <scheme val="minor"/>
      </rPr>
      <t>66</t>
    </r>
    <r>
      <rPr>
        <sz val="11"/>
        <color theme="1"/>
        <rFont val="Calibri"/>
        <family val="2"/>
        <scheme val="minor"/>
      </rPr>
      <t xml:space="preserve"> - Guam
</t>
    </r>
    <r>
      <rPr>
        <b/>
        <sz val="11"/>
        <color theme="1"/>
        <rFont val="Calibri"/>
        <family val="2"/>
        <scheme val="minor"/>
      </rPr>
      <t>68</t>
    </r>
    <r>
      <rPr>
        <sz val="11"/>
        <color theme="1"/>
        <rFont val="Calibri"/>
        <family val="2"/>
        <scheme val="minor"/>
      </rPr>
      <t xml:space="preserve"> - Marshall Islands
</t>
    </r>
    <r>
      <rPr>
        <b/>
        <sz val="11"/>
        <color theme="1"/>
        <rFont val="Calibri"/>
        <family val="2"/>
        <scheme val="minor"/>
      </rPr>
      <t>69</t>
    </r>
    <r>
      <rPr>
        <sz val="11"/>
        <color theme="1"/>
        <rFont val="Calibri"/>
        <family val="2"/>
        <scheme val="minor"/>
      </rPr>
      <t xml:space="preserve"> - Northern Mariana Islands
</t>
    </r>
    <r>
      <rPr>
        <b/>
        <sz val="11"/>
        <color theme="1"/>
        <rFont val="Calibri"/>
        <family val="2"/>
        <scheme val="minor"/>
      </rPr>
      <t>70</t>
    </r>
    <r>
      <rPr>
        <sz val="11"/>
        <color theme="1"/>
        <rFont val="Calibri"/>
        <family val="2"/>
        <scheme val="minor"/>
      </rPr>
      <t xml:space="preserve"> - Palau 
</t>
    </r>
    <r>
      <rPr>
        <b/>
        <sz val="11"/>
        <color theme="1"/>
        <rFont val="Calibri"/>
        <family val="2"/>
        <scheme val="minor"/>
      </rPr>
      <t>72</t>
    </r>
    <r>
      <rPr>
        <sz val="11"/>
        <color theme="1"/>
        <rFont val="Calibri"/>
        <family val="2"/>
        <scheme val="minor"/>
      </rPr>
      <t xml:space="preserve"> - Puerto Rico
</t>
    </r>
    <r>
      <rPr>
        <b/>
        <sz val="11"/>
        <color theme="1"/>
        <rFont val="Calibri"/>
        <family val="2"/>
        <scheme val="minor"/>
      </rPr>
      <t>78</t>
    </r>
    <r>
      <rPr>
        <sz val="11"/>
        <color theme="1"/>
        <rFont val="Calibri"/>
        <family val="2"/>
        <scheme val="minor"/>
      </rPr>
      <t xml:space="preserve"> - Virgin Islands of the U.S.
</t>
    </r>
  </si>
  <si>
    <r>
      <t>HighQuartile</t>
    </r>
    <r>
      <rPr>
        <sz val="11"/>
        <color theme="1"/>
        <rFont val="Calibri"/>
        <family val="2"/>
        <scheme val="minor"/>
      </rPr>
      <t xml:space="preserve"> - High poverty quartile school
</t>
    </r>
    <r>
      <rPr>
        <b/>
        <sz val="11"/>
        <color theme="1"/>
        <rFont val="Calibri"/>
        <family val="2"/>
        <scheme val="minor"/>
      </rPr>
      <t>LowQuartile</t>
    </r>
    <r>
      <rPr>
        <sz val="11"/>
        <color theme="1"/>
        <rFont val="Calibri"/>
        <family val="2"/>
        <scheme val="minor"/>
      </rPr>
      <t xml:space="preserve"> - Low poverty quartile school
</t>
    </r>
    <r>
      <rPr>
        <b/>
        <sz val="11"/>
        <color theme="1"/>
        <rFont val="Calibri"/>
        <family val="2"/>
        <scheme val="minor"/>
      </rPr>
      <t>Neither</t>
    </r>
    <r>
      <rPr>
        <sz val="11"/>
        <color theme="1"/>
        <rFont val="Calibri"/>
        <family val="2"/>
        <scheme val="minor"/>
      </rPr>
      <t xml:space="preserve"> - Neither high nor low poverty quartile school
</t>
    </r>
  </si>
  <si>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</si>
  <si>
    <r>
      <t>Undergraduate</t>
    </r>
    <r>
      <rPr>
        <sz val="11"/>
        <color theme="1"/>
        <rFont val="Calibri"/>
        <family val="2"/>
        <scheme val="minor"/>
      </rPr>
      <t xml:space="preserve"> - Undergraduate
</t>
    </r>
    <r>
      <rPr>
        <b/>
        <sz val="11"/>
        <color theme="1"/>
        <rFont val="Calibri"/>
        <family val="2"/>
        <scheme val="minor"/>
      </rPr>
      <t>Graduate</t>
    </r>
    <r>
      <rPr>
        <sz val="11"/>
        <color theme="1"/>
        <rFont val="Calibri"/>
        <family val="2"/>
        <scheme val="minor"/>
      </rPr>
      <t xml:space="preserve"> - Graduate
</t>
    </r>
  </si>
  <si>
    <r>
      <t>00290</t>
    </r>
    <r>
      <rPr>
        <sz val="11"/>
        <color theme="1"/>
        <rFont val="Calibri"/>
        <family val="2"/>
        <scheme val="minor"/>
      </rPr>
      <t xml:space="preserve"> - Adaptive physical education
</t>
    </r>
    <r>
      <rPr>
        <b/>
        <sz val="11"/>
        <color theme="1"/>
        <rFont val="Calibri"/>
        <family val="2"/>
        <scheme val="minor"/>
      </rPr>
      <t>00291</t>
    </r>
    <r>
      <rPr>
        <sz val="11"/>
        <color theme="1"/>
        <rFont val="Calibri"/>
        <family val="2"/>
        <scheme val="minor"/>
      </rPr>
      <t xml:space="preserve"> - Art therapy
</t>
    </r>
    <r>
      <rPr>
        <b/>
        <sz val="11"/>
        <color theme="1"/>
        <rFont val="Calibri"/>
        <family val="2"/>
        <scheme val="minor"/>
      </rPr>
      <t>00292</t>
    </r>
    <r>
      <rPr>
        <sz val="11"/>
        <color theme="1"/>
        <rFont val="Calibri"/>
        <family val="2"/>
        <scheme val="minor"/>
      </rPr>
      <t xml:space="preserve"> - Assistive technology services
</t>
    </r>
    <r>
      <rPr>
        <b/>
        <sz val="11"/>
        <color theme="1"/>
        <rFont val="Calibri"/>
        <family val="2"/>
        <scheme val="minor"/>
      </rPr>
      <t>00293</t>
    </r>
    <r>
      <rPr>
        <sz val="11"/>
        <color theme="1"/>
        <rFont val="Calibri"/>
        <family val="2"/>
        <scheme val="minor"/>
      </rPr>
      <t xml:space="preserve"> - Audiological services
</t>
    </r>
    <r>
      <rPr>
        <b/>
        <sz val="11"/>
        <color theme="1"/>
        <rFont val="Calibri"/>
        <family val="2"/>
        <scheme val="minor"/>
      </rPr>
      <t>73050</t>
    </r>
    <r>
      <rPr>
        <sz val="11"/>
        <color theme="1"/>
        <rFont val="Calibri"/>
        <family val="2"/>
        <scheme val="minor"/>
      </rPr>
      <t xml:space="preserve"> - Augmentative Communication Service
</t>
    </r>
    <r>
      <rPr>
        <b/>
        <sz val="11"/>
        <color theme="1"/>
        <rFont val="Calibri"/>
        <family val="2"/>
        <scheme val="minor"/>
      </rPr>
      <t>73051</t>
    </r>
    <r>
      <rPr>
        <sz val="11"/>
        <color theme="1"/>
        <rFont val="Calibri"/>
        <family val="2"/>
        <scheme val="minor"/>
      </rPr>
      <t xml:space="preserve"> - Autism Spectrum Disorder Service
</t>
    </r>
    <r>
      <rPr>
        <b/>
        <sz val="11"/>
        <color theme="1"/>
        <rFont val="Calibri"/>
        <family val="2"/>
        <scheme val="minor"/>
      </rPr>
      <t>73052</t>
    </r>
    <r>
      <rPr>
        <sz val="11"/>
        <color theme="1"/>
        <rFont val="Calibri"/>
        <family val="2"/>
        <scheme val="minor"/>
      </rPr>
      <t xml:space="preserve"> - Behavior and Behavioral Consultation Service
</t>
    </r>
    <r>
      <rPr>
        <b/>
        <sz val="11"/>
        <color theme="1"/>
        <rFont val="Calibri"/>
        <family val="2"/>
        <scheme val="minor"/>
      </rPr>
      <t>73053</t>
    </r>
    <r>
      <rPr>
        <sz val="11"/>
        <color theme="1"/>
        <rFont val="Calibri"/>
        <family val="2"/>
        <scheme val="minor"/>
      </rPr>
      <t xml:space="preserve"> - Braille Service
</t>
    </r>
    <r>
      <rPr>
        <b/>
        <sz val="11"/>
        <color theme="1"/>
        <rFont val="Calibri"/>
        <family val="2"/>
        <scheme val="minor"/>
      </rPr>
      <t>00878</t>
    </r>
    <r>
      <rPr>
        <sz val="11"/>
        <color theme="1"/>
        <rFont val="Calibri"/>
        <family val="2"/>
        <scheme val="minor"/>
      </rPr>
      <t xml:space="preserve"> - Case management services
</t>
    </r>
    <r>
      <rPr>
        <b/>
        <sz val="11"/>
        <color theme="1"/>
        <rFont val="Calibri"/>
        <family val="2"/>
        <scheme val="minor"/>
      </rPr>
      <t>00295</t>
    </r>
    <r>
      <rPr>
        <sz val="11"/>
        <color theme="1"/>
        <rFont val="Calibri"/>
        <family val="2"/>
        <scheme val="minor"/>
      </rPr>
      <t xml:space="preserve"> - Children's protective services
</t>
    </r>
    <r>
      <rPr>
        <b/>
        <sz val="11"/>
        <color theme="1"/>
        <rFont val="Calibri"/>
        <family val="2"/>
        <scheme val="minor"/>
      </rPr>
      <t>00881</t>
    </r>
    <r>
      <rPr>
        <sz val="11"/>
        <color theme="1"/>
        <rFont val="Calibri"/>
        <family val="2"/>
        <scheme val="minor"/>
      </rPr>
      <t xml:space="preserve"> - Communication services
</t>
    </r>
    <r>
      <rPr>
        <b/>
        <sz val="11"/>
        <color theme="1"/>
        <rFont val="Calibri"/>
        <family val="2"/>
        <scheme val="minor"/>
      </rPr>
      <t>00882</t>
    </r>
    <r>
      <rPr>
        <sz val="11"/>
        <color theme="1"/>
        <rFont val="Calibri"/>
        <family val="2"/>
        <scheme val="minor"/>
      </rPr>
      <t xml:space="preserve"> - Community recreational services
</t>
    </r>
    <r>
      <rPr>
        <b/>
        <sz val="11"/>
        <color theme="1"/>
        <rFont val="Calibri"/>
        <family val="2"/>
        <scheme val="minor"/>
      </rPr>
      <t>73048</t>
    </r>
    <r>
      <rPr>
        <sz val="11"/>
        <color theme="1"/>
        <rFont val="Calibri"/>
        <family val="2"/>
        <scheme val="minor"/>
      </rPr>
      <t xml:space="preserve"> - Curriculum planning
</t>
    </r>
    <r>
      <rPr>
        <b/>
        <sz val="11"/>
        <color theme="1"/>
        <rFont val="Calibri"/>
        <family val="2"/>
        <scheme val="minor"/>
      </rPr>
      <t>00334</t>
    </r>
    <r>
      <rPr>
        <sz val="11"/>
        <color theme="1"/>
        <rFont val="Calibri"/>
        <family val="2"/>
        <scheme val="minor"/>
      </rPr>
      <t xml:space="preserve"> - Developmental childcare program
</t>
    </r>
    <r>
      <rPr>
        <b/>
        <sz val="11"/>
        <color theme="1"/>
        <rFont val="Calibri"/>
        <family val="2"/>
        <scheme val="minor"/>
      </rPr>
      <t>73047</t>
    </r>
    <r>
      <rPr>
        <sz val="11"/>
        <color theme="1"/>
        <rFont val="Calibri"/>
        <family val="2"/>
        <scheme val="minor"/>
      </rPr>
      <t xml:space="preserve"> - Early Intervention / Early Childhood Special Education Special Service
</t>
    </r>
    <r>
      <rPr>
        <b/>
        <sz val="11"/>
        <color theme="1"/>
        <rFont val="Calibri"/>
        <family val="2"/>
        <scheme val="minor"/>
      </rPr>
      <t>00297</t>
    </r>
    <r>
      <rPr>
        <sz val="11"/>
        <color theme="1"/>
        <rFont val="Calibri"/>
        <family val="2"/>
        <scheme val="minor"/>
      </rPr>
      <t xml:space="preserve"> - Early intervention services
</t>
    </r>
    <r>
      <rPr>
        <b/>
        <sz val="11"/>
        <color theme="1"/>
        <rFont val="Calibri"/>
        <family val="2"/>
        <scheme val="minor"/>
      </rPr>
      <t>00298</t>
    </r>
    <r>
      <rPr>
        <sz val="11"/>
        <color theme="1"/>
        <rFont val="Calibri"/>
        <family val="2"/>
        <scheme val="minor"/>
      </rPr>
      <t xml:space="preserve"> - Educational therapy
</t>
    </r>
    <r>
      <rPr>
        <b/>
        <sz val="11"/>
        <color theme="1"/>
        <rFont val="Calibri"/>
        <family val="2"/>
        <scheme val="minor"/>
      </rPr>
      <t>73054</t>
    </r>
    <r>
      <rPr>
        <sz val="11"/>
        <color theme="1"/>
        <rFont val="Calibri"/>
        <family val="2"/>
        <scheme val="minor"/>
      </rPr>
      <t xml:space="preserve"> - ESL/Migrant Service
</t>
    </r>
    <r>
      <rPr>
        <b/>
        <sz val="11"/>
        <color theme="1"/>
        <rFont val="Calibri"/>
        <family val="2"/>
        <scheme val="minor"/>
      </rPr>
      <t>00299</t>
    </r>
    <r>
      <rPr>
        <sz val="11"/>
        <color theme="1"/>
        <rFont val="Calibri"/>
        <family val="2"/>
        <scheme val="minor"/>
      </rPr>
      <t xml:space="preserve"> - Family counseling
</t>
    </r>
    <r>
      <rPr>
        <b/>
        <sz val="11"/>
        <color theme="1"/>
        <rFont val="Calibri"/>
        <family val="2"/>
        <scheme val="minor"/>
      </rPr>
      <t>00333</t>
    </r>
    <r>
      <rPr>
        <sz val="11"/>
        <color theme="1"/>
        <rFont val="Calibri"/>
        <family val="2"/>
        <scheme val="minor"/>
      </rPr>
      <t xml:space="preserve"> - Family training, counseling, and home visits
</t>
    </r>
    <r>
      <rPr>
        <b/>
        <sz val="11"/>
        <color theme="1"/>
        <rFont val="Calibri"/>
        <family val="2"/>
        <scheme val="minor"/>
      </rPr>
      <t>00303</t>
    </r>
    <r>
      <rPr>
        <sz val="11"/>
        <color theme="1"/>
        <rFont val="Calibri"/>
        <family val="2"/>
        <scheme val="minor"/>
      </rPr>
      <t xml:space="preserve"> - Health care
</t>
    </r>
    <r>
      <rPr>
        <b/>
        <sz val="11"/>
        <color theme="1"/>
        <rFont val="Calibri"/>
        <family val="2"/>
        <scheme val="minor"/>
      </rPr>
      <t>00883</t>
    </r>
    <r>
      <rPr>
        <sz val="11"/>
        <color theme="1"/>
        <rFont val="Calibri"/>
        <family val="2"/>
        <scheme val="minor"/>
      </rPr>
      <t xml:space="preserve"> - Independent living
</t>
    </r>
    <r>
      <rPr>
        <b/>
        <sz val="11"/>
        <color theme="1"/>
        <rFont val="Calibri"/>
        <family val="2"/>
        <scheme val="minor"/>
      </rPr>
      <t>73049</t>
    </r>
    <r>
      <rPr>
        <sz val="11"/>
        <color theme="1"/>
        <rFont val="Calibri"/>
        <family val="2"/>
        <scheme val="minor"/>
      </rPr>
      <t xml:space="preserve"> - Instructional Aide/Assistant/Intervener Service
</t>
    </r>
    <r>
      <rPr>
        <b/>
        <sz val="11"/>
        <color theme="1"/>
        <rFont val="Calibri"/>
        <family val="2"/>
        <scheme val="minor"/>
      </rPr>
      <t>00304</t>
    </r>
    <r>
      <rPr>
        <sz val="11"/>
        <color theme="1"/>
        <rFont val="Calibri"/>
        <family val="2"/>
        <scheme val="minor"/>
      </rPr>
      <t xml:space="preserve"> - Interpretation for the hearing impaired
</t>
    </r>
    <r>
      <rPr>
        <b/>
        <sz val="11"/>
        <color theme="1"/>
        <rFont val="Calibri"/>
        <family val="2"/>
        <scheme val="minor"/>
      </rPr>
      <t>00332</t>
    </r>
    <r>
      <rPr>
        <sz val="11"/>
        <color theme="1"/>
        <rFont val="Calibri"/>
        <family val="2"/>
        <scheme val="minor"/>
      </rPr>
      <t xml:space="preserve"> - Medical services only for diagnostic or evaluation purposes
</t>
    </r>
    <r>
      <rPr>
        <b/>
        <sz val="11"/>
        <color theme="1"/>
        <rFont val="Calibri"/>
        <family val="2"/>
        <scheme val="minor"/>
      </rPr>
      <t>00305</t>
    </r>
    <r>
      <rPr>
        <sz val="11"/>
        <color theme="1"/>
        <rFont val="Calibri"/>
        <family val="2"/>
        <scheme val="minor"/>
      </rPr>
      <t xml:space="preserve"> - Mental health counseling
</t>
    </r>
    <r>
      <rPr>
        <b/>
        <sz val="11"/>
        <color theme="1"/>
        <rFont val="Calibri"/>
        <family val="2"/>
        <scheme val="minor"/>
      </rPr>
      <t>00884</t>
    </r>
    <r>
      <rPr>
        <sz val="11"/>
        <color theme="1"/>
        <rFont val="Calibri"/>
        <family val="2"/>
        <scheme val="minor"/>
      </rPr>
      <t xml:space="preserve"> - Mental health services
</t>
    </r>
    <r>
      <rPr>
        <b/>
        <sz val="11"/>
        <color theme="1"/>
        <rFont val="Calibri"/>
        <family val="2"/>
        <scheme val="minor"/>
      </rPr>
      <t>00306</t>
    </r>
    <r>
      <rPr>
        <sz val="11"/>
        <color theme="1"/>
        <rFont val="Calibri"/>
        <family val="2"/>
        <scheme val="minor"/>
      </rPr>
      <t xml:space="preserve"> - Music therapy
</t>
    </r>
    <r>
      <rPr>
        <b/>
        <sz val="11"/>
        <color theme="1"/>
        <rFont val="Calibri"/>
        <family val="2"/>
        <scheme val="minor"/>
      </rPr>
      <t>00300</t>
    </r>
    <r>
      <rPr>
        <sz val="11"/>
        <color theme="1"/>
        <rFont val="Calibri"/>
        <family val="2"/>
        <scheme val="minor"/>
      </rPr>
      <t xml:space="preserve"> - National School Nutrition programs
</t>
    </r>
    <r>
      <rPr>
        <b/>
        <sz val="11"/>
        <color theme="1"/>
        <rFont val="Calibri"/>
        <family val="2"/>
        <scheme val="minor"/>
      </rPr>
      <t>00308</t>
    </r>
    <r>
      <rPr>
        <sz val="11"/>
        <color theme="1"/>
        <rFont val="Calibri"/>
        <family val="2"/>
        <scheme val="minor"/>
      </rPr>
      <t xml:space="preserve"> - Note-taking assistance
</t>
    </r>
    <r>
      <rPr>
        <b/>
        <sz val="11"/>
        <color theme="1"/>
        <rFont val="Calibri"/>
        <family val="2"/>
        <scheme val="minor"/>
      </rPr>
      <t>00335</t>
    </r>
    <r>
      <rPr>
        <sz val="11"/>
        <color theme="1"/>
        <rFont val="Calibri"/>
        <family val="2"/>
        <scheme val="minor"/>
      </rPr>
      <t xml:space="preserve"> - Nursing service
</t>
    </r>
    <r>
      <rPr>
        <b/>
        <sz val="11"/>
        <color theme="1"/>
        <rFont val="Calibri"/>
        <family val="2"/>
        <scheme val="minor"/>
      </rPr>
      <t>00336</t>
    </r>
    <r>
      <rPr>
        <sz val="11"/>
        <color theme="1"/>
        <rFont val="Calibri"/>
        <family val="2"/>
        <scheme val="minor"/>
      </rPr>
      <t xml:space="preserve"> - Nutrition services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00310</t>
    </r>
    <r>
      <rPr>
        <sz val="11"/>
        <color theme="1"/>
        <rFont val="Calibri"/>
        <family val="2"/>
        <scheme val="minor"/>
      </rPr>
      <t xml:space="preserve"> - Orientation and mobility services
</t>
    </r>
    <r>
      <rPr>
        <b/>
        <sz val="11"/>
        <color theme="1"/>
        <rFont val="Calibri"/>
        <family val="2"/>
        <scheme val="minor"/>
      </rPr>
      <t>00311</t>
    </r>
    <r>
      <rPr>
        <sz val="11"/>
        <color theme="1"/>
        <rFont val="Calibri"/>
        <family val="2"/>
        <scheme val="minor"/>
      </rPr>
      <t xml:space="preserve"> - Parenting skills assistance
</t>
    </r>
    <r>
      <rPr>
        <b/>
        <sz val="11"/>
        <color theme="1"/>
        <rFont val="Calibri"/>
        <family val="2"/>
        <scheme val="minor"/>
      </rPr>
      <t>00312</t>
    </r>
    <r>
      <rPr>
        <sz val="11"/>
        <color theme="1"/>
        <rFont val="Calibri"/>
        <family val="2"/>
        <scheme val="minor"/>
      </rPr>
      <t xml:space="preserve"> - Peer services
</t>
    </r>
    <r>
      <rPr>
        <b/>
        <sz val="11"/>
        <color theme="1"/>
        <rFont val="Calibri"/>
        <family val="2"/>
        <scheme val="minor"/>
      </rPr>
      <t>00313</t>
    </r>
    <r>
      <rPr>
        <sz val="11"/>
        <color theme="1"/>
        <rFont val="Calibri"/>
        <family val="2"/>
        <scheme val="minor"/>
      </rPr>
      <t xml:space="preserve"> - Physical therapy
</t>
    </r>
    <r>
      <rPr>
        <b/>
        <sz val="11"/>
        <color theme="1"/>
        <rFont val="Calibri"/>
        <family val="2"/>
        <scheme val="minor"/>
      </rPr>
      <t>00331</t>
    </r>
    <r>
      <rPr>
        <sz val="11"/>
        <color theme="1"/>
        <rFont val="Calibri"/>
        <family val="2"/>
        <scheme val="minor"/>
      </rPr>
      <t xml:space="preserve"> - Psychological services
</t>
    </r>
    <r>
      <rPr>
        <b/>
        <sz val="11"/>
        <color theme="1"/>
        <rFont val="Calibri"/>
        <family val="2"/>
        <scheme val="minor"/>
      </rPr>
      <t>00314</t>
    </r>
    <r>
      <rPr>
        <sz val="11"/>
        <color theme="1"/>
        <rFont val="Calibri"/>
        <family val="2"/>
        <scheme val="minor"/>
      </rPr>
      <t xml:space="preserve"> - Reader service
</t>
    </r>
    <r>
      <rPr>
        <b/>
        <sz val="11"/>
        <color theme="1"/>
        <rFont val="Calibri"/>
        <family val="2"/>
        <scheme val="minor"/>
      </rPr>
      <t>00315</t>
    </r>
    <r>
      <rPr>
        <sz val="11"/>
        <color theme="1"/>
        <rFont val="Calibri"/>
        <family val="2"/>
        <scheme val="minor"/>
      </rPr>
      <t xml:space="preserve"> - Recreation service
</t>
    </r>
    <r>
      <rPr>
        <b/>
        <sz val="11"/>
        <color theme="1"/>
        <rFont val="Calibri"/>
        <family val="2"/>
        <scheme val="minor"/>
      </rPr>
      <t>00318</t>
    </r>
    <r>
      <rPr>
        <sz val="11"/>
        <color theme="1"/>
        <rFont val="Calibri"/>
        <family val="2"/>
        <scheme val="minor"/>
      </rPr>
      <t xml:space="preserve"> - Rehabilitation counseling services
</t>
    </r>
    <r>
      <rPr>
        <b/>
        <sz val="11"/>
        <color theme="1"/>
        <rFont val="Calibri"/>
        <family val="2"/>
        <scheme val="minor"/>
      </rPr>
      <t>00885</t>
    </r>
    <r>
      <rPr>
        <sz val="11"/>
        <color theme="1"/>
        <rFont val="Calibri"/>
        <family val="2"/>
        <scheme val="minor"/>
      </rPr>
      <t xml:space="preserve"> - Residential services
</t>
    </r>
    <r>
      <rPr>
        <b/>
        <sz val="11"/>
        <color theme="1"/>
        <rFont val="Calibri"/>
        <family val="2"/>
        <scheme val="minor"/>
      </rPr>
      <t>73046</t>
    </r>
    <r>
      <rPr>
        <sz val="11"/>
        <color theme="1"/>
        <rFont val="Calibri"/>
        <family val="2"/>
        <scheme val="minor"/>
      </rPr>
      <t xml:space="preserve"> - Respite Care
</t>
    </r>
    <r>
      <rPr>
        <b/>
        <sz val="11"/>
        <color theme="1"/>
        <rFont val="Calibri"/>
        <family val="2"/>
        <scheme val="minor"/>
      </rPr>
      <t>00319</t>
    </r>
    <r>
      <rPr>
        <sz val="11"/>
        <color theme="1"/>
        <rFont val="Calibri"/>
        <family val="2"/>
        <scheme val="minor"/>
      </rPr>
      <t xml:space="preserve"> - School clothing
</t>
    </r>
    <r>
      <rPr>
        <b/>
        <sz val="11"/>
        <color theme="1"/>
        <rFont val="Calibri"/>
        <family val="2"/>
        <scheme val="minor"/>
      </rPr>
      <t>00302</t>
    </r>
    <r>
      <rPr>
        <sz val="11"/>
        <color theme="1"/>
        <rFont val="Calibri"/>
        <family val="2"/>
        <scheme val="minor"/>
      </rPr>
      <t xml:space="preserve"> - School counseling
</t>
    </r>
    <r>
      <rPr>
        <b/>
        <sz val="11"/>
        <color theme="1"/>
        <rFont val="Calibri"/>
        <family val="2"/>
        <scheme val="minor"/>
      </rPr>
      <t>00320</t>
    </r>
    <r>
      <rPr>
        <sz val="11"/>
        <color theme="1"/>
        <rFont val="Calibri"/>
        <family val="2"/>
        <scheme val="minor"/>
      </rPr>
      <t xml:space="preserve"> - School health nursing services
</t>
    </r>
    <r>
      <rPr>
        <b/>
        <sz val="11"/>
        <color theme="1"/>
        <rFont val="Calibri"/>
        <family val="2"/>
        <scheme val="minor"/>
      </rPr>
      <t>00294</t>
    </r>
    <r>
      <rPr>
        <sz val="11"/>
        <color theme="1"/>
        <rFont val="Calibri"/>
        <family val="2"/>
        <scheme val="minor"/>
      </rPr>
      <t xml:space="preserve"> - Service coordination (case management services)
</t>
    </r>
    <r>
      <rPr>
        <b/>
        <sz val="11"/>
        <color theme="1"/>
        <rFont val="Calibri"/>
        <family val="2"/>
        <scheme val="minor"/>
      </rPr>
      <t>00337</t>
    </r>
    <r>
      <rPr>
        <sz val="11"/>
        <color theme="1"/>
        <rFont val="Calibri"/>
        <family val="2"/>
        <scheme val="minor"/>
      </rPr>
      <t xml:space="preserve"> - Social work services
</t>
    </r>
    <r>
      <rPr>
        <b/>
        <sz val="11"/>
        <color theme="1"/>
        <rFont val="Calibri"/>
        <family val="2"/>
        <scheme val="minor"/>
      </rPr>
      <t>00321</t>
    </r>
    <r>
      <rPr>
        <sz val="11"/>
        <color theme="1"/>
        <rFont val="Calibri"/>
        <family val="2"/>
        <scheme val="minor"/>
      </rPr>
      <t xml:space="preserve"> - Special transportation
</t>
    </r>
    <r>
      <rPr>
        <b/>
        <sz val="11"/>
        <color theme="1"/>
        <rFont val="Calibri"/>
        <family val="2"/>
        <scheme val="minor"/>
      </rPr>
      <t>00322</t>
    </r>
    <r>
      <rPr>
        <sz val="11"/>
        <color theme="1"/>
        <rFont val="Calibri"/>
        <family val="2"/>
        <scheme val="minor"/>
      </rPr>
      <t xml:space="preserve"> - Speech-language therapy
</t>
    </r>
    <r>
      <rPr>
        <b/>
        <sz val="11"/>
        <color theme="1"/>
        <rFont val="Calibri"/>
        <family val="2"/>
        <scheme val="minor"/>
      </rPr>
      <t>00323</t>
    </r>
    <r>
      <rPr>
        <sz val="11"/>
        <color theme="1"/>
        <rFont val="Calibri"/>
        <family val="2"/>
        <scheme val="minor"/>
      </rPr>
      <t xml:space="preserve"> - Study skills assistance
</t>
    </r>
    <r>
      <rPr>
        <b/>
        <sz val="11"/>
        <color theme="1"/>
        <rFont val="Calibri"/>
        <family val="2"/>
        <scheme val="minor"/>
      </rPr>
      <t>00324</t>
    </r>
    <r>
      <rPr>
        <sz val="11"/>
        <color theme="1"/>
        <rFont val="Calibri"/>
        <family val="2"/>
        <scheme val="minor"/>
      </rPr>
      <t xml:space="preserve"> - Substance abuse education/prevention
</t>
    </r>
    <r>
      <rPr>
        <b/>
        <sz val="11"/>
        <color theme="1"/>
        <rFont val="Calibri"/>
        <family val="2"/>
        <scheme val="minor"/>
      </rPr>
      <t>00886</t>
    </r>
    <r>
      <rPr>
        <sz val="11"/>
        <color theme="1"/>
        <rFont val="Calibri"/>
        <family val="2"/>
        <scheme val="minor"/>
      </rPr>
      <t xml:space="preserve"> - Supported employment services
</t>
    </r>
    <r>
      <rPr>
        <b/>
        <sz val="11"/>
        <color theme="1"/>
        <rFont val="Calibri"/>
        <family val="2"/>
        <scheme val="minor"/>
      </rPr>
      <t>00887</t>
    </r>
    <r>
      <rPr>
        <sz val="11"/>
        <color theme="1"/>
        <rFont val="Calibri"/>
        <family val="2"/>
        <scheme val="minor"/>
      </rPr>
      <t xml:space="preserve"> - Technological aids
</t>
    </r>
    <r>
      <rPr>
        <b/>
        <sz val="11"/>
        <color theme="1"/>
        <rFont val="Calibri"/>
        <family val="2"/>
        <scheme val="minor"/>
      </rPr>
      <t>00325</t>
    </r>
    <r>
      <rPr>
        <sz val="11"/>
        <color theme="1"/>
        <rFont val="Calibri"/>
        <family val="2"/>
        <scheme val="minor"/>
      </rPr>
      <t xml:space="preserve"> - Teen/adolescent family planning
</t>
    </r>
    <r>
      <rPr>
        <b/>
        <sz val="11"/>
        <color theme="1"/>
        <rFont val="Calibri"/>
        <family val="2"/>
        <scheme val="minor"/>
      </rPr>
      <t>00326</t>
    </r>
    <r>
      <rPr>
        <sz val="11"/>
        <color theme="1"/>
        <rFont val="Calibri"/>
        <family val="2"/>
        <scheme val="minor"/>
      </rPr>
      <t xml:space="preserve"> - Test assistance
</t>
    </r>
    <r>
      <rPr>
        <b/>
        <sz val="11"/>
        <color theme="1"/>
        <rFont val="Calibri"/>
        <family val="2"/>
        <scheme val="minor"/>
      </rPr>
      <t>00327</t>
    </r>
    <r>
      <rPr>
        <sz val="11"/>
        <color theme="1"/>
        <rFont val="Calibri"/>
        <family val="2"/>
        <scheme val="minor"/>
      </rPr>
      <t xml:space="preserve"> - Translation/interpreter services
</t>
    </r>
    <r>
      <rPr>
        <b/>
        <sz val="11"/>
        <color theme="1"/>
        <rFont val="Calibri"/>
        <family val="2"/>
        <scheme val="minor"/>
      </rPr>
      <t>00888</t>
    </r>
    <r>
      <rPr>
        <sz val="11"/>
        <color theme="1"/>
        <rFont val="Calibri"/>
        <family val="2"/>
        <scheme val="minor"/>
      </rPr>
      <t xml:space="preserve"> - Transportation services
</t>
    </r>
    <r>
      <rPr>
        <b/>
        <sz val="11"/>
        <color theme="1"/>
        <rFont val="Calibri"/>
        <family val="2"/>
        <scheme val="minor"/>
      </rPr>
      <t>00329</t>
    </r>
    <r>
      <rPr>
        <sz val="11"/>
        <color theme="1"/>
        <rFont val="Calibri"/>
        <family val="2"/>
        <scheme val="minor"/>
      </rPr>
      <t xml:space="preserve"> - Tutoring services
</t>
    </r>
    <r>
      <rPr>
        <b/>
        <sz val="11"/>
        <color theme="1"/>
        <rFont val="Calibri"/>
        <family val="2"/>
        <scheme val="minor"/>
      </rPr>
      <t>00330</t>
    </r>
    <r>
      <rPr>
        <sz val="11"/>
        <color theme="1"/>
        <rFont val="Calibri"/>
        <family val="2"/>
        <scheme val="minor"/>
      </rPr>
      <t xml:space="preserve"> - Vision services
</t>
    </r>
    <r>
      <rPr>
        <b/>
        <sz val="11"/>
        <color theme="1"/>
        <rFont val="Calibri"/>
        <family val="2"/>
        <scheme val="minor"/>
      </rPr>
      <t>00889</t>
    </r>
    <r>
      <rPr>
        <sz val="11"/>
        <color theme="1"/>
        <rFont val="Calibri"/>
        <family val="2"/>
        <scheme val="minor"/>
      </rPr>
      <t xml:space="preserve"> - Career and technical education rehabilitation training and job placement
</t>
    </r>
    <r>
      <rPr>
        <b/>
        <sz val="11"/>
        <color theme="1"/>
        <rFont val="Calibri"/>
        <family val="2"/>
        <scheme val="minor"/>
      </rPr>
      <t>09999</t>
    </r>
    <r>
      <rPr>
        <sz val="11"/>
        <color theme="1"/>
        <rFont val="Calibri"/>
        <family val="2"/>
        <scheme val="minor"/>
      </rPr>
      <t xml:space="preserve"> - Other
</t>
    </r>
  </si>
  <si>
    <r>
      <t>PraxisI</t>
    </r>
    <r>
      <rPr>
        <sz val="11"/>
        <color theme="1"/>
        <rFont val="Calibri"/>
        <family val="2"/>
        <scheme val="minor"/>
      </rPr>
      <t xml:space="preserve"> - Praxis I
</t>
    </r>
    <r>
      <rPr>
        <b/>
        <sz val="11"/>
        <color theme="1"/>
        <rFont val="Calibri"/>
        <family val="2"/>
        <scheme val="minor"/>
      </rPr>
      <t>PraxisII</t>
    </r>
    <r>
      <rPr>
        <sz val="11"/>
        <color theme="1"/>
        <rFont val="Calibri"/>
        <family val="2"/>
        <scheme val="minor"/>
      </rPr>
      <t xml:space="preserve"> - Praxis II
</t>
    </r>
    <r>
      <rPr>
        <b/>
        <sz val="11"/>
        <color theme="1"/>
        <rFont val="Calibri"/>
        <family val="2"/>
        <scheme val="minor"/>
      </rPr>
      <t>ACTFL</t>
    </r>
    <r>
      <rPr>
        <sz val="11"/>
        <color theme="1"/>
        <rFont val="Calibri"/>
        <family val="2"/>
        <scheme val="minor"/>
      </rPr>
      <t xml:space="preserve"> - ACTFL
</t>
    </r>
    <r>
      <rPr>
        <b/>
        <sz val="11"/>
        <color theme="1"/>
        <rFont val="Calibri"/>
        <family val="2"/>
        <scheme val="minor"/>
      </rPr>
      <t>StateExam</t>
    </r>
    <r>
      <rPr>
        <sz val="11"/>
        <color theme="1"/>
        <rFont val="Calibri"/>
        <family val="2"/>
        <scheme val="minor"/>
      </rPr>
      <t xml:space="preserve"> - State Exam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</si>
  <si>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Educational Testing Service (ETS)
</t>
    </r>
    <r>
      <rPr>
        <b/>
        <sz val="11"/>
        <color theme="1"/>
        <rFont val="Calibri"/>
        <family val="2"/>
        <scheme val="minor"/>
      </rPr>
      <t>2</t>
    </r>
    <r>
      <rPr>
        <sz val="11"/>
        <color theme="1"/>
        <rFont val="Calibri"/>
        <family val="2"/>
        <scheme val="minor"/>
      </rPr>
      <t xml:space="preserve"> - Evaluation Systems Group of Pearson
</t>
    </r>
    <r>
      <rPr>
        <b/>
        <sz val="11"/>
        <color theme="1"/>
        <rFont val="Calibri"/>
        <family val="2"/>
        <scheme val="minor"/>
      </rPr>
      <t>3</t>
    </r>
    <r>
      <rPr>
        <sz val="11"/>
        <color theme="1"/>
        <rFont val="Calibri"/>
        <family val="2"/>
        <scheme val="minor"/>
      </rPr>
      <t xml:space="preserve"> - College Board
</t>
    </r>
    <r>
      <rPr>
        <b/>
        <sz val="11"/>
        <color theme="1"/>
        <rFont val="Calibri"/>
        <family val="2"/>
        <scheme val="minor"/>
      </rPr>
      <t>4</t>
    </r>
    <r>
      <rPr>
        <sz val="11"/>
        <color theme="1"/>
        <rFont val="Calibri"/>
        <family val="2"/>
        <scheme val="minor"/>
      </rPr>
      <t xml:space="preserve"> - American Board for Certification of Teacher Excellence (ABCTE)
</t>
    </r>
    <r>
      <rPr>
        <b/>
        <sz val="11"/>
        <color theme="1"/>
        <rFont val="Calibri"/>
        <family val="2"/>
        <scheme val="minor"/>
      </rPr>
      <t>5</t>
    </r>
    <r>
      <rPr>
        <sz val="11"/>
        <color theme="1"/>
        <rFont val="Calibri"/>
        <family val="2"/>
        <scheme val="minor"/>
      </rPr>
      <t xml:space="preserve"> - American Council on the Teaching of Foreign Languages (ACTFL)
</t>
    </r>
    <r>
      <rPr>
        <b/>
        <sz val="11"/>
        <color theme="1"/>
        <rFont val="Calibri"/>
        <family val="2"/>
        <scheme val="minor"/>
      </rPr>
      <t>98</t>
    </r>
    <r>
      <rPr>
        <sz val="11"/>
        <color theme="1"/>
        <rFont val="Calibri"/>
        <family val="2"/>
        <scheme val="minor"/>
      </rPr>
      <t xml:space="preserve"> - State
</t>
    </r>
    <r>
      <rPr>
        <b/>
        <sz val="11"/>
        <color theme="1"/>
        <rFont val="Calibri"/>
        <family val="2"/>
        <scheme val="minor"/>
      </rPr>
      <t>99</t>
    </r>
    <r>
      <rPr>
        <sz val="11"/>
        <color theme="1"/>
        <rFont val="Calibri"/>
        <family val="2"/>
        <scheme val="minor"/>
      </rPr>
      <t xml:space="preserve"> - Other
</t>
    </r>
  </si>
  <si>
    <r>
      <t>No</t>
    </r>
    <r>
      <rPr>
        <sz val="11"/>
        <color theme="1"/>
        <rFont val="Calibri"/>
        <family val="2"/>
        <scheme val="minor"/>
      </rPr>
      <t xml:space="preserve"> - No
</t>
    </r>
    <r>
      <rPr>
        <b/>
        <sz val="11"/>
        <color theme="1"/>
        <rFont val="Calibri"/>
        <family val="2"/>
        <scheme val="minor"/>
      </rPr>
      <t>SeekingCandidacy</t>
    </r>
    <r>
      <rPr>
        <sz val="11"/>
        <color theme="1"/>
        <rFont val="Calibri"/>
        <family val="2"/>
        <scheme val="minor"/>
      </rPr>
      <t xml:space="preserve"> - Seeking Candidacy
</t>
    </r>
    <r>
      <rPr>
        <b/>
        <sz val="11"/>
        <color theme="1"/>
        <rFont val="Calibri"/>
        <family val="2"/>
        <scheme val="minor"/>
      </rPr>
      <t>Enrolled</t>
    </r>
    <r>
      <rPr>
        <sz val="11"/>
        <color theme="1"/>
        <rFont val="Calibri"/>
        <family val="2"/>
        <scheme val="minor"/>
      </rPr>
      <t xml:space="preserve"> - Enrolled
</t>
    </r>
  </si>
  <si>
    <r>
      <t>LeadTeacher</t>
    </r>
    <r>
      <rPr>
        <sz val="11"/>
        <color theme="1"/>
        <rFont val="Calibri"/>
        <family val="2"/>
        <scheme val="minor"/>
      </rPr>
      <t xml:space="preserve"> - Lead Teacher
</t>
    </r>
    <r>
      <rPr>
        <b/>
        <sz val="11"/>
        <color theme="1"/>
        <rFont val="Calibri"/>
        <family val="2"/>
        <scheme val="minor"/>
      </rPr>
      <t>TeamTeacher</t>
    </r>
    <r>
      <rPr>
        <sz val="11"/>
        <color theme="1"/>
        <rFont val="Calibri"/>
        <family val="2"/>
        <scheme val="minor"/>
      </rPr>
      <t xml:space="preserve"> - Team Teacher
</t>
    </r>
    <r>
      <rPr>
        <b/>
        <sz val="11"/>
        <color theme="1"/>
        <rFont val="Calibri"/>
        <family val="2"/>
        <scheme val="minor"/>
      </rPr>
      <t>ContributingProfessional</t>
    </r>
    <r>
      <rPr>
        <sz val="11"/>
        <color theme="1"/>
        <rFont val="Calibri"/>
        <family val="2"/>
        <scheme val="minor"/>
      </rPr>
      <t xml:space="preserve"> - Contributing Professional
</t>
    </r>
  </si>
  <si>
    <r>
      <t>01050</t>
    </r>
    <r>
      <rPr>
        <sz val="11"/>
        <color theme="1"/>
        <rFont val="Calibri"/>
        <family val="2"/>
        <scheme val="minor"/>
      </rPr>
      <t xml:space="preserve"> - Associate's degree (two years or more) 
</t>
    </r>
    <r>
      <rPr>
        <b/>
        <sz val="11"/>
        <color theme="1"/>
        <rFont val="Calibri"/>
        <family val="2"/>
        <scheme val="minor"/>
      </rPr>
      <t>01235</t>
    </r>
    <r>
      <rPr>
        <sz val="11"/>
        <color theme="1"/>
        <rFont val="Calibri"/>
        <family val="2"/>
        <scheme val="minor"/>
      </rPr>
      <t xml:space="preserve"> - 4-year bachelor's degree
</t>
    </r>
    <r>
      <rPr>
        <b/>
        <sz val="11"/>
        <color theme="1"/>
        <rFont val="Calibri"/>
        <family val="2"/>
        <scheme val="minor"/>
      </rPr>
      <t>01236</t>
    </r>
    <r>
      <rPr>
        <sz val="11"/>
        <color theme="1"/>
        <rFont val="Calibri"/>
        <family val="2"/>
        <scheme val="minor"/>
      </rPr>
      <t xml:space="preserve"> - 5-year bachelor's degree
</t>
    </r>
    <r>
      <rPr>
        <b/>
        <sz val="11"/>
        <color theme="1"/>
        <rFont val="Calibri"/>
        <family val="2"/>
        <scheme val="minor"/>
      </rPr>
      <t>73205</t>
    </r>
    <r>
      <rPr>
        <sz val="11"/>
        <color theme="1"/>
        <rFont val="Calibri"/>
        <family val="2"/>
        <scheme val="minor"/>
      </rPr>
      <t xml:space="preserve"> - Post-baccalaureate certificate
</t>
    </r>
    <r>
      <rPr>
        <b/>
        <sz val="11"/>
        <color theme="1"/>
        <rFont val="Calibri"/>
        <family val="2"/>
        <scheme val="minor"/>
      </rPr>
      <t>01237</t>
    </r>
    <r>
      <rPr>
        <sz val="11"/>
        <color theme="1"/>
        <rFont val="Calibri"/>
        <family val="2"/>
        <scheme val="minor"/>
      </rPr>
      <t xml:space="preserve"> - Master's degree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01238</t>
    </r>
    <r>
      <rPr>
        <sz val="11"/>
        <color theme="1"/>
        <rFont val="Calibri"/>
        <family val="2"/>
        <scheme val="minor"/>
      </rPr>
      <t xml:space="preserve"> - Doctoral degree
</t>
    </r>
    <r>
      <rPr>
        <b/>
        <sz val="11"/>
        <color theme="1"/>
        <rFont val="Calibri"/>
        <family val="2"/>
        <scheme val="minor"/>
      </rPr>
      <t>73206</t>
    </r>
    <r>
      <rPr>
        <sz val="11"/>
        <color theme="1"/>
        <rFont val="Calibri"/>
        <family val="2"/>
        <scheme val="minor"/>
      </rPr>
      <t xml:space="preserve"> - Post-doctoral certificate
</t>
    </r>
    <r>
      <rPr>
        <b/>
        <sz val="11"/>
        <color theme="1"/>
        <rFont val="Calibri"/>
        <family val="2"/>
        <scheme val="minor"/>
      </rPr>
      <t>01239</t>
    </r>
    <r>
      <rPr>
        <sz val="11"/>
        <color theme="1"/>
        <rFont val="Calibri"/>
        <family val="2"/>
        <scheme val="minor"/>
      </rPr>
      <t xml:space="preserve"> - Met state testing requirement
</t>
    </r>
    <r>
      <rPr>
        <b/>
        <sz val="11"/>
        <color theme="1"/>
        <rFont val="Calibri"/>
        <family val="2"/>
        <scheme val="minor"/>
      </rPr>
      <t>01240</t>
    </r>
    <r>
      <rPr>
        <sz val="11"/>
        <color theme="1"/>
        <rFont val="Calibri"/>
        <family val="2"/>
        <scheme val="minor"/>
      </rPr>
      <t xml:space="preserve"> - Special/alternative program completion
</t>
    </r>
    <r>
      <rPr>
        <b/>
        <sz val="11"/>
        <color theme="1"/>
        <rFont val="Calibri"/>
        <family val="2"/>
        <scheme val="minor"/>
      </rPr>
      <t>01241</t>
    </r>
    <r>
      <rPr>
        <sz val="11"/>
        <color theme="1"/>
        <rFont val="Calibri"/>
        <family val="2"/>
        <scheme val="minor"/>
      </rPr>
      <t xml:space="preserve"> - Relevant experience
</t>
    </r>
    <r>
      <rPr>
        <b/>
        <sz val="11"/>
        <color theme="1"/>
        <rFont val="Calibri"/>
        <family val="2"/>
        <scheme val="minor"/>
      </rPr>
      <t>01242</t>
    </r>
    <r>
      <rPr>
        <sz val="11"/>
        <color theme="1"/>
        <rFont val="Calibri"/>
        <family val="2"/>
        <scheme val="minor"/>
      </rPr>
      <t xml:space="preserve"> - Credentials based on reciprocation with another state
</t>
    </r>
  </si>
  <si>
    <r>
      <t>Emergency</t>
    </r>
    <r>
      <rPr>
        <sz val="11"/>
        <color theme="1"/>
        <rFont val="Calibri"/>
        <family val="2"/>
        <scheme val="minor"/>
      </rPr>
      <t xml:space="preserve"> - Emergency
</t>
    </r>
    <r>
      <rPr>
        <b/>
        <sz val="11"/>
        <color theme="1"/>
        <rFont val="Calibri"/>
        <family val="2"/>
        <scheme val="minor"/>
      </rPr>
      <t>Intern</t>
    </r>
    <r>
      <rPr>
        <sz val="11"/>
        <color theme="1"/>
        <rFont val="Calibri"/>
        <family val="2"/>
        <scheme val="minor"/>
      </rPr>
      <t xml:space="preserve"> - Intern
</t>
    </r>
    <r>
      <rPr>
        <b/>
        <sz val="11"/>
        <color theme="1"/>
        <rFont val="Calibri"/>
        <family val="2"/>
        <scheme val="minor"/>
      </rPr>
      <t>Master</t>
    </r>
    <r>
      <rPr>
        <sz val="11"/>
        <color theme="1"/>
        <rFont val="Calibri"/>
        <family val="2"/>
        <scheme val="minor"/>
      </rPr>
      <t xml:space="preserve"> - Master
</t>
    </r>
    <r>
      <rPr>
        <b/>
        <sz val="11"/>
        <color theme="1"/>
        <rFont val="Calibri"/>
        <family val="2"/>
        <scheme val="minor"/>
      </rPr>
      <t>Nonrenewable</t>
    </r>
    <r>
      <rPr>
        <sz val="11"/>
        <color theme="1"/>
        <rFont val="Calibri"/>
        <family val="2"/>
        <scheme val="minor"/>
      </rPr>
      <t xml:space="preserve"> - Nonrenewable
</t>
    </r>
    <r>
      <rPr>
        <b/>
        <sz val="11"/>
        <color theme="1"/>
        <rFont val="Calibri"/>
        <family val="2"/>
        <scheme val="minor"/>
      </rPr>
      <t>Probationary</t>
    </r>
    <r>
      <rPr>
        <sz val="11"/>
        <color theme="1"/>
        <rFont val="Calibri"/>
        <family val="2"/>
        <scheme val="minor"/>
      </rPr>
      <t xml:space="preserve"> - Probationary/initial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Provisional</t>
    </r>
    <r>
      <rPr>
        <sz val="11"/>
        <color theme="1"/>
        <rFont val="Calibri"/>
        <family val="2"/>
        <scheme val="minor"/>
      </rPr>
      <t xml:space="preserve"> - Provisional
</t>
    </r>
    <r>
      <rPr>
        <b/>
        <sz val="11"/>
        <color theme="1"/>
        <rFont val="Calibri"/>
        <family val="2"/>
        <scheme val="minor"/>
      </rPr>
      <t>Regular</t>
    </r>
    <r>
      <rPr>
        <sz val="11"/>
        <color theme="1"/>
        <rFont val="Calibri"/>
        <family val="2"/>
        <scheme val="minor"/>
      </rPr>
      <t xml:space="preserve"> - Regular/standard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Substitute</t>
    </r>
    <r>
      <rPr>
        <sz val="11"/>
        <color theme="1"/>
        <rFont val="Calibri"/>
        <family val="2"/>
        <scheme val="minor"/>
      </rPr>
      <t xml:space="preserve"> - Substitute
</t>
    </r>
    <r>
      <rPr>
        <b/>
        <sz val="11"/>
        <color theme="1"/>
        <rFont val="Calibri"/>
        <family val="2"/>
        <scheme val="minor"/>
      </rPr>
      <t>TeacherAssistant</t>
    </r>
    <r>
      <rPr>
        <sz val="11"/>
        <color theme="1"/>
        <rFont val="Calibri"/>
        <family val="2"/>
        <scheme val="minor"/>
      </rPr>
      <t xml:space="preserve"> - Teacher assistant
</t>
    </r>
    <r>
      <rPr>
        <b/>
        <sz val="11"/>
        <color theme="1"/>
        <rFont val="Calibri"/>
        <family val="2"/>
        <scheme val="minor"/>
      </rPr>
      <t>Temporary</t>
    </r>
    <r>
      <rPr>
        <sz val="11"/>
        <color theme="1"/>
        <rFont val="Calibri"/>
        <family val="2"/>
        <scheme val="minor"/>
      </rPr>
      <t xml:space="preserve"> - Temporary
</t>
    </r>
    <r>
      <rPr>
        <b/>
        <sz val="11"/>
        <color theme="1"/>
        <rFont val="Calibri"/>
        <family val="2"/>
        <scheme val="minor"/>
      </rPr>
      <t>09999</t>
    </r>
    <r>
      <rPr>
        <sz val="11"/>
        <color theme="1"/>
        <rFont val="Calibri"/>
        <family val="2"/>
        <scheme val="minor"/>
      </rPr>
      <t xml:space="preserve"> - Other
</t>
    </r>
  </si>
  <si>
    <r>
      <t>01</t>
    </r>
    <r>
      <rPr>
        <sz val="11"/>
        <color theme="1"/>
        <rFont val="Calibri"/>
        <family val="2"/>
        <scheme val="minor"/>
      </rPr>
      <t xml:space="preserve"> - Core Knowledge Area
</t>
    </r>
    <r>
      <rPr>
        <b/>
        <sz val="11"/>
        <color theme="1"/>
        <rFont val="Calibri"/>
        <family val="2"/>
        <scheme val="minor"/>
      </rPr>
      <t>02</t>
    </r>
    <r>
      <rPr>
        <sz val="11"/>
        <color theme="1"/>
        <rFont val="Calibri"/>
        <family val="2"/>
        <scheme val="minor"/>
      </rPr>
      <t xml:space="preserve"> - Health Safety Technical Assistance
</t>
    </r>
    <r>
      <rPr>
        <b/>
        <sz val="11"/>
        <color theme="1"/>
        <rFont val="Calibri"/>
        <family val="2"/>
        <scheme val="minor"/>
      </rPr>
      <t>03</t>
    </r>
    <r>
      <rPr>
        <sz val="11"/>
        <color theme="1"/>
        <rFont val="Calibri"/>
        <family val="2"/>
        <scheme val="minor"/>
      </rPr>
      <t xml:space="preserve"> - Inclusion Technical Assistance
</t>
    </r>
    <r>
      <rPr>
        <b/>
        <sz val="11"/>
        <color theme="1"/>
        <rFont val="Calibri"/>
        <family val="2"/>
        <scheme val="minor"/>
      </rPr>
      <t>04</t>
    </r>
    <r>
      <rPr>
        <sz val="11"/>
        <color theme="1"/>
        <rFont val="Calibri"/>
        <family val="2"/>
        <scheme val="minor"/>
      </rPr>
      <t xml:space="preserve"> - Infant Toddler Care Technical Assistance
</t>
    </r>
    <r>
      <rPr>
        <b/>
        <sz val="11"/>
        <color theme="1"/>
        <rFont val="Calibri"/>
        <family val="2"/>
        <scheme val="minor"/>
      </rPr>
      <t>05</t>
    </r>
    <r>
      <rPr>
        <sz val="11"/>
        <color theme="1"/>
        <rFont val="Calibri"/>
        <family val="2"/>
        <scheme val="minor"/>
      </rPr>
      <t xml:space="preserve"> - Mental Health Technical Assistance
</t>
    </r>
    <r>
      <rPr>
        <b/>
        <sz val="11"/>
        <color theme="1"/>
        <rFont val="Calibri"/>
        <family val="2"/>
        <scheme val="minor"/>
      </rPr>
      <t>06</t>
    </r>
    <r>
      <rPr>
        <sz val="11"/>
        <color theme="1"/>
        <rFont val="Calibri"/>
        <family val="2"/>
        <scheme val="minor"/>
      </rPr>
      <t xml:space="preserve"> - Program Administration and Management Practices Technical Assistance
</t>
    </r>
    <r>
      <rPr>
        <b/>
        <sz val="11"/>
        <color theme="1"/>
        <rFont val="Calibri"/>
        <family val="2"/>
        <scheme val="minor"/>
      </rPr>
      <t>07</t>
    </r>
    <r>
      <rPr>
        <sz val="11"/>
        <color theme="1"/>
        <rFont val="Calibri"/>
        <family val="2"/>
        <scheme val="minor"/>
      </rPr>
      <t xml:space="preserve"> - School Age Technical Assistance
</t>
    </r>
    <r>
      <rPr>
        <b/>
        <sz val="11"/>
        <color theme="1"/>
        <rFont val="Calibri"/>
        <family val="2"/>
        <scheme val="minor"/>
      </rPr>
      <t>08</t>
    </r>
    <r>
      <rPr>
        <sz val="11"/>
        <color theme="1"/>
        <rFont val="Calibri"/>
        <family val="2"/>
        <scheme val="minor"/>
      </rPr>
      <t xml:space="preserve"> - Understanding Developmental Screening Technical Assistance
</t>
    </r>
    <r>
      <rPr>
        <b/>
        <sz val="11"/>
        <color theme="1"/>
        <rFont val="Calibri"/>
        <family val="2"/>
        <scheme val="minor"/>
      </rPr>
      <t>09</t>
    </r>
    <r>
      <rPr>
        <sz val="11"/>
        <color theme="1"/>
        <rFont val="Calibri"/>
        <family val="2"/>
        <scheme val="minor"/>
      </rPr>
      <t xml:space="preserve"> - Dual Language Learner Technical Assistance
</t>
    </r>
    <r>
      <rPr>
        <b/>
        <sz val="11"/>
        <color theme="1"/>
        <rFont val="Calibri"/>
        <family val="2"/>
        <scheme val="minor"/>
      </rPr>
      <t>10</t>
    </r>
    <r>
      <rPr>
        <sz val="11"/>
        <color theme="1"/>
        <rFont val="Calibri"/>
        <family val="2"/>
        <scheme val="minor"/>
      </rPr>
      <t xml:space="preserve"> - Language and Literacy Development
</t>
    </r>
    <r>
      <rPr>
        <b/>
        <sz val="11"/>
        <color theme="1"/>
        <rFont val="Calibri"/>
        <family val="2"/>
        <scheme val="minor"/>
      </rPr>
      <t>11</t>
    </r>
    <r>
      <rPr>
        <sz val="11"/>
        <color theme="1"/>
        <rFont val="Calibri"/>
        <family val="2"/>
        <scheme val="minor"/>
      </rPr>
      <t xml:space="preserve"> - Cognition and General Knowledge (including early mathematics and early scientific development)
</t>
    </r>
    <r>
      <rPr>
        <b/>
        <sz val="11"/>
        <color theme="1"/>
        <rFont val="Calibri"/>
        <family val="2"/>
        <scheme val="minor"/>
      </rPr>
      <t>12</t>
    </r>
    <r>
      <rPr>
        <sz val="11"/>
        <color theme="1"/>
        <rFont val="Calibri"/>
        <family val="2"/>
        <scheme val="minor"/>
      </rPr>
      <t xml:space="preserve"> - Approaches Toward Learning
</t>
    </r>
    <r>
      <rPr>
        <b/>
        <sz val="11"/>
        <color theme="1"/>
        <rFont val="Calibri"/>
        <family val="2"/>
        <scheme val="minor"/>
      </rPr>
      <t>13</t>
    </r>
    <r>
      <rPr>
        <sz val="11"/>
        <color theme="1"/>
        <rFont val="Calibri"/>
        <family val="2"/>
        <scheme val="minor"/>
      </rPr>
      <t xml:space="preserve"> - Physical Well-being and Motor Development (including adaptive skills)
</t>
    </r>
    <r>
      <rPr>
        <b/>
        <sz val="11"/>
        <color theme="1"/>
        <rFont val="Calibri"/>
        <family val="2"/>
        <scheme val="minor"/>
      </rPr>
      <t>14</t>
    </r>
    <r>
      <rPr>
        <sz val="11"/>
        <color theme="1"/>
        <rFont val="Calibri"/>
        <family val="2"/>
        <scheme val="minor"/>
      </rPr>
      <t xml:space="preserve"> - Social and Emotional Development
</t>
    </r>
  </si>
  <si>
    <r>
      <t>TechnologyLiterate</t>
    </r>
    <r>
      <rPr>
        <sz val="11"/>
        <color theme="1"/>
        <rFont val="Calibri"/>
        <family val="2"/>
        <scheme val="minor"/>
      </rPr>
      <t xml:space="preserve"> - Technology literate
</t>
    </r>
    <r>
      <rPr>
        <b/>
        <sz val="11"/>
        <color theme="1"/>
        <rFont val="Calibri"/>
        <family val="2"/>
        <scheme val="minor"/>
      </rPr>
      <t>NotTechnologyLiterate</t>
    </r>
    <r>
      <rPr>
        <sz val="11"/>
        <color theme="1"/>
        <rFont val="Calibri"/>
        <family val="2"/>
        <scheme val="minor"/>
      </rPr>
      <t xml:space="preserve"> - Not technology literate
</t>
    </r>
  </si>
  <si>
    <r>
      <t>Home</t>
    </r>
    <r>
      <rPr>
        <sz val="11"/>
        <color theme="1"/>
        <rFont val="Calibri"/>
        <family val="2"/>
        <scheme val="minor"/>
      </rPr>
      <t xml:space="preserve"> - Home phone number
</t>
    </r>
    <r>
      <rPr>
        <b/>
        <sz val="11"/>
        <color theme="1"/>
        <rFont val="Calibri"/>
        <family val="2"/>
        <scheme val="minor"/>
      </rPr>
      <t>Work</t>
    </r>
    <r>
      <rPr>
        <sz val="11"/>
        <color theme="1"/>
        <rFont val="Calibri"/>
        <family val="2"/>
        <scheme val="minor"/>
      </rPr>
      <t xml:space="preserve"> - Work phone number
</t>
    </r>
    <r>
      <rPr>
        <b/>
        <sz val="11"/>
        <color theme="1"/>
        <rFont val="Calibri"/>
        <family val="2"/>
        <scheme val="minor"/>
      </rPr>
      <t>Mobile</t>
    </r>
    <r>
      <rPr>
        <sz val="11"/>
        <color theme="1"/>
        <rFont val="Calibri"/>
        <family val="2"/>
        <scheme val="minor"/>
      </rPr>
      <t xml:space="preserve"> - Mobile phone number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</si>
  <si>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Public Targeted Assistance Program
</t>
    </r>
    <r>
      <rPr>
        <b/>
        <sz val="11"/>
        <color theme="1"/>
        <rFont val="Calibri"/>
        <family val="2"/>
        <scheme val="minor"/>
      </rPr>
      <t>02</t>
    </r>
    <r>
      <rPr>
        <sz val="11"/>
        <color theme="1"/>
        <rFont val="Calibri"/>
        <family val="2"/>
        <scheme val="minor"/>
      </rPr>
      <t xml:space="preserve"> - Public Schoolwide Program
</t>
    </r>
    <r>
      <rPr>
        <b/>
        <sz val="11"/>
        <color theme="1"/>
        <rFont val="Calibri"/>
        <family val="2"/>
        <scheme val="minor"/>
      </rPr>
      <t>03</t>
    </r>
    <r>
      <rPr>
        <sz val="11"/>
        <color theme="1"/>
        <rFont val="Calibri"/>
        <family val="2"/>
        <scheme val="minor"/>
      </rPr>
      <t xml:space="preserve"> - Private school students participating
</t>
    </r>
    <r>
      <rPr>
        <b/>
        <sz val="11"/>
        <color theme="1"/>
        <rFont val="Calibri"/>
        <family val="2"/>
        <scheme val="minor"/>
      </rPr>
      <t>04</t>
    </r>
    <r>
      <rPr>
        <sz val="11"/>
        <color theme="1"/>
        <rFont val="Calibri"/>
        <family val="2"/>
        <scheme val="minor"/>
      </rPr>
      <t xml:space="preserve"> - Local Neglected Program
</t>
    </r>
    <r>
      <rPr>
        <b/>
        <sz val="11"/>
        <color theme="1"/>
        <rFont val="Calibri"/>
        <family val="2"/>
        <scheme val="minor"/>
      </rPr>
      <t>05</t>
    </r>
    <r>
      <rPr>
        <sz val="11"/>
        <color theme="1"/>
        <rFont val="Calibri"/>
        <family val="2"/>
        <scheme val="minor"/>
      </rPr>
      <t xml:space="preserve"> - Was not served
</t>
    </r>
  </si>
  <si>
    <r>
      <t>ReadingLanguageArts</t>
    </r>
    <r>
      <rPr>
        <sz val="11"/>
        <color theme="1"/>
        <rFont val="Calibri"/>
        <family val="2"/>
        <scheme val="minor"/>
      </rPr>
      <t xml:space="preserve"> - Reading/Language Arts
</t>
    </r>
    <r>
      <rPr>
        <b/>
        <sz val="11"/>
        <color theme="1"/>
        <rFont val="Calibri"/>
        <family val="2"/>
        <scheme val="minor"/>
      </rPr>
      <t>Mathematics</t>
    </r>
    <r>
      <rPr>
        <sz val="11"/>
        <color theme="1"/>
        <rFont val="Calibri"/>
        <family val="2"/>
        <scheme val="minor"/>
      </rPr>
      <t xml:space="preserve"> - Mathematics
</t>
    </r>
    <r>
      <rPr>
        <b/>
        <sz val="11"/>
        <color theme="1"/>
        <rFont val="Calibri"/>
        <family val="2"/>
        <scheme val="minor"/>
      </rPr>
      <t>Science</t>
    </r>
    <r>
      <rPr>
        <sz val="11"/>
        <color theme="1"/>
        <rFont val="Calibri"/>
        <family val="2"/>
        <scheme val="minor"/>
      </rPr>
      <t xml:space="preserve"> - Science
</t>
    </r>
    <r>
      <rPr>
        <b/>
        <sz val="11"/>
        <color theme="1"/>
        <rFont val="Calibri"/>
        <family val="2"/>
        <scheme val="minor"/>
      </rPr>
      <t>SocialSciences</t>
    </r>
    <r>
      <rPr>
        <sz val="11"/>
        <color theme="1"/>
        <rFont val="Calibri"/>
        <family val="2"/>
        <scheme val="minor"/>
      </rPr>
      <t xml:space="preserve"> - Social Sciences
</t>
    </r>
    <r>
      <rPr>
        <b/>
        <sz val="11"/>
        <color theme="1"/>
        <rFont val="Calibri"/>
        <family val="2"/>
        <scheme val="minor"/>
      </rPr>
      <t>CareerAndTechnical</t>
    </r>
    <r>
      <rPr>
        <sz val="11"/>
        <color theme="1"/>
        <rFont val="Calibri"/>
        <family val="2"/>
        <scheme val="minor"/>
      </rPr>
      <t xml:space="preserve"> - Career and Technical Education
</t>
    </r>
    <r>
      <rPr>
        <b/>
        <sz val="11"/>
        <color theme="1"/>
        <rFont val="Calibri"/>
        <family val="2"/>
        <scheme val="minor"/>
      </rPr>
      <t>Other</t>
    </r>
    <r>
      <rPr>
        <sz val="11"/>
        <color theme="1"/>
        <rFont val="Calibri"/>
        <family val="2"/>
        <scheme val="minor"/>
      </rPr>
      <t xml:space="preserve"> - Other
</t>
    </r>
  </si>
  <si>
    <r>
      <t>TitleITeacher</t>
    </r>
    <r>
      <rPr>
        <sz val="11"/>
        <color theme="1"/>
        <rFont val="Calibri"/>
        <family val="2"/>
        <scheme val="minor"/>
      </rPr>
      <t xml:space="preserve"> - Title I Teachers
</t>
    </r>
    <r>
      <rPr>
        <b/>
        <sz val="11"/>
        <color theme="1"/>
        <rFont val="Calibri"/>
        <family val="2"/>
        <scheme val="minor"/>
      </rPr>
      <t>TitleIParaprofessional</t>
    </r>
    <r>
      <rPr>
        <sz val="11"/>
        <color theme="1"/>
        <rFont val="Calibri"/>
        <family val="2"/>
        <scheme val="minor"/>
      </rPr>
      <t xml:space="preserve"> - Title I Paraprofessionals 
</t>
    </r>
    <r>
      <rPr>
        <b/>
        <sz val="11"/>
        <color theme="1"/>
        <rFont val="Calibri"/>
        <family val="2"/>
        <scheme val="minor"/>
      </rPr>
      <t>TitleISupportStaff</t>
    </r>
    <r>
      <rPr>
        <sz val="11"/>
        <color theme="1"/>
        <rFont val="Calibri"/>
        <family val="2"/>
        <scheme val="minor"/>
      </rPr>
      <t xml:space="preserve"> - Title I Clerical Support Staff
</t>
    </r>
    <r>
      <rPr>
        <b/>
        <sz val="11"/>
        <color theme="1"/>
        <rFont val="Calibri"/>
        <family val="2"/>
        <scheme val="minor"/>
      </rPr>
      <t>TitleIAdministrator</t>
    </r>
    <r>
      <rPr>
        <sz val="11"/>
        <color theme="1"/>
        <rFont val="Calibri"/>
        <family val="2"/>
        <scheme val="minor"/>
      </rPr>
      <t xml:space="preserve"> - Title I Administrators (non-clerical)
</t>
    </r>
    <r>
      <rPr>
        <b/>
        <sz val="11"/>
        <color theme="1"/>
        <rFont val="Calibri"/>
        <family val="2"/>
        <scheme val="minor"/>
      </rPr>
      <t>TitleIOtherParaprofessional</t>
    </r>
    <r>
      <rPr>
        <sz val="11"/>
        <color theme="1"/>
        <rFont val="Calibri"/>
        <family val="2"/>
        <scheme val="minor"/>
      </rPr>
      <t xml:space="preserve"> - Title I Other Paraprofessionals
</t>
    </r>
  </si>
  <si>
    <r>
      <t>TargetedAssistanceProgram</t>
    </r>
    <r>
      <rPr>
        <sz val="11"/>
        <color theme="1"/>
        <rFont val="Calibri"/>
        <family val="2"/>
        <scheme val="minor"/>
      </rPr>
      <t xml:space="preserve"> - Public Targeted Assistance Program
</t>
    </r>
    <r>
      <rPr>
        <b/>
        <sz val="11"/>
        <color theme="1"/>
        <rFont val="Calibri"/>
        <family val="2"/>
        <scheme val="minor"/>
      </rPr>
      <t>SchoolwideProgram</t>
    </r>
    <r>
      <rPr>
        <sz val="11"/>
        <color theme="1"/>
        <rFont val="Calibri"/>
        <family val="2"/>
        <scheme val="minor"/>
      </rPr>
      <t xml:space="preserve"> - Public Schoolwide Program
</t>
    </r>
    <r>
      <rPr>
        <b/>
        <sz val="11"/>
        <color theme="1"/>
        <rFont val="Calibri"/>
        <family val="2"/>
        <scheme val="minor"/>
      </rPr>
      <t>PrivateSchoolStudents</t>
    </r>
    <r>
      <rPr>
        <sz val="11"/>
        <color theme="1"/>
        <rFont val="Calibri"/>
        <family val="2"/>
        <scheme val="minor"/>
      </rPr>
      <t xml:space="preserve"> - Private School Students Participating
</t>
    </r>
    <r>
      <rPr>
        <b/>
        <sz val="11"/>
        <color theme="1"/>
        <rFont val="Calibri"/>
        <family val="2"/>
        <scheme val="minor"/>
      </rPr>
      <t>LocalNeglectedProgram</t>
    </r>
    <r>
      <rPr>
        <sz val="11"/>
        <color theme="1"/>
        <rFont val="Calibri"/>
        <family val="2"/>
        <scheme val="minor"/>
      </rPr>
      <t xml:space="preserve"> - Local Neglected Program
</t>
    </r>
  </si>
  <si>
    <r>
      <t>TGELGBNOPROG</t>
    </r>
    <r>
      <rPr>
        <sz val="11"/>
        <color theme="1"/>
        <rFont val="Calibri"/>
        <family val="2"/>
        <scheme val="minor"/>
      </rPr>
      <t xml:space="preserve"> - Title I Targeted Assistance Eligible School- No Program
</t>
    </r>
    <r>
      <rPr>
        <b/>
        <sz val="11"/>
        <color theme="1"/>
        <rFont val="Calibri"/>
        <family val="2"/>
        <scheme val="minor"/>
      </rPr>
      <t>TGELGBTGPROG</t>
    </r>
    <r>
      <rPr>
        <sz val="11"/>
        <color theme="1"/>
        <rFont val="Calibri"/>
        <family val="2"/>
        <scheme val="minor"/>
      </rPr>
      <t xml:space="preserve"> - Title I Targeted Assistance School
</t>
    </r>
    <r>
      <rPr>
        <b/>
        <sz val="11"/>
        <color theme="1"/>
        <rFont val="Calibri"/>
        <family val="2"/>
        <scheme val="minor"/>
      </rPr>
      <t>SWELIGTGPROG</t>
    </r>
    <r>
      <rPr>
        <sz val="11"/>
        <color theme="1"/>
        <rFont val="Calibri"/>
        <family val="2"/>
        <scheme val="minor"/>
      </rPr>
      <t xml:space="preserve"> - Title I, Schoolwide eligible-Title I Targeted Assistance Program
</t>
    </r>
    <r>
      <rPr>
        <b/>
        <sz val="11"/>
        <color theme="1"/>
        <rFont val="Calibri"/>
        <family val="2"/>
        <scheme val="minor"/>
      </rPr>
      <t>SWELIGNOPROG</t>
    </r>
    <r>
      <rPr>
        <sz val="11"/>
        <color theme="1"/>
        <rFont val="Calibri"/>
        <family val="2"/>
        <scheme val="minor"/>
      </rPr>
      <t xml:space="preserve"> - Title I Schoolwide Eligible School - No Program
</t>
    </r>
    <r>
      <rPr>
        <b/>
        <sz val="11"/>
        <color theme="1"/>
        <rFont val="Calibri"/>
        <family val="2"/>
        <scheme val="minor"/>
      </rPr>
      <t>SWELIGSWPROG</t>
    </r>
    <r>
      <rPr>
        <sz val="11"/>
        <color theme="1"/>
        <rFont val="Calibri"/>
        <family val="2"/>
        <scheme val="minor"/>
      </rPr>
      <t xml:space="preserve"> - Title I Schoolwide School
</t>
    </r>
    <r>
      <rPr>
        <b/>
        <sz val="11"/>
        <color theme="1"/>
        <rFont val="Calibri"/>
        <family val="2"/>
        <scheme val="minor"/>
      </rPr>
      <t>NOTTITLE1ELIG</t>
    </r>
    <r>
      <rPr>
        <sz val="11"/>
        <color theme="1"/>
        <rFont val="Calibri"/>
        <family val="2"/>
        <scheme val="minor"/>
      </rPr>
      <t xml:space="preserve"> - Not a Title I School
</t>
    </r>
  </si>
  <si>
    <r>
      <t>HealthDentalEyeCare</t>
    </r>
    <r>
      <rPr>
        <sz val="11"/>
        <color theme="1"/>
        <rFont val="Calibri"/>
        <family val="2"/>
        <scheme val="minor"/>
      </rPr>
      <t xml:space="preserve"> - Health, Dental and Eye Care
</t>
    </r>
    <r>
      <rPr>
        <b/>
        <sz val="11"/>
        <color theme="1"/>
        <rFont val="Calibri"/>
        <family val="2"/>
        <scheme val="minor"/>
      </rPr>
      <t>GuidanceAdvocacy</t>
    </r>
    <r>
      <rPr>
        <sz val="11"/>
        <color theme="1"/>
        <rFont val="Calibri"/>
        <family val="2"/>
        <scheme val="minor"/>
      </rPr>
      <t xml:space="preserve"> - Supporting Guidance/Advocacy
</t>
    </r>
    <r>
      <rPr>
        <b/>
        <sz val="11"/>
        <color theme="1"/>
        <rFont val="Calibri"/>
        <family val="2"/>
        <scheme val="minor"/>
      </rPr>
      <t>Other</t>
    </r>
    <r>
      <rPr>
        <sz val="11"/>
        <color theme="1"/>
        <rFont val="Calibri"/>
        <family val="2"/>
        <scheme val="minor"/>
      </rPr>
      <t xml:space="preserve"> - Other
</t>
    </r>
  </si>
  <si>
    <r>
      <t>PROGRESS</t>
    </r>
    <r>
      <rPr>
        <sz val="11"/>
        <color theme="1"/>
        <rFont val="Calibri"/>
        <family val="2"/>
        <scheme val="minor"/>
      </rPr>
      <t xml:space="preserve"> - Making progress
</t>
    </r>
    <r>
      <rPr>
        <b/>
        <sz val="11"/>
        <color theme="1"/>
        <rFont val="Calibri"/>
        <family val="2"/>
        <scheme val="minor"/>
      </rPr>
      <t>NOPROGRESS</t>
    </r>
    <r>
      <rPr>
        <sz val="11"/>
        <color theme="1"/>
        <rFont val="Calibri"/>
        <family val="2"/>
        <scheme val="minor"/>
      </rPr>
      <t xml:space="preserve"> - Did not make progress
</t>
    </r>
    <r>
      <rPr>
        <b/>
        <sz val="11"/>
        <color theme="1"/>
        <rFont val="Calibri"/>
        <family val="2"/>
        <scheme val="minor"/>
      </rPr>
      <t>PROFICIENT</t>
    </r>
    <r>
      <rPr>
        <sz val="11"/>
        <color theme="1"/>
        <rFont val="Calibri"/>
        <family val="2"/>
        <scheme val="minor"/>
      </rPr>
      <t xml:space="preserve"> - Attained proficiency
</t>
    </r>
  </si>
  <si>
    <r>
      <t>DualLanguage</t>
    </r>
    <r>
      <rPr>
        <sz val="11"/>
        <color theme="1"/>
        <rFont val="Calibri"/>
        <family val="2"/>
        <scheme val="minor"/>
      </rPr>
      <t xml:space="preserve"> - Dual language
</t>
    </r>
    <r>
      <rPr>
        <b/>
        <sz val="11"/>
        <color theme="1"/>
        <rFont val="Calibri"/>
        <family val="2"/>
        <scheme val="minor"/>
      </rPr>
      <t>TwoWayImmersion</t>
    </r>
    <r>
      <rPr>
        <sz val="11"/>
        <color theme="1"/>
        <rFont val="Calibri"/>
        <family val="2"/>
        <scheme val="minor"/>
      </rPr>
      <t xml:space="preserve"> - Two-way immersion
</t>
    </r>
    <r>
      <rPr>
        <b/>
        <sz val="11"/>
        <color theme="1"/>
        <rFont val="Calibri"/>
        <family val="2"/>
        <scheme val="minor"/>
      </rPr>
      <t>TransitionalBilingual</t>
    </r>
    <r>
      <rPr>
        <sz val="11"/>
        <color theme="1"/>
        <rFont val="Calibri"/>
        <family val="2"/>
        <scheme val="minor"/>
      </rPr>
      <t xml:space="preserve"> - Transitional bilingual
</t>
    </r>
    <r>
      <rPr>
        <b/>
        <sz val="11"/>
        <color theme="1"/>
        <rFont val="Calibri"/>
        <family val="2"/>
        <scheme val="minor"/>
      </rPr>
      <t>DevelopmentalBilingual</t>
    </r>
    <r>
      <rPr>
        <sz val="11"/>
        <color theme="1"/>
        <rFont val="Calibri"/>
        <family val="2"/>
        <scheme val="minor"/>
      </rPr>
      <t xml:space="preserve"> - Developmental bilingual
</t>
    </r>
    <r>
      <rPr>
        <b/>
        <sz val="11"/>
        <color theme="1"/>
        <rFont val="Calibri"/>
        <family val="2"/>
        <scheme val="minor"/>
      </rPr>
      <t>HeritageLanguage</t>
    </r>
    <r>
      <rPr>
        <sz val="11"/>
        <color theme="1"/>
        <rFont val="Calibri"/>
        <family val="2"/>
        <scheme val="minor"/>
      </rPr>
      <t xml:space="preserve"> - Heritage language
</t>
    </r>
    <r>
      <rPr>
        <b/>
        <sz val="11"/>
        <color theme="1"/>
        <rFont val="Calibri"/>
        <family val="2"/>
        <scheme val="minor"/>
      </rPr>
      <t>ShelteredEnglishInstruction</t>
    </r>
    <r>
      <rPr>
        <sz val="11"/>
        <color theme="1"/>
        <rFont val="Calibri"/>
        <family val="2"/>
        <scheme val="minor"/>
      </rPr>
      <t xml:space="preserve"> - Sheltered English instruction
</t>
    </r>
    <r>
      <rPr>
        <b/>
        <sz val="11"/>
        <color theme="1"/>
        <rFont val="Calibri"/>
        <family val="2"/>
        <scheme val="minor"/>
      </rPr>
      <t>StructuredEnglishImmersion</t>
    </r>
    <r>
      <rPr>
        <sz val="11"/>
        <color theme="1"/>
        <rFont val="Calibri"/>
        <family val="2"/>
        <scheme val="minor"/>
      </rPr>
      <t xml:space="preserve"> - Structured English immersion
</t>
    </r>
    <r>
      <rPr>
        <b/>
        <sz val="11"/>
        <color theme="1"/>
        <rFont val="Calibri"/>
        <family val="2"/>
        <scheme val="minor"/>
      </rPr>
      <t>SDAIE</t>
    </r>
    <r>
      <rPr>
        <sz val="11"/>
        <color theme="1"/>
        <rFont val="Calibri"/>
        <family val="2"/>
        <scheme val="minor"/>
      </rPr>
      <t xml:space="preserve"> - Specially designed academic instruction delivered in English (SDAIE)
</t>
    </r>
    <r>
      <rPr>
        <b/>
        <sz val="11"/>
        <color theme="1"/>
        <rFont val="Calibri"/>
        <family val="2"/>
        <scheme val="minor"/>
      </rPr>
      <t>ContentBasedESL</t>
    </r>
    <r>
      <rPr>
        <sz val="11"/>
        <color theme="1"/>
        <rFont val="Calibri"/>
        <family val="2"/>
        <scheme val="minor"/>
      </rPr>
      <t xml:space="preserve"> - Content-based ESL
</t>
    </r>
    <r>
      <rPr>
        <b/>
        <sz val="11"/>
        <color theme="1"/>
        <rFont val="Calibri"/>
        <family val="2"/>
        <scheme val="minor"/>
      </rPr>
      <t>PullOutESL</t>
    </r>
    <r>
      <rPr>
        <sz val="11"/>
        <color theme="1"/>
        <rFont val="Calibri"/>
        <family val="2"/>
        <scheme val="minor"/>
      </rPr>
      <t xml:space="preserve"> - Pull-out ESL
</t>
    </r>
    <r>
      <rPr>
        <b/>
        <sz val="11"/>
        <color theme="1"/>
        <rFont val="Calibri"/>
        <family val="2"/>
        <scheme val="minor"/>
      </rPr>
      <t>Other</t>
    </r>
    <r>
      <rPr>
        <sz val="11"/>
        <color theme="1"/>
        <rFont val="Calibri"/>
        <family val="2"/>
        <scheme val="minor"/>
      </rPr>
      <t xml:space="preserve"> - Other
</t>
    </r>
  </si>
  <si>
    <r>
      <t>InstructionalStrategies</t>
    </r>
    <r>
      <rPr>
        <sz val="11"/>
        <color theme="1"/>
        <rFont val="Calibri"/>
        <family val="2"/>
        <scheme val="minor"/>
      </rPr>
      <t xml:space="preserve"> - Instructional strategies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ELPContentStandards</t>
    </r>
    <r>
      <rPr>
        <sz val="11"/>
        <color theme="1"/>
        <rFont val="Calibri"/>
        <family val="2"/>
        <scheme val="minor"/>
      </rPr>
      <t xml:space="preserve"> - ELP and content standards
</t>
    </r>
    <r>
      <rPr>
        <b/>
        <sz val="11"/>
        <color theme="1"/>
        <rFont val="Calibri"/>
        <family val="2"/>
        <scheme val="minor"/>
      </rPr>
      <t>CurriculumAlignmentELP</t>
    </r>
    <r>
      <rPr>
        <sz val="11"/>
        <color theme="1"/>
        <rFont val="Calibri"/>
        <family val="2"/>
        <scheme val="minor"/>
      </rPr>
      <t xml:space="preserve"> - Curriculum alignment to ELP standards
</t>
    </r>
    <r>
      <rPr>
        <b/>
        <sz val="11"/>
        <color theme="1"/>
        <rFont val="Calibri"/>
        <family val="2"/>
        <scheme val="minor"/>
      </rPr>
      <t>SubjectMatter</t>
    </r>
    <r>
      <rPr>
        <sz val="11"/>
        <color theme="1"/>
        <rFont val="Calibri"/>
        <family val="2"/>
        <scheme val="minor"/>
      </rPr>
      <t xml:space="preserve"> - Subject matter
</t>
    </r>
    <r>
      <rPr>
        <b/>
        <sz val="11"/>
        <color theme="1"/>
        <rFont val="Calibri"/>
        <family val="2"/>
        <scheme val="minor"/>
      </rPr>
      <t>Other</t>
    </r>
    <r>
      <rPr>
        <sz val="11"/>
        <color theme="1"/>
        <rFont val="Calibri"/>
        <family val="2"/>
        <scheme val="minor"/>
      </rPr>
      <t xml:space="preserve"> - Other
</t>
    </r>
  </si>
  <si>
    <r>
      <t>YesStateDefined</t>
    </r>
    <r>
      <rPr>
        <sz val="11"/>
        <color theme="1"/>
        <rFont val="Calibri"/>
        <family val="2"/>
        <scheme val="minor"/>
      </rPr>
      <t xml:space="preserve"> - Yes, state defined
</t>
    </r>
    <r>
      <rPr>
        <b/>
        <sz val="11"/>
        <color theme="1"/>
        <rFont val="Calibri"/>
        <family val="2"/>
        <scheme val="minor"/>
      </rPr>
      <t>YesInstitutionDefined</t>
    </r>
    <r>
      <rPr>
        <sz val="11"/>
        <color theme="1"/>
        <rFont val="Calibri"/>
        <family val="2"/>
        <scheme val="minor"/>
      </rPr>
      <t xml:space="preserve"> - Yes, institution defined
</t>
    </r>
  </si>
  <si>
    <r>
      <t>FirstTrimester</t>
    </r>
    <r>
      <rPr>
        <sz val="11"/>
        <color theme="1"/>
        <rFont val="Calibri"/>
        <family val="2"/>
        <scheme val="minor"/>
      </rPr>
      <t xml:space="preserve"> - First trimester
</t>
    </r>
    <r>
      <rPr>
        <b/>
        <sz val="11"/>
        <color theme="1"/>
        <rFont val="Calibri"/>
        <family val="2"/>
        <scheme val="minor"/>
      </rPr>
      <t>SecondTrimester</t>
    </r>
    <r>
      <rPr>
        <sz val="11"/>
        <color theme="1"/>
        <rFont val="Calibri"/>
        <family val="2"/>
        <scheme val="minor"/>
      </rPr>
      <t xml:space="preserve"> - Second trimester
</t>
    </r>
    <r>
      <rPr>
        <b/>
        <sz val="11"/>
        <color theme="1"/>
        <rFont val="Calibri"/>
        <family val="2"/>
        <scheme val="minor"/>
      </rPr>
      <t>ThirdTrimester</t>
    </r>
    <r>
      <rPr>
        <sz val="11"/>
        <color theme="1"/>
        <rFont val="Calibri"/>
        <family val="2"/>
        <scheme val="minor"/>
      </rPr>
      <t xml:space="preserve"> - Third trimester
</t>
    </r>
    <r>
      <rPr>
        <b/>
        <sz val="11"/>
        <color theme="1"/>
        <rFont val="Calibri"/>
        <family val="2"/>
        <scheme val="minor"/>
      </rPr>
      <t>NoPrenatalHealthCare</t>
    </r>
    <r>
      <rPr>
        <sz val="11"/>
        <color theme="1"/>
        <rFont val="Calibri"/>
        <family val="2"/>
        <scheme val="minor"/>
      </rPr>
      <t xml:space="preserve"> - No prenatal health care
</t>
    </r>
  </si>
  <si>
    <r>
      <t>InDistrict</t>
    </r>
    <r>
      <rPr>
        <sz val="11"/>
        <color theme="1"/>
        <rFont val="Calibri"/>
        <family val="2"/>
        <scheme val="minor"/>
      </rPr>
      <t xml:space="preserve"> - In-district
</t>
    </r>
    <r>
      <rPr>
        <b/>
        <sz val="11"/>
        <color theme="1"/>
        <rFont val="Calibri"/>
        <family val="2"/>
        <scheme val="minor"/>
      </rPr>
      <t>InState</t>
    </r>
    <r>
      <rPr>
        <sz val="11"/>
        <color theme="1"/>
        <rFont val="Calibri"/>
        <family val="2"/>
        <scheme val="minor"/>
      </rPr>
      <t xml:space="preserve"> - In-state
</t>
    </r>
    <r>
      <rPr>
        <b/>
        <sz val="11"/>
        <color theme="1"/>
        <rFont val="Calibri"/>
        <family val="2"/>
        <scheme val="minor"/>
      </rPr>
      <t>OutOfState</t>
    </r>
    <r>
      <rPr>
        <sz val="11"/>
        <color theme="1"/>
        <rFont val="Calibri"/>
        <family val="2"/>
        <scheme val="minor"/>
      </rPr>
      <t xml:space="preserve"> - Out-of-state
</t>
    </r>
    <r>
      <rPr>
        <b/>
        <sz val="11"/>
        <color theme="1"/>
        <rFont val="Calibri"/>
        <family val="2"/>
        <scheme val="minor"/>
      </rPr>
      <t>NoDifferential</t>
    </r>
    <r>
      <rPr>
        <sz val="11"/>
        <color theme="1"/>
        <rFont val="Calibri"/>
        <family val="2"/>
        <scheme val="minor"/>
      </rPr>
      <t xml:space="preserve"> - No differential tuition based on residency
</t>
    </r>
  </si>
  <si>
    <r>
      <t>PerTerm</t>
    </r>
    <r>
      <rPr>
        <sz val="11"/>
        <color theme="1"/>
        <rFont val="Calibri"/>
        <family val="2"/>
        <scheme val="minor"/>
      </rPr>
      <t xml:space="preserve"> - Per Term
</t>
    </r>
    <r>
      <rPr>
        <b/>
        <sz val="11"/>
        <color theme="1"/>
        <rFont val="Calibri"/>
        <family val="2"/>
        <scheme val="minor"/>
      </rPr>
      <t>PerYear</t>
    </r>
    <r>
      <rPr>
        <sz val="11"/>
        <color theme="1"/>
        <rFont val="Calibri"/>
        <family val="2"/>
        <scheme val="minor"/>
      </rPr>
      <t xml:space="preserve"> - Per Year
</t>
    </r>
    <r>
      <rPr>
        <b/>
        <sz val="11"/>
        <color theme="1"/>
        <rFont val="Calibri"/>
        <family val="2"/>
        <scheme val="minor"/>
      </rPr>
      <t>PerProgram</t>
    </r>
    <r>
      <rPr>
        <sz val="11"/>
        <color theme="1"/>
        <rFont val="Calibri"/>
        <family val="2"/>
        <scheme val="minor"/>
      </rPr>
      <t xml:space="preserve"> - Per Program
</t>
    </r>
    <r>
      <rPr>
        <b/>
        <sz val="11"/>
        <color theme="1"/>
        <rFont val="Calibri"/>
        <family val="2"/>
        <scheme val="minor"/>
      </rPr>
      <t>PerCourse</t>
    </r>
    <r>
      <rPr>
        <sz val="11"/>
        <color theme="1"/>
        <rFont val="Calibri"/>
        <family val="2"/>
        <scheme val="minor"/>
      </rPr>
      <t xml:space="preserve"> - Per Course
</t>
    </r>
    <r>
      <rPr>
        <b/>
        <sz val="11"/>
        <color theme="1"/>
        <rFont val="Calibri"/>
        <family val="2"/>
        <scheme val="minor"/>
      </rPr>
      <t>PerCredit</t>
    </r>
    <r>
      <rPr>
        <sz val="11"/>
        <color theme="1"/>
        <rFont val="Calibri"/>
        <family val="2"/>
        <scheme val="minor"/>
      </rPr>
      <t xml:space="preserve"> - Per Credit
</t>
    </r>
  </si>
  <si>
    <r>
      <t>01</t>
    </r>
    <r>
      <rPr>
        <sz val="11"/>
        <color theme="1"/>
        <rFont val="Calibri"/>
        <family val="2"/>
        <scheme val="minor"/>
      </rPr>
      <t xml:space="preserve"> - Teacher recruitment and retention
</t>
    </r>
    <r>
      <rPr>
        <b/>
        <sz val="11"/>
        <color theme="1"/>
        <rFont val="Calibri"/>
        <family val="2"/>
        <scheme val="minor"/>
      </rPr>
      <t>02</t>
    </r>
    <r>
      <rPr>
        <sz val="11"/>
        <color theme="1"/>
        <rFont val="Calibri"/>
        <family val="2"/>
        <scheme val="minor"/>
      </rPr>
      <t xml:space="preserve"> - Teacher professional development
</t>
    </r>
    <r>
      <rPr>
        <b/>
        <sz val="11"/>
        <color theme="1"/>
        <rFont val="Calibri"/>
        <family val="2"/>
        <scheme val="minor"/>
      </rPr>
      <t>03</t>
    </r>
    <r>
      <rPr>
        <sz val="11"/>
        <color theme="1"/>
        <rFont val="Calibri"/>
        <family val="2"/>
        <scheme val="minor"/>
      </rPr>
      <t xml:space="preserve"> - Educational technology
</t>
    </r>
    <r>
      <rPr>
        <b/>
        <sz val="11"/>
        <color theme="1"/>
        <rFont val="Calibri"/>
        <family val="2"/>
        <scheme val="minor"/>
      </rPr>
      <t>04</t>
    </r>
    <r>
      <rPr>
        <sz val="11"/>
        <color theme="1"/>
        <rFont val="Calibri"/>
        <family val="2"/>
        <scheme val="minor"/>
      </rPr>
      <t xml:space="preserve"> - Parental involvement activities
</t>
    </r>
    <r>
      <rPr>
        <b/>
        <sz val="11"/>
        <color theme="1"/>
        <rFont val="Calibri"/>
        <family val="2"/>
        <scheme val="minor"/>
      </rPr>
      <t>05</t>
    </r>
    <r>
      <rPr>
        <sz val="11"/>
        <color theme="1"/>
        <rFont val="Calibri"/>
        <family val="2"/>
        <scheme val="minor"/>
      </rPr>
      <t xml:space="preserve"> - Activities authorized under the Safe and Drug-Free Schools Program (Title IV, Part A)
</t>
    </r>
    <r>
      <rPr>
        <b/>
        <sz val="11"/>
        <color theme="1"/>
        <rFont val="Calibri"/>
        <family val="2"/>
        <scheme val="minor"/>
      </rPr>
      <t>06</t>
    </r>
    <r>
      <rPr>
        <sz val="11"/>
        <color theme="1"/>
        <rFont val="Calibri"/>
        <family val="2"/>
        <scheme val="minor"/>
      </rPr>
      <t xml:space="preserve"> - Activities authorized under Title I, Part A
</t>
    </r>
    <r>
      <rPr>
        <b/>
        <sz val="11"/>
        <color theme="1"/>
        <rFont val="Calibri"/>
        <family val="2"/>
        <scheme val="minor"/>
      </rPr>
      <t>07</t>
    </r>
    <r>
      <rPr>
        <sz val="11"/>
        <color theme="1"/>
        <rFont val="Calibri"/>
        <family val="2"/>
        <scheme val="minor"/>
      </rPr>
      <t xml:space="preserve"> - Activities authorized under Title III (Language instruction for LEP and immigrant students)
</t>
    </r>
  </si>
  <si>
    <r>
      <t>USCitizen</t>
    </r>
    <r>
      <rPr>
        <sz val="11"/>
        <color theme="1"/>
        <rFont val="Calibri"/>
        <family val="2"/>
        <scheme val="minor"/>
      </rPr>
      <t xml:space="preserve"> - US Citizen
</t>
    </r>
    <r>
      <rPr>
        <b/>
        <sz val="11"/>
        <color theme="1"/>
        <rFont val="Calibri"/>
        <family val="2"/>
        <scheme val="minor"/>
      </rPr>
      <t>PermanentResident</t>
    </r>
    <r>
      <rPr>
        <sz val="11"/>
        <color theme="1"/>
        <rFont val="Calibri"/>
        <family val="2"/>
        <scheme val="minor"/>
      </rPr>
      <t xml:space="preserve"> - Permanent resident
</t>
    </r>
    <r>
      <rPr>
        <b/>
        <sz val="11"/>
        <color theme="1"/>
        <rFont val="Calibri"/>
        <family val="2"/>
        <scheme val="minor"/>
      </rPr>
      <t>ResidentAlien</t>
    </r>
    <r>
      <rPr>
        <sz val="11"/>
        <color theme="1"/>
        <rFont val="Calibri"/>
        <family val="2"/>
        <scheme val="minor"/>
      </rPr>
      <t xml:space="preserve"> - Resident alien
</t>
    </r>
    <r>
      <rPr>
        <b/>
        <sz val="11"/>
        <color theme="1"/>
        <rFont val="Calibri"/>
        <family val="2"/>
        <scheme val="minor"/>
      </rPr>
      <t>NonResidentAlien</t>
    </r>
    <r>
      <rPr>
        <sz val="11"/>
        <color theme="1"/>
        <rFont val="Calibri"/>
        <family val="2"/>
        <scheme val="minor"/>
      </rPr>
      <t xml:space="preserve"> - Non-resident alien
</t>
    </r>
    <r>
      <rPr>
        <b/>
        <sz val="11"/>
        <color theme="1"/>
        <rFont val="Calibri"/>
        <family val="2"/>
        <scheme val="minor"/>
      </rPr>
      <t>Refugee</t>
    </r>
    <r>
      <rPr>
        <sz val="11"/>
        <color theme="1"/>
        <rFont val="Calibri"/>
        <family val="2"/>
        <scheme val="minor"/>
      </rPr>
      <t xml:space="preserve"> - Refugee
</t>
    </r>
  </si>
  <si>
    <r>
      <t>01</t>
    </r>
    <r>
      <rPr>
        <sz val="11"/>
        <color theme="1"/>
        <rFont val="Calibri"/>
        <family val="2"/>
        <scheme val="minor"/>
      </rPr>
      <t xml:space="preserve"> - Administering assessments required by section 1111(b)
</t>
    </r>
    <r>
      <rPr>
        <b/>
        <sz val="11"/>
        <color theme="1"/>
        <rFont val="Calibri"/>
        <family val="2"/>
        <scheme val="minor"/>
      </rPr>
      <t>02</t>
    </r>
    <r>
      <rPr>
        <sz val="11"/>
        <color theme="1"/>
        <rFont val="Calibri"/>
        <family val="2"/>
        <scheme val="minor"/>
      </rPr>
      <t xml:space="preserve"> - Developing challenging State academic content and student academic achievement standards
</t>
    </r>
    <r>
      <rPr>
        <b/>
        <sz val="11"/>
        <color theme="1"/>
        <rFont val="Calibri"/>
        <family val="2"/>
        <scheme val="minor"/>
      </rPr>
      <t>03</t>
    </r>
    <r>
      <rPr>
        <sz val="11"/>
        <color theme="1"/>
        <rFont val="Calibri"/>
        <family val="2"/>
        <scheme val="minor"/>
      </rPr>
      <t xml:space="preserve"> - Developing or improving assessments of English language proficiency
</t>
    </r>
    <r>
      <rPr>
        <b/>
        <sz val="11"/>
        <color theme="1"/>
        <rFont val="Calibri"/>
        <family val="2"/>
        <scheme val="minor"/>
      </rPr>
      <t>04</t>
    </r>
    <r>
      <rPr>
        <sz val="11"/>
        <color theme="1"/>
        <rFont val="Calibri"/>
        <family val="2"/>
        <scheme val="minor"/>
      </rPr>
      <t xml:space="preserve"> - Ensuring the continued validity and reliability of State assessments
</t>
    </r>
    <r>
      <rPr>
        <b/>
        <sz val="11"/>
        <color theme="1"/>
        <rFont val="Calibri"/>
        <family val="2"/>
        <scheme val="minor"/>
      </rPr>
      <t>05</t>
    </r>
    <r>
      <rPr>
        <sz val="11"/>
        <color theme="1"/>
        <rFont val="Calibri"/>
        <family val="2"/>
        <scheme val="minor"/>
      </rPr>
      <t xml:space="preserve"> - Developing multiple measures to increase the reliability and validity of State assessment systems
</t>
    </r>
    <r>
      <rPr>
        <b/>
        <sz val="11"/>
        <color theme="1"/>
        <rFont val="Calibri"/>
        <family val="2"/>
        <scheme val="minor"/>
      </rPr>
      <t>06</t>
    </r>
    <r>
      <rPr>
        <sz val="11"/>
        <color theme="1"/>
        <rFont val="Calibri"/>
        <family val="2"/>
        <scheme val="minor"/>
      </rPr>
      <t xml:space="preserve"> - Strengthening the capacity of local educational agencies and schools
</t>
    </r>
    <r>
      <rPr>
        <b/>
        <sz val="11"/>
        <color theme="1"/>
        <rFont val="Calibri"/>
        <family val="2"/>
        <scheme val="minor"/>
      </rPr>
      <t>07</t>
    </r>
    <r>
      <rPr>
        <sz val="11"/>
        <color theme="1"/>
        <rFont val="Calibri"/>
        <family val="2"/>
        <scheme val="minor"/>
      </rPr>
      <t xml:space="preserve"> - Expanding range of accommodations to students with LEP and students with disabilities (IDEA)
</t>
    </r>
    <r>
      <rPr>
        <b/>
        <sz val="11"/>
        <color theme="1"/>
        <rFont val="Calibri"/>
        <family val="2"/>
        <scheme val="minor"/>
      </rPr>
      <t>08</t>
    </r>
    <r>
      <rPr>
        <sz val="11"/>
        <color theme="1"/>
        <rFont val="Calibri"/>
        <family val="2"/>
        <scheme val="minor"/>
      </rPr>
      <t xml:space="preserve"> - Improving the dissemination of information on student achievement and school performance
</t>
    </r>
    <r>
      <rPr>
        <b/>
        <sz val="11"/>
        <color theme="1"/>
        <rFont val="Calibri"/>
        <family val="2"/>
        <scheme val="minor"/>
      </rPr>
      <t>09</t>
    </r>
    <r>
      <rPr>
        <sz val="11"/>
        <color theme="1"/>
        <rFont val="Calibri"/>
        <family val="2"/>
        <scheme val="minor"/>
      </rPr>
      <t xml:space="preserve"> - Other
</t>
    </r>
  </si>
  <si>
    <r>
      <t>F1</t>
    </r>
    <r>
      <rPr>
        <sz val="11"/>
        <color theme="1"/>
        <rFont val="Calibri"/>
        <family val="2"/>
        <scheme val="minor"/>
      </rPr>
      <t xml:space="preserve"> - Foreign Student Visa
</t>
    </r>
    <r>
      <rPr>
        <b/>
        <sz val="11"/>
        <color theme="1"/>
        <rFont val="Calibri"/>
        <family val="2"/>
        <scheme val="minor"/>
      </rPr>
      <t>M1</t>
    </r>
    <r>
      <rPr>
        <sz val="11"/>
        <color theme="1"/>
        <rFont val="Calibri"/>
        <family val="2"/>
        <scheme val="minor"/>
      </rPr>
      <t xml:space="preserve"> - Foreign Student pursuing vocational or non-academic studies Visa
</t>
    </r>
    <r>
      <rPr>
        <b/>
        <sz val="11"/>
        <color theme="1"/>
        <rFont val="Calibri"/>
        <family val="2"/>
        <scheme val="minor"/>
      </rPr>
      <t>H1</t>
    </r>
    <r>
      <rPr>
        <sz val="11"/>
        <color theme="1"/>
        <rFont val="Calibri"/>
        <family val="2"/>
        <scheme val="minor"/>
      </rPr>
      <t xml:space="preserve"> - Employment Visa
</t>
    </r>
    <r>
      <rPr>
        <b/>
        <sz val="11"/>
        <color theme="1"/>
        <rFont val="Calibri"/>
        <family val="2"/>
        <scheme val="minor"/>
      </rPr>
      <t>B1</t>
    </r>
    <r>
      <rPr>
        <sz val="11"/>
        <color theme="1"/>
        <rFont val="Calibri"/>
        <family val="2"/>
        <scheme val="minor"/>
      </rPr>
      <t xml:space="preserve"> - Business Visa
</t>
    </r>
    <r>
      <rPr>
        <b/>
        <sz val="11"/>
        <color theme="1"/>
        <rFont val="Calibri"/>
        <family val="2"/>
        <scheme val="minor"/>
      </rPr>
      <t>B2</t>
    </r>
    <r>
      <rPr>
        <sz val="11"/>
        <color theme="1"/>
        <rFont val="Calibri"/>
        <family val="2"/>
        <scheme val="minor"/>
      </rPr>
      <t xml:space="preserve"> - Tourist Visa
</t>
    </r>
    <r>
      <rPr>
        <b/>
        <sz val="11"/>
        <color theme="1"/>
        <rFont val="Calibri"/>
        <family val="2"/>
        <scheme val="minor"/>
      </rPr>
      <t>J1</t>
    </r>
    <r>
      <rPr>
        <sz val="11"/>
        <color theme="1"/>
        <rFont val="Calibri"/>
        <family val="2"/>
        <scheme val="minor"/>
      </rPr>
      <t xml:space="preserve"> - Exchange Scholar Visa
</t>
    </r>
    <r>
      <rPr>
        <b/>
        <sz val="11"/>
        <color theme="1"/>
        <rFont val="Calibri"/>
        <family val="2"/>
        <scheme val="minor"/>
      </rPr>
      <t>OV</t>
    </r>
    <r>
      <rPr>
        <sz val="11"/>
        <color theme="1"/>
        <rFont val="Calibri"/>
        <family val="2"/>
        <scheme val="minor"/>
      </rPr>
      <t xml:space="preserve"> - Other Visa
</t>
    </r>
  </si>
  <si>
    <r>
      <t>01</t>
    </r>
    <r>
      <rPr>
        <sz val="11"/>
        <color theme="1"/>
        <rFont val="Calibri"/>
        <family val="2"/>
        <scheme val="minor"/>
      </rPr>
      <t xml:space="preserve"> - Collected as an hourly wage amount
</t>
    </r>
    <r>
      <rPr>
        <b/>
        <sz val="11"/>
        <color theme="1"/>
        <rFont val="Calibri"/>
        <family val="2"/>
        <scheme val="minor"/>
      </rPr>
      <t>02</t>
    </r>
    <r>
      <rPr>
        <sz val="11"/>
        <color theme="1"/>
        <rFont val="Calibri"/>
        <family val="2"/>
        <scheme val="minor"/>
      </rPr>
      <t xml:space="preserve"> - Collected as salary and converted to an hourly wage amount
</t>
    </r>
    <r>
      <rPr>
        <b/>
        <sz val="11"/>
        <color theme="1"/>
        <rFont val="Calibri"/>
        <family val="2"/>
        <scheme val="minor"/>
      </rPr>
      <t>03</t>
    </r>
    <r>
      <rPr>
        <sz val="11"/>
        <color theme="1"/>
        <rFont val="Calibri"/>
        <family val="2"/>
        <scheme val="minor"/>
      </rPr>
      <t xml:space="preserve"> - Collected in both methods but method not tracked on an individual record
</t>
    </r>
    <r>
      <rPr>
        <b/>
        <sz val="11"/>
        <color theme="1"/>
        <rFont val="Calibri"/>
        <family val="2"/>
        <scheme val="minor"/>
      </rPr>
      <t>99</t>
    </r>
    <r>
      <rPr>
        <sz val="11"/>
        <color theme="1"/>
        <rFont val="Calibri"/>
        <family val="2"/>
        <scheme val="minor"/>
      </rPr>
      <t xml:space="preserve"> - Wage data not present
</t>
    </r>
  </si>
  <si>
    <r>
      <t>01</t>
    </r>
    <r>
      <rPr>
        <sz val="11"/>
        <color theme="1"/>
        <rFont val="Calibri"/>
        <family val="2"/>
        <scheme val="minor"/>
      </rPr>
      <t xml:space="preserve"> - Verified
</t>
    </r>
    <r>
      <rPr>
        <b/>
        <sz val="11"/>
        <color theme="1"/>
        <rFont val="Calibri"/>
        <family val="2"/>
        <scheme val="minor"/>
      </rPr>
      <t>02</t>
    </r>
    <r>
      <rPr>
        <sz val="11"/>
        <color theme="1"/>
        <rFont val="Calibri"/>
        <family val="2"/>
        <scheme val="minor"/>
      </rPr>
      <t xml:space="preserve"> - Not verified
</t>
    </r>
    <r>
      <rPr>
        <b/>
        <sz val="11"/>
        <color theme="1"/>
        <rFont val="Calibri"/>
        <family val="2"/>
        <scheme val="minor"/>
      </rPr>
      <t>03</t>
    </r>
    <r>
      <rPr>
        <sz val="11"/>
        <color theme="1"/>
        <rFont val="Calibri"/>
        <family val="2"/>
        <scheme val="minor"/>
      </rPr>
      <t xml:space="preserve"> - Wage data not present
</t>
    </r>
  </si>
  <si>
    <r>
      <t>Firearm</t>
    </r>
    <r>
      <rPr>
        <sz val="11"/>
        <color theme="1"/>
        <rFont val="Calibri"/>
        <family val="2"/>
        <scheme val="minor"/>
      </rPr>
      <t xml:space="preserve"> - Firearm
</t>
    </r>
    <r>
      <rPr>
        <b/>
        <sz val="11"/>
        <color theme="1"/>
        <rFont val="Calibri"/>
        <family val="2"/>
        <scheme val="minor"/>
      </rPr>
      <t>Handgun</t>
    </r>
    <r>
      <rPr>
        <sz val="11"/>
        <color theme="1"/>
        <rFont val="Calibri"/>
        <family val="2"/>
        <scheme val="minor"/>
      </rPr>
      <t xml:space="preserve"> - Handgun
</t>
    </r>
    <r>
      <rPr>
        <b/>
        <sz val="11"/>
        <color theme="1"/>
        <rFont val="Calibri"/>
        <family val="2"/>
        <scheme val="minor"/>
      </rPr>
      <t>Shotgun</t>
    </r>
    <r>
      <rPr>
        <sz val="11"/>
        <color theme="1"/>
        <rFont val="Calibri"/>
        <family val="2"/>
        <scheme val="minor"/>
      </rPr>
      <t xml:space="preserve"> - Shotgun
</t>
    </r>
    <r>
      <rPr>
        <b/>
        <sz val="11"/>
        <color theme="1"/>
        <rFont val="Calibri"/>
        <family val="2"/>
        <scheme val="minor"/>
      </rPr>
      <t>Rifle</t>
    </r>
    <r>
      <rPr>
        <sz val="11"/>
        <color theme="1"/>
        <rFont val="Calibri"/>
        <family val="2"/>
        <scheme val="minor"/>
      </rPr>
      <t xml:space="preserve"> - Rifle
</t>
    </r>
    <r>
      <rPr>
        <b/>
        <sz val="11"/>
        <color theme="1"/>
        <rFont val="Calibri"/>
        <family val="2"/>
        <scheme val="minor"/>
      </rPr>
      <t>OtherFirearm</t>
    </r>
    <r>
      <rPr>
        <sz val="11"/>
        <color theme="1"/>
        <rFont val="Calibri"/>
        <family val="2"/>
        <scheme val="minor"/>
      </rPr>
      <t xml:space="preserve"> - Other Firearm
</t>
    </r>
    <r>
      <rPr>
        <b/>
        <sz val="11"/>
        <color theme="1"/>
        <rFont val="Calibri"/>
        <family val="2"/>
        <scheme val="minor"/>
      </rPr>
      <t>Knife</t>
    </r>
    <r>
      <rPr>
        <sz val="11"/>
        <color theme="1"/>
        <rFont val="Calibri"/>
        <family val="2"/>
        <scheme val="minor"/>
      </rPr>
      <t xml:space="preserve"> - Knife
</t>
    </r>
    <r>
      <rPr>
        <b/>
        <sz val="11"/>
        <color theme="1"/>
        <rFont val="Calibri"/>
        <family val="2"/>
        <scheme val="minor"/>
      </rPr>
      <t>KnifeLessThanTwoPointFiveInches</t>
    </r>
    <r>
      <rPr>
        <sz val="11"/>
        <color theme="1"/>
        <rFont val="Calibri"/>
        <family val="2"/>
        <scheme val="minor"/>
      </rPr>
      <t xml:space="preserve"> - Knife Less Than 2.5 Inches
</t>
    </r>
    <r>
      <rPr>
        <b/>
        <sz val="11"/>
        <color theme="1"/>
        <rFont val="Calibri"/>
        <family val="2"/>
        <scheme val="minor"/>
      </rPr>
      <t>KnifeLessThanThreeInches</t>
    </r>
    <r>
      <rPr>
        <sz val="11"/>
        <color theme="1"/>
        <rFont val="Calibri"/>
        <family val="2"/>
        <scheme val="minor"/>
      </rPr>
      <t xml:space="preserve"> - Knife Less Than Three Inches
</t>
    </r>
    <r>
      <rPr>
        <b/>
        <sz val="11"/>
        <color theme="1"/>
        <rFont val="Calibri"/>
        <family val="2"/>
        <scheme val="minor"/>
      </rPr>
      <t>KnifeGreaterThanThreeInches</t>
    </r>
    <r>
      <rPr>
        <sz val="11"/>
        <color theme="1"/>
        <rFont val="Calibri"/>
        <family val="2"/>
        <scheme val="minor"/>
      </rPr>
      <t xml:space="preserve"> - Knife Greater Than Three Inches
</t>
    </r>
    <r>
      <rPr>
        <b/>
        <sz val="11"/>
        <color theme="1"/>
        <rFont val="Calibri"/>
        <family val="2"/>
        <scheme val="minor"/>
      </rPr>
      <t>OtherSharpObject</t>
    </r>
    <r>
      <rPr>
        <sz val="11"/>
        <color theme="1"/>
        <rFont val="Calibri"/>
        <family val="2"/>
        <scheme val="minor"/>
      </rPr>
      <t xml:space="preserve"> - Other sharp object
</t>
    </r>
    <r>
      <rPr>
        <b/>
        <sz val="11"/>
        <color theme="1"/>
        <rFont val="Calibri"/>
        <family val="2"/>
        <scheme val="minor"/>
      </rPr>
      <t>OtherObject</t>
    </r>
    <r>
      <rPr>
        <sz val="11"/>
        <color theme="1"/>
        <rFont val="Calibri"/>
        <family val="2"/>
        <scheme val="minor"/>
      </rPr>
      <t xml:space="preserve"> - Other object
</t>
    </r>
    <r>
      <rPr>
        <b/>
        <sz val="11"/>
        <color theme="1"/>
        <rFont val="Calibri"/>
        <family val="2"/>
        <scheme val="minor"/>
      </rPr>
      <t>Substance</t>
    </r>
    <r>
      <rPr>
        <sz val="11"/>
        <color theme="1"/>
        <rFont val="Calibri"/>
        <family val="2"/>
        <scheme val="minor"/>
      </rPr>
      <t xml:space="preserve"> - Substance used as weapon
</t>
    </r>
    <r>
      <rPr>
        <b/>
        <sz val="11"/>
        <color theme="1"/>
        <rFont val="Calibri"/>
        <family val="2"/>
        <scheme val="minor"/>
      </rPr>
      <t>OtherWeapon</t>
    </r>
    <r>
      <rPr>
        <sz val="11"/>
        <color theme="1"/>
        <rFont val="Calibri"/>
        <family val="2"/>
        <scheme val="minor"/>
      </rPr>
      <t xml:space="preserve"> - Other weapon
</t>
    </r>
    <r>
      <rPr>
        <b/>
        <sz val="11"/>
        <color theme="1"/>
        <rFont val="Calibri"/>
        <family val="2"/>
        <scheme val="minor"/>
      </rPr>
      <t>None</t>
    </r>
    <r>
      <rPr>
        <sz val="11"/>
        <color theme="1"/>
        <rFont val="Calibri"/>
        <family val="2"/>
        <scheme val="minor"/>
      </rPr>
      <t xml:space="preserve"> - None
</t>
    </r>
    <r>
      <rPr>
        <b/>
        <sz val="11"/>
        <color theme="1"/>
        <rFont val="Calibri"/>
        <family val="2"/>
        <scheme val="minor"/>
      </rPr>
      <t>Unknown</t>
    </r>
    <r>
      <rPr>
        <sz val="11"/>
        <color theme="1"/>
        <rFont val="Calibri"/>
        <family val="2"/>
        <scheme val="minor"/>
      </rPr>
      <t xml:space="preserve"> - Unknown weapon
</t>
    </r>
  </si>
  <si>
    <r>
      <t>Apprenticeship</t>
    </r>
    <r>
      <rPr>
        <sz val="11"/>
        <color theme="1"/>
        <rFont val="Calibri"/>
        <family val="2"/>
        <scheme val="minor"/>
      </rPr>
      <t xml:space="preserve"> - Apprenticeship
</t>
    </r>
    <r>
      <rPr>
        <b/>
        <sz val="11"/>
        <color theme="1"/>
        <rFont val="Calibri"/>
        <family val="2"/>
        <scheme val="minor"/>
      </rPr>
      <t>ClinicalWork</t>
    </r>
    <r>
      <rPr>
        <sz val="11"/>
        <color theme="1"/>
        <rFont val="Calibri"/>
        <family val="2"/>
        <scheme val="minor"/>
      </rPr>
      <t xml:space="preserve"> - Clinical work experience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JobShadowing</t>
    </r>
    <r>
      <rPr>
        <sz val="11"/>
        <color theme="1"/>
        <rFont val="Calibri"/>
        <family val="2"/>
        <scheme val="minor"/>
      </rPr>
      <t xml:space="preserve"> - Job shadowing
</t>
    </r>
    <r>
      <rPr>
        <b/>
        <sz val="11"/>
        <color theme="1"/>
        <rFont val="Calibri"/>
        <family val="2"/>
        <scheme val="minor"/>
      </rPr>
      <t>Mentorship</t>
    </r>
    <r>
      <rPr>
        <sz val="11"/>
        <color theme="1"/>
        <rFont val="Calibri"/>
        <family val="2"/>
        <scheme val="minor"/>
      </rPr>
      <t xml:space="preserve"> - Mentorship
</t>
    </r>
    <r>
      <rPr>
        <b/>
        <sz val="11"/>
        <color theme="1"/>
        <rFont val="Calibri"/>
        <family val="2"/>
        <scheme val="minor"/>
      </rPr>
      <t>NonPaidInternship</t>
    </r>
    <r>
      <rPr>
        <sz val="11"/>
        <color theme="1"/>
        <rFont val="Calibri"/>
        <family val="2"/>
        <scheme val="minor"/>
      </rPr>
      <t xml:space="preserve"> - Non-Paid Internship
</t>
    </r>
    <r>
      <rPr>
        <b/>
        <sz val="11"/>
        <color theme="1"/>
        <rFont val="Calibri"/>
        <family val="2"/>
        <scheme val="minor"/>
      </rPr>
      <t>OnTheJob</t>
    </r>
    <r>
      <rPr>
        <sz val="11"/>
        <color theme="1"/>
        <rFont val="Calibri"/>
        <family val="2"/>
        <scheme val="minor"/>
      </rPr>
      <t xml:space="preserve"> - On-the-Job
</t>
    </r>
    <r>
      <rPr>
        <b/>
        <sz val="11"/>
        <color theme="1"/>
        <rFont val="Calibri"/>
        <family val="2"/>
        <scheme val="minor"/>
      </rPr>
      <t>PaidInternship</t>
    </r>
    <r>
      <rPr>
        <sz val="11"/>
        <color theme="1"/>
        <rFont val="Calibri"/>
        <family val="2"/>
        <scheme val="minor"/>
      </rPr>
      <t xml:space="preserve"> - Paid internship
</t>
    </r>
    <r>
      <rPr>
        <b/>
        <sz val="11"/>
        <color theme="1"/>
        <rFont val="Calibri"/>
        <family val="2"/>
        <scheme val="minor"/>
      </rPr>
      <t>ServiceLearning</t>
    </r>
    <r>
      <rPr>
        <sz val="11"/>
        <color theme="1"/>
        <rFont val="Calibri"/>
        <family val="2"/>
        <scheme val="minor"/>
      </rPr>
      <t xml:space="preserve"> - Service learning
</t>
    </r>
    <r>
      <rPr>
        <b/>
        <sz val="11"/>
        <color theme="1"/>
        <rFont val="Calibri"/>
        <family val="2"/>
        <scheme val="minor"/>
      </rPr>
      <t>SupervisedAgricultural</t>
    </r>
    <r>
      <rPr>
        <sz val="11"/>
        <color theme="1"/>
        <rFont val="Calibri"/>
        <family val="2"/>
        <scheme val="minor"/>
      </rPr>
      <t xml:space="preserve"> - Supervised agricultural experience
</t>
    </r>
    <r>
      <rPr>
        <b/>
        <sz val="11"/>
        <color theme="1"/>
        <rFont val="Calibri"/>
        <family val="2"/>
        <scheme val="minor"/>
      </rPr>
      <t>UnpaidInternship</t>
    </r>
    <r>
      <rPr>
        <sz val="11"/>
        <color theme="1"/>
        <rFont val="Calibri"/>
        <family val="2"/>
        <scheme val="minor"/>
      </rPr>
      <t xml:space="preserve"> - Unpaid internship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</si>
  <si>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Labor Exchange Services
</t>
    </r>
    <r>
      <rPr>
        <b/>
        <sz val="11"/>
        <color theme="1"/>
        <rFont val="Calibri"/>
        <family val="2"/>
        <scheme val="minor"/>
      </rPr>
      <t>02</t>
    </r>
    <r>
      <rPr>
        <sz val="11"/>
        <color theme="1"/>
        <rFont val="Calibri"/>
        <family val="2"/>
        <scheme val="minor"/>
      </rPr>
      <t xml:space="preserve"> - Adult Workforce Investment Act Program
</t>
    </r>
    <r>
      <rPr>
        <b/>
        <sz val="11"/>
        <color theme="1"/>
        <rFont val="Calibri"/>
        <family val="2"/>
        <scheme val="minor"/>
      </rPr>
      <t>03</t>
    </r>
    <r>
      <rPr>
        <sz val="11"/>
        <color theme="1"/>
        <rFont val="Calibri"/>
        <family val="2"/>
        <scheme val="minor"/>
      </rPr>
      <t xml:space="preserve"> - Dislocated Worker Workforce Investment Act Program
</t>
    </r>
    <r>
      <rPr>
        <b/>
        <sz val="11"/>
        <color theme="1"/>
        <rFont val="Calibri"/>
        <family val="2"/>
        <scheme val="minor"/>
      </rPr>
      <t>04</t>
    </r>
    <r>
      <rPr>
        <sz val="11"/>
        <color theme="1"/>
        <rFont val="Calibri"/>
        <family val="2"/>
        <scheme val="minor"/>
      </rPr>
      <t xml:space="preserve"> - Youth Workforce Investment Act Program
</t>
    </r>
    <r>
      <rPr>
        <b/>
        <sz val="11"/>
        <color theme="1"/>
        <rFont val="Calibri"/>
        <family val="2"/>
        <scheme val="minor"/>
      </rPr>
      <t>05</t>
    </r>
    <r>
      <rPr>
        <sz val="11"/>
        <color theme="1"/>
        <rFont val="Calibri"/>
        <family val="2"/>
        <scheme val="minor"/>
      </rPr>
      <t xml:space="preserve"> - Job Corps
</t>
    </r>
    <r>
      <rPr>
        <b/>
        <sz val="11"/>
        <color theme="1"/>
        <rFont val="Calibri"/>
        <family val="2"/>
        <scheme val="minor"/>
      </rPr>
      <t>06</t>
    </r>
    <r>
      <rPr>
        <sz val="11"/>
        <color theme="1"/>
        <rFont val="Calibri"/>
        <family val="2"/>
        <scheme val="minor"/>
      </rPr>
      <t xml:space="preserve"> - Adult Education and Literacy
</t>
    </r>
    <r>
      <rPr>
        <b/>
        <sz val="11"/>
        <color theme="1"/>
        <rFont val="Calibri"/>
        <family val="2"/>
        <scheme val="minor"/>
      </rPr>
      <t>07</t>
    </r>
    <r>
      <rPr>
        <sz val="11"/>
        <color theme="1"/>
        <rFont val="Calibri"/>
        <family val="2"/>
        <scheme val="minor"/>
      </rPr>
      <t xml:space="preserve"> - National Farmworker Jobs Program
</t>
    </r>
    <r>
      <rPr>
        <b/>
        <sz val="11"/>
        <color theme="1"/>
        <rFont val="Calibri"/>
        <family val="2"/>
        <scheme val="minor"/>
      </rPr>
      <t>08</t>
    </r>
    <r>
      <rPr>
        <sz val="11"/>
        <color theme="1"/>
        <rFont val="Calibri"/>
        <family val="2"/>
        <scheme val="minor"/>
      </rPr>
      <t xml:space="preserve"> - Indian and Native American Programs
</t>
    </r>
    <r>
      <rPr>
        <b/>
        <sz val="11"/>
        <color theme="1"/>
        <rFont val="Calibri"/>
        <family val="2"/>
        <scheme val="minor"/>
      </rPr>
      <t>09</t>
    </r>
    <r>
      <rPr>
        <sz val="11"/>
        <color theme="1"/>
        <rFont val="Calibri"/>
        <family val="2"/>
        <scheme val="minor"/>
      </rPr>
      <t xml:space="preserve"> - Veteran's Programs
</t>
    </r>
    <r>
      <rPr>
        <b/>
        <sz val="11"/>
        <color theme="1"/>
        <rFont val="Calibri"/>
        <family val="2"/>
        <scheme val="minor"/>
      </rPr>
      <t>10</t>
    </r>
    <r>
      <rPr>
        <sz val="11"/>
        <color theme="1"/>
        <rFont val="Calibri"/>
        <family val="2"/>
        <scheme val="minor"/>
      </rPr>
      <t xml:space="preserve"> - Trade Adjustment Assistance Program
</t>
    </r>
    <r>
      <rPr>
        <b/>
        <sz val="11"/>
        <color theme="1"/>
        <rFont val="Calibri"/>
        <family val="2"/>
        <scheme val="minor"/>
      </rPr>
      <t>11</t>
    </r>
    <r>
      <rPr>
        <sz val="11"/>
        <color theme="1"/>
        <rFont val="Calibri"/>
        <family val="2"/>
        <scheme val="minor"/>
      </rPr>
      <t xml:space="preserve"> - YouthBuild Program
</t>
    </r>
    <r>
      <rPr>
        <b/>
        <sz val="11"/>
        <color theme="1"/>
        <rFont val="Calibri"/>
        <family val="2"/>
        <scheme val="minor"/>
      </rPr>
      <t>12</t>
    </r>
    <r>
      <rPr>
        <sz val="11"/>
        <color theme="1"/>
        <rFont val="Calibri"/>
        <family val="2"/>
        <scheme val="minor"/>
      </rPr>
      <t xml:space="preserve"> - Title V Older Worker Program
</t>
    </r>
    <r>
      <rPr>
        <b/>
        <sz val="11"/>
        <color theme="1"/>
        <rFont val="Calibri"/>
        <family val="2"/>
        <scheme val="minor"/>
      </rPr>
      <t>13</t>
    </r>
    <r>
      <rPr>
        <sz val="11"/>
        <color theme="1"/>
        <rFont val="Calibri"/>
        <family val="2"/>
        <scheme val="minor"/>
      </rPr>
      <t xml:space="preserve"> - Registered Apprenticeship
</t>
    </r>
    <r>
      <rPr>
        <b/>
        <sz val="11"/>
        <color theme="1"/>
        <rFont val="Calibri"/>
        <family val="2"/>
        <scheme val="minor"/>
      </rPr>
      <t>14</t>
    </r>
    <r>
      <rPr>
        <sz val="11"/>
        <color theme="1"/>
        <rFont val="Calibri"/>
        <family val="2"/>
        <scheme val="minor"/>
      </rPr>
      <t xml:space="preserve"> - Non-traditional Apprenticeship
</t>
    </r>
    <r>
      <rPr>
        <b/>
        <sz val="11"/>
        <color theme="1"/>
        <rFont val="Calibri"/>
        <family val="2"/>
        <scheme val="minor"/>
      </rPr>
      <t>15</t>
    </r>
    <r>
      <rPr>
        <sz val="11"/>
        <color theme="1"/>
        <rFont val="Calibri"/>
        <family val="2"/>
        <scheme val="minor"/>
      </rPr>
      <t xml:space="preserve"> - Vocational Rehabilitation
</t>
    </r>
    <r>
      <rPr>
        <b/>
        <sz val="11"/>
        <color theme="1"/>
        <rFont val="Calibri"/>
        <family val="2"/>
        <scheme val="minor"/>
      </rPr>
      <t>16</t>
    </r>
    <r>
      <rPr>
        <sz val="11"/>
        <color theme="1"/>
        <rFont val="Calibri"/>
        <family val="2"/>
        <scheme val="minor"/>
      </rPr>
      <t xml:space="preserve"> - Food Stamp Employment and Training Program
</t>
    </r>
    <r>
      <rPr>
        <b/>
        <sz val="11"/>
        <color theme="1"/>
        <rFont val="Calibri"/>
        <family val="2"/>
        <scheme val="minor"/>
      </rPr>
      <t>17</t>
    </r>
    <r>
      <rPr>
        <sz val="11"/>
        <color theme="1"/>
        <rFont val="Calibri"/>
        <family val="2"/>
        <scheme val="minor"/>
      </rPr>
      <t xml:space="preserve"> - TANF Employment and Training Program
</t>
    </r>
    <r>
      <rPr>
        <b/>
        <sz val="11"/>
        <color theme="1"/>
        <rFont val="Calibri"/>
        <family val="2"/>
        <scheme val="minor"/>
      </rPr>
      <t>18</t>
    </r>
    <r>
      <rPr>
        <sz val="11"/>
        <color theme="1"/>
        <rFont val="Calibri"/>
        <family val="2"/>
        <scheme val="minor"/>
      </rPr>
      <t xml:space="preserve"> - Other On-The-Job training Program
</t>
    </r>
    <r>
      <rPr>
        <b/>
        <sz val="11"/>
        <color theme="1"/>
        <rFont val="Calibri"/>
        <family val="2"/>
        <scheme val="minor"/>
      </rPr>
      <t>19</t>
    </r>
    <r>
      <rPr>
        <sz val="11"/>
        <color theme="1"/>
        <rFont val="Calibri"/>
        <family val="2"/>
        <scheme val="minor"/>
      </rPr>
      <t xml:space="preserve"> - Other Workforce Related Employment and Training Program
</t>
    </r>
    <r>
      <rPr>
        <b/>
        <sz val="11"/>
        <color theme="1"/>
        <rFont val="Calibri"/>
        <family val="2"/>
        <scheme val="minor"/>
      </rPr>
      <t>99</t>
    </r>
    <r>
      <rPr>
        <sz val="11"/>
        <color theme="1"/>
        <rFont val="Calibri"/>
        <family val="2"/>
        <scheme val="minor"/>
      </rPr>
      <t xml:space="preserve"> - No identified services
</t>
    </r>
  </si>
  <si>
    <r>
      <t>AbsenteeShawnee</t>
    </r>
    <r>
      <rPr>
        <sz val="11"/>
        <color theme="1"/>
        <rFont val="Calibri"/>
        <family val="2"/>
        <scheme val="minor"/>
      </rPr>
      <t xml:space="preserve"> - Absentee-Shawnee Tribe of Indians
</t>
    </r>
    <r>
      <rPr>
        <b/>
        <sz val="11"/>
        <color theme="1"/>
        <rFont val="Calibri"/>
        <family val="2"/>
        <scheme val="minor"/>
      </rPr>
      <t>AgdaaguxTribeofKingCove</t>
    </r>
    <r>
      <rPr>
        <sz val="11"/>
        <color theme="1"/>
        <rFont val="Calibri"/>
        <family val="2"/>
        <scheme val="minor"/>
      </rPr>
      <t xml:space="preserve"> - Agdaagux Tribe of King Cove
</t>
    </r>
    <r>
      <rPr>
        <b/>
        <sz val="11"/>
        <color theme="1"/>
        <rFont val="Calibri"/>
        <family val="2"/>
        <scheme val="minor"/>
      </rPr>
      <t>AguaCalienteBandofCahuilla</t>
    </r>
    <r>
      <rPr>
        <sz val="11"/>
        <color theme="1"/>
        <rFont val="Calibri"/>
        <family val="2"/>
        <scheme val="minor"/>
      </rPr>
      <t xml:space="preserve"> - Agua Caliente Band of Cahuilla Indians of the Agua Caliente Indian Reservation
</t>
    </r>
    <r>
      <rPr>
        <b/>
        <sz val="11"/>
        <color theme="1"/>
        <rFont val="Calibri"/>
        <family val="2"/>
        <scheme val="minor"/>
      </rPr>
      <t>AkChinIndianCommunityoftheMaricopa</t>
    </r>
    <r>
      <rPr>
        <sz val="11"/>
        <color theme="1"/>
        <rFont val="Calibri"/>
        <family val="2"/>
        <scheme val="minor"/>
      </rPr>
      <t xml:space="preserve"> - Ak Chin Indian Community of the Maricopa (Ak Chin) Indian Reservation
</t>
    </r>
    <r>
      <rPr>
        <b/>
        <sz val="11"/>
        <color theme="1"/>
        <rFont val="Calibri"/>
        <family val="2"/>
        <scheme val="minor"/>
      </rPr>
      <t>AkiachakNativeCommunity</t>
    </r>
    <r>
      <rPr>
        <sz val="11"/>
        <color theme="1"/>
        <rFont val="Calibri"/>
        <family val="2"/>
        <scheme val="minor"/>
      </rPr>
      <t xml:space="preserve"> - Akiachak Native Community
</t>
    </r>
    <r>
      <rPr>
        <b/>
        <sz val="11"/>
        <color theme="1"/>
        <rFont val="Calibri"/>
        <family val="2"/>
        <scheme val="minor"/>
      </rPr>
      <t>AkiakNativeCommunity</t>
    </r>
    <r>
      <rPr>
        <sz val="11"/>
        <color theme="1"/>
        <rFont val="Calibri"/>
        <family val="2"/>
        <scheme val="minor"/>
      </rPr>
      <t xml:space="preserve"> - Akiak Native Community
</t>
    </r>
    <r>
      <rPr>
        <b/>
        <sz val="11"/>
        <color theme="1"/>
        <rFont val="Calibri"/>
        <family val="2"/>
        <scheme val="minor"/>
      </rPr>
      <t>AlabamaCoushattaTribeofTexas</t>
    </r>
    <r>
      <rPr>
        <sz val="11"/>
        <color theme="1"/>
        <rFont val="Calibri"/>
        <family val="2"/>
        <scheme val="minor"/>
      </rPr>
      <t xml:space="preserve"> - Alabama-Coushatta Tribe of Texas
</t>
    </r>
    <r>
      <rPr>
        <b/>
        <sz val="11"/>
        <color theme="1"/>
        <rFont val="Calibri"/>
        <family val="2"/>
        <scheme val="minor"/>
      </rPr>
      <t>AlabamaQuassarteTribalTown</t>
    </r>
    <r>
      <rPr>
        <sz val="11"/>
        <color theme="1"/>
        <rFont val="Calibri"/>
        <family val="2"/>
        <scheme val="minor"/>
      </rPr>
      <t xml:space="preserve"> - Alabama-Quassarte Tribal Town
</t>
    </r>
    <r>
      <rPr>
        <b/>
        <sz val="11"/>
        <color theme="1"/>
        <rFont val="Calibri"/>
        <family val="2"/>
        <scheme val="minor"/>
      </rPr>
      <t>AlatnaVillage</t>
    </r>
    <r>
      <rPr>
        <sz val="11"/>
        <color theme="1"/>
        <rFont val="Calibri"/>
        <family val="2"/>
        <scheme val="minor"/>
      </rPr>
      <t xml:space="preserve"> - Alatna Village
</t>
    </r>
    <r>
      <rPr>
        <b/>
        <sz val="11"/>
        <color theme="1"/>
        <rFont val="Calibri"/>
        <family val="2"/>
        <scheme val="minor"/>
      </rPr>
      <t>AlgaaciqNativeVillage</t>
    </r>
    <r>
      <rPr>
        <sz val="11"/>
        <color theme="1"/>
        <rFont val="Calibri"/>
        <family val="2"/>
        <scheme val="minor"/>
      </rPr>
      <t xml:space="preserve"> - Algaaciq Native Village (St. Mary's)
</t>
    </r>
    <r>
      <rPr>
        <b/>
        <sz val="11"/>
        <color theme="1"/>
        <rFont val="Calibri"/>
        <family val="2"/>
        <scheme val="minor"/>
      </rPr>
      <t>AllakaketVillage</t>
    </r>
    <r>
      <rPr>
        <sz val="11"/>
        <color theme="1"/>
        <rFont val="Calibri"/>
        <family val="2"/>
        <scheme val="minor"/>
      </rPr>
      <t xml:space="preserve"> - Allakaket Village
</t>
    </r>
    <r>
      <rPr>
        <b/>
        <sz val="11"/>
        <color theme="1"/>
        <rFont val="Calibri"/>
        <family val="2"/>
        <scheme val="minor"/>
      </rPr>
      <t>AlturasIndianRancheria</t>
    </r>
    <r>
      <rPr>
        <sz val="11"/>
        <color theme="1"/>
        <rFont val="Calibri"/>
        <family val="2"/>
        <scheme val="minor"/>
      </rPr>
      <t xml:space="preserve"> - Alturas Indian Rancheria
</t>
    </r>
    <r>
      <rPr>
        <b/>
        <sz val="11"/>
        <color theme="1"/>
        <rFont val="Calibri"/>
        <family val="2"/>
        <scheme val="minor"/>
      </rPr>
      <t>AngoonCommunityAssociation</t>
    </r>
    <r>
      <rPr>
        <sz val="11"/>
        <color theme="1"/>
        <rFont val="Calibri"/>
        <family val="2"/>
        <scheme val="minor"/>
      </rPr>
      <t xml:space="preserve"> - Angoon Community Association
</t>
    </r>
    <r>
      <rPr>
        <b/>
        <sz val="11"/>
        <color theme="1"/>
        <rFont val="Calibri"/>
        <family val="2"/>
        <scheme val="minor"/>
      </rPr>
      <t>AnvikVillage</t>
    </r>
    <r>
      <rPr>
        <sz val="11"/>
        <color theme="1"/>
        <rFont val="Calibri"/>
        <family val="2"/>
        <scheme val="minor"/>
      </rPr>
      <t xml:space="preserve"> - Anvik Village
</t>
    </r>
    <r>
      <rPr>
        <b/>
        <sz val="11"/>
        <color theme="1"/>
        <rFont val="Calibri"/>
        <family val="2"/>
        <scheme val="minor"/>
      </rPr>
      <t>ApacheTribeofOklahoma</t>
    </r>
    <r>
      <rPr>
        <sz val="11"/>
        <color theme="1"/>
        <rFont val="Calibri"/>
        <family val="2"/>
        <scheme val="minor"/>
      </rPr>
      <t xml:space="preserve"> - Apache Tribe of Oklahoma
</t>
    </r>
    <r>
      <rPr>
        <b/>
        <sz val="11"/>
        <color theme="1"/>
        <rFont val="Calibri"/>
        <family val="2"/>
        <scheme val="minor"/>
      </rPr>
      <t>ArapahoWindRiver</t>
    </r>
    <r>
      <rPr>
        <sz val="11"/>
        <color theme="1"/>
        <rFont val="Calibri"/>
        <family val="2"/>
        <scheme val="minor"/>
      </rPr>
      <t xml:space="preserve"> - Arapaho Tribe of the Wind River Reservation
</t>
    </r>
    <r>
      <rPr>
        <b/>
        <sz val="11"/>
        <color theme="1"/>
        <rFont val="Calibri"/>
        <family val="2"/>
        <scheme val="minor"/>
      </rPr>
      <t>ArcticVillage</t>
    </r>
    <r>
      <rPr>
        <sz val="11"/>
        <color theme="1"/>
        <rFont val="Calibri"/>
        <family val="2"/>
        <scheme val="minor"/>
      </rPr>
      <t xml:space="preserve"> - Arctic Village (See Native Village of Venetie Tribal Government)
</t>
    </r>
    <r>
      <rPr>
        <b/>
        <sz val="11"/>
        <color theme="1"/>
        <rFont val="Calibri"/>
        <family val="2"/>
        <scheme val="minor"/>
      </rPr>
      <t>AroostookBandofMicmac</t>
    </r>
    <r>
      <rPr>
        <sz val="11"/>
        <color theme="1"/>
        <rFont val="Calibri"/>
        <family val="2"/>
        <scheme val="minor"/>
      </rPr>
      <t xml:space="preserve"> - Aroostook Band of Micmac Indians
</t>
    </r>
    <r>
      <rPr>
        <b/>
        <sz val="11"/>
        <color theme="1"/>
        <rFont val="Calibri"/>
        <family val="2"/>
        <scheme val="minor"/>
      </rPr>
      <t>AsacarsarmiutTribe</t>
    </r>
    <r>
      <rPr>
        <sz val="11"/>
        <color theme="1"/>
        <rFont val="Calibri"/>
        <family val="2"/>
        <scheme val="minor"/>
      </rPr>
      <t xml:space="preserve"> - Asa'carsarmiut Tribe
</t>
    </r>
    <r>
      <rPr>
        <b/>
        <sz val="11"/>
        <color theme="1"/>
        <rFont val="Calibri"/>
        <family val="2"/>
        <scheme val="minor"/>
      </rPr>
      <t>AssiniboineandSiouxFortPeck</t>
    </r>
    <r>
      <rPr>
        <sz val="11"/>
        <color theme="1"/>
        <rFont val="Calibri"/>
        <family val="2"/>
        <scheme val="minor"/>
      </rPr>
      <t xml:space="preserve"> - Assiniboine and Sioux Tribes of the Fort Peck Indian Reservation
</t>
    </r>
    <r>
      <rPr>
        <b/>
        <sz val="11"/>
        <color theme="1"/>
        <rFont val="Calibri"/>
        <family val="2"/>
        <scheme val="minor"/>
      </rPr>
      <t>AtqasukVillage</t>
    </r>
    <r>
      <rPr>
        <sz val="11"/>
        <color theme="1"/>
        <rFont val="Calibri"/>
        <family val="2"/>
        <scheme val="minor"/>
      </rPr>
      <t xml:space="preserve"> - Atqasuk Village (Atkasook)
</t>
    </r>
    <r>
      <rPr>
        <b/>
        <sz val="11"/>
        <color theme="1"/>
        <rFont val="Calibri"/>
        <family val="2"/>
        <scheme val="minor"/>
      </rPr>
      <t>AugustineBandofCahuilla</t>
    </r>
    <r>
      <rPr>
        <sz val="11"/>
        <color theme="1"/>
        <rFont val="Calibri"/>
        <family val="2"/>
        <scheme val="minor"/>
      </rPr>
      <t xml:space="preserve"> - Augustine Band of Cahuilla Indians 
</t>
    </r>
    <r>
      <rPr>
        <b/>
        <sz val="11"/>
        <color theme="1"/>
        <rFont val="Calibri"/>
        <family val="2"/>
        <scheme val="minor"/>
      </rPr>
      <t>BadRiverBandoftheLakeSuperiorTribe</t>
    </r>
    <r>
      <rPr>
        <sz val="11"/>
        <color theme="1"/>
        <rFont val="Calibri"/>
        <family val="2"/>
        <scheme val="minor"/>
      </rPr>
      <t xml:space="preserve"> - Bad River Band of the Lake Superior Tribe of Chippewa Indians of the Bad River Reservation
</t>
    </r>
    <r>
      <rPr>
        <b/>
        <sz val="11"/>
        <color theme="1"/>
        <rFont val="Calibri"/>
        <family val="2"/>
        <scheme val="minor"/>
      </rPr>
      <t>BayMillsIndianCommunity</t>
    </r>
    <r>
      <rPr>
        <sz val="11"/>
        <color theme="1"/>
        <rFont val="Calibri"/>
        <family val="2"/>
        <scheme val="minor"/>
      </rPr>
      <t xml:space="preserve"> - Bay Mills Indian Community
</t>
    </r>
    <r>
      <rPr>
        <b/>
        <sz val="11"/>
        <color theme="1"/>
        <rFont val="Calibri"/>
        <family val="2"/>
        <scheme val="minor"/>
      </rPr>
      <t>BearRiverBandoftheRohnervilleRancheria</t>
    </r>
    <r>
      <rPr>
        <sz val="11"/>
        <color theme="1"/>
        <rFont val="Calibri"/>
        <family val="2"/>
        <scheme val="minor"/>
      </rPr>
      <t xml:space="preserve"> - Bear River Band of the Rohnerville Rancheria
</t>
    </r>
    <r>
      <rPr>
        <b/>
        <sz val="11"/>
        <color theme="1"/>
        <rFont val="Calibri"/>
        <family val="2"/>
        <scheme val="minor"/>
      </rPr>
      <t>BeaverVillage</t>
    </r>
    <r>
      <rPr>
        <sz val="11"/>
        <color theme="1"/>
        <rFont val="Calibri"/>
        <family val="2"/>
        <scheme val="minor"/>
      </rPr>
      <t xml:space="preserve"> - Beaver Village
</t>
    </r>
    <r>
      <rPr>
        <b/>
        <sz val="11"/>
        <color theme="1"/>
        <rFont val="Calibri"/>
        <family val="2"/>
        <scheme val="minor"/>
      </rPr>
      <t>BerryCreekRancheriaofMaidu</t>
    </r>
    <r>
      <rPr>
        <sz val="11"/>
        <color theme="1"/>
        <rFont val="Calibri"/>
        <family val="2"/>
        <scheme val="minor"/>
      </rPr>
      <t xml:space="preserve"> - Berry Creek Rancheria of Maidu Indians of California
</t>
    </r>
    <r>
      <rPr>
        <b/>
        <sz val="11"/>
        <color theme="1"/>
        <rFont val="Calibri"/>
        <family val="2"/>
        <scheme val="minor"/>
      </rPr>
      <t>BigLagoonRancheria</t>
    </r>
    <r>
      <rPr>
        <sz val="11"/>
        <color theme="1"/>
        <rFont val="Calibri"/>
        <family val="2"/>
        <scheme val="minor"/>
      </rPr>
      <t xml:space="preserve"> - Big Lagoon Rancheria
</t>
    </r>
    <r>
      <rPr>
        <b/>
        <sz val="11"/>
        <color theme="1"/>
        <rFont val="Calibri"/>
        <family val="2"/>
        <scheme val="minor"/>
      </rPr>
      <t>BigPineBandPaiuteOwensValley</t>
    </r>
    <r>
      <rPr>
        <sz val="11"/>
        <color theme="1"/>
        <rFont val="Calibri"/>
        <family val="2"/>
        <scheme val="minor"/>
      </rPr>
      <t xml:space="preserve"> - Big Pine Band Paiute Tribe of the Owens Valley
</t>
    </r>
    <r>
      <rPr>
        <b/>
        <sz val="11"/>
        <color theme="1"/>
        <rFont val="Calibri"/>
        <family val="2"/>
        <scheme val="minor"/>
      </rPr>
      <t>BigSandyRancheriaofWesternMono</t>
    </r>
    <r>
      <rPr>
        <sz val="11"/>
        <color theme="1"/>
        <rFont val="Calibri"/>
        <family val="2"/>
        <scheme val="minor"/>
      </rPr>
      <t xml:space="preserve"> - Big Sandy Rancheria of Western Mono Indians of California
</t>
    </r>
    <r>
      <rPr>
        <b/>
        <sz val="11"/>
        <color theme="1"/>
        <rFont val="Calibri"/>
        <family val="2"/>
        <scheme val="minor"/>
      </rPr>
      <t>BigValleyBandofPomo</t>
    </r>
    <r>
      <rPr>
        <sz val="11"/>
        <color theme="1"/>
        <rFont val="Calibri"/>
        <family val="2"/>
        <scheme val="minor"/>
      </rPr>
      <t xml:space="preserve"> - Big Valley Band of Pomo Indians of the Big Valley Rancheria
</t>
    </r>
    <r>
      <rPr>
        <b/>
        <sz val="11"/>
        <color theme="1"/>
        <rFont val="Calibri"/>
        <family val="2"/>
        <scheme val="minor"/>
      </rPr>
      <t>BirchCreekTribe</t>
    </r>
    <r>
      <rPr>
        <sz val="11"/>
        <color theme="1"/>
        <rFont val="Calibri"/>
        <family val="2"/>
        <scheme val="minor"/>
      </rPr>
      <t xml:space="preserve"> - Birch Creek Tribe
</t>
    </r>
    <r>
      <rPr>
        <b/>
        <sz val="11"/>
        <color theme="1"/>
        <rFont val="Calibri"/>
        <family val="2"/>
        <scheme val="minor"/>
      </rPr>
      <t>BishopPauiteTribe</t>
    </r>
    <r>
      <rPr>
        <sz val="11"/>
        <color theme="1"/>
        <rFont val="Calibri"/>
        <family val="2"/>
        <scheme val="minor"/>
      </rPr>
      <t xml:space="preserve"> - Bishop Pauite Tribe (previously listed as Paiute-Shoshone Indians of the Bishop Community of the Bishop Colony)
</t>
    </r>
    <r>
      <rPr>
        <b/>
        <sz val="11"/>
        <color theme="1"/>
        <rFont val="Calibri"/>
        <family val="2"/>
        <scheme val="minor"/>
      </rPr>
      <t>BlackfeetBlackfeet</t>
    </r>
    <r>
      <rPr>
        <sz val="11"/>
        <color theme="1"/>
        <rFont val="Calibri"/>
        <family val="2"/>
        <scheme val="minor"/>
      </rPr>
      <t xml:space="preserve"> - Blackfeet Tribe of the Blackfeet Indian Reservation of Montana
</t>
    </r>
    <r>
      <rPr>
        <b/>
        <sz val="11"/>
        <color theme="1"/>
        <rFont val="Calibri"/>
        <family val="2"/>
        <scheme val="minor"/>
      </rPr>
      <t>BlueLakeRancheria</t>
    </r>
    <r>
      <rPr>
        <sz val="11"/>
        <color theme="1"/>
        <rFont val="Calibri"/>
        <family val="2"/>
        <scheme val="minor"/>
      </rPr>
      <t xml:space="preserve"> - Blue Lake Rancheria
</t>
    </r>
    <r>
      <rPr>
        <b/>
        <sz val="11"/>
        <color theme="1"/>
        <rFont val="Calibri"/>
        <family val="2"/>
        <scheme val="minor"/>
      </rPr>
      <t>BridgeportIndianColony</t>
    </r>
    <r>
      <rPr>
        <sz val="11"/>
        <color theme="1"/>
        <rFont val="Calibri"/>
        <family val="2"/>
        <scheme val="minor"/>
      </rPr>
      <t xml:space="preserve"> - Bridgeport Indian Colony
</t>
    </r>
    <r>
      <rPr>
        <b/>
        <sz val="11"/>
        <color theme="1"/>
        <rFont val="Calibri"/>
        <family val="2"/>
        <scheme val="minor"/>
      </rPr>
      <t>BuenaVistaRancheriaofMeWuk</t>
    </r>
    <r>
      <rPr>
        <sz val="11"/>
        <color theme="1"/>
        <rFont val="Calibri"/>
        <family val="2"/>
        <scheme val="minor"/>
      </rPr>
      <t xml:space="preserve"> - Buena Vista Rancheria of Me-Wuk Indians of California
</t>
    </r>
    <r>
      <rPr>
        <b/>
        <sz val="11"/>
        <color theme="1"/>
        <rFont val="Calibri"/>
        <family val="2"/>
        <scheme val="minor"/>
      </rPr>
      <t>BurnsPaiuteTribe</t>
    </r>
    <r>
      <rPr>
        <sz val="11"/>
        <color theme="1"/>
        <rFont val="Calibri"/>
        <family val="2"/>
        <scheme val="minor"/>
      </rPr>
      <t xml:space="preserve"> - Burns Paiute Tribe
</t>
    </r>
    <r>
      <rPr>
        <b/>
        <sz val="11"/>
        <color theme="1"/>
        <rFont val="Calibri"/>
        <family val="2"/>
        <scheme val="minor"/>
      </rPr>
      <t>CabazonBandofMission</t>
    </r>
    <r>
      <rPr>
        <sz val="11"/>
        <color theme="1"/>
        <rFont val="Calibri"/>
        <family val="2"/>
        <scheme val="minor"/>
      </rPr>
      <t xml:space="preserve"> - Cabazon Band of  Mission Indians
</t>
    </r>
    <r>
      <rPr>
        <b/>
        <sz val="11"/>
        <color theme="1"/>
        <rFont val="Calibri"/>
        <family val="2"/>
        <scheme val="minor"/>
      </rPr>
      <t>CachilDeHeBandofWintun</t>
    </r>
    <r>
      <rPr>
        <sz val="11"/>
        <color theme="1"/>
        <rFont val="Calibri"/>
        <family val="2"/>
        <scheme val="minor"/>
      </rPr>
      <t xml:space="preserve"> - Cachil DeHe Band of Wintun Indians of the Colusa Indian Community of the Colusa Rancheria
</t>
    </r>
    <r>
      <rPr>
        <b/>
        <sz val="11"/>
        <color theme="1"/>
        <rFont val="Calibri"/>
        <family val="2"/>
        <scheme val="minor"/>
      </rPr>
      <t>CaddoNationofOklahoma</t>
    </r>
    <r>
      <rPr>
        <sz val="11"/>
        <color theme="1"/>
        <rFont val="Calibri"/>
        <family val="2"/>
        <scheme val="minor"/>
      </rPr>
      <t xml:space="preserve"> - Caddo Nation of Oklahoma
</t>
    </r>
    <r>
      <rPr>
        <b/>
        <sz val="11"/>
        <color theme="1"/>
        <rFont val="Calibri"/>
        <family val="2"/>
        <scheme val="minor"/>
      </rPr>
      <t>CahtoIndianLaytonvilleRancheria</t>
    </r>
    <r>
      <rPr>
        <sz val="11"/>
        <color theme="1"/>
        <rFont val="Calibri"/>
        <family val="2"/>
        <scheme val="minor"/>
      </rPr>
      <t xml:space="preserve"> - Cahto Indian Tribe of the Laytonville Rancheria
</t>
    </r>
    <r>
      <rPr>
        <b/>
        <sz val="11"/>
        <color theme="1"/>
        <rFont val="Calibri"/>
        <family val="2"/>
        <scheme val="minor"/>
      </rPr>
      <t>CahuillaBandofMission</t>
    </r>
    <r>
      <rPr>
        <sz val="11"/>
        <color theme="1"/>
        <rFont val="Calibri"/>
        <family val="2"/>
        <scheme val="minor"/>
      </rPr>
      <t xml:space="preserve"> - Cahuilla Band of Mission Indians of the Cahuilla Reservation
</t>
    </r>
    <r>
      <rPr>
        <b/>
        <sz val="11"/>
        <color theme="1"/>
        <rFont val="Calibri"/>
        <family val="2"/>
        <scheme val="minor"/>
      </rPr>
      <t>CaliforniaValleyMiwokTribe</t>
    </r>
    <r>
      <rPr>
        <sz val="11"/>
        <color theme="1"/>
        <rFont val="Calibri"/>
        <family val="2"/>
        <scheme val="minor"/>
      </rPr>
      <t xml:space="preserve"> - California Valley Miwok Tribe 
</t>
    </r>
    <r>
      <rPr>
        <b/>
        <sz val="11"/>
        <color theme="1"/>
        <rFont val="Calibri"/>
        <family val="2"/>
        <scheme val="minor"/>
      </rPr>
      <t>CampoBandofDiegueñoMission</t>
    </r>
    <r>
      <rPr>
        <sz val="11"/>
        <color theme="1"/>
        <rFont val="Calibri"/>
        <family val="2"/>
        <scheme val="minor"/>
      </rPr>
      <t xml:space="preserve"> - Campo Band of Diegueño Mission Indians of the Campo Indian Reservation
</t>
    </r>
    <r>
      <rPr>
        <b/>
        <sz val="11"/>
        <color theme="1"/>
        <rFont val="Calibri"/>
        <family val="2"/>
        <scheme val="minor"/>
      </rPr>
      <t>CapitanGrandeBandofDiegueñoMission</t>
    </r>
    <r>
      <rPr>
        <sz val="11"/>
        <color theme="1"/>
        <rFont val="Calibri"/>
        <family val="2"/>
        <scheme val="minor"/>
      </rPr>
      <t xml:space="preserve"> - Capitan Grande Band of Diegueño Mission Indians of California:Barona Group of Capitan Grande Band of Mission Indians of the Barona Reservation; Viejas (Baron Long) Group of Capitan Grande Band of Mission Indians of the Viejas Reservation
</t>
    </r>
    <r>
      <rPr>
        <b/>
        <sz val="11"/>
        <color theme="1"/>
        <rFont val="Calibri"/>
        <family val="2"/>
        <scheme val="minor"/>
      </rPr>
      <t>CatawbaIndianNation</t>
    </r>
    <r>
      <rPr>
        <sz val="11"/>
        <color theme="1"/>
        <rFont val="Calibri"/>
        <family val="2"/>
        <scheme val="minor"/>
      </rPr>
      <t xml:space="preserve"> - Catawba Indian Nation (Catawba Tribe of South Carolina)
</t>
    </r>
    <r>
      <rPr>
        <b/>
        <sz val="11"/>
        <color theme="1"/>
        <rFont val="Calibri"/>
        <family val="2"/>
        <scheme val="minor"/>
      </rPr>
      <t>CayugaNation</t>
    </r>
    <r>
      <rPr>
        <sz val="11"/>
        <color theme="1"/>
        <rFont val="Calibri"/>
        <family val="2"/>
        <scheme val="minor"/>
      </rPr>
      <t xml:space="preserve"> - Cayuga Nation
</t>
    </r>
    <r>
      <rPr>
        <b/>
        <sz val="11"/>
        <color theme="1"/>
        <rFont val="Calibri"/>
        <family val="2"/>
        <scheme val="minor"/>
      </rPr>
      <t>CedarvilleRancheria</t>
    </r>
    <r>
      <rPr>
        <sz val="11"/>
        <color theme="1"/>
        <rFont val="Calibri"/>
        <family val="2"/>
        <scheme val="minor"/>
      </rPr>
      <t xml:space="preserve"> - Cedarville Rancheria
</t>
    </r>
    <r>
      <rPr>
        <b/>
        <sz val="11"/>
        <color theme="1"/>
        <rFont val="Calibri"/>
        <family val="2"/>
        <scheme val="minor"/>
      </rPr>
      <t>CentralCounciloftheTlingit&amp;HaidaIndianTribes</t>
    </r>
    <r>
      <rPr>
        <sz val="11"/>
        <color theme="1"/>
        <rFont val="Calibri"/>
        <family val="2"/>
        <scheme val="minor"/>
      </rPr>
      <t>- Central Council of the Tlingit &amp; Haida Indian Tribes</t>
    </r>
  </si>
  <si>
    <r>
      <t>ChalkyitsikVillage</t>
    </r>
    <r>
      <rPr>
        <sz val="11"/>
        <color theme="1"/>
        <rFont val="Calibri"/>
        <family val="2"/>
        <scheme val="minor"/>
      </rPr>
      <t xml:space="preserve"> - Chalkyitsik Village
</t>
    </r>
    <r>
      <rPr>
        <b/>
        <sz val="11"/>
        <color theme="1"/>
        <rFont val="Calibri"/>
        <family val="2"/>
        <scheme val="minor"/>
      </rPr>
      <t>CheeshNaTribe</t>
    </r>
    <r>
      <rPr>
        <sz val="11"/>
        <color theme="1"/>
        <rFont val="Calibri"/>
        <family val="2"/>
        <scheme val="minor"/>
      </rPr>
      <t xml:space="preserve"> - Cheesh-Na Tribe (formerly the Native Village of Chistochina)
</t>
    </r>
    <r>
      <rPr>
        <b/>
        <sz val="11"/>
        <color theme="1"/>
        <rFont val="Calibri"/>
        <family val="2"/>
        <scheme val="minor"/>
      </rPr>
      <t>ChemehueviIndianChemehuevi</t>
    </r>
    <r>
      <rPr>
        <sz val="11"/>
        <color theme="1"/>
        <rFont val="Calibri"/>
        <family val="2"/>
        <scheme val="minor"/>
      </rPr>
      <t xml:space="preserve"> - Chemehuevi Indian Tribe of the Chemehuevi Reservation
</t>
    </r>
    <r>
      <rPr>
        <b/>
        <sz val="11"/>
        <color theme="1"/>
        <rFont val="Calibri"/>
        <family val="2"/>
        <scheme val="minor"/>
      </rPr>
      <t>CherAeHeightsIndianCommunityoftheTrinidadRancheria</t>
    </r>
    <r>
      <rPr>
        <sz val="11"/>
        <color theme="1"/>
        <rFont val="Calibri"/>
        <family val="2"/>
        <scheme val="minor"/>
      </rPr>
      <t xml:space="preserve"> - Cher-Ae Heights Indian Community of the Trinidad Rancheria
</t>
    </r>
    <r>
      <rPr>
        <b/>
        <sz val="11"/>
        <color theme="1"/>
        <rFont val="Calibri"/>
        <family val="2"/>
        <scheme val="minor"/>
      </rPr>
      <t>CherokeeNation</t>
    </r>
    <r>
      <rPr>
        <sz val="11"/>
        <color theme="1"/>
        <rFont val="Calibri"/>
        <family val="2"/>
        <scheme val="minor"/>
      </rPr>
      <t xml:space="preserve"> - Cherokee Nation
</t>
    </r>
    <r>
      <rPr>
        <b/>
        <sz val="11"/>
        <color theme="1"/>
        <rFont val="Calibri"/>
        <family val="2"/>
        <scheme val="minor"/>
      </rPr>
      <t>ChevakNativeVillage</t>
    </r>
    <r>
      <rPr>
        <sz val="11"/>
        <color theme="1"/>
        <rFont val="Calibri"/>
        <family val="2"/>
        <scheme val="minor"/>
      </rPr>
      <t xml:space="preserve"> - Chevak Native Village
</t>
    </r>
    <r>
      <rPr>
        <b/>
        <sz val="11"/>
        <color theme="1"/>
        <rFont val="Calibri"/>
        <family val="2"/>
        <scheme val="minor"/>
      </rPr>
      <t>CheyenneandArapahoTribes</t>
    </r>
    <r>
      <rPr>
        <sz val="11"/>
        <color theme="1"/>
        <rFont val="Calibri"/>
        <family val="2"/>
        <scheme val="minor"/>
      </rPr>
      <t xml:space="preserve"> - Cheyenne and Arapaho Tribes
</t>
    </r>
    <r>
      <rPr>
        <b/>
        <sz val="11"/>
        <color theme="1"/>
        <rFont val="Calibri"/>
        <family val="2"/>
        <scheme val="minor"/>
      </rPr>
      <t>CheyenneRiverSiouxCheyenneRiver</t>
    </r>
    <r>
      <rPr>
        <sz val="11"/>
        <color theme="1"/>
        <rFont val="Calibri"/>
        <family val="2"/>
        <scheme val="minor"/>
      </rPr>
      <t xml:space="preserve"> - Cheyenne River Sioux Tribe of the Cheyenne River Reservation
</t>
    </r>
    <r>
      <rPr>
        <b/>
        <sz val="11"/>
        <color theme="1"/>
        <rFont val="Calibri"/>
        <family val="2"/>
        <scheme val="minor"/>
      </rPr>
      <t>ChickaloonNativeVillage</t>
    </r>
    <r>
      <rPr>
        <sz val="11"/>
        <color theme="1"/>
        <rFont val="Calibri"/>
        <family val="2"/>
        <scheme val="minor"/>
      </rPr>
      <t xml:space="preserve"> - Chickaloon Native Village
</t>
    </r>
    <r>
      <rPr>
        <b/>
        <sz val="11"/>
        <color theme="1"/>
        <rFont val="Calibri"/>
        <family val="2"/>
        <scheme val="minor"/>
      </rPr>
      <t>ChickenRanchRancheriaofMeWuk</t>
    </r>
    <r>
      <rPr>
        <sz val="11"/>
        <color theme="1"/>
        <rFont val="Calibri"/>
        <family val="2"/>
        <scheme val="minor"/>
      </rPr>
      <t xml:space="preserve"> - Chicken Ranch Rancheria of Me-Wuk Indians of California
</t>
    </r>
    <r>
      <rPr>
        <b/>
        <sz val="11"/>
        <color theme="1"/>
        <rFont val="Calibri"/>
        <family val="2"/>
        <scheme val="minor"/>
      </rPr>
      <t>ChignikBayTribalCouncil</t>
    </r>
    <r>
      <rPr>
        <sz val="11"/>
        <color theme="1"/>
        <rFont val="Calibri"/>
        <family val="2"/>
        <scheme val="minor"/>
      </rPr>
      <t xml:space="preserve"> - Chignik Bay Tribal Council (formerly the Native Village of Chignik)
</t>
    </r>
    <r>
      <rPr>
        <b/>
        <sz val="11"/>
        <color theme="1"/>
        <rFont val="Calibri"/>
        <family val="2"/>
        <scheme val="minor"/>
      </rPr>
      <t>ChignikLakeVillage</t>
    </r>
    <r>
      <rPr>
        <sz val="11"/>
        <color theme="1"/>
        <rFont val="Calibri"/>
        <family val="2"/>
        <scheme val="minor"/>
      </rPr>
      <t xml:space="preserve"> - Chignik Lake Village
</t>
    </r>
    <r>
      <rPr>
        <b/>
        <sz val="11"/>
        <color theme="1"/>
        <rFont val="Calibri"/>
        <family val="2"/>
        <scheme val="minor"/>
      </rPr>
      <t>ChilkatIndianVillage</t>
    </r>
    <r>
      <rPr>
        <sz val="11"/>
        <color theme="1"/>
        <rFont val="Calibri"/>
        <family val="2"/>
        <scheme val="minor"/>
      </rPr>
      <t xml:space="preserve"> - Chilkat Indian Village (Klukwan)
</t>
    </r>
    <r>
      <rPr>
        <b/>
        <sz val="11"/>
        <color theme="1"/>
        <rFont val="Calibri"/>
        <family val="2"/>
        <scheme val="minor"/>
      </rPr>
      <t>ChilkootIndianAssociation</t>
    </r>
    <r>
      <rPr>
        <sz val="11"/>
        <color theme="1"/>
        <rFont val="Calibri"/>
        <family val="2"/>
        <scheme val="minor"/>
      </rPr>
      <t xml:space="preserve"> - Chilkoot Indian Association (Haines)
</t>
    </r>
    <r>
      <rPr>
        <b/>
        <sz val="11"/>
        <color theme="1"/>
        <rFont val="Calibri"/>
        <family val="2"/>
        <scheme val="minor"/>
      </rPr>
      <t>ChinikEskimoCommunity</t>
    </r>
    <r>
      <rPr>
        <sz val="11"/>
        <color theme="1"/>
        <rFont val="Calibri"/>
        <family val="2"/>
        <scheme val="minor"/>
      </rPr>
      <t xml:space="preserve"> - Chinik Eskimo Community (Golovin)
</t>
    </r>
    <r>
      <rPr>
        <b/>
        <sz val="11"/>
        <color theme="1"/>
        <rFont val="Calibri"/>
        <family val="2"/>
        <scheme val="minor"/>
      </rPr>
      <t>ChippewaCreeoftheRockyBoys</t>
    </r>
    <r>
      <rPr>
        <sz val="11"/>
        <color theme="1"/>
        <rFont val="Calibri"/>
        <family val="2"/>
        <scheme val="minor"/>
      </rPr>
      <t xml:space="preserve"> - Chippewa-Cree Indians of the Rocky Boy's Reservation
</t>
    </r>
    <r>
      <rPr>
        <b/>
        <sz val="11"/>
        <color theme="1"/>
        <rFont val="Calibri"/>
        <family val="2"/>
        <scheme val="minor"/>
      </rPr>
      <t>ChitimachaTribeofLouisiana</t>
    </r>
    <r>
      <rPr>
        <sz val="11"/>
        <color theme="1"/>
        <rFont val="Calibri"/>
        <family val="2"/>
        <scheme val="minor"/>
      </rPr>
      <t xml:space="preserve"> - Chitimacha Tribe of Louisiana
</t>
    </r>
    <r>
      <rPr>
        <b/>
        <sz val="11"/>
        <color theme="1"/>
        <rFont val="Calibri"/>
        <family val="2"/>
        <scheme val="minor"/>
      </rPr>
      <t>ChuloonawickNativeVillage</t>
    </r>
    <r>
      <rPr>
        <sz val="11"/>
        <color theme="1"/>
        <rFont val="Calibri"/>
        <family val="2"/>
        <scheme val="minor"/>
      </rPr>
      <t xml:space="preserve"> - Chuloonawick Native Village
</t>
    </r>
    <r>
      <rPr>
        <b/>
        <sz val="11"/>
        <color theme="1"/>
        <rFont val="Calibri"/>
        <family val="2"/>
        <scheme val="minor"/>
      </rPr>
      <t>CircleNativeCommunity</t>
    </r>
    <r>
      <rPr>
        <sz val="11"/>
        <color theme="1"/>
        <rFont val="Calibri"/>
        <family val="2"/>
        <scheme val="minor"/>
      </rPr>
      <t xml:space="preserve"> - Circle Native Community
</t>
    </r>
    <r>
      <rPr>
        <b/>
        <sz val="11"/>
        <color theme="1"/>
        <rFont val="Calibri"/>
        <family val="2"/>
        <scheme val="minor"/>
      </rPr>
      <t>CitizenPotawatomiNation</t>
    </r>
    <r>
      <rPr>
        <sz val="11"/>
        <color theme="1"/>
        <rFont val="Calibri"/>
        <family val="2"/>
        <scheme val="minor"/>
      </rPr>
      <t xml:space="preserve"> - Citizen Potawatomi Nation
</t>
    </r>
    <r>
      <rPr>
        <b/>
        <sz val="11"/>
        <color theme="1"/>
        <rFont val="Calibri"/>
        <family val="2"/>
        <scheme val="minor"/>
      </rPr>
      <t>CloverdaleRancheriaofPomo</t>
    </r>
    <r>
      <rPr>
        <sz val="11"/>
        <color theme="1"/>
        <rFont val="Calibri"/>
        <family val="2"/>
        <scheme val="minor"/>
      </rPr>
      <t xml:space="preserve"> - Cloverdale Rancheria of Pomo Indians of California
</t>
    </r>
    <r>
      <rPr>
        <b/>
        <sz val="11"/>
        <color theme="1"/>
        <rFont val="Calibri"/>
        <family val="2"/>
        <scheme val="minor"/>
      </rPr>
      <t>CocopahTribeofArizona</t>
    </r>
    <r>
      <rPr>
        <sz val="11"/>
        <color theme="1"/>
        <rFont val="Calibri"/>
        <family val="2"/>
        <scheme val="minor"/>
      </rPr>
      <t xml:space="preserve"> - Cocopah Tribe of Arizona
</t>
    </r>
    <r>
      <rPr>
        <b/>
        <sz val="11"/>
        <color theme="1"/>
        <rFont val="Calibri"/>
        <family val="2"/>
        <scheme val="minor"/>
      </rPr>
      <t>CoeurDAleneTribe</t>
    </r>
    <r>
      <rPr>
        <sz val="11"/>
        <color theme="1"/>
        <rFont val="Calibri"/>
        <family val="2"/>
        <scheme val="minor"/>
      </rPr>
      <t xml:space="preserve"> - Coeur D’Alene Tribe
</t>
    </r>
    <r>
      <rPr>
        <b/>
        <sz val="11"/>
        <color theme="1"/>
        <rFont val="Calibri"/>
        <family val="2"/>
        <scheme val="minor"/>
      </rPr>
      <t>ColdSpringsRancheriaofMono</t>
    </r>
    <r>
      <rPr>
        <sz val="11"/>
        <color theme="1"/>
        <rFont val="Calibri"/>
        <family val="2"/>
        <scheme val="minor"/>
      </rPr>
      <t xml:space="preserve"> - Cold Springs Rancheria of Mono Indians of California
</t>
    </r>
    <r>
      <rPr>
        <b/>
        <sz val="11"/>
        <color theme="1"/>
        <rFont val="Calibri"/>
        <family val="2"/>
        <scheme val="minor"/>
      </rPr>
      <t>ColoradoRiverIndianColoradoRiver</t>
    </r>
    <r>
      <rPr>
        <sz val="11"/>
        <color theme="1"/>
        <rFont val="Calibri"/>
        <family val="2"/>
        <scheme val="minor"/>
      </rPr>
      <t xml:space="preserve"> - Colorado River Indian Tribes of the Colorado River Indian Reservation (Arizona and California)
</t>
    </r>
    <r>
      <rPr>
        <b/>
        <sz val="11"/>
        <color theme="1"/>
        <rFont val="Calibri"/>
        <family val="2"/>
        <scheme val="minor"/>
      </rPr>
      <t>ComancheNation</t>
    </r>
    <r>
      <rPr>
        <sz val="11"/>
        <color theme="1"/>
        <rFont val="Calibri"/>
        <family val="2"/>
        <scheme val="minor"/>
      </rPr>
      <t xml:space="preserve"> - Comanche Nation
</t>
    </r>
    <r>
      <rPr>
        <b/>
        <sz val="11"/>
        <color theme="1"/>
        <rFont val="Calibri"/>
        <family val="2"/>
        <scheme val="minor"/>
      </rPr>
      <t>ConfederatedSalishandKootenaiFlathead</t>
    </r>
    <r>
      <rPr>
        <sz val="11"/>
        <color theme="1"/>
        <rFont val="Calibri"/>
        <family val="2"/>
        <scheme val="minor"/>
      </rPr>
      <t xml:space="preserve"> - Confederated Salish and Kootenai Tribes of the Flathead Reservation
</t>
    </r>
    <r>
      <rPr>
        <b/>
        <sz val="11"/>
        <color theme="1"/>
        <rFont val="Calibri"/>
        <family val="2"/>
        <scheme val="minor"/>
      </rPr>
      <t>ConfederatedTribesandBandsoftheYakamaNation</t>
    </r>
    <r>
      <rPr>
        <sz val="11"/>
        <color theme="1"/>
        <rFont val="Calibri"/>
        <family val="2"/>
        <scheme val="minor"/>
      </rPr>
      <t xml:space="preserve"> - Confederated Tribes and Bands of the Yakama Nation
</t>
    </r>
    <r>
      <rPr>
        <b/>
        <sz val="11"/>
        <color theme="1"/>
        <rFont val="Calibri"/>
        <family val="2"/>
        <scheme val="minor"/>
      </rPr>
      <t>ConfederatedChehalis</t>
    </r>
    <r>
      <rPr>
        <sz val="11"/>
        <color theme="1"/>
        <rFont val="Calibri"/>
        <family val="2"/>
        <scheme val="minor"/>
      </rPr>
      <t xml:space="preserve"> - Confederated Tribes of the Chehalis Reservation
</t>
    </r>
    <r>
      <rPr>
        <b/>
        <sz val="11"/>
        <color theme="1"/>
        <rFont val="Calibri"/>
        <family val="2"/>
        <scheme val="minor"/>
      </rPr>
      <t>ConfederatedColville</t>
    </r>
    <r>
      <rPr>
        <sz val="11"/>
        <color theme="1"/>
        <rFont val="Calibri"/>
        <family val="2"/>
        <scheme val="minor"/>
      </rPr>
      <t xml:space="preserve"> - Confederated Tribes of the Colville Reservation
</t>
    </r>
    <r>
      <rPr>
        <b/>
        <sz val="11"/>
        <color theme="1"/>
        <rFont val="Calibri"/>
        <family val="2"/>
        <scheme val="minor"/>
      </rPr>
      <t>ConfederatedCoosLowerUmpquaandSiuslaw</t>
    </r>
    <r>
      <rPr>
        <sz val="11"/>
        <color theme="1"/>
        <rFont val="Calibri"/>
        <family val="2"/>
        <scheme val="minor"/>
      </rPr>
      <t xml:space="preserve"> - Confederated Tribes of the Coos, Lower Umpqua and Siuslaw Indians of Oregon
</t>
    </r>
    <r>
      <rPr>
        <b/>
        <sz val="11"/>
        <color theme="1"/>
        <rFont val="Calibri"/>
        <family val="2"/>
        <scheme val="minor"/>
      </rPr>
      <t>ConfederatedGoshute</t>
    </r>
    <r>
      <rPr>
        <sz val="11"/>
        <color theme="1"/>
        <rFont val="Calibri"/>
        <family val="2"/>
        <scheme val="minor"/>
      </rPr>
      <t xml:space="preserve"> - Confederated Tribes of the Goshute Reservation (Nevada and Utah)
</t>
    </r>
    <r>
      <rPr>
        <b/>
        <sz val="11"/>
        <color theme="1"/>
        <rFont val="Calibri"/>
        <family val="2"/>
        <scheme val="minor"/>
      </rPr>
      <t>ConfederatedGrandRondeCommunity</t>
    </r>
    <r>
      <rPr>
        <sz val="11"/>
        <color theme="1"/>
        <rFont val="Calibri"/>
        <family val="2"/>
        <scheme val="minor"/>
      </rPr>
      <t xml:space="preserve"> - Confederated Tribes of the Grand Ronde Community of Oregon
</t>
    </r>
    <r>
      <rPr>
        <b/>
        <sz val="11"/>
        <color theme="1"/>
        <rFont val="Calibri"/>
        <family val="2"/>
        <scheme val="minor"/>
      </rPr>
      <t>ConfederatedSiletz</t>
    </r>
    <r>
      <rPr>
        <sz val="11"/>
        <color theme="1"/>
        <rFont val="Calibri"/>
        <family val="2"/>
        <scheme val="minor"/>
      </rPr>
      <t xml:space="preserve"> - Confederated Tribes of the Siletz Reservation
</t>
    </r>
    <r>
      <rPr>
        <b/>
        <sz val="11"/>
        <color theme="1"/>
        <rFont val="Calibri"/>
        <family val="2"/>
        <scheme val="minor"/>
      </rPr>
      <t>ConfederatedUmatillaIndian</t>
    </r>
    <r>
      <rPr>
        <sz val="11"/>
        <color theme="1"/>
        <rFont val="Calibri"/>
        <family val="2"/>
        <scheme val="minor"/>
      </rPr>
      <t xml:space="preserve"> - Confederated Tribes of the Umatilla Indian Reservation
</t>
    </r>
    <r>
      <rPr>
        <b/>
        <sz val="11"/>
        <color theme="1"/>
        <rFont val="Calibri"/>
        <family val="2"/>
        <scheme val="minor"/>
      </rPr>
      <t>ConfederatedWarmSprings</t>
    </r>
    <r>
      <rPr>
        <sz val="11"/>
        <color theme="1"/>
        <rFont val="Calibri"/>
        <family val="2"/>
        <scheme val="minor"/>
      </rPr>
      <t xml:space="preserve"> - Confederated Tribes of the Warm Springs Reservation of Oregon
</t>
    </r>
    <r>
      <rPr>
        <b/>
        <sz val="11"/>
        <color theme="1"/>
        <rFont val="Calibri"/>
        <family val="2"/>
        <scheme val="minor"/>
      </rPr>
      <t>CoquilleIndianTribe</t>
    </r>
    <r>
      <rPr>
        <sz val="11"/>
        <color theme="1"/>
        <rFont val="Calibri"/>
        <family val="2"/>
        <scheme val="minor"/>
      </rPr>
      <t xml:space="preserve"> - Coquille Indian Tribe
</t>
    </r>
    <r>
      <rPr>
        <b/>
        <sz val="11"/>
        <color theme="1"/>
        <rFont val="Calibri"/>
        <family val="2"/>
        <scheme val="minor"/>
      </rPr>
      <t>CortinaIndianRancheriaofWintun</t>
    </r>
    <r>
      <rPr>
        <sz val="11"/>
        <color theme="1"/>
        <rFont val="Calibri"/>
        <family val="2"/>
        <scheme val="minor"/>
      </rPr>
      <t xml:space="preserve"> - Cortina Indian Rancheria of Wintun Indians of California
</t>
    </r>
    <r>
      <rPr>
        <b/>
        <sz val="11"/>
        <color theme="1"/>
        <rFont val="Calibri"/>
        <family val="2"/>
        <scheme val="minor"/>
      </rPr>
      <t>CoushattaTribeofLouisiana</t>
    </r>
    <r>
      <rPr>
        <sz val="11"/>
        <color theme="1"/>
        <rFont val="Calibri"/>
        <family val="2"/>
        <scheme val="minor"/>
      </rPr>
      <t xml:space="preserve"> - Coushatta Tribe of Louisiana
</t>
    </r>
    <r>
      <rPr>
        <b/>
        <sz val="11"/>
        <color theme="1"/>
        <rFont val="Calibri"/>
        <family val="2"/>
        <scheme val="minor"/>
      </rPr>
      <t>CowCreekBandofUmpquaTribe</t>
    </r>
    <r>
      <rPr>
        <sz val="11"/>
        <color theme="1"/>
        <rFont val="Calibri"/>
        <family val="2"/>
        <scheme val="minor"/>
      </rPr>
      <t xml:space="preserve"> - Cow Creek Band of Umpqua Tribe of Indians
</t>
    </r>
    <r>
      <rPr>
        <b/>
        <sz val="11"/>
        <color theme="1"/>
        <rFont val="Calibri"/>
        <family val="2"/>
        <scheme val="minor"/>
      </rPr>
      <t>CowlitzIndianTribe</t>
    </r>
    <r>
      <rPr>
        <sz val="11"/>
        <color theme="1"/>
        <rFont val="Calibri"/>
        <family val="2"/>
        <scheme val="minor"/>
      </rPr>
      <t xml:space="preserve"> - Cowlitz Indian Tribe
</t>
    </r>
    <r>
      <rPr>
        <b/>
        <sz val="11"/>
        <color theme="1"/>
        <rFont val="Calibri"/>
        <family val="2"/>
        <scheme val="minor"/>
      </rPr>
      <t>CoyoteValleyBandofPomo</t>
    </r>
    <r>
      <rPr>
        <sz val="11"/>
        <color theme="1"/>
        <rFont val="Calibri"/>
        <family val="2"/>
        <scheme val="minor"/>
      </rPr>
      <t xml:space="preserve"> - Coyote Valley Band of Pomo Indians of California
</t>
    </r>
    <r>
      <rPr>
        <b/>
        <sz val="11"/>
        <color theme="1"/>
        <rFont val="Calibri"/>
        <family val="2"/>
        <scheme val="minor"/>
      </rPr>
      <t>CraigCommunityAssociation</t>
    </r>
    <r>
      <rPr>
        <sz val="11"/>
        <color theme="1"/>
        <rFont val="Calibri"/>
        <family val="2"/>
        <scheme val="minor"/>
      </rPr>
      <t xml:space="preserve"> - Craig Community Association
</t>
    </r>
    <r>
      <rPr>
        <b/>
        <sz val="11"/>
        <color theme="1"/>
        <rFont val="Calibri"/>
        <family val="2"/>
        <scheme val="minor"/>
      </rPr>
      <t>CrowCreekSiouxCrowCreek</t>
    </r>
    <r>
      <rPr>
        <sz val="11"/>
        <color theme="1"/>
        <rFont val="Calibri"/>
        <family val="2"/>
        <scheme val="minor"/>
      </rPr>
      <t xml:space="preserve"> - Crow Creek Sioux Tribe of the Crow Creek Reservation
</t>
    </r>
    <r>
      <rPr>
        <b/>
        <sz val="11"/>
        <color theme="1"/>
        <rFont val="Calibri"/>
        <family val="2"/>
        <scheme val="minor"/>
      </rPr>
      <t>CrowTribeofMontana</t>
    </r>
    <r>
      <rPr>
        <sz val="11"/>
        <color theme="1"/>
        <rFont val="Calibri"/>
        <family val="2"/>
        <scheme val="minor"/>
      </rPr>
      <t xml:space="preserve"> - Crow Tribe of Montana
</t>
    </r>
    <r>
      <rPr>
        <b/>
        <sz val="11"/>
        <color theme="1"/>
        <rFont val="Calibri"/>
        <family val="2"/>
        <scheme val="minor"/>
      </rPr>
      <t>CuryungTribalCouncil</t>
    </r>
    <r>
      <rPr>
        <sz val="11"/>
        <color theme="1"/>
        <rFont val="Calibri"/>
        <family val="2"/>
        <scheme val="minor"/>
      </rPr>
      <t xml:space="preserve"> - Curyung Tribal Council
</t>
    </r>
    <r>
      <rPr>
        <b/>
        <sz val="11"/>
        <color theme="1"/>
        <rFont val="Calibri"/>
        <family val="2"/>
        <scheme val="minor"/>
      </rPr>
      <t>DeathValleyTimbiShaShoshoneTribe</t>
    </r>
    <r>
      <rPr>
        <sz val="11"/>
        <color theme="1"/>
        <rFont val="Calibri"/>
        <family val="2"/>
        <scheme val="minor"/>
      </rPr>
      <t xml:space="preserve"> - Death Valley Timbi-Sha Shoshone Tribe
</t>
    </r>
    <r>
      <rPr>
        <b/>
        <sz val="11"/>
        <color theme="1"/>
        <rFont val="Calibri"/>
        <family val="2"/>
        <scheme val="minor"/>
      </rPr>
      <t>DelawareNation</t>
    </r>
    <r>
      <rPr>
        <sz val="11"/>
        <color theme="1"/>
        <rFont val="Calibri"/>
        <family val="2"/>
        <scheme val="minor"/>
      </rPr>
      <t xml:space="preserve"> - Delaware Nation
</t>
    </r>
    <r>
      <rPr>
        <b/>
        <sz val="11"/>
        <color theme="1"/>
        <rFont val="Calibri"/>
        <family val="2"/>
        <scheme val="minor"/>
      </rPr>
      <t>Delaware</t>
    </r>
    <r>
      <rPr>
        <sz val="11"/>
        <color theme="1"/>
        <rFont val="Calibri"/>
        <family val="2"/>
        <scheme val="minor"/>
      </rPr>
      <t xml:space="preserve"> - Delaware Tribe of Indians
</t>
    </r>
    <r>
      <rPr>
        <b/>
        <sz val="11"/>
        <color theme="1"/>
        <rFont val="Calibri"/>
        <family val="2"/>
        <scheme val="minor"/>
      </rPr>
      <t>DouglasIndianAssociation</t>
    </r>
    <r>
      <rPr>
        <sz val="11"/>
        <color theme="1"/>
        <rFont val="Calibri"/>
        <family val="2"/>
        <scheme val="minor"/>
      </rPr>
      <t xml:space="preserve"> - Douglas Indian Association
</t>
    </r>
    <r>
      <rPr>
        <b/>
        <sz val="11"/>
        <color theme="1"/>
        <rFont val="Calibri"/>
        <family val="2"/>
        <scheme val="minor"/>
      </rPr>
      <t>DryCreekRancheriaofPomo</t>
    </r>
    <r>
      <rPr>
        <sz val="11"/>
        <color theme="1"/>
        <rFont val="Calibri"/>
        <family val="2"/>
        <scheme val="minor"/>
      </rPr>
      <t xml:space="preserve"> - Dry Creek Rancheria of Pomo Indians 
</t>
    </r>
    <r>
      <rPr>
        <b/>
        <sz val="11"/>
        <color theme="1"/>
        <rFont val="Calibri"/>
        <family val="2"/>
        <scheme val="minor"/>
      </rPr>
      <t>DuckwaterShoshoneDuckwater</t>
    </r>
    <r>
      <rPr>
        <sz val="11"/>
        <color theme="1"/>
        <rFont val="Calibri"/>
        <family val="2"/>
        <scheme val="minor"/>
      </rPr>
      <t xml:space="preserve"> - Duckwater Shoshone Tribe of the Duckwater Reservation
</t>
    </r>
    <r>
      <rPr>
        <b/>
        <sz val="11"/>
        <color theme="1"/>
        <rFont val="Calibri"/>
        <family val="2"/>
        <scheme val="minor"/>
      </rPr>
      <t>EasternBandofCherokee</t>
    </r>
    <r>
      <rPr>
        <sz val="11"/>
        <color theme="1"/>
        <rFont val="Calibri"/>
        <family val="2"/>
        <scheme val="minor"/>
      </rPr>
      <t xml:space="preserve"> - Eastern Band of Cherokee Indians 
</t>
    </r>
    <r>
      <rPr>
        <b/>
        <sz val="11"/>
        <color theme="1"/>
        <rFont val="Calibri"/>
        <family val="2"/>
        <scheme val="minor"/>
      </rPr>
      <t>EasternShawneeTribeofOklahoma</t>
    </r>
    <r>
      <rPr>
        <sz val="11"/>
        <color theme="1"/>
        <rFont val="Calibri"/>
        <family val="2"/>
        <scheme val="minor"/>
      </rPr>
      <t xml:space="preserve"> - Eastern Shawnee Tribe of Oklahoma
</t>
    </r>
    <r>
      <rPr>
        <b/>
        <sz val="11"/>
        <color theme="1"/>
        <rFont val="Calibri"/>
        <family val="2"/>
        <scheme val="minor"/>
      </rPr>
      <t>EgegikVillage</t>
    </r>
    <r>
      <rPr>
        <sz val="11"/>
        <color theme="1"/>
        <rFont val="Calibri"/>
        <family val="2"/>
        <scheme val="minor"/>
      </rPr>
      <t>- Egegik Village</t>
    </r>
  </si>
  <si>
    <r>
      <t>EklutnaNativeVillage</t>
    </r>
    <r>
      <rPr>
        <sz val="11"/>
        <color theme="1"/>
        <rFont val="Calibri"/>
        <family val="2"/>
        <scheme val="minor"/>
      </rPr>
      <t xml:space="preserve"> - Eklutna Native Village
</t>
    </r>
    <r>
      <rPr>
        <b/>
        <sz val="11"/>
        <color theme="1"/>
        <rFont val="Calibri"/>
        <family val="2"/>
        <scheme val="minor"/>
      </rPr>
      <t>EkwokVillage</t>
    </r>
    <r>
      <rPr>
        <sz val="11"/>
        <color theme="1"/>
        <rFont val="Calibri"/>
        <family val="2"/>
        <scheme val="minor"/>
      </rPr>
      <t xml:space="preserve"> - Ekwok Village
</t>
    </r>
    <r>
      <rPr>
        <b/>
        <sz val="11"/>
        <color theme="1"/>
        <rFont val="Calibri"/>
        <family val="2"/>
        <scheme val="minor"/>
      </rPr>
      <t>ElemIndianColonyofPomo</t>
    </r>
    <r>
      <rPr>
        <sz val="11"/>
        <color theme="1"/>
        <rFont val="Calibri"/>
        <family val="2"/>
        <scheme val="minor"/>
      </rPr>
      <t xml:space="preserve"> - Elem Indian Colony of Pomo Indians of the Sulphur Bank Rancheria
</t>
    </r>
    <r>
      <rPr>
        <b/>
        <sz val="11"/>
        <color theme="1"/>
        <rFont val="Calibri"/>
        <family val="2"/>
        <scheme val="minor"/>
      </rPr>
      <t>ElkValleyRancheria</t>
    </r>
    <r>
      <rPr>
        <sz val="11"/>
        <color theme="1"/>
        <rFont val="Calibri"/>
        <family val="2"/>
        <scheme val="minor"/>
      </rPr>
      <t xml:space="preserve"> - Elk Valley Rancheria
</t>
    </r>
    <r>
      <rPr>
        <b/>
        <sz val="11"/>
        <color theme="1"/>
        <rFont val="Calibri"/>
        <family val="2"/>
        <scheme val="minor"/>
      </rPr>
      <t>ElyShoshoneTribeofNevada</t>
    </r>
    <r>
      <rPr>
        <sz val="11"/>
        <color theme="1"/>
        <rFont val="Calibri"/>
        <family val="2"/>
        <scheme val="minor"/>
      </rPr>
      <t xml:space="preserve"> - Ely Shoshone Tribe of Nevada
</t>
    </r>
    <r>
      <rPr>
        <b/>
        <sz val="11"/>
        <color theme="1"/>
        <rFont val="Calibri"/>
        <family val="2"/>
        <scheme val="minor"/>
      </rPr>
      <t>EmmonakVillage</t>
    </r>
    <r>
      <rPr>
        <sz val="11"/>
        <color theme="1"/>
        <rFont val="Calibri"/>
        <family val="2"/>
        <scheme val="minor"/>
      </rPr>
      <t xml:space="preserve"> - Emmonak Village
</t>
    </r>
    <r>
      <rPr>
        <b/>
        <sz val="11"/>
        <color theme="1"/>
        <rFont val="Calibri"/>
        <family val="2"/>
        <scheme val="minor"/>
      </rPr>
      <t>EnterpriseRancheriaofMaidu</t>
    </r>
    <r>
      <rPr>
        <sz val="11"/>
        <color theme="1"/>
        <rFont val="Calibri"/>
        <family val="2"/>
        <scheme val="minor"/>
      </rPr>
      <t xml:space="preserve"> - Enterprise Rancheria of Maidu Indians of California
</t>
    </r>
    <r>
      <rPr>
        <b/>
        <sz val="11"/>
        <color theme="1"/>
        <rFont val="Calibri"/>
        <family val="2"/>
        <scheme val="minor"/>
      </rPr>
      <t>EvansvilleVillage</t>
    </r>
    <r>
      <rPr>
        <sz val="11"/>
        <color theme="1"/>
        <rFont val="Calibri"/>
        <family val="2"/>
        <scheme val="minor"/>
      </rPr>
      <t xml:space="preserve"> - Evansville Village (aka Bettles Field)
</t>
    </r>
    <r>
      <rPr>
        <b/>
        <sz val="11"/>
        <color theme="1"/>
        <rFont val="Calibri"/>
        <family val="2"/>
        <scheme val="minor"/>
      </rPr>
      <t>EwiiaapaaypBandofKumeyaay</t>
    </r>
    <r>
      <rPr>
        <sz val="11"/>
        <color theme="1"/>
        <rFont val="Calibri"/>
        <family val="2"/>
        <scheme val="minor"/>
      </rPr>
      <t xml:space="preserve"> - Ewiiaapaayp Band of Kumeyaay Indians
</t>
    </r>
    <r>
      <rPr>
        <b/>
        <sz val="11"/>
        <color theme="1"/>
        <rFont val="Calibri"/>
        <family val="2"/>
        <scheme val="minor"/>
      </rPr>
      <t>FederatedofGratonRancheria</t>
    </r>
    <r>
      <rPr>
        <sz val="11"/>
        <color theme="1"/>
        <rFont val="Calibri"/>
        <family val="2"/>
        <scheme val="minor"/>
      </rPr>
      <t xml:space="preserve"> - Federated Indians of Graton Rancheria
</t>
    </r>
    <r>
      <rPr>
        <b/>
        <sz val="11"/>
        <color theme="1"/>
        <rFont val="Calibri"/>
        <family val="2"/>
        <scheme val="minor"/>
      </rPr>
      <t>FlandreauSanteeSiouxTribeofSouthDakota</t>
    </r>
    <r>
      <rPr>
        <sz val="11"/>
        <color theme="1"/>
        <rFont val="Calibri"/>
        <family val="2"/>
        <scheme val="minor"/>
      </rPr>
      <t xml:space="preserve"> - Flandreau Santee Sioux Tribe of South Dakota
</t>
    </r>
    <r>
      <rPr>
        <b/>
        <sz val="11"/>
        <color theme="1"/>
        <rFont val="Calibri"/>
        <family val="2"/>
        <scheme val="minor"/>
      </rPr>
      <t>ForestCountyPotawatomiCommunity</t>
    </r>
    <r>
      <rPr>
        <sz val="11"/>
        <color theme="1"/>
        <rFont val="Calibri"/>
        <family val="2"/>
        <scheme val="minor"/>
      </rPr>
      <t xml:space="preserve"> - Forest County Potawatomi Community
</t>
    </r>
    <r>
      <rPr>
        <b/>
        <sz val="11"/>
        <color theme="1"/>
        <rFont val="Calibri"/>
        <family val="2"/>
        <scheme val="minor"/>
      </rPr>
      <t>FortBelknapIndianCommunityoftheFortBelknap</t>
    </r>
    <r>
      <rPr>
        <sz val="11"/>
        <color theme="1"/>
        <rFont val="Calibri"/>
        <family val="2"/>
        <scheme val="minor"/>
      </rPr>
      <t xml:space="preserve"> - Fort Belknap Indian Community of the Fort Belknap Reservation of Montana
</t>
    </r>
    <r>
      <rPr>
        <b/>
        <sz val="11"/>
        <color theme="1"/>
        <rFont val="Calibri"/>
        <family val="2"/>
        <scheme val="minor"/>
      </rPr>
      <t>FortBidwellIndianCommunityoftheFortBidwell</t>
    </r>
    <r>
      <rPr>
        <sz val="11"/>
        <color theme="1"/>
        <rFont val="Calibri"/>
        <family val="2"/>
        <scheme val="minor"/>
      </rPr>
      <t xml:space="preserve"> - Fort Bidwell Indian Community of the Fort Bidwell Reservation of California
</t>
    </r>
    <r>
      <rPr>
        <b/>
        <sz val="11"/>
        <color theme="1"/>
        <rFont val="Calibri"/>
        <family val="2"/>
        <scheme val="minor"/>
      </rPr>
      <t>FortIndependenceIndianCommunityofPaiute</t>
    </r>
    <r>
      <rPr>
        <sz val="11"/>
        <color theme="1"/>
        <rFont val="Calibri"/>
        <family val="2"/>
        <scheme val="minor"/>
      </rPr>
      <t xml:space="preserve"> - Fort Independence Indian Community of Paiute Indians of the Fort Independence Reservation
</t>
    </r>
    <r>
      <rPr>
        <b/>
        <sz val="11"/>
        <color theme="1"/>
        <rFont val="Calibri"/>
        <family val="2"/>
        <scheme val="minor"/>
      </rPr>
      <t>FortMcDermittPaiuteandShoshoneFortMcDermitt</t>
    </r>
    <r>
      <rPr>
        <sz val="11"/>
        <color theme="1"/>
        <rFont val="Calibri"/>
        <family val="2"/>
        <scheme val="minor"/>
      </rPr>
      <t xml:space="preserve"> - Fort McDermitt Paiute and Shoshone Tribes of the Fort McDermitt Indian Reservation (Nevada and Oregon)
</t>
    </r>
    <r>
      <rPr>
        <b/>
        <sz val="11"/>
        <color theme="1"/>
        <rFont val="Calibri"/>
        <family val="2"/>
        <scheme val="minor"/>
      </rPr>
      <t>FortMcDowellYavapaiNation</t>
    </r>
    <r>
      <rPr>
        <sz val="11"/>
        <color theme="1"/>
        <rFont val="Calibri"/>
        <family val="2"/>
        <scheme val="minor"/>
      </rPr>
      <t xml:space="preserve"> - Fort McDowell Yavapai Nation
</t>
    </r>
    <r>
      <rPr>
        <b/>
        <sz val="11"/>
        <color theme="1"/>
        <rFont val="Calibri"/>
        <family val="2"/>
        <scheme val="minor"/>
      </rPr>
      <t>FortMojaveIndianTribe</t>
    </r>
    <r>
      <rPr>
        <sz val="11"/>
        <color theme="1"/>
        <rFont val="Calibri"/>
        <family val="2"/>
        <scheme val="minor"/>
      </rPr>
      <t xml:space="preserve"> - Fort Mojave Indian Tribe (Arizona, California and Nevada)
</t>
    </r>
    <r>
      <rPr>
        <b/>
        <sz val="11"/>
        <color theme="1"/>
        <rFont val="Calibri"/>
        <family val="2"/>
        <scheme val="minor"/>
      </rPr>
      <t>FortSillApacheTribeofOklahoma</t>
    </r>
    <r>
      <rPr>
        <sz val="11"/>
        <color theme="1"/>
        <rFont val="Calibri"/>
        <family val="2"/>
        <scheme val="minor"/>
      </rPr>
      <t xml:space="preserve"> - Fort Sill Apache Tribe of Oklahoma
</t>
    </r>
    <r>
      <rPr>
        <b/>
        <sz val="11"/>
        <color theme="1"/>
        <rFont val="Calibri"/>
        <family val="2"/>
        <scheme val="minor"/>
      </rPr>
      <t>GalenaVillage</t>
    </r>
    <r>
      <rPr>
        <sz val="11"/>
        <color theme="1"/>
        <rFont val="Calibri"/>
        <family val="2"/>
        <scheme val="minor"/>
      </rPr>
      <t xml:space="preserve"> - Galena Village (aka Louden Village)
</t>
    </r>
    <r>
      <rPr>
        <b/>
        <sz val="11"/>
        <color theme="1"/>
        <rFont val="Calibri"/>
        <family val="2"/>
        <scheme val="minor"/>
      </rPr>
      <t>GilaRiverIndianCommunityoftheGilaRiver</t>
    </r>
    <r>
      <rPr>
        <sz val="11"/>
        <color theme="1"/>
        <rFont val="Calibri"/>
        <family val="2"/>
        <scheme val="minor"/>
      </rPr>
      <t xml:space="preserve"> - Gila River Indian Community of the Gila River Indian Reservation
</t>
    </r>
    <r>
      <rPr>
        <b/>
        <sz val="11"/>
        <color theme="1"/>
        <rFont val="Calibri"/>
        <family val="2"/>
        <scheme val="minor"/>
      </rPr>
      <t>GrandTraverseBandofOttawaandChippewa</t>
    </r>
    <r>
      <rPr>
        <sz val="11"/>
        <color theme="1"/>
        <rFont val="Calibri"/>
        <family val="2"/>
        <scheme val="minor"/>
      </rPr>
      <t xml:space="preserve"> - Grand Traverse Band of Ottawa and Chippewa Indians
</t>
    </r>
    <r>
      <rPr>
        <b/>
        <sz val="11"/>
        <color theme="1"/>
        <rFont val="Calibri"/>
        <family val="2"/>
        <scheme val="minor"/>
      </rPr>
      <t>GreenvilleRancheria</t>
    </r>
    <r>
      <rPr>
        <sz val="11"/>
        <color theme="1"/>
        <rFont val="Calibri"/>
        <family val="2"/>
        <scheme val="minor"/>
      </rPr>
      <t xml:space="preserve"> - Greenville Rancheria
</t>
    </r>
    <r>
      <rPr>
        <b/>
        <sz val="11"/>
        <color theme="1"/>
        <rFont val="Calibri"/>
        <family val="2"/>
        <scheme val="minor"/>
      </rPr>
      <t>GrindstoneIndianRancheriaofWintunWailaki</t>
    </r>
    <r>
      <rPr>
        <sz val="11"/>
        <color theme="1"/>
        <rFont val="Calibri"/>
        <family val="2"/>
        <scheme val="minor"/>
      </rPr>
      <t xml:space="preserve"> - Grindstone Indian Rancheria of Wintun-Wailaki Indians of California
</t>
    </r>
    <r>
      <rPr>
        <b/>
        <sz val="11"/>
        <color theme="1"/>
        <rFont val="Calibri"/>
        <family val="2"/>
        <scheme val="minor"/>
      </rPr>
      <t>GuidivilleRancheriaofCalifornia</t>
    </r>
    <r>
      <rPr>
        <sz val="11"/>
        <color theme="1"/>
        <rFont val="Calibri"/>
        <family val="2"/>
        <scheme val="minor"/>
      </rPr>
      <t xml:space="preserve"> - Guidiville Rancheria of California
</t>
    </r>
    <r>
      <rPr>
        <b/>
        <sz val="11"/>
        <color theme="1"/>
        <rFont val="Calibri"/>
        <family val="2"/>
        <scheme val="minor"/>
      </rPr>
      <t>GulkanaVillage</t>
    </r>
    <r>
      <rPr>
        <sz val="11"/>
        <color theme="1"/>
        <rFont val="Calibri"/>
        <family val="2"/>
        <scheme val="minor"/>
      </rPr>
      <t xml:space="preserve"> - Gulkana Village
</t>
    </r>
    <r>
      <rPr>
        <b/>
        <sz val="11"/>
        <color theme="1"/>
        <rFont val="Calibri"/>
        <family val="2"/>
        <scheme val="minor"/>
      </rPr>
      <t>HabematolelPomoofUpperLake</t>
    </r>
    <r>
      <rPr>
        <sz val="11"/>
        <color theme="1"/>
        <rFont val="Calibri"/>
        <family val="2"/>
        <scheme val="minor"/>
      </rPr>
      <t xml:space="preserve"> - Habematolel Pomo of Upper Lake
</t>
    </r>
    <r>
      <rPr>
        <b/>
        <sz val="11"/>
        <color theme="1"/>
        <rFont val="Calibri"/>
        <family val="2"/>
        <scheme val="minor"/>
      </rPr>
      <t>HannahvilleIndianCommunity</t>
    </r>
    <r>
      <rPr>
        <sz val="11"/>
        <color theme="1"/>
        <rFont val="Calibri"/>
        <family val="2"/>
        <scheme val="minor"/>
      </rPr>
      <t xml:space="preserve"> - Hannahville Indian Community
</t>
    </r>
    <r>
      <rPr>
        <b/>
        <sz val="11"/>
        <color theme="1"/>
        <rFont val="Calibri"/>
        <family val="2"/>
        <scheme val="minor"/>
      </rPr>
      <t>HavasupaiHavasupai</t>
    </r>
    <r>
      <rPr>
        <sz val="11"/>
        <color theme="1"/>
        <rFont val="Calibri"/>
        <family val="2"/>
        <scheme val="minor"/>
      </rPr>
      <t xml:space="preserve"> - Havasupai Tribe of the Havasupai Reservation
</t>
    </r>
    <r>
      <rPr>
        <b/>
        <sz val="11"/>
        <color theme="1"/>
        <rFont val="Calibri"/>
        <family val="2"/>
        <scheme val="minor"/>
      </rPr>
      <t>HealyLakeVillage</t>
    </r>
    <r>
      <rPr>
        <sz val="11"/>
        <color theme="1"/>
        <rFont val="Calibri"/>
        <family val="2"/>
        <scheme val="minor"/>
      </rPr>
      <t xml:space="preserve"> - Healy Lake Village
</t>
    </r>
    <r>
      <rPr>
        <b/>
        <sz val="11"/>
        <color theme="1"/>
        <rFont val="Calibri"/>
        <family val="2"/>
        <scheme val="minor"/>
      </rPr>
      <t>HoChunkNationofWisconsin</t>
    </r>
    <r>
      <rPr>
        <sz val="11"/>
        <color theme="1"/>
        <rFont val="Calibri"/>
        <family val="2"/>
        <scheme val="minor"/>
      </rPr>
      <t xml:space="preserve"> - Ho-Chunk Nation of Wisconsin
</t>
    </r>
    <r>
      <rPr>
        <b/>
        <sz val="11"/>
        <color theme="1"/>
        <rFont val="Calibri"/>
        <family val="2"/>
        <scheme val="minor"/>
      </rPr>
      <t>HohIndianTribe</t>
    </r>
    <r>
      <rPr>
        <sz val="11"/>
        <color theme="1"/>
        <rFont val="Calibri"/>
        <family val="2"/>
        <scheme val="minor"/>
      </rPr>
      <t xml:space="preserve"> - Hoh Indian Tribe 
</t>
    </r>
    <r>
      <rPr>
        <b/>
        <sz val="11"/>
        <color theme="1"/>
        <rFont val="Calibri"/>
        <family val="2"/>
        <scheme val="minor"/>
      </rPr>
      <t>HolyCrossVillage</t>
    </r>
    <r>
      <rPr>
        <sz val="11"/>
        <color theme="1"/>
        <rFont val="Calibri"/>
        <family val="2"/>
        <scheme val="minor"/>
      </rPr>
      <t xml:space="preserve"> - Holy Cross Village
</t>
    </r>
    <r>
      <rPr>
        <b/>
        <sz val="11"/>
        <color theme="1"/>
        <rFont val="Calibri"/>
        <family val="2"/>
        <scheme val="minor"/>
      </rPr>
      <t>HoonahIndianAssociation</t>
    </r>
    <r>
      <rPr>
        <sz val="11"/>
        <color theme="1"/>
        <rFont val="Calibri"/>
        <family val="2"/>
        <scheme val="minor"/>
      </rPr>
      <t xml:space="preserve"> - Hoonah Indian Association
</t>
    </r>
    <r>
      <rPr>
        <b/>
        <sz val="11"/>
        <color theme="1"/>
        <rFont val="Calibri"/>
        <family val="2"/>
        <scheme val="minor"/>
      </rPr>
      <t>HoopaValleyTribe</t>
    </r>
    <r>
      <rPr>
        <sz val="11"/>
        <color theme="1"/>
        <rFont val="Calibri"/>
        <family val="2"/>
        <scheme val="minor"/>
      </rPr>
      <t xml:space="preserve"> - Hoopa Valley Tribe
</t>
    </r>
    <r>
      <rPr>
        <b/>
        <sz val="11"/>
        <color theme="1"/>
        <rFont val="Calibri"/>
        <family val="2"/>
        <scheme val="minor"/>
      </rPr>
      <t>HopiTribeofArizona</t>
    </r>
    <r>
      <rPr>
        <sz val="11"/>
        <color theme="1"/>
        <rFont val="Calibri"/>
        <family val="2"/>
        <scheme val="minor"/>
      </rPr>
      <t xml:space="preserve"> - Hopi Tribe of Arizona
</t>
    </r>
    <r>
      <rPr>
        <b/>
        <sz val="11"/>
        <color theme="1"/>
        <rFont val="Calibri"/>
        <family val="2"/>
        <scheme val="minor"/>
      </rPr>
      <t>HoplandBandofPomo</t>
    </r>
    <r>
      <rPr>
        <sz val="11"/>
        <color theme="1"/>
        <rFont val="Calibri"/>
        <family val="2"/>
        <scheme val="minor"/>
      </rPr>
      <t xml:space="preserve"> - Hopland Band of Pomo Indians
</t>
    </r>
    <r>
      <rPr>
        <b/>
        <sz val="11"/>
        <color theme="1"/>
        <rFont val="Calibri"/>
        <family val="2"/>
        <scheme val="minor"/>
      </rPr>
      <t>HoultonBandofMaliseet</t>
    </r>
    <r>
      <rPr>
        <sz val="11"/>
        <color theme="1"/>
        <rFont val="Calibri"/>
        <family val="2"/>
        <scheme val="minor"/>
      </rPr>
      <t xml:space="preserve"> - Houlton Band of Maliseet Indians
</t>
    </r>
    <r>
      <rPr>
        <b/>
        <sz val="11"/>
        <color theme="1"/>
        <rFont val="Calibri"/>
        <family val="2"/>
        <scheme val="minor"/>
      </rPr>
      <t>HualapaiIndianHualapai</t>
    </r>
    <r>
      <rPr>
        <sz val="11"/>
        <color theme="1"/>
        <rFont val="Calibri"/>
        <family val="2"/>
        <scheme val="minor"/>
      </rPr>
      <t xml:space="preserve"> - Hualapai Indian Tribe of the Hualapai Indian Reservation
</t>
    </r>
    <r>
      <rPr>
        <b/>
        <sz val="11"/>
        <color theme="1"/>
        <rFont val="Calibri"/>
        <family val="2"/>
        <scheme val="minor"/>
      </rPr>
      <t>HughesVillage</t>
    </r>
    <r>
      <rPr>
        <sz val="11"/>
        <color theme="1"/>
        <rFont val="Calibri"/>
        <family val="2"/>
        <scheme val="minor"/>
      </rPr>
      <t xml:space="preserve"> - Hughes Village
</t>
    </r>
    <r>
      <rPr>
        <b/>
        <sz val="11"/>
        <color theme="1"/>
        <rFont val="Calibri"/>
        <family val="2"/>
        <scheme val="minor"/>
      </rPr>
      <t>HusliaVillage</t>
    </r>
    <r>
      <rPr>
        <sz val="11"/>
        <color theme="1"/>
        <rFont val="Calibri"/>
        <family val="2"/>
        <scheme val="minor"/>
      </rPr>
      <t xml:space="preserve"> - Huslia Village
</t>
    </r>
    <r>
      <rPr>
        <b/>
        <sz val="11"/>
        <color theme="1"/>
        <rFont val="Calibri"/>
        <family val="2"/>
        <scheme val="minor"/>
      </rPr>
      <t>HydaburgCooperativeAssociation</t>
    </r>
    <r>
      <rPr>
        <sz val="11"/>
        <color theme="1"/>
        <rFont val="Calibri"/>
        <family val="2"/>
        <scheme val="minor"/>
      </rPr>
      <t xml:space="preserve"> - Hydaburg Cooperative Association
</t>
    </r>
    <r>
      <rPr>
        <b/>
        <sz val="11"/>
        <color theme="1"/>
        <rFont val="Calibri"/>
        <family val="2"/>
        <scheme val="minor"/>
      </rPr>
      <t>IgiugigVillage</t>
    </r>
    <r>
      <rPr>
        <sz val="11"/>
        <color theme="1"/>
        <rFont val="Calibri"/>
        <family val="2"/>
        <scheme val="minor"/>
      </rPr>
      <t xml:space="preserve"> - Igiugig Village
</t>
    </r>
    <r>
      <rPr>
        <b/>
        <sz val="11"/>
        <color theme="1"/>
        <rFont val="Calibri"/>
        <family val="2"/>
        <scheme val="minor"/>
      </rPr>
      <t>InajaBandofDiegueñoMission</t>
    </r>
    <r>
      <rPr>
        <sz val="11"/>
        <color theme="1"/>
        <rFont val="Calibri"/>
        <family val="2"/>
        <scheme val="minor"/>
      </rPr>
      <t xml:space="preserve"> - Inaja Band of Diegueño Mission Indians of the Inaja and Cosmit Reservation
</t>
    </r>
    <r>
      <rPr>
        <b/>
        <sz val="11"/>
        <color theme="1"/>
        <rFont val="Calibri"/>
        <family val="2"/>
        <scheme val="minor"/>
      </rPr>
      <t>InupiatCommunityoftheArcticSlope</t>
    </r>
    <r>
      <rPr>
        <sz val="11"/>
        <color theme="1"/>
        <rFont val="Calibri"/>
        <family val="2"/>
        <scheme val="minor"/>
      </rPr>
      <t xml:space="preserve"> - Inupiat Community of the Arctic Slope
</t>
    </r>
    <r>
      <rPr>
        <b/>
        <sz val="11"/>
        <color theme="1"/>
        <rFont val="Calibri"/>
        <family val="2"/>
        <scheme val="minor"/>
      </rPr>
      <t>IoneBandofMiwok</t>
    </r>
    <r>
      <rPr>
        <sz val="11"/>
        <color theme="1"/>
        <rFont val="Calibri"/>
        <family val="2"/>
        <scheme val="minor"/>
      </rPr>
      <t xml:space="preserve"> - Ione Band of Miwok Indians of California
</t>
    </r>
    <r>
      <rPr>
        <b/>
        <sz val="11"/>
        <color theme="1"/>
        <rFont val="Calibri"/>
        <family val="2"/>
        <scheme val="minor"/>
      </rPr>
      <t>IowaTribeofKansasandNebraska</t>
    </r>
    <r>
      <rPr>
        <sz val="11"/>
        <color theme="1"/>
        <rFont val="Calibri"/>
        <family val="2"/>
        <scheme val="minor"/>
      </rPr>
      <t xml:space="preserve"> - Iowa Tribe  of Kansas and Nebraska
</t>
    </r>
    <r>
      <rPr>
        <b/>
        <sz val="11"/>
        <color theme="1"/>
        <rFont val="Calibri"/>
        <family val="2"/>
        <scheme val="minor"/>
      </rPr>
      <t>IowaTribeofKansasandNebraska</t>
    </r>
    <r>
      <rPr>
        <sz val="11"/>
        <color theme="1"/>
        <rFont val="Calibri"/>
        <family val="2"/>
        <scheme val="minor"/>
      </rPr>
      <t xml:space="preserve"> - Iowa Tribe of Kansas and Nebraska
</t>
    </r>
    <r>
      <rPr>
        <b/>
        <sz val="11"/>
        <color theme="1"/>
        <rFont val="Calibri"/>
        <family val="2"/>
        <scheme val="minor"/>
      </rPr>
      <t>IowaTribeofOklahoma</t>
    </r>
    <r>
      <rPr>
        <sz val="11"/>
        <color theme="1"/>
        <rFont val="Calibri"/>
        <family val="2"/>
        <scheme val="minor"/>
      </rPr>
      <t xml:space="preserve"> - Iowa Tribe of Oklahoma
</t>
    </r>
    <r>
      <rPr>
        <b/>
        <sz val="11"/>
        <color theme="1"/>
        <rFont val="Calibri"/>
        <family val="2"/>
        <scheme val="minor"/>
      </rPr>
      <t>IqurmuitTraditionalCouncil</t>
    </r>
    <r>
      <rPr>
        <sz val="11"/>
        <color theme="1"/>
        <rFont val="Calibri"/>
        <family val="2"/>
        <scheme val="minor"/>
      </rPr>
      <t xml:space="preserve"> - Iqurmuit Traditional Council (formerly the Native Village of Russian Mission)
</t>
    </r>
    <r>
      <rPr>
        <b/>
        <sz val="11"/>
        <color theme="1"/>
        <rFont val="Calibri"/>
        <family val="2"/>
        <scheme val="minor"/>
      </rPr>
      <t>IvanoffBayVillage</t>
    </r>
    <r>
      <rPr>
        <sz val="11"/>
        <color theme="1"/>
        <rFont val="Calibri"/>
        <family val="2"/>
        <scheme val="minor"/>
      </rPr>
      <t xml:space="preserve"> - Ivanoff Bay Village
</t>
    </r>
    <r>
      <rPr>
        <b/>
        <sz val="11"/>
        <color theme="1"/>
        <rFont val="Calibri"/>
        <family val="2"/>
        <scheme val="minor"/>
      </rPr>
      <t>JacksonBandofMiwuk</t>
    </r>
    <r>
      <rPr>
        <sz val="11"/>
        <color theme="1"/>
        <rFont val="Calibri"/>
        <family val="2"/>
        <scheme val="minor"/>
      </rPr>
      <t xml:space="preserve"> - Jackson Band of Miwuk Indians
</t>
    </r>
    <r>
      <rPr>
        <b/>
        <sz val="11"/>
        <color theme="1"/>
        <rFont val="Calibri"/>
        <family val="2"/>
        <scheme val="minor"/>
      </rPr>
      <t>JamestownSKlallamTribe</t>
    </r>
    <r>
      <rPr>
        <sz val="11"/>
        <color theme="1"/>
        <rFont val="Calibri"/>
        <family val="2"/>
        <scheme val="minor"/>
      </rPr>
      <t xml:space="preserve"> - Jamestown S’Klallam Tribe
</t>
    </r>
    <r>
      <rPr>
        <b/>
        <sz val="11"/>
        <color theme="1"/>
        <rFont val="Calibri"/>
        <family val="2"/>
        <scheme val="minor"/>
      </rPr>
      <t>JamulIndianVillageofCalifornia</t>
    </r>
    <r>
      <rPr>
        <sz val="11"/>
        <color theme="1"/>
        <rFont val="Calibri"/>
        <family val="2"/>
        <scheme val="minor"/>
      </rPr>
      <t xml:space="preserve"> - Jamul Indian Village of California
</t>
    </r>
    <r>
      <rPr>
        <b/>
        <sz val="11"/>
        <color theme="1"/>
        <rFont val="Calibri"/>
        <family val="2"/>
        <scheme val="minor"/>
      </rPr>
      <t>JenaBandofChoctaw</t>
    </r>
    <r>
      <rPr>
        <sz val="11"/>
        <color theme="1"/>
        <rFont val="Calibri"/>
        <family val="2"/>
        <scheme val="minor"/>
      </rPr>
      <t xml:space="preserve"> - Jena Band of Choctaw Indians
</t>
    </r>
    <r>
      <rPr>
        <b/>
        <sz val="11"/>
        <color theme="1"/>
        <rFont val="Calibri"/>
        <family val="2"/>
        <scheme val="minor"/>
      </rPr>
      <t>JicarillaApacheNation</t>
    </r>
    <r>
      <rPr>
        <sz val="11"/>
        <color theme="1"/>
        <rFont val="Calibri"/>
        <family val="2"/>
        <scheme val="minor"/>
      </rPr>
      <t xml:space="preserve"> - Jicarilla Apache Nation
</t>
    </r>
    <r>
      <rPr>
        <b/>
        <sz val="11"/>
        <color theme="1"/>
        <rFont val="Calibri"/>
        <family val="2"/>
        <scheme val="minor"/>
      </rPr>
      <t>KaguyakVillage</t>
    </r>
    <r>
      <rPr>
        <sz val="11"/>
        <color theme="1"/>
        <rFont val="Calibri"/>
        <family val="2"/>
        <scheme val="minor"/>
      </rPr>
      <t>- Kaguyak Village</t>
    </r>
  </si>
  <si>
    <r>
      <t>KaibabBandofPaiute</t>
    </r>
    <r>
      <rPr>
        <sz val="11"/>
        <color theme="1"/>
        <rFont val="Calibri"/>
        <family val="2"/>
        <scheme val="minor"/>
      </rPr>
      <t xml:space="preserve"> - Kaibab Band of Paiute Indians of the Kaibab Indian Reservation
</t>
    </r>
    <r>
      <rPr>
        <b/>
        <sz val="11"/>
        <color theme="1"/>
        <rFont val="Calibri"/>
        <family val="2"/>
        <scheme val="minor"/>
      </rPr>
      <t>KaktovikVillage</t>
    </r>
    <r>
      <rPr>
        <sz val="11"/>
        <color theme="1"/>
        <rFont val="Calibri"/>
        <family val="2"/>
        <scheme val="minor"/>
      </rPr>
      <t xml:space="preserve"> - Kaktovik Village (aka Barter Island)
</t>
    </r>
    <r>
      <rPr>
        <b/>
        <sz val="11"/>
        <color theme="1"/>
        <rFont val="Calibri"/>
        <family val="2"/>
        <scheme val="minor"/>
      </rPr>
      <t>KalispelIndianCommunityoftheKalispel</t>
    </r>
    <r>
      <rPr>
        <sz val="11"/>
        <color theme="1"/>
        <rFont val="Calibri"/>
        <family val="2"/>
        <scheme val="minor"/>
      </rPr>
      <t xml:space="preserve"> - Kalispel Indian Community of the Kalispel Reservation
</t>
    </r>
    <r>
      <rPr>
        <b/>
        <sz val="11"/>
        <color theme="1"/>
        <rFont val="Calibri"/>
        <family val="2"/>
        <scheme val="minor"/>
      </rPr>
      <t>KarukTribe</t>
    </r>
    <r>
      <rPr>
        <sz val="11"/>
        <color theme="1"/>
        <rFont val="Calibri"/>
        <family val="2"/>
        <scheme val="minor"/>
      </rPr>
      <t xml:space="preserve"> - Karuk Tribe 
</t>
    </r>
    <r>
      <rPr>
        <b/>
        <sz val="11"/>
        <color theme="1"/>
        <rFont val="Calibri"/>
        <family val="2"/>
        <scheme val="minor"/>
      </rPr>
      <t>KashiaBandofPomo</t>
    </r>
    <r>
      <rPr>
        <sz val="11"/>
        <color theme="1"/>
        <rFont val="Calibri"/>
        <family val="2"/>
        <scheme val="minor"/>
      </rPr>
      <t xml:space="preserve"> - Kashia Band of Pomo Indians of the Stewart’s Point Rancheria
</t>
    </r>
    <r>
      <rPr>
        <b/>
        <sz val="11"/>
        <color theme="1"/>
        <rFont val="Calibri"/>
        <family val="2"/>
        <scheme val="minor"/>
      </rPr>
      <t>KasiglukTraditionalEldersCouncil</t>
    </r>
    <r>
      <rPr>
        <sz val="11"/>
        <color theme="1"/>
        <rFont val="Calibri"/>
        <family val="2"/>
        <scheme val="minor"/>
      </rPr>
      <t xml:space="preserve"> - Kasigluk Traditional Elders Council (formerly the Native Village of Kasigluk)
</t>
    </r>
    <r>
      <rPr>
        <b/>
        <sz val="11"/>
        <color theme="1"/>
        <rFont val="Calibri"/>
        <family val="2"/>
        <scheme val="minor"/>
      </rPr>
      <t>KawNation</t>
    </r>
    <r>
      <rPr>
        <sz val="11"/>
        <color theme="1"/>
        <rFont val="Calibri"/>
        <family val="2"/>
        <scheme val="minor"/>
      </rPr>
      <t xml:space="preserve"> - Kaw Nation
</t>
    </r>
    <r>
      <rPr>
        <b/>
        <sz val="11"/>
        <color theme="1"/>
        <rFont val="Calibri"/>
        <family val="2"/>
        <scheme val="minor"/>
      </rPr>
      <t>KenaitzeIndianTribe</t>
    </r>
    <r>
      <rPr>
        <sz val="11"/>
        <color theme="1"/>
        <rFont val="Calibri"/>
        <family val="2"/>
        <scheme val="minor"/>
      </rPr>
      <t xml:space="preserve"> - Kenaitze Indian Tribe
</t>
    </r>
    <r>
      <rPr>
        <b/>
        <sz val="11"/>
        <color theme="1"/>
        <rFont val="Calibri"/>
        <family val="2"/>
        <scheme val="minor"/>
      </rPr>
      <t>KetchikanIndianCorporation</t>
    </r>
    <r>
      <rPr>
        <sz val="11"/>
        <color theme="1"/>
        <rFont val="Calibri"/>
        <family val="2"/>
        <scheme val="minor"/>
      </rPr>
      <t xml:space="preserve"> - Ketchikan Indian Corporation
</t>
    </r>
    <r>
      <rPr>
        <b/>
        <sz val="11"/>
        <color theme="1"/>
        <rFont val="Calibri"/>
        <family val="2"/>
        <scheme val="minor"/>
      </rPr>
      <t>KewaPueblo</t>
    </r>
    <r>
      <rPr>
        <sz val="11"/>
        <color theme="1"/>
        <rFont val="Calibri"/>
        <family val="2"/>
        <scheme val="minor"/>
      </rPr>
      <t xml:space="preserve"> - Kewa Pueblo
</t>
    </r>
    <r>
      <rPr>
        <b/>
        <sz val="11"/>
        <color theme="1"/>
        <rFont val="Calibri"/>
        <family val="2"/>
        <scheme val="minor"/>
      </rPr>
      <t>KeweenawBayIndianCommunity</t>
    </r>
    <r>
      <rPr>
        <sz val="11"/>
        <color theme="1"/>
        <rFont val="Calibri"/>
        <family val="2"/>
        <scheme val="minor"/>
      </rPr>
      <t xml:space="preserve"> - Keweenaw Bay Indian Community
</t>
    </r>
    <r>
      <rPr>
        <b/>
        <sz val="11"/>
        <color theme="1"/>
        <rFont val="Calibri"/>
        <family val="2"/>
        <scheme val="minor"/>
      </rPr>
      <t>KialegeeTribalTown</t>
    </r>
    <r>
      <rPr>
        <sz val="11"/>
        <color theme="1"/>
        <rFont val="Calibri"/>
        <family val="2"/>
        <scheme val="minor"/>
      </rPr>
      <t xml:space="preserve"> - Kialegee Tribal Town
</t>
    </r>
    <r>
      <rPr>
        <b/>
        <sz val="11"/>
        <color theme="1"/>
        <rFont val="Calibri"/>
        <family val="2"/>
        <scheme val="minor"/>
      </rPr>
      <t>KickapooTraditionalTribeofTexas</t>
    </r>
    <r>
      <rPr>
        <sz val="11"/>
        <color theme="1"/>
        <rFont val="Calibri"/>
        <family val="2"/>
        <scheme val="minor"/>
      </rPr>
      <t xml:space="preserve"> - Kickapoo Traditional Tribe of Texas
</t>
    </r>
    <r>
      <rPr>
        <b/>
        <sz val="11"/>
        <color theme="1"/>
        <rFont val="Calibri"/>
        <family val="2"/>
        <scheme val="minor"/>
      </rPr>
      <t>Kickapoo</t>
    </r>
    <r>
      <rPr>
        <sz val="11"/>
        <color theme="1"/>
        <rFont val="Calibri"/>
        <family val="2"/>
        <scheme val="minor"/>
      </rPr>
      <t xml:space="preserve"> - Kickapoo Tribe of Indians of the Kickapoo Reservation in Kansas
</t>
    </r>
    <r>
      <rPr>
        <b/>
        <sz val="11"/>
        <color theme="1"/>
        <rFont val="Calibri"/>
        <family val="2"/>
        <scheme val="minor"/>
      </rPr>
      <t>KickapooTribeofOklahoma</t>
    </r>
    <r>
      <rPr>
        <sz val="11"/>
        <color theme="1"/>
        <rFont val="Calibri"/>
        <family val="2"/>
        <scheme val="minor"/>
      </rPr>
      <t xml:space="preserve"> - Kickapoo Tribe of Oklahoma
</t>
    </r>
    <r>
      <rPr>
        <b/>
        <sz val="11"/>
        <color theme="1"/>
        <rFont val="Calibri"/>
        <family val="2"/>
        <scheme val="minor"/>
      </rPr>
      <t>KingIslandNativeCommunity</t>
    </r>
    <r>
      <rPr>
        <sz val="11"/>
        <color theme="1"/>
        <rFont val="Calibri"/>
        <family val="2"/>
        <scheme val="minor"/>
      </rPr>
      <t xml:space="preserve"> - King Island Native Community
</t>
    </r>
    <r>
      <rPr>
        <b/>
        <sz val="11"/>
        <color theme="1"/>
        <rFont val="Calibri"/>
        <family val="2"/>
        <scheme val="minor"/>
      </rPr>
      <t>KingSalmonTribe</t>
    </r>
    <r>
      <rPr>
        <sz val="11"/>
        <color theme="1"/>
        <rFont val="Calibri"/>
        <family val="2"/>
        <scheme val="minor"/>
      </rPr>
      <t xml:space="preserve"> - King Salmon Tribe
</t>
    </r>
    <r>
      <rPr>
        <b/>
        <sz val="11"/>
        <color theme="1"/>
        <rFont val="Calibri"/>
        <family val="2"/>
        <scheme val="minor"/>
      </rPr>
      <t>KiowaIndianTribeofOklahoma</t>
    </r>
    <r>
      <rPr>
        <sz val="11"/>
        <color theme="1"/>
        <rFont val="Calibri"/>
        <family val="2"/>
        <scheme val="minor"/>
      </rPr>
      <t xml:space="preserve"> - Kiowa Indian Tribe of Oklahoma
</t>
    </r>
    <r>
      <rPr>
        <b/>
        <sz val="11"/>
        <color theme="1"/>
        <rFont val="Calibri"/>
        <family val="2"/>
        <scheme val="minor"/>
      </rPr>
      <t>KlamathTribes</t>
    </r>
    <r>
      <rPr>
        <sz val="11"/>
        <color theme="1"/>
        <rFont val="Calibri"/>
        <family val="2"/>
        <scheme val="minor"/>
      </rPr>
      <t xml:space="preserve"> - Klamath Tribes 
</t>
    </r>
    <r>
      <rPr>
        <b/>
        <sz val="11"/>
        <color theme="1"/>
        <rFont val="Calibri"/>
        <family val="2"/>
        <scheme val="minor"/>
      </rPr>
      <t>KlawockCooperativeAssociation</t>
    </r>
    <r>
      <rPr>
        <sz val="11"/>
        <color theme="1"/>
        <rFont val="Calibri"/>
        <family val="2"/>
        <scheme val="minor"/>
      </rPr>
      <t xml:space="preserve"> - Klawock Cooperative Association
</t>
    </r>
    <r>
      <rPr>
        <b/>
        <sz val="11"/>
        <color theme="1"/>
        <rFont val="Calibri"/>
        <family val="2"/>
        <scheme val="minor"/>
      </rPr>
      <t>KnikTribe</t>
    </r>
    <r>
      <rPr>
        <sz val="11"/>
        <color theme="1"/>
        <rFont val="Calibri"/>
        <family val="2"/>
        <scheme val="minor"/>
      </rPr>
      <t xml:space="preserve"> - Knik Tribe
</t>
    </r>
    <r>
      <rPr>
        <b/>
        <sz val="11"/>
        <color theme="1"/>
        <rFont val="Calibri"/>
        <family val="2"/>
        <scheme val="minor"/>
      </rPr>
      <t>KoiNationofNorthernCalifornia</t>
    </r>
    <r>
      <rPr>
        <sz val="11"/>
        <color theme="1"/>
        <rFont val="Calibri"/>
        <family val="2"/>
        <scheme val="minor"/>
      </rPr>
      <t xml:space="preserve"> - Koi Nation of Northern California
</t>
    </r>
    <r>
      <rPr>
        <b/>
        <sz val="11"/>
        <color theme="1"/>
        <rFont val="Calibri"/>
        <family val="2"/>
        <scheme val="minor"/>
      </rPr>
      <t>KokhanokVillage</t>
    </r>
    <r>
      <rPr>
        <sz val="11"/>
        <color theme="1"/>
        <rFont val="Calibri"/>
        <family val="2"/>
        <scheme val="minor"/>
      </rPr>
      <t xml:space="preserve"> - Kokhanok Village
</t>
    </r>
    <r>
      <rPr>
        <b/>
        <sz val="11"/>
        <color theme="1"/>
        <rFont val="Calibri"/>
        <family val="2"/>
        <scheme val="minor"/>
      </rPr>
      <t>KootenaiTribeofIdaho</t>
    </r>
    <r>
      <rPr>
        <sz val="11"/>
        <color theme="1"/>
        <rFont val="Calibri"/>
        <family val="2"/>
        <scheme val="minor"/>
      </rPr>
      <t xml:space="preserve"> - Kootenai Tribe of Idaho
</t>
    </r>
    <r>
      <rPr>
        <b/>
        <sz val="11"/>
        <color theme="1"/>
        <rFont val="Calibri"/>
        <family val="2"/>
        <scheme val="minor"/>
      </rPr>
      <t>KoyukukNativeVillage</t>
    </r>
    <r>
      <rPr>
        <sz val="11"/>
        <color theme="1"/>
        <rFont val="Calibri"/>
        <family val="2"/>
        <scheme val="minor"/>
      </rPr>
      <t xml:space="preserve"> - Koyukuk Native Village
</t>
    </r>
    <r>
      <rPr>
        <b/>
        <sz val="11"/>
        <color theme="1"/>
        <rFont val="Calibri"/>
        <family val="2"/>
        <scheme val="minor"/>
      </rPr>
      <t>LaJollaBandofLuiseño</t>
    </r>
    <r>
      <rPr>
        <sz val="11"/>
        <color theme="1"/>
        <rFont val="Calibri"/>
        <family val="2"/>
        <scheme val="minor"/>
      </rPr>
      <t xml:space="preserve"> - La Jolla Band of Luiseño Indians 
</t>
    </r>
    <r>
      <rPr>
        <b/>
        <sz val="11"/>
        <color theme="1"/>
        <rFont val="Calibri"/>
        <family val="2"/>
        <scheme val="minor"/>
      </rPr>
      <t>LaPostaBandofDiegueñoMission</t>
    </r>
    <r>
      <rPr>
        <sz val="11"/>
        <color theme="1"/>
        <rFont val="Calibri"/>
        <family val="2"/>
        <scheme val="minor"/>
      </rPr>
      <t xml:space="preserve"> - La Posta Band of Diegueño Mission Indians of the La Posta Indian Reservation
</t>
    </r>
    <r>
      <rPr>
        <b/>
        <sz val="11"/>
        <color theme="1"/>
        <rFont val="Calibri"/>
        <family val="2"/>
        <scheme val="minor"/>
      </rPr>
      <t>LacCourteOreillesBandofLakeSuperiorChippewa</t>
    </r>
    <r>
      <rPr>
        <sz val="11"/>
        <color theme="1"/>
        <rFont val="Calibri"/>
        <family val="2"/>
        <scheme val="minor"/>
      </rPr>
      <t xml:space="preserve"> - Lac Courte Oreilles Band of Lake Superior Chippewa Indians of Wisconsin
</t>
    </r>
    <r>
      <rPr>
        <b/>
        <sz val="11"/>
        <color theme="1"/>
        <rFont val="Calibri"/>
        <family val="2"/>
        <scheme val="minor"/>
      </rPr>
      <t>LacduFlambeauBandofLakeSuperiorChippewa</t>
    </r>
    <r>
      <rPr>
        <sz val="11"/>
        <color theme="1"/>
        <rFont val="Calibri"/>
        <family val="2"/>
        <scheme val="minor"/>
      </rPr>
      <t xml:space="preserve"> - Lac du Flambeau Band of Lake Superior Chippewa Indians of the Lac du Flambeau Reservation of Wisconsin
</t>
    </r>
    <r>
      <rPr>
        <b/>
        <sz val="11"/>
        <color theme="1"/>
        <rFont val="Calibri"/>
        <family val="2"/>
        <scheme val="minor"/>
      </rPr>
      <t>LacVieuxDesertBandofLakeSuperiorChippewa</t>
    </r>
    <r>
      <rPr>
        <sz val="11"/>
        <color theme="1"/>
        <rFont val="Calibri"/>
        <family val="2"/>
        <scheme val="minor"/>
      </rPr>
      <t xml:space="preserve"> - Lac Vieux Desert Band of Lake Superior Chippewa Indians of Michigan
</t>
    </r>
    <r>
      <rPr>
        <b/>
        <sz val="11"/>
        <color theme="1"/>
        <rFont val="Calibri"/>
        <family val="2"/>
        <scheme val="minor"/>
      </rPr>
      <t>LasVegasTribeofPaiute</t>
    </r>
    <r>
      <rPr>
        <sz val="11"/>
        <color theme="1"/>
        <rFont val="Calibri"/>
        <family val="2"/>
        <scheme val="minor"/>
      </rPr>
      <t xml:space="preserve"> - Las Vegas Tribe of Paiute Indians of the Las Vegas Indian Colony
</t>
    </r>
    <r>
      <rPr>
        <b/>
        <sz val="11"/>
        <color theme="1"/>
        <rFont val="Calibri"/>
        <family val="2"/>
        <scheme val="minor"/>
      </rPr>
      <t>LevelockVillage</t>
    </r>
    <r>
      <rPr>
        <sz val="11"/>
        <color theme="1"/>
        <rFont val="Calibri"/>
        <family val="2"/>
        <scheme val="minor"/>
      </rPr>
      <t xml:space="preserve"> - Levelock Village
</t>
    </r>
    <r>
      <rPr>
        <b/>
        <sz val="11"/>
        <color theme="1"/>
        <rFont val="Calibri"/>
        <family val="2"/>
        <scheme val="minor"/>
      </rPr>
      <t>LimeVillage</t>
    </r>
    <r>
      <rPr>
        <sz val="11"/>
        <color theme="1"/>
        <rFont val="Calibri"/>
        <family val="2"/>
        <scheme val="minor"/>
      </rPr>
      <t xml:space="preserve"> - Lime Village
</t>
    </r>
    <r>
      <rPr>
        <b/>
        <sz val="11"/>
        <color theme="1"/>
        <rFont val="Calibri"/>
        <family val="2"/>
        <scheme val="minor"/>
      </rPr>
      <t>LipayNationofSantaYsabel</t>
    </r>
    <r>
      <rPr>
        <sz val="11"/>
        <color theme="1"/>
        <rFont val="Calibri"/>
        <family val="2"/>
        <scheme val="minor"/>
      </rPr>
      <t xml:space="preserve"> - Lipay Nation of Santa Ysabel (Previously listed as the Santa Ysabel Band of Diegueño Mission Indians of the Santa Ysabel Reservation)
</t>
    </r>
    <r>
      <rPr>
        <b/>
        <sz val="11"/>
        <color theme="1"/>
        <rFont val="Calibri"/>
        <family val="2"/>
        <scheme val="minor"/>
      </rPr>
      <t>LittleRiverBandofOttawa</t>
    </r>
    <r>
      <rPr>
        <sz val="11"/>
        <color theme="1"/>
        <rFont val="Calibri"/>
        <family val="2"/>
        <scheme val="minor"/>
      </rPr>
      <t xml:space="preserve"> - Little River Band of Ottawa Indians
</t>
    </r>
    <r>
      <rPr>
        <b/>
        <sz val="11"/>
        <color theme="1"/>
        <rFont val="Calibri"/>
        <family val="2"/>
        <scheme val="minor"/>
      </rPr>
      <t>LittleTraverseBayBandsofOdawa</t>
    </r>
    <r>
      <rPr>
        <sz val="11"/>
        <color theme="1"/>
        <rFont val="Calibri"/>
        <family val="2"/>
        <scheme val="minor"/>
      </rPr>
      <t xml:space="preserve"> - Little Traverse Bay Bands of Odawa Indians
</t>
    </r>
    <r>
      <rPr>
        <b/>
        <sz val="11"/>
        <color theme="1"/>
        <rFont val="Calibri"/>
        <family val="2"/>
        <scheme val="minor"/>
      </rPr>
      <t>LonePinePaiuteShoshoneTribe</t>
    </r>
    <r>
      <rPr>
        <sz val="11"/>
        <color theme="1"/>
        <rFont val="Calibri"/>
        <family val="2"/>
        <scheme val="minor"/>
      </rPr>
      <t xml:space="preserve"> - Lone Pine Paiute-Shoshone Tribe
</t>
    </r>
    <r>
      <rPr>
        <b/>
        <sz val="11"/>
        <color theme="1"/>
        <rFont val="Calibri"/>
        <family val="2"/>
        <scheme val="minor"/>
      </rPr>
      <t>LosCoyotesBandofCahuilla&amp;Cupeno</t>
    </r>
    <r>
      <rPr>
        <sz val="11"/>
        <color theme="1"/>
        <rFont val="Calibri"/>
        <family val="2"/>
        <scheme val="minor"/>
      </rPr>
      <t xml:space="preserve"> - Los Coyotes Band of Cahuilla &amp; Cupeno Indians 
</t>
    </r>
    <r>
      <rPr>
        <b/>
        <sz val="11"/>
        <color theme="1"/>
        <rFont val="Calibri"/>
        <family val="2"/>
        <scheme val="minor"/>
      </rPr>
      <t>LovelockPaiuteLovelockIndianColony</t>
    </r>
    <r>
      <rPr>
        <sz val="11"/>
        <color theme="1"/>
        <rFont val="Calibri"/>
        <family val="2"/>
        <scheme val="minor"/>
      </rPr>
      <t xml:space="preserve"> - Lovelock Paiute Tribe of the Lovelock Indian Colony
</t>
    </r>
    <r>
      <rPr>
        <b/>
        <sz val="11"/>
        <color theme="1"/>
        <rFont val="Calibri"/>
        <family val="2"/>
        <scheme val="minor"/>
      </rPr>
      <t>LowerBruleSiouxLowerBrule</t>
    </r>
    <r>
      <rPr>
        <sz val="11"/>
        <color theme="1"/>
        <rFont val="Calibri"/>
        <family val="2"/>
        <scheme val="minor"/>
      </rPr>
      <t xml:space="preserve"> - Lower Brule Sioux Tribe of the Lower Brule Reservation
</t>
    </r>
    <r>
      <rPr>
        <b/>
        <sz val="11"/>
        <color theme="1"/>
        <rFont val="Calibri"/>
        <family val="2"/>
        <scheme val="minor"/>
      </rPr>
      <t>LowerElwhaTribalCommunity</t>
    </r>
    <r>
      <rPr>
        <sz val="11"/>
        <color theme="1"/>
        <rFont val="Calibri"/>
        <family val="2"/>
        <scheme val="minor"/>
      </rPr>
      <t xml:space="preserve"> - Lower Elwha Tribal Community
</t>
    </r>
    <r>
      <rPr>
        <b/>
        <sz val="11"/>
        <color theme="1"/>
        <rFont val="Calibri"/>
        <family val="2"/>
        <scheme val="minor"/>
      </rPr>
      <t>LowerSiouxIndianCommunityintheStateofMinnesota</t>
    </r>
    <r>
      <rPr>
        <sz val="11"/>
        <color theme="1"/>
        <rFont val="Calibri"/>
        <family val="2"/>
        <scheme val="minor"/>
      </rPr>
      <t xml:space="preserve"> - Lower Sioux Indian Community in the State of Minnesota
</t>
    </r>
    <r>
      <rPr>
        <b/>
        <sz val="11"/>
        <color theme="1"/>
        <rFont val="Calibri"/>
        <family val="2"/>
        <scheme val="minor"/>
      </rPr>
      <t>LummiLummi</t>
    </r>
    <r>
      <rPr>
        <sz val="11"/>
        <color theme="1"/>
        <rFont val="Calibri"/>
        <family val="2"/>
        <scheme val="minor"/>
      </rPr>
      <t xml:space="preserve"> - Lummi Tribe of the Lummi Reservation
</t>
    </r>
    <r>
      <rPr>
        <b/>
        <sz val="11"/>
        <color theme="1"/>
        <rFont val="Calibri"/>
        <family val="2"/>
        <scheme val="minor"/>
      </rPr>
      <t>LyttonRancheriaofCalifornia</t>
    </r>
    <r>
      <rPr>
        <sz val="11"/>
        <color theme="1"/>
        <rFont val="Calibri"/>
        <family val="2"/>
        <scheme val="minor"/>
      </rPr>
      <t xml:space="preserve"> - Lytton Rancheria of California
</t>
    </r>
    <r>
      <rPr>
        <b/>
        <sz val="11"/>
        <color theme="1"/>
        <rFont val="Calibri"/>
        <family val="2"/>
        <scheme val="minor"/>
      </rPr>
      <t>MakahIndianMakah</t>
    </r>
    <r>
      <rPr>
        <sz val="11"/>
        <color theme="1"/>
        <rFont val="Calibri"/>
        <family val="2"/>
        <scheme val="minor"/>
      </rPr>
      <t xml:space="preserve"> - Makah Indian Tribe of the Makah Indian Reservation
</t>
    </r>
    <r>
      <rPr>
        <b/>
        <sz val="11"/>
        <color theme="1"/>
        <rFont val="Calibri"/>
        <family val="2"/>
        <scheme val="minor"/>
      </rPr>
      <t>ManchesterBandofPomo</t>
    </r>
    <r>
      <rPr>
        <sz val="11"/>
        <color theme="1"/>
        <rFont val="Calibri"/>
        <family val="2"/>
        <scheme val="minor"/>
      </rPr>
      <t xml:space="preserve"> - Manchester Band of Pomo Indians of the Manchester Rancheria
</t>
    </r>
    <r>
      <rPr>
        <b/>
        <sz val="11"/>
        <color theme="1"/>
        <rFont val="Calibri"/>
        <family val="2"/>
        <scheme val="minor"/>
      </rPr>
      <t>ManleyHotSpringsVillage</t>
    </r>
    <r>
      <rPr>
        <sz val="11"/>
        <color theme="1"/>
        <rFont val="Calibri"/>
        <family val="2"/>
        <scheme val="minor"/>
      </rPr>
      <t xml:space="preserve"> - Manley Hot Springs Village
</t>
    </r>
    <r>
      <rPr>
        <b/>
        <sz val="11"/>
        <color theme="1"/>
        <rFont val="Calibri"/>
        <family val="2"/>
        <scheme val="minor"/>
      </rPr>
      <t>ManokotakVillage</t>
    </r>
    <r>
      <rPr>
        <sz val="11"/>
        <color theme="1"/>
        <rFont val="Calibri"/>
        <family val="2"/>
        <scheme val="minor"/>
      </rPr>
      <t xml:space="preserve"> - Manokotak Village
</t>
    </r>
    <r>
      <rPr>
        <b/>
        <sz val="11"/>
        <color theme="1"/>
        <rFont val="Calibri"/>
        <family val="2"/>
        <scheme val="minor"/>
      </rPr>
      <t>ManzanitaBandofDiegueñoMission</t>
    </r>
    <r>
      <rPr>
        <sz val="11"/>
        <color theme="1"/>
        <rFont val="Calibri"/>
        <family val="2"/>
        <scheme val="minor"/>
      </rPr>
      <t xml:space="preserve"> - Manzanita Band of Diegueño Mission Indians of the Manzanita Reservation
</t>
    </r>
    <r>
      <rPr>
        <b/>
        <sz val="11"/>
        <color theme="1"/>
        <rFont val="Calibri"/>
        <family val="2"/>
        <scheme val="minor"/>
      </rPr>
      <t>MashantucketPequotTribe</t>
    </r>
    <r>
      <rPr>
        <sz val="11"/>
        <color theme="1"/>
        <rFont val="Calibri"/>
        <family val="2"/>
        <scheme val="minor"/>
      </rPr>
      <t xml:space="preserve"> - Mashantucket Pequot Tribe 
</t>
    </r>
    <r>
      <rPr>
        <b/>
        <sz val="11"/>
        <color theme="1"/>
        <rFont val="Calibri"/>
        <family val="2"/>
        <scheme val="minor"/>
      </rPr>
      <t>MashpeeWampanoagTribe</t>
    </r>
    <r>
      <rPr>
        <sz val="11"/>
        <color theme="1"/>
        <rFont val="Calibri"/>
        <family val="2"/>
        <scheme val="minor"/>
      </rPr>
      <t xml:space="preserve"> - Mashpee Wampanoag Tribe
</t>
    </r>
    <r>
      <rPr>
        <b/>
        <sz val="11"/>
        <color theme="1"/>
        <rFont val="Calibri"/>
        <family val="2"/>
        <scheme val="minor"/>
      </rPr>
      <t>MatchebenashshewishBandofPottawatomi</t>
    </r>
    <r>
      <rPr>
        <sz val="11"/>
        <color theme="1"/>
        <rFont val="Calibri"/>
        <family val="2"/>
        <scheme val="minor"/>
      </rPr>
      <t xml:space="preserve"> - Match-e-be-nash-she-wish Band of Pottawatomi Indians of Michigan
</t>
    </r>
    <r>
      <rPr>
        <b/>
        <sz val="11"/>
        <color theme="1"/>
        <rFont val="Calibri"/>
        <family val="2"/>
        <scheme val="minor"/>
      </rPr>
      <t>McGrathNativeVillage</t>
    </r>
    <r>
      <rPr>
        <sz val="11"/>
        <color theme="1"/>
        <rFont val="Calibri"/>
        <family val="2"/>
        <scheme val="minor"/>
      </rPr>
      <t xml:space="preserve"> - McGrath Native Village
</t>
    </r>
    <r>
      <rPr>
        <b/>
        <sz val="11"/>
        <color theme="1"/>
        <rFont val="Calibri"/>
        <family val="2"/>
        <scheme val="minor"/>
      </rPr>
      <t>MdewakantonSioux</t>
    </r>
    <r>
      <rPr>
        <sz val="11"/>
        <color theme="1"/>
        <rFont val="Calibri"/>
        <family val="2"/>
        <scheme val="minor"/>
      </rPr>
      <t xml:space="preserve"> - Mdewakanton Sioux Indians
</t>
    </r>
    <r>
      <rPr>
        <b/>
        <sz val="11"/>
        <color theme="1"/>
        <rFont val="Calibri"/>
        <family val="2"/>
        <scheme val="minor"/>
      </rPr>
      <t>MechoopdaIndianTribeofChicoRancheria</t>
    </r>
    <r>
      <rPr>
        <sz val="11"/>
        <color theme="1"/>
        <rFont val="Calibri"/>
        <family val="2"/>
        <scheme val="minor"/>
      </rPr>
      <t>- Mechoopda Indian Tribe of Chico Rancheria</t>
    </r>
  </si>
  <si>
    <r>
      <t>MenomineeIndianTribeofWisconsin</t>
    </r>
    <r>
      <rPr>
        <sz val="11"/>
        <color theme="1"/>
        <rFont val="Calibri"/>
        <family val="2"/>
        <scheme val="minor"/>
      </rPr>
      <t xml:space="preserve"> - Menominee Indian Tribe of Wisconsin
</t>
    </r>
    <r>
      <rPr>
        <b/>
        <sz val="11"/>
        <color theme="1"/>
        <rFont val="Calibri"/>
        <family val="2"/>
        <scheme val="minor"/>
      </rPr>
      <t>MentastaTraditionalCouncil</t>
    </r>
    <r>
      <rPr>
        <sz val="11"/>
        <color theme="1"/>
        <rFont val="Calibri"/>
        <family val="2"/>
        <scheme val="minor"/>
      </rPr>
      <t xml:space="preserve"> - Mentasta Traditional Council
</t>
    </r>
    <r>
      <rPr>
        <b/>
        <sz val="11"/>
        <color theme="1"/>
        <rFont val="Calibri"/>
        <family val="2"/>
        <scheme val="minor"/>
      </rPr>
      <t>MesaGrandeBandofDiegueñoMission</t>
    </r>
    <r>
      <rPr>
        <sz val="11"/>
        <color theme="1"/>
        <rFont val="Calibri"/>
        <family val="2"/>
        <scheme val="minor"/>
      </rPr>
      <t xml:space="preserve"> - Mesa Grande Band of Diegueño Mission Indians of the Mesa Grande Reservation
</t>
    </r>
    <r>
      <rPr>
        <b/>
        <sz val="11"/>
        <color theme="1"/>
        <rFont val="Calibri"/>
        <family val="2"/>
        <scheme val="minor"/>
      </rPr>
      <t>MescaleroApacheMescalero</t>
    </r>
    <r>
      <rPr>
        <sz val="11"/>
        <color theme="1"/>
        <rFont val="Calibri"/>
        <family val="2"/>
        <scheme val="minor"/>
      </rPr>
      <t xml:space="preserve"> - Mescalero Apache Tribe of the Mescalero Reservation
</t>
    </r>
    <r>
      <rPr>
        <b/>
        <sz val="11"/>
        <color theme="1"/>
        <rFont val="Calibri"/>
        <family val="2"/>
        <scheme val="minor"/>
      </rPr>
      <t>MetlakatlaIndianCommunityAnnetteIslandReserve</t>
    </r>
    <r>
      <rPr>
        <sz val="11"/>
        <color theme="1"/>
        <rFont val="Calibri"/>
        <family val="2"/>
        <scheme val="minor"/>
      </rPr>
      <t xml:space="preserve"> - Metlakatla Indian Community, Annette Island Reserve
</t>
    </r>
    <r>
      <rPr>
        <b/>
        <sz val="11"/>
        <color theme="1"/>
        <rFont val="Calibri"/>
        <family val="2"/>
        <scheme val="minor"/>
      </rPr>
      <t>MiamiTribeofOklahoma</t>
    </r>
    <r>
      <rPr>
        <sz val="11"/>
        <color theme="1"/>
        <rFont val="Calibri"/>
        <family val="2"/>
        <scheme val="minor"/>
      </rPr>
      <t xml:space="preserve"> - Miami Tribe of Oklahoma
</t>
    </r>
    <r>
      <rPr>
        <b/>
        <sz val="11"/>
        <color theme="1"/>
        <rFont val="Calibri"/>
        <family val="2"/>
        <scheme val="minor"/>
      </rPr>
      <t>Miccosukee</t>
    </r>
    <r>
      <rPr>
        <sz val="11"/>
        <color theme="1"/>
        <rFont val="Calibri"/>
        <family val="2"/>
        <scheme val="minor"/>
      </rPr>
      <t xml:space="preserve"> - Miccosukee Tribe of Indians of Florida
</t>
    </r>
    <r>
      <rPr>
        <b/>
        <sz val="11"/>
        <color theme="1"/>
        <rFont val="Calibri"/>
        <family val="2"/>
        <scheme val="minor"/>
      </rPr>
      <t>MiddletownRancheriaofPomo</t>
    </r>
    <r>
      <rPr>
        <sz val="11"/>
        <color theme="1"/>
        <rFont val="Calibri"/>
        <family val="2"/>
        <scheme val="minor"/>
      </rPr>
      <t xml:space="preserve"> - Middletown Rancheria of Pomo Indians of California
</t>
    </r>
    <r>
      <rPr>
        <b/>
        <sz val="11"/>
        <color theme="1"/>
        <rFont val="Calibri"/>
        <family val="2"/>
        <scheme val="minor"/>
      </rPr>
      <t>MinnesotaChippewaTribe(Sixcomponents</t>
    </r>
    <r>
      <rPr>
        <sz val="11"/>
        <color theme="1"/>
        <rFont val="Calibri"/>
        <family val="2"/>
        <scheme val="minor"/>
      </rPr>
      <t xml:space="preserve"> - Minnesota Chippewa Tribe (Six component reservations: Bois Forte Band (Nett Lake);Fond du Lac Band; Grand Portage Band; Leech Lake Band; Mille Lacs Ban; White Earth Band)
</t>
    </r>
    <r>
      <rPr>
        <b/>
        <sz val="11"/>
        <color theme="1"/>
        <rFont val="Calibri"/>
        <family val="2"/>
        <scheme val="minor"/>
      </rPr>
      <t>MississippiBandofChoctaw</t>
    </r>
    <r>
      <rPr>
        <sz val="11"/>
        <color theme="1"/>
        <rFont val="Calibri"/>
        <family val="2"/>
        <scheme val="minor"/>
      </rPr>
      <t xml:space="preserve"> - Mississippi Band of Choctaw Indians
</t>
    </r>
    <r>
      <rPr>
        <b/>
        <sz val="11"/>
        <color theme="1"/>
        <rFont val="Calibri"/>
        <family val="2"/>
        <scheme val="minor"/>
      </rPr>
      <t>MoapaBandofPaiute</t>
    </r>
    <r>
      <rPr>
        <sz val="11"/>
        <color theme="1"/>
        <rFont val="Calibri"/>
        <family val="2"/>
        <scheme val="minor"/>
      </rPr>
      <t xml:space="preserve"> - Moapa Band of Paiute Indians of the Moapa River Indian Reservation
</t>
    </r>
    <r>
      <rPr>
        <b/>
        <sz val="11"/>
        <color theme="1"/>
        <rFont val="Calibri"/>
        <family val="2"/>
        <scheme val="minor"/>
      </rPr>
      <t>ModocTribeofOklahoma</t>
    </r>
    <r>
      <rPr>
        <sz val="11"/>
        <color theme="1"/>
        <rFont val="Calibri"/>
        <family val="2"/>
        <scheme val="minor"/>
      </rPr>
      <t xml:space="preserve"> - Modoc Tribe of Oklahoma
</t>
    </r>
    <r>
      <rPr>
        <b/>
        <sz val="11"/>
        <color theme="1"/>
        <rFont val="Calibri"/>
        <family val="2"/>
        <scheme val="minor"/>
      </rPr>
      <t>MoheganTribeof</t>
    </r>
    <r>
      <rPr>
        <sz val="11"/>
        <color theme="1"/>
        <rFont val="Calibri"/>
        <family val="2"/>
        <scheme val="minor"/>
      </rPr>
      <t xml:space="preserve"> - Mohegan Tribe of Indians of Connecticut
</t>
    </r>
    <r>
      <rPr>
        <b/>
        <sz val="11"/>
        <color theme="1"/>
        <rFont val="Calibri"/>
        <family val="2"/>
        <scheme val="minor"/>
      </rPr>
      <t>MooretownRancheriaofMaidu</t>
    </r>
    <r>
      <rPr>
        <sz val="11"/>
        <color theme="1"/>
        <rFont val="Calibri"/>
        <family val="2"/>
        <scheme val="minor"/>
      </rPr>
      <t xml:space="preserve"> - Mooretown Rancheria of Maidu Indians of California
</t>
    </r>
    <r>
      <rPr>
        <b/>
        <sz val="11"/>
        <color theme="1"/>
        <rFont val="Calibri"/>
        <family val="2"/>
        <scheme val="minor"/>
      </rPr>
      <t>MorongoBandofCahuillaMission</t>
    </r>
    <r>
      <rPr>
        <sz val="11"/>
        <color theme="1"/>
        <rFont val="Calibri"/>
        <family val="2"/>
        <scheme val="minor"/>
      </rPr>
      <t xml:space="preserve"> - Morongo Band of Cahuilla Mission Indians 
</t>
    </r>
    <r>
      <rPr>
        <b/>
        <sz val="11"/>
        <color theme="1"/>
        <rFont val="Calibri"/>
        <family val="2"/>
        <scheme val="minor"/>
      </rPr>
      <t>MuckleshootIndianTribe</t>
    </r>
    <r>
      <rPr>
        <sz val="11"/>
        <color theme="1"/>
        <rFont val="Calibri"/>
        <family val="2"/>
        <scheme val="minor"/>
      </rPr>
      <t xml:space="preserve"> - Muckleshoot Indian Tribe
</t>
    </r>
    <r>
      <rPr>
        <b/>
        <sz val="11"/>
        <color theme="1"/>
        <rFont val="Calibri"/>
        <family val="2"/>
        <scheme val="minor"/>
      </rPr>
      <t>MuscogeeNation</t>
    </r>
    <r>
      <rPr>
        <sz val="11"/>
        <color theme="1"/>
        <rFont val="Calibri"/>
        <family val="2"/>
        <scheme val="minor"/>
      </rPr>
      <t xml:space="preserve"> - Muscogee (Creek) Nation
</t>
    </r>
    <r>
      <rPr>
        <b/>
        <sz val="11"/>
        <color theme="1"/>
        <rFont val="Calibri"/>
        <family val="2"/>
        <scheme val="minor"/>
      </rPr>
      <t>NaknekNativeVillage</t>
    </r>
    <r>
      <rPr>
        <sz val="11"/>
        <color theme="1"/>
        <rFont val="Calibri"/>
        <family val="2"/>
        <scheme val="minor"/>
      </rPr>
      <t xml:space="preserve"> - Naknek Native Village
</t>
    </r>
    <r>
      <rPr>
        <b/>
        <sz val="11"/>
        <color theme="1"/>
        <rFont val="Calibri"/>
        <family val="2"/>
        <scheme val="minor"/>
      </rPr>
      <t>NarragansettIndianTribe</t>
    </r>
    <r>
      <rPr>
        <sz val="11"/>
        <color theme="1"/>
        <rFont val="Calibri"/>
        <family val="2"/>
        <scheme val="minor"/>
      </rPr>
      <t xml:space="preserve"> - Narragansett Indian Tribe 
</t>
    </r>
    <r>
      <rPr>
        <b/>
        <sz val="11"/>
        <color theme="1"/>
        <rFont val="Calibri"/>
        <family val="2"/>
        <scheme val="minor"/>
      </rPr>
      <t>NativeVillageofAfognak</t>
    </r>
    <r>
      <rPr>
        <sz val="11"/>
        <color theme="1"/>
        <rFont val="Calibri"/>
        <family val="2"/>
        <scheme val="minor"/>
      </rPr>
      <t xml:space="preserve"> - Native Village of Afognak (formerly the Village of Afognak)
</t>
    </r>
    <r>
      <rPr>
        <b/>
        <sz val="11"/>
        <color theme="1"/>
        <rFont val="Calibri"/>
        <family val="2"/>
        <scheme val="minor"/>
      </rPr>
      <t>NativeVillageofAkhiok</t>
    </r>
    <r>
      <rPr>
        <sz val="11"/>
        <color theme="1"/>
        <rFont val="Calibri"/>
        <family val="2"/>
        <scheme val="minor"/>
      </rPr>
      <t xml:space="preserve"> - Native Village of Akhiok
</t>
    </r>
    <r>
      <rPr>
        <b/>
        <sz val="11"/>
        <color theme="1"/>
        <rFont val="Calibri"/>
        <family val="2"/>
        <scheme val="minor"/>
      </rPr>
      <t>NativeVillageofAkutan</t>
    </r>
    <r>
      <rPr>
        <sz val="11"/>
        <color theme="1"/>
        <rFont val="Calibri"/>
        <family val="2"/>
        <scheme val="minor"/>
      </rPr>
      <t xml:space="preserve"> - Native Village of Akutan
</t>
    </r>
    <r>
      <rPr>
        <b/>
        <sz val="11"/>
        <color theme="1"/>
        <rFont val="Calibri"/>
        <family val="2"/>
        <scheme val="minor"/>
      </rPr>
      <t>NativeVillageofAleknagik</t>
    </r>
    <r>
      <rPr>
        <sz val="11"/>
        <color theme="1"/>
        <rFont val="Calibri"/>
        <family val="2"/>
        <scheme val="minor"/>
      </rPr>
      <t xml:space="preserve"> - Native Village of Aleknagik
</t>
    </r>
    <r>
      <rPr>
        <b/>
        <sz val="11"/>
        <color theme="1"/>
        <rFont val="Calibri"/>
        <family val="2"/>
        <scheme val="minor"/>
      </rPr>
      <t>NativeVillageofAmbler</t>
    </r>
    <r>
      <rPr>
        <sz val="11"/>
        <color theme="1"/>
        <rFont val="Calibri"/>
        <family val="2"/>
        <scheme val="minor"/>
      </rPr>
      <t xml:space="preserve"> - Native Village of Ambler
</t>
    </r>
    <r>
      <rPr>
        <b/>
        <sz val="11"/>
        <color theme="1"/>
        <rFont val="Calibri"/>
        <family val="2"/>
        <scheme val="minor"/>
      </rPr>
      <t>NativeVillageofAtka</t>
    </r>
    <r>
      <rPr>
        <sz val="11"/>
        <color theme="1"/>
        <rFont val="Calibri"/>
        <family val="2"/>
        <scheme val="minor"/>
      </rPr>
      <t xml:space="preserve"> - Native Village of Atka
</t>
    </r>
    <r>
      <rPr>
        <b/>
        <sz val="11"/>
        <color theme="1"/>
        <rFont val="Calibri"/>
        <family val="2"/>
        <scheme val="minor"/>
      </rPr>
      <t>NativeVillageofBarrowInupiatTraditionalGovernment</t>
    </r>
    <r>
      <rPr>
        <sz val="11"/>
        <color theme="1"/>
        <rFont val="Calibri"/>
        <family val="2"/>
        <scheme val="minor"/>
      </rPr>
      <t xml:space="preserve"> - Native Village of Barrow Inupiat Traditional Government
</t>
    </r>
    <r>
      <rPr>
        <b/>
        <sz val="11"/>
        <color theme="1"/>
        <rFont val="Calibri"/>
        <family val="2"/>
        <scheme val="minor"/>
      </rPr>
      <t>NativeVillageofBelk</t>
    </r>
    <r>
      <rPr>
        <sz val="11"/>
        <color theme="1"/>
        <rFont val="Calibri"/>
        <family val="2"/>
        <scheme val="minor"/>
      </rPr>
      <t xml:space="preserve"> - Native Village of Belkofski
</t>
    </r>
    <r>
      <rPr>
        <b/>
        <sz val="11"/>
        <color theme="1"/>
        <rFont val="Calibri"/>
        <family val="2"/>
        <scheme val="minor"/>
      </rPr>
      <t>NativeVillageofBrevigMission</t>
    </r>
    <r>
      <rPr>
        <sz val="11"/>
        <color theme="1"/>
        <rFont val="Calibri"/>
        <family val="2"/>
        <scheme val="minor"/>
      </rPr>
      <t xml:space="preserve"> - Native Village of Brevig Mission
</t>
    </r>
    <r>
      <rPr>
        <b/>
        <sz val="11"/>
        <color theme="1"/>
        <rFont val="Calibri"/>
        <family val="2"/>
        <scheme val="minor"/>
      </rPr>
      <t>NativeVillageofBuckland</t>
    </r>
    <r>
      <rPr>
        <sz val="11"/>
        <color theme="1"/>
        <rFont val="Calibri"/>
        <family val="2"/>
        <scheme val="minor"/>
      </rPr>
      <t xml:space="preserve"> - Native Village of Buckland
</t>
    </r>
    <r>
      <rPr>
        <b/>
        <sz val="11"/>
        <color theme="1"/>
        <rFont val="Calibri"/>
        <family val="2"/>
        <scheme val="minor"/>
      </rPr>
      <t>NativeVillageofCantwell</t>
    </r>
    <r>
      <rPr>
        <sz val="11"/>
        <color theme="1"/>
        <rFont val="Calibri"/>
        <family val="2"/>
        <scheme val="minor"/>
      </rPr>
      <t xml:space="preserve"> - Native Village of Cantwell
</t>
    </r>
    <r>
      <rPr>
        <b/>
        <sz val="11"/>
        <color theme="1"/>
        <rFont val="Calibri"/>
        <family val="2"/>
        <scheme val="minor"/>
      </rPr>
      <t>NativeVillageofChenega</t>
    </r>
    <r>
      <rPr>
        <sz val="11"/>
        <color theme="1"/>
        <rFont val="Calibri"/>
        <family val="2"/>
        <scheme val="minor"/>
      </rPr>
      <t xml:space="preserve"> - Native Village of Chenega (aka Chanega)
</t>
    </r>
    <r>
      <rPr>
        <b/>
        <sz val="11"/>
        <color theme="1"/>
        <rFont val="Calibri"/>
        <family val="2"/>
        <scheme val="minor"/>
      </rPr>
      <t>NativeVillageofChignikLagoon</t>
    </r>
    <r>
      <rPr>
        <sz val="11"/>
        <color theme="1"/>
        <rFont val="Calibri"/>
        <family val="2"/>
        <scheme val="minor"/>
      </rPr>
      <t xml:space="preserve"> - Native Village of Chignik Lagoon
</t>
    </r>
    <r>
      <rPr>
        <b/>
        <sz val="11"/>
        <color theme="1"/>
        <rFont val="Calibri"/>
        <family val="2"/>
        <scheme val="minor"/>
      </rPr>
      <t>NativeVillageofChitina</t>
    </r>
    <r>
      <rPr>
        <sz val="11"/>
        <color theme="1"/>
        <rFont val="Calibri"/>
        <family val="2"/>
        <scheme val="minor"/>
      </rPr>
      <t xml:space="preserve"> - Native Village of Chitina
</t>
    </r>
    <r>
      <rPr>
        <b/>
        <sz val="11"/>
        <color theme="1"/>
        <rFont val="Calibri"/>
        <family val="2"/>
        <scheme val="minor"/>
      </rPr>
      <t>NativeVillageofChuathbaluk</t>
    </r>
    <r>
      <rPr>
        <sz val="11"/>
        <color theme="1"/>
        <rFont val="Calibri"/>
        <family val="2"/>
        <scheme val="minor"/>
      </rPr>
      <t xml:space="preserve"> - Native Village of Chuathbaluk (Russian Mission, Kuskokwim)
</t>
    </r>
    <r>
      <rPr>
        <b/>
        <sz val="11"/>
        <color theme="1"/>
        <rFont val="Calibri"/>
        <family val="2"/>
        <scheme val="minor"/>
      </rPr>
      <t>NativeVillageofCouncil</t>
    </r>
    <r>
      <rPr>
        <sz val="11"/>
        <color theme="1"/>
        <rFont val="Calibri"/>
        <family val="2"/>
        <scheme val="minor"/>
      </rPr>
      <t xml:space="preserve"> - Native Village of Council
</t>
    </r>
    <r>
      <rPr>
        <b/>
        <sz val="11"/>
        <color theme="1"/>
        <rFont val="Calibri"/>
        <family val="2"/>
        <scheme val="minor"/>
      </rPr>
      <t>NativeVillageofDeering</t>
    </r>
    <r>
      <rPr>
        <sz val="11"/>
        <color theme="1"/>
        <rFont val="Calibri"/>
        <family val="2"/>
        <scheme val="minor"/>
      </rPr>
      <t xml:space="preserve"> - Native Village of Deering
</t>
    </r>
    <r>
      <rPr>
        <b/>
        <sz val="11"/>
        <color theme="1"/>
        <rFont val="Calibri"/>
        <family val="2"/>
        <scheme val="minor"/>
      </rPr>
      <t>NativeVillageofDiomede</t>
    </r>
    <r>
      <rPr>
        <sz val="11"/>
        <color theme="1"/>
        <rFont val="Calibri"/>
        <family val="2"/>
        <scheme val="minor"/>
      </rPr>
      <t xml:space="preserve"> - Native Village of Diomede (aka Inalik)
</t>
    </r>
    <r>
      <rPr>
        <b/>
        <sz val="11"/>
        <color theme="1"/>
        <rFont val="Calibri"/>
        <family val="2"/>
        <scheme val="minor"/>
      </rPr>
      <t>NativeVillageofEagle</t>
    </r>
    <r>
      <rPr>
        <sz val="11"/>
        <color theme="1"/>
        <rFont val="Calibri"/>
        <family val="2"/>
        <scheme val="minor"/>
      </rPr>
      <t xml:space="preserve"> - Native Village of Eagle
</t>
    </r>
    <r>
      <rPr>
        <b/>
        <sz val="11"/>
        <color theme="1"/>
        <rFont val="Calibri"/>
        <family val="2"/>
        <scheme val="minor"/>
      </rPr>
      <t>NativeVillageofEek</t>
    </r>
    <r>
      <rPr>
        <sz val="11"/>
        <color theme="1"/>
        <rFont val="Calibri"/>
        <family val="2"/>
        <scheme val="minor"/>
      </rPr>
      <t xml:space="preserve"> - Native Village of Eek
</t>
    </r>
    <r>
      <rPr>
        <b/>
        <sz val="11"/>
        <color theme="1"/>
        <rFont val="Calibri"/>
        <family val="2"/>
        <scheme val="minor"/>
      </rPr>
      <t>NativeVillageofEkuk</t>
    </r>
    <r>
      <rPr>
        <sz val="11"/>
        <color theme="1"/>
        <rFont val="Calibri"/>
        <family val="2"/>
        <scheme val="minor"/>
      </rPr>
      <t xml:space="preserve"> - Native Village of Ekuk
</t>
    </r>
    <r>
      <rPr>
        <b/>
        <sz val="11"/>
        <color theme="1"/>
        <rFont val="Calibri"/>
        <family val="2"/>
        <scheme val="minor"/>
      </rPr>
      <t>NativeVillageofElim</t>
    </r>
    <r>
      <rPr>
        <sz val="11"/>
        <color theme="1"/>
        <rFont val="Calibri"/>
        <family val="2"/>
        <scheme val="minor"/>
      </rPr>
      <t xml:space="preserve"> - Native Village of Elim
</t>
    </r>
    <r>
      <rPr>
        <b/>
        <sz val="11"/>
        <color theme="1"/>
        <rFont val="Calibri"/>
        <family val="2"/>
        <scheme val="minor"/>
      </rPr>
      <t>NativeVillageofEyak</t>
    </r>
    <r>
      <rPr>
        <sz val="11"/>
        <color theme="1"/>
        <rFont val="Calibri"/>
        <family val="2"/>
        <scheme val="minor"/>
      </rPr>
      <t xml:space="preserve"> - Native Village of Eyak (Cordova)
</t>
    </r>
    <r>
      <rPr>
        <b/>
        <sz val="11"/>
        <color theme="1"/>
        <rFont val="Calibri"/>
        <family val="2"/>
        <scheme val="minor"/>
      </rPr>
      <t>NativeVillageofFalsePass</t>
    </r>
    <r>
      <rPr>
        <sz val="11"/>
        <color theme="1"/>
        <rFont val="Calibri"/>
        <family val="2"/>
        <scheme val="minor"/>
      </rPr>
      <t xml:space="preserve"> - Native Village of False Pass
</t>
    </r>
    <r>
      <rPr>
        <b/>
        <sz val="11"/>
        <color theme="1"/>
        <rFont val="Calibri"/>
        <family val="2"/>
        <scheme val="minor"/>
      </rPr>
      <t>NativeVillageofFortYukon</t>
    </r>
    <r>
      <rPr>
        <sz val="11"/>
        <color theme="1"/>
        <rFont val="Calibri"/>
        <family val="2"/>
        <scheme val="minor"/>
      </rPr>
      <t xml:space="preserve"> - Native Village of Fort Yukon
</t>
    </r>
    <r>
      <rPr>
        <b/>
        <sz val="11"/>
        <color theme="1"/>
        <rFont val="Calibri"/>
        <family val="2"/>
        <scheme val="minor"/>
      </rPr>
      <t>NativeVillageofGakona</t>
    </r>
    <r>
      <rPr>
        <sz val="11"/>
        <color theme="1"/>
        <rFont val="Calibri"/>
        <family val="2"/>
        <scheme val="minor"/>
      </rPr>
      <t xml:space="preserve"> - Native Village of Gakona
</t>
    </r>
    <r>
      <rPr>
        <b/>
        <sz val="11"/>
        <color theme="1"/>
        <rFont val="Calibri"/>
        <family val="2"/>
        <scheme val="minor"/>
      </rPr>
      <t>NativeVillageofGambell</t>
    </r>
    <r>
      <rPr>
        <sz val="11"/>
        <color theme="1"/>
        <rFont val="Calibri"/>
        <family val="2"/>
        <scheme val="minor"/>
      </rPr>
      <t xml:space="preserve"> - Native Village of Gambell
</t>
    </r>
    <r>
      <rPr>
        <b/>
        <sz val="11"/>
        <color theme="1"/>
        <rFont val="Calibri"/>
        <family val="2"/>
        <scheme val="minor"/>
      </rPr>
      <t>NativeVillageofGeorgetown</t>
    </r>
    <r>
      <rPr>
        <sz val="11"/>
        <color theme="1"/>
        <rFont val="Calibri"/>
        <family val="2"/>
        <scheme val="minor"/>
      </rPr>
      <t xml:space="preserve"> - Native Village of Georgetown
</t>
    </r>
    <r>
      <rPr>
        <b/>
        <sz val="11"/>
        <color theme="1"/>
        <rFont val="Calibri"/>
        <family val="2"/>
        <scheme val="minor"/>
      </rPr>
      <t>NativeVillageofGoodnewsBay</t>
    </r>
    <r>
      <rPr>
        <sz val="11"/>
        <color theme="1"/>
        <rFont val="Calibri"/>
        <family val="2"/>
        <scheme val="minor"/>
      </rPr>
      <t xml:space="preserve"> - Native Village of Goodnews Bay
</t>
    </r>
    <r>
      <rPr>
        <b/>
        <sz val="11"/>
        <color theme="1"/>
        <rFont val="Calibri"/>
        <family val="2"/>
        <scheme val="minor"/>
      </rPr>
      <t>NativeVillageofHamilton</t>
    </r>
    <r>
      <rPr>
        <sz val="11"/>
        <color theme="1"/>
        <rFont val="Calibri"/>
        <family val="2"/>
        <scheme val="minor"/>
      </rPr>
      <t xml:space="preserve"> - Native Village of Hamilton
</t>
    </r>
    <r>
      <rPr>
        <b/>
        <sz val="11"/>
        <color theme="1"/>
        <rFont val="Calibri"/>
        <family val="2"/>
        <scheme val="minor"/>
      </rPr>
      <t>NativeVillageofHooperBay</t>
    </r>
    <r>
      <rPr>
        <sz val="11"/>
        <color theme="1"/>
        <rFont val="Calibri"/>
        <family val="2"/>
        <scheme val="minor"/>
      </rPr>
      <t xml:space="preserve"> - Native Village of Hooper Bay
</t>
    </r>
    <r>
      <rPr>
        <b/>
        <sz val="11"/>
        <color theme="1"/>
        <rFont val="Calibri"/>
        <family val="2"/>
        <scheme val="minor"/>
      </rPr>
      <t>NativeVillageofKanatak</t>
    </r>
    <r>
      <rPr>
        <sz val="11"/>
        <color theme="1"/>
        <rFont val="Calibri"/>
        <family val="2"/>
        <scheme val="minor"/>
      </rPr>
      <t xml:space="preserve"> - Native Village of Kanatak
</t>
    </r>
    <r>
      <rPr>
        <b/>
        <sz val="11"/>
        <color theme="1"/>
        <rFont val="Calibri"/>
        <family val="2"/>
        <scheme val="minor"/>
      </rPr>
      <t>NativeVillageofKarluk</t>
    </r>
    <r>
      <rPr>
        <sz val="11"/>
        <color theme="1"/>
        <rFont val="Calibri"/>
        <family val="2"/>
        <scheme val="minor"/>
      </rPr>
      <t xml:space="preserve"> - Native Village of Karluk
</t>
    </r>
    <r>
      <rPr>
        <b/>
        <sz val="11"/>
        <color theme="1"/>
        <rFont val="Calibri"/>
        <family val="2"/>
        <scheme val="minor"/>
      </rPr>
      <t>NativeVillageofKiana</t>
    </r>
    <r>
      <rPr>
        <sz val="11"/>
        <color theme="1"/>
        <rFont val="Calibri"/>
        <family val="2"/>
        <scheme val="minor"/>
      </rPr>
      <t xml:space="preserve"> - Native Village of Kiana
</t>
    </r>
    <r>
      <rPr>
        <b/>
        <sz val="11"/>
        <color theme="1"/>
        <rFont val="Calibri"/>
        <family val="2"/>
        <scheme val="minor"/>
      </rPr>
      <t>NativeVillageofKipnuk</t>
    </r>
    <r>
      <rPr>
        <sz val="11"/>
        <color theme="1"/>
        <rFont val="Calibri"/>
        <family val="2"/>
        <scheme val="minor"/>
      </rPr>
      <t xml:space="preserve"> - Native Village of Kipnuk
</t>
    </r>
    <r>
      <rPr>
        <b/>
        <sz val="11"/>
        <color theme="1"/>
        <rFont val="Calibri"/>
        <family val="2"/>
        <scheme val="minor"/>
      </rPr>
      <t>NativeVillageofKivalina</t>
    </r>
    <r>
      <rPr>
        <sz val="11"/>
        <color theme="1"/>
        <rFont val="Calibri"/>
        <family val="2"/>
        <scheme val="minor"/>
      </rPr>
      <t xml:space="preserve"> - Native Village of Kivalina
</t>
    </r>
    <r>
      <rPr>
        <b/>
        <sz val="11"/>
        <color theme="1"/>
        <rFont val="Calibri"/>
        <family val="2"/>
        <scheme val="minor"/>
      </rPr>
      <t>NativeVillageofKlutiKaah</t>
    </r>
    <r>
      <rPr>
        <sz val="11"/>
        <color theme="1"/>
        <rFont val="Calibri"/>
        <family val="2"/>
        <scheme val="minor"/>
      </rPr>
      <t xml:space="preserve"> - Native Village of Kluti Kaah (aka Copper Center)
</t>
    </r>
    <r>
      <rPr>
        <b/>
        <sz val="11"/>
        <color theme="1"/>
        <rFont val="Calibri"/>
        <family val="2"/>
        <scheme val="minor"/>
      </rPr>
      <t>NativeVillageofKobuk</t>
    </r>
    <r>
      <rPr>
        <sz val="11"/>
        <color theme="1"/>
        <rFont val="Calibri"/>
        <family val="2"/>
        <scheme val="minor"/>
      </rPr>
      <t xml:space="preserve"> - Native Village of Kobuk
</t>
    </r>
    <r>
      <rPr>
        <b/>
        <sz val="11"/>
        <color theme="1"/>
        <rFont val="Calibri"/>
        <family val="2"/>
        <scheme val="minor"/>
      </rPr>
      <t>NativeVillageofKongiganak</t>
    </r>
    <r>
      <rPr>
        <sz val="11"/>
        <color theme="1"/>
        <rFont val="Calibri"/>
        <family val="2"/>
        <scheme val="minor"/>
      </rPr>
      <t xml:space="preserve"> - Native Village of Kongiganak
</t>
    </r>
    <r>
      <rPr>
        <b/>
        <sz val="11"/>
        <color theme="1"/>
        <rFont val="Calibri"/>
        <family val="2"/>
        <scheme val="minor"/>
      </rPr>
      <t>NativeVillageofKotzebue</t>
    </r>
    <r>
      <rPr>
        <sz val="11"/>
        <color theme="1"/>
        <rFont val="Calibri"/>
        <family val="2"/>
        <scheme val="minor"/>
      </rPr>
      <t>- Native Village of Kotzebue</t>
    </r>
  </si>
  <si>
    <r>
      <t>NativeVillageofKoyuk</t>
    </r>
    <r>
      <rPr>
        <sz val="11"/>
        <color theme="1"/>
        <rFont val="Calibri"/>
        <family val="2"/>
        <scheme val="minor"/>
      </rPr>
      <t xml:space="preserve"> - Native Village of Koyuk
</t>
    </r>
    <r>
      <rPr>
        <b/>
        <sz val="11"/>
        <color theme="1"/>
        <rFont val="Calibri"/>
        <family val="2"/>
        <scheme val="minor"/>
      </rPr>
      <t>NativeVillageofKwigillingok</t>
    </r>
    <r>
      <rPr>
        <sz val="11"/>
        <color theme="1"/>
        <rFont val="Calibri"/>
        <family val="2"/>
        <scheme val="minor"/>
      </rPr>
      <t xml:space="preserve"> - Native Village of Kwigillingok
</t>
    </r>
    <r>
      <rPr>
        <b/>
        <sz val="11"/>
        <color theme="1"/>
        <rFont val="Calibri"/>
        <family val="2"/>
        <scheme val="minor"/>
      </rPr>
      <t>NativeVillageofKwinhagak</t>
    </r>
    <r>
      <rPr>
        <sz val="11"/>
        <color theme="1"/>
        <rFont val="Calibri"/>
        <family val="2"/>
        <scheme val="minor"/>
      </rPr>
      <t xml:space="preserve"> - Native Village of Kwinhagak (aka Quinhagak)
</t>
    </r>
    <r>
      <rPr>
        <b/>
        <sz val="11"/>
        <color theme="1"/>
        <rFont val="Calibri"/>
        <family val="2"/>
        <scheme val="minor"/>
      </rPr>
      <t>NativeVillageofLarsenBay</t>
    </r>
    <r>
      <rPr>
        <sz val="11"/>
        <color theme="1"/>
        <rFont val="Calibri"/>
        <family val="2"/>
        <scheme val="minor"/>
      </rPr>
      <t xml:space="preserve"> - Native Village of Larsen Bay
</t>
    </r>
    <r>
      <rPr>
        <b/>
        <sz val="11"/>
        <color theme="1"/>
        <rFont val="Calibri"/>
        <family val="2"/>
        <scheme val="minor"/>
      </rPr>
      <t>NativeVillageofMarshall</t>
    </r>
    <r>
      <rPr>
        <sz val="11"/>
        <color theme="1"/>
        <rFont val="Calibri"/>
        <family val="2"/>
        <scheme val="minor"/>
      </rPr>
      <t xml:space="preserve"> - Native Village of Marshall (aka Fortuna Ledge)
</t>
    </r>
    <r>
      <rPr>
        <b/>
        <sz val="11"/>
        <color theme="1"/>
        <rFont val="Calibri"/>
        <family val="2"/>
        <scheme val="minor"/>
      </rPr>
      <t>NativeVillageofMarysIgloo</t>
    </r>
    <r>
      <rPr>
        <sz val="11"/>
        <color theme="1"/>
        <rFont val="Calibri"/>
        <family val="2"/>
        <scheme val="minor"/>
      </rPr>
      <t xml:space="preserve"> - Native Village of Mary's Igloo
</t>
    </r>
    <r>
      <rPr>
        <b/>
        <sz val="11"/>
        <color theme="1"/>
        <rFont val="Calibri"/>
        <family val="2"/>
        <scheme val="minor"/>
      </rPr>
      <t>NativeVillageofMekoryuk</t>
    </r>
    <r>
      <rPr>
        <sz val="11"/>
        <color theme="1"/>
        <rFont val="Calibri"/>
        <family val="2"/>
        <scheme val="minor"/>
      </rPr>
      <t xml:space="preserve"> - Native Village of Mekoryuk
</t>
    </r>
    <r>
      <rPr>
        <b/>
        <sz val="11"/>
        <color theme="1"/>
        <rFont val="Calibri"/>
        <family val="2"/>
        <scheme val="minor"/>
      </rPr>
      <t>NativeVillageofMinto</t>
    </r>
    <r>
      <rPr>
        <sz val="11"/>
        <color theme="1"/>
        <rFont val="Calibri"/>
        <family val="2"/>
        <scheme val="minor"/>
      </rPr>
      <t xml:space="preserve"> - Native Village of Minto
</t>
    </r>
    <r>
      <rPr>
        <b/>
        <sz val="11"/>
        <color theme="1"/>
        <rFont val="Calibri"/>
        <family val="2"/>
        <scheme val="minor"/>
      </rPr>
      <t>NativeVillageofNanwalek</t>
    </r>
    <r>
      <rPr>
        <sz val="11"/>
        <color theme="1"/>
        <rFont val="Calibri"/>
        <family val="2"/>
        <scheme val="minor"/>
      </rPr>
      <t xml:space="preserve"> - Native Village of Nanwalek (aka English Bay)
</t>
    </r>
    <r>
      <rPr>
        <b/>
        <sz val="11"/>
        <color theme="1"/>
        <rFont val="Calibri"/>
        <family val="2"/>
        <scheme val="minor"/>
      </rPr>
      <t>NativeVillageofNapaimute</t>
    </r>
    <r>
      <rPr>
        <sz val="11"/>
        <color theme="1"/>
        <rFont val="Calibri"/>
        <family val="2"/>
        <scheme val="minor"/>
      </rPr>
      <t xml:space="preserve"> - Native Village of Napaimute
</t>
    </r>
    <r>
      <rPr>
        <b/>
        <sz val="11"/>
        <color theme="1"/>
        <rFont val="Calibri"/>
        <family val="2"/>
        <scheme val="minor"/>
      </rPr>
      <t>NativeVillageofNapakiak</t>
    </r>
    <r>
      <rPr>
        <sz val="11"/>
        <color theme="1"/>
        <rFont val="Calibri"/>
        <family val="2"/>
        <scheme val="minor"/>
      </rPr>
      <t xml:space="preserve"> - Native Village of Napakiak
</t>
    </r>
    <r>
      <rPr>
        <b/>
        <sz val="11"/>
        <color theme="1"/>
        <rFont val="Calibri"/>
        <family val="2"/>
        <scheme val="minor"/>
      </rPr>
      <t>NativeVillageofNapaskiak</t>
    </r>
    <r>
      <rPr>
        <sz val="11"/>
        <color theme="1"/>
        <rFont val="Calibri"/>
        <family val="2"/>
        <scheme val="minor"/>
      </rPr>
      <t xml:space="preserve"> - Native Village of Napaskiak
</t>
    </r>
    <r>
      <rPr>
        <b/>
        <sz val="11"/>
        <color theme="1"/>
        <rFont val="Calibri"/>
        <family val="2"/>
        <scheme val="minor"/>
      </rPr>
      <t>NativeVillageofNelsonLagoon</t>
    </r>
    <r>
      <rPr>
        <sz val="11"/>
        <color theme="1"/>
        <rFont val="Calibri"/>
        <family val="2"/>
        <scheme val="minor"/>
      </rPr>
      <t xml:space="preserve"> - Native Village of Nelson Lagoon
</t>
    </r>
    <r>
      <rPr>
        <b/>
        <sz val="11"/>
        <color theme="1"/>
        <rFont val="Calibri"/>
        <family val="2"/>
        <scheme val="minor"/>
      </rPr>
      <t>NativeVillageofNightmute</t>
    </r>
    <r>
      <rPr>
        <sz val="11"/>
        <color theme="1"/>
        <rFont val="Calibri"/>
        <family val="2"/>
        <scheme val="minor"/>
      </rPr>
      <t xml:space="preserve"> - Native Village of Nightmute
</t>
    </r>
    <r>
      <rPr>
        <b/>
        <sz val="11"/>
        <color theme="1"/>
        <rFont val="Calibri"/>
        <family val="2"/>
        <scheme val="minor"/>
      </rPr>
      <t>NativeVillageofNikolski</t>
    </r>
    <r>
      <rPr>
        <sz val="11"/>
        <color theme="1"/>
        <rFont val="Calibri"/>
        <family val="2"/>
        <scheme val="minor"/>
      </rPr>
      <t xml:space="preserve"> - Native Village of Nikolski
</t>
    </r>
    <r>
      <rPr>
        <b/>
        <sz val="11"/>
        <color theme="1"/>
        <rFont val="Calibri"/>
        <family val="2"/>
        <scheme val="minor"/>
      </rPr>
      <t>NativeVillageofNoatak</t>
    </r>
    <r>
      <rPr>
        <sz val="11"/>
        <color theme="1"/>
        <rFont val="Calibri"/>
        <family val="2"/>
        <scheme val="minor"/>
      </rPr>
      <t xml:space="preserve"> - Native Village of Noatak
</t>
    </r>
    <r>
      <rPr>
        <b/>
        <sz val="11"/>
        <color theme="1"/>
        <rFont val="Calibri"/>
        <family val="2"/>
        <scheme val="minor"/>
      </rPr>
      <t>NativeVillageofNuiqsut</t>
    </r>
    <r>
      <rPr>
        <sz val="11"/>
        <color theme="1"/>
        <rFont val="Calibri"/>
        <family val="2"/>
        <scheme val="minor"/>
      </rPr>
      <t xml:space="preserve"> - Native Village of Nuiqsut (aka Nooiksut)
</t>
    </r>
    <r>
      <rPr>
        <b/>
        <sz val="11"/>
        <color theme="1"/>
        <rFont val="Calibri"/>
        <family val="2"/>
        <scheme val="minor"/>
      </rPr>
      <t>NativeVillageofNunamIqua</t>
    </r>
    <r>
      <rPr>
        <sz val="11"/>
        <color theme="1"/>
        <rFont val="Calibri"/>
        <family val="2"/>
        <scheme val="minor"/>
      </rPr>
      <t xml:space="preserve"> - Native Village of Nunam Iqua (formerly the Native Village of Sheldon's Point)
</t>
    </r>
    <r>
      <rPr>
        <b/>
        <sz val="11"/>
        <color theme="1"/>
        <rFont val="Calibri"/>
        <family val="2"/>
        <scheme val="minor"/>
      </rPr>
      <t>NativeVillageofNunapitchuk</t>
    </r>
    <r>
      <rPr>
        <sz val="11"/>
        <color theme="1"/>
        <rFont val="Calibri"/>
        <family val="2"/>
        <scheme val="minor"/>
      </rPr>
      <t xml:space="preserve"> - Native Village of Nunapitchuk
</t>
    </r>
    <r>
      <rPr>
        <b/>
        <sz val="11"/>
        <color theme="1"/>
        <rFont val="Calibri"/>
        <family val="2"/>
        <scheme val="minor"/>
      </rPr>
      <t>NativeVillageofOuzinkie</t>
    </r>
    <r>
      <rPr>
        <sz val="11"/>
        <color theme="1"/>
        <rFont val="Calibri"/>
        <family val="2"/>
        <scheme val="minor"/>
      </rPr>
      <t xml:space="preserve"> - Native Village of Ouzinkie
</t>
    </r>
    <r>
      <rPr>
        <b/>
        <sz val="11"/>
        <color theme="1"/>
        <rFont val="Calibri"/>
        <family val="2"/>
        <scheme val="minor"/>
      </rPr>
      <t>NativeVillageofPaimiut</t>
    </r>
    <r>
      <rPr>
        <sz val="11"/>
        <color theme="1"/>
        <rFont val="Calibri"/>
        <family val="2"/>
        <scheme val="minor"/>
      </rPr>
      <t xml:space="preserve"> - Native Village of Paimiut
</t>
    </r>
    <r>
      <rPr>
        <b/>
        <sz val="11"/>
        <color theme="1"/>
        <rFont val="Calibri"/>
        <family val="2"/>
        <scheme val="minor"/>
      </rPr>
      <t>NativeVillageofPerryville</t>
    </r>
    <r>
      <rPr>
        <sz val="11"/>
        <color theme="1"/>
        <rFont val="Calibri"/>
        <family val="2"/>
        <scheme val="minor"/>
      </rPr>
      <t xml:space="preserve"> - Native Village of Perryville
</t>
    </r>
    <r>
      <rPr>
        <b/>
        <sz val="11"/>
        <color theme="1"/>
        <rFont val="Calibri"/>
        <family val="2"/>
        <scheme val="minor"/>
      </rPr>
      <t>NativeVillageofPilotPoint</t>
    </r>
    <r>
      <rPr>
        <sz val="11"/>
        <color theme="1"/>
        <rFont val="Calibri"/>
        <family val="2"/>
        <scheme val="minor"/>
      </rPr>
      <t xml:space="preserve"> - Native Village of Pilot Point
</t>
    </r>
    <r>
      <rPr>
        <b/>
        <sz val="11"/>
        <color theme="1"/>
        <rFont val="Calibri"/>
        <family val="2"/>
        <scheme val="minor"/>
      </rPr>
      <t>NativeVillageofPitkasPoint</t>
    </r>
    <r>
      <rPr>
        <sz val="11"/>
        <color theme="1"/>
        <rFont val="Calibri"/>
        <family val="2"/>
        <scheme val="minor"/>
      </rPr>
      <t xml:space="preserve"> - Native Village of Pitka's Point
</t>
    </r>
    <r>
      <rPr>
        <b/>
        <sz val="11"/>
        <color theme="1"/>
        <rFont val="Calibri"/>
        <family val="2"/>
        <scheme val="minor"/>
      </rPr>
      <t>NativeVillageofPointHope</t>
    </r>
    <r>
      <rPr>
        <sz val="11"/>
        <color theme="1"/>
        <rFont val="Calibri"/>
        <family val="2"/>
        <scheme val="minor"/>
      </rPr>
      <t xml:space="preserve"> - Native Village of Point Hope
</t>
    </r>
    <r>
      <rPr>
        <b/>
        <sz val="11"/>
        <color theme="1"/>
        <rFont val="Calibri"/>
        <family val="2"/>
        <scheme val="minor"/>
      </rPr>
      <t>NativeVillageofPointLay</t>
    </r>
    <r>
      <rPr>
        <sz val="11"/>
        <color theme="1"/>
        <rFont val="Calibri"/>
        <family val="2"/>
        <scheme val="minor"/>
      </rPr>
      <t xml:space="preserve"> - Native Village of Point Lay
</t>
    </r>
    <r>
      <rPr>
        <b/>
        <sz val="11"/>
        <color theme="1"/>
        <rFont val="Calibri"/>
        <family val="2"/>
        <scheme val="minor"/>
      </rPr>
      <t>NativeVillageofPortGraham</t>
    </r>
    <r>
      <rPr>
        <sz val="11"/>
        <color theme="1"/>
        <rFont val="Calibri"/>
        <family val="2"/>
        <scheme val="minor"/>
      </rPr>
      <t xml:space="preserve"> - Native Village of Port Graham
</t>
    </r>
    <r>
      <rPr>
        <b/>
        <sz val="11"/>
        <color theme="1"/>
        <rFont val="Calibri"/>
        <family val="2"/>
        <scheme val="minor"/>
      </rPr>
      <t>NativeVillageofPortHeiden</t>
    </r>
    <r>
      <rPr>
        <sz val="11"/>
        <color theme="1"/>
        <rFont val="Calibri"/>
        <family val="2"/>
        <scheme val="minor"/>
      </rPr>
      <t xml:space="preserve"> - Native Village of Port Heiden
</t>
    </r>
    <r>
      <rPr>
        <b/>
        <sz val="11"/>
        <color theme="1"/>
        <rFont val="Calibri"/>
        <family val="2"/>
        <scheme val="minor"/>
      </rPr>
      <t>NativeVillageofPortLions</t>
    </r>
    <r>
      <rPr>
        <sz val="11"/>
        <color theme="1"/>
        <rFont val="Calibri"/>
        <family val="2"/>
        <scheme val="minor"/>
      </rPr>
      <t xml:space="preserve"> - Native Village of Port Lions
</t>
    </r>
    <r>
      <rPr>
        <b/>
        <sz val="11"/>
        <color theme="1"/>
        <rFont val="Calibri"/>
        <family val="2"/>
        <scheme val="minor"/>
      </rPr>
      <t>NativeVillageofRuby</t>
    </r>
    <r>
      <rPr>
        <sz val="11"/>
        <color theme="1"/>
        <rFont val="Calibri"/>
        <family val="2"/>
        <scheme val="minor"/>
      </rPr>
      <t xml:space="preserve"> - Native Village of Ruby
</t>
    </r>
    <r>
      <rPr>
        <b/>
        <sz val="11"/>
        <color theme="1"/>
        <rFont val="Calibri"/>
        <family val="2"/>
        <scheme val="minor"/>
      </rPr>
      <t>NativeVillageofSaintMichael</t>
    </r>
    <r>
      <rPr>
        <sz val="11"/>
        <color theme="1"/>
        <rFont val="Calibri"/>
        <family val="2"/>
        <scheme val="minor"/>
      </rPr>
      <t xml:space="preserve"> - Native Village of Saint Michael
</t>
    </r>
    <r>
      <rPr>
        <b/>
        <sz val="11"/>
        <color theme="1"/>
        <rFont val="Calibri"/>
        <family val="2"/>
        <scheme val="minor"/>
      </rPr>
      <t>NativeVillageofSavoonga</t>
    </r>
    <r>
      <rPr>
        <sz val="11"/>
        <color theme="1"/>
        <rFont val="Calibri"/>
        <family val="2"/>
        <scheme val="minor"/>
      </rPr>
      <t xml:space="preserve"> - Native Village of Savoonga
</t>
    </r>
    <r>
      <rPr>
        <b/>
        <sz val="11"/>
        <color theme="1"/>
        <rFont val="Calibri"/>
        <family val="2"/>
        <scheme val="minor"/>
      </rPr>
      <t>NativeVillageofScammonBay</t>
    </r>
    <r>
      <rPr>
        <sz val="11"/>
        <color theme="1"/>
        <rFont val="Calibri"/>
        <family val="2"/>
        <scheme val="minor"/>
      </rPr>
      <t xml:space="preserve"> - Native Village of Scammon Bay
</t>
    </r>
    <r>
      <rPr>
        <b/>
        <sz val="11"/>
        <color theme="1"/>
        <rFont val="Calibri"/>
        <family val="2"/>
        <scheme val="minor"/>
      </rPr>
      <t>NativeVillageofSelawik</t>
    </r>
    <r>
      <rPr>
        <sz val="11"/>
        <color theme="1"/>
        <rFont val="Calibri"/>
        <family val="2"/>
        <scheme val="minor"/>
      </rPr>
      <t xml:space="preserve"> - Native Village of Selawik
</t>
    </r>
    <r>
      <rPr>
        <b/>
        <sz val="11"/>
        <color theme="1"/>
        <rFont val="Calibri"/>
        <family val="2"/>
        <scheme val="minor"/>
      </rPr>
      <t>NativeVillageofShaktoolik</t>
    </r>
    <r>
      <rPr>
        <sz val="11"/>
        <color theme="1"/>
        <rFont val="Calibri"/>
        <family val="2"/>
        <scheme val="minor"/>
      </rPr>
      <t xml:space="preserve"> - Native Village of Shaktoolik
</t>
    </r>
    <r>
      <rPr>
        <b/>
        <sz val="11"/>
        <color theme="1"/>
        <rFont val="Calibri"/>
        <family val="2"/>
        <scheme val="minor"/>
      </rPr>
      <t>NativeVillageofShishmaref</t>
    </r>
    <r>
      <rPr>
        <sz val="11"/>
        <color theme="1"/>
        <rFont val="Calibri"/>
        <family val="2"/>
        <scheme val="minor"/>
      </rPr>
      <t xml:space="preserve"> - Native Village of Shishmaref
</t>
    </r>
    <r>
      <rPr>
        <b/>
        <sz val="11"/>
        <color theme="1"/>
        <rFont val="Calibri"/>
        <family val="2"/>
        <scheme val="minor"/>
      </rPr>
      <t>NativeVillageofShungnak</t>
    </r>
    <r>
      <rPr>
        <sz val="11"/>
        <color theme="1"/>
        <rFont val="Calibri"/>
        <family val="2"/>
        <scheme val="minor"/>
      </rPr>
      <t xml:space="preserve"> - Native Village of Shungnak
</t>
    </r>
    <r>
      <rPr>
        <b/>
        <sz val="11"/>
        <color theme="1"/>
        <rFont val="Calibri"/>
        <family val="2"/>
        <scheme val="minor"/>
      </rPr>
      <t>NativeVillageofStevens</t>
    </r>
    <r>
      <rPr>
        <sz val="11"/>
        <color theme="1"/>
        <rFont val="Calibri"/>
        <family val="2"/>
        <scheme val="minor"/>
      </rPr>
      <t xml:space="preserve"> - Native Village of Stevens
</t>
    </r>
    <r>
      <rPr>
        <b/>
        <sz val="11"/>
        <color theme="1"/>
        <rFont val="Calibri"/>
        <family val="2"/>
        <scheme val="minor"/>
      </rPr>
      <t>NativeVillageofTanacross</t>
    </r>
    <r>
      <rPr>
        <sz val="11"/>
        <color theme="1"/>
        <rFont val="Calibri"/>
        <family val="2"/>
        <scheme val="minor"/>
      </rPr>
      <t xml:space="preserve"> - Native Village of Tanacross
</t>
    </r>
    <r>
      <rPr>
        <b/>
        <sz val="11"/>
        <color theme="1"/>
        <rFont val="Calibri"/>
        <family val="2"/>
        <scheme val="minor"/>
      </rPr>
      <t>NativeVillageofTanana</t>
    </r>
    <r>
      <rPr>
        <sz val="11"/>
        <color theme="1"/>
        <rFont val="Calibri"/>
        <family val="2"/>
        <scheme val="minor"/>
      </rPr>
      <t xml:space="preserve"> - Native Village of Tanana
</t>
    </r>
    <r>
      <rPr>
        <b/>
        <sz val="11"/>
        <color theme="1"/>
        <rFont val="Calibri"/>
        <family val="2"/>
        <scheme val="minor"/>
      </rPr>
      <t>NativeVillageofTatitlek</t>
    </r>
    <r>
      <rPr>
        <sz val="11"/>
        <color theme="1"/>
        <rFont val="Calibri"/>
        <family val="2"/>
        <scheme val="minor"/>
      </rPr>
      <t xml:space="preserve"> - Native Village of Tatitlek
</t>
    </r>
    <r>
      <rPr>
        <b/>
        <sz val="11"/>
        <color theme="1"/>
        <rFont val="Calibri"/>
        <family val="2"/>
        <scheme val="minor"/>
      </rPr>
      <t>NativeVillageofTazlina</t>
    </r>
    <r>
      <rPr>
        <sz val="11"/>
        <color theme="1"/>
        <rFont val="Calibri"/>
        <family val="2"/>
        <scheme val="minor"/>
      </rPr>
      <t xml:space="preserve"> - Native Village of Tazlina
</t>
    </r>
    <r>
      <rPr>
        <b/>
        <sz val="11"/>
        <color theme="1"/>
        <rFont val="Calibri"/>
        <family val="2"/>
        <scheme val="minor"/>
      </rPr>
      <t>NativeVillageofTeller</t>
    </r>
    <r>
      <rPr>
        <sz val="11"/>
        <color theme="1"/>
        <rFont val="Calibri"/>
        <family val="2"/>
        <scheme val="minor"/>
      </rPr>
      <t xml:space="preserve"> - Native Village of Teller
</t>
    </r>
    <r>
      <rPr>
        <b/>
        <sz val="11"/>
        <color theme="1"/>
        <rFont val="Calibri"/>
        <family val="2"/>
        <scheme val="minor"/>
      </rPr>
      <t>NativeVillageofTetlin</t>
    </r>
    <r>
      <rPr>
        <sz val="11"/>
        <color theme="1"/>
        <rFont val="Calibri"/>
        <family val="2"/>
        <scheme val="minor"/>
      </rPr>
      <t xml:space="preserve"> - Native Village of Tetlin
</t>
    </r>
    <r>
      <rPr>
        <b/>
        <sz val="11"/>
        <color theme="1"/>
        <rFont val="Calibri"/>
        <family val="2"/>
        <scheme val="minor"/>
      </rPr>
      <t>NativeVillageofTuntutuliak</t>
    </r>
    <r>
      <rPr>
        <sz val="11"/>
        <color theme="1"/>
        <rFont val="Calibri"/>
        <family val="2"/>
        <scheme val="minor"/>
      </rPr>
      <t xml:space="preserve"> - Native Village of Tuntutuliak
</t>
    </r>
    <r>
      <rPr>
        <b/>
        <sz val="11"/>
        <color theme="1"/>
        <rFont val="Calibri"/>
        <family val="2"/>
        <scheme val="minor"/>
      </rPr>
      <t>NativeVillageofTununak</t>
    </r>
    <r>
      <rPr>
        <sz val="11"/>
        <color theme="1"/>
        <rFont val="Calibri"/>
        <family val="2"/>
        <scheme val="minor"/>
      </rPr>
      <t xml:space="preserve"> - Native Village of Tununak
</t>
    </r>
    <r>
      <rPr>
        <b/>
        <sz val="11"/>
        <color theme="1"/>
        <rFont val="Calibri"/>
        <family val="2"/>
        <scheme val="minor"/>
      </rPr>
      <t>NativeVillageofTyonek</t>
    </r>
    <r>
      <rPr>
        <sz val="11"/>
        <color theme="1"/>
        <rFont val="Calibri"/>
        <family val="2"/>
        <scheme val="minor"/>
      </rPr>
      <t xml:space="preserve"> - Native Village of Tyonek
</t>
    </r>
    <r>
      <rPr>
        <b/>
        <sz val="11"/>
        <color theme="1"/>
        <rFont val="Calibri"/>
        <family val="2"/>
        <scheme val="minor"/>
      </rPr>
      <t>NativeVillageofUnalakleet</t>
    </r>
    <r>
      <rPr>
        <sz val="11"/>
        <color theme="1"/>
        <rFont val="Calibri"/>
        <family val="2"/>
        <scheme val="minor"/>
      </rPr>
      <t xml:space="preserve"> - Native Village of Unalakleet
</t>
    </r>
    <r>
      <rPr>
        <b/>
        <sz val="11"/>
        <color theme="1"/>
        <rFont val="Calibri"/>
        <family val="2"/>
        <scheme val="minor"/>
      </rPr>
      <t>NativeVillageofUnga</t>
    </r>
    <r>
      <rPr>
        <sz val="11"/>
        <color theme="1"/>
        <rFont val="Calibri"/>
        <family val="2"/>
        <scheme val="minor"/>
      </rPr>
      <t xml:space="preserve"> - Native Village of Unga
</t>
    </r>
    <r>
      <rPr>
        <b/>
        <sz val="11"/>
        <color theme="1"/>
        <rFont val="Calibri"/>
        <family val="2"/>
        <scheme val="minor"/>
      </rPr>
      <t>NativeVillageofVenetieTribalGovernment</t>
    </r>
    <r>
      <rPr>
        <sz val="11"/>
        <color theme="1"/>
        <rFont val="Calibri"/>
        <family val="2"/>
        <scheme val="minor"/>
      </rPr>
      <t xml:space="preserve"> - Native Village of Venetie Tribal Government (Arctic Village and Village of Venetie)
</t>
    </r>
    <r>
      <rPr>
        <b/>
        <sz val="11"/>
        <color theme="1"/>
        <rFont val="Calibri"/>
        <family val="2"/>
        <scheme val="minor"/>
      </rPr>
      <t>NativeVillageofWales</t>
    </r>
    <r>
      <rPr>
        <sz val="11"/>
        <color theme="1"/>
        <rFont val="Calibri"/>
        <family val="2"/>
        <scheme val="minor"/>
      </rPr>
      <t xml:space="preserve"> - Native Village of Wales
</t>
    </r>
    <r>
      <rPr>
        <b/>
        <sz val="11"/>
        <color theme="1"/>
        <rFont val="Calibri"/>
        <family val="2"/>
        <scheme val="minor"/>
      </rPr>
      <t>NativeVillageofWhiteMountain</t>
    </r>
    <r>
      <rPr>
        <sz val="11"/>
        <color theme="1"/>
        <rFont val="Calibri"/>
        <family val="2"/>
        <scheme val="minor"/>
      </rPr>
      <t xml:space="preserve"> - Native Village of White Mountain
</t>
    </r>
    <r>
      <rPr>
        <b/>
        <sz val="11"/>
        <color theme="1"/>
        <rFont val="Calibri"/>
        <family val="2"/>
        <scheme val="minor"/>
      </rPr>
      <t>NavajoNation</t>
    </r>
    <r>
      <rPr>
        <sz val="11"/>
        <color theme="1"/>
        <rFont val="Calibri"/>
        <family val="2"/>
        <scheme val="minor"/>
      </rPr>
      <t xml:space="preserve"> - Navajo Nation (Arizona, New Mexico and Utah)
</t>
    </r>
    <r>
      <rPr>
        <b/>
        <sz val="11"/>
        <color theme="1"/>
        <rFont val="Calibri"/>
        <family val="2"/>
        <scheme val="minor"/>
      </rPr>
      <t>NenanaNativeAssociation</t>
    </r>
    <r>
      <rPr>
        <sz val="11"/>
        <color theme="1"/>
        <rFont val="Calibri"/>
        <family val="2"/>
        <scheme val="minor"/>
      </rPr>
      <t xml:space="preserve"> - Nenana Native Association
</t>
    </r>
    <r>
      <rPr>
        <b/>
        <sz val="11"/>
        <color theme="1"/>
        <rFont val="Calibri"/>
        <family val="2"/>
        <scheme val="minor"/>
      </rPr>
      <t>NewKoliganekVillageCouncil</t>
    </r>
    <r>
      <rPr>
        <sz val="11"/>
        <color theme="1"/>
        <rFont val="Calibri"/>
        <family val="2"/>
        <scheme val="minor"/>
      </rPr>
      <t xml:space="preserve"> - New Koliganek Village Council
</t>
    </r>
    <r>
      <rPr>
        <b/>
        <sz val="11"/>
        <color theme="1"/>
        <rFont val="Calibri"/>
        <family val="2"/>
        <scheme val="minor"/>
      </rPr>
      <t>NewStuyahokVillage</t>
    </r>
    <r>
      <rPr>
        <sz val="11"/>
        <color theme="1"/>
        <rFont val="Calibri"/>
        <family val="2"/>
        <scheme val="minor"/>
      </rPr>
      <t xml:space="preserve"> - New Stuyahok Village
</t>
    </r>
    <r>
      <rPr>
        <b/>
        <sz val="11"/>
        <color theme="1"/>
        <rFont val="Calibri"/>
        <family val="2"/>
        <scheme val="minor"/>
      </rPr>
      <t>NewhalenVillage</t>
    </r>
    <r>
      <rPr>
        <sz val="11"/>
        <color theme="1"/>
        <rFont val="Calibri"/>
        <family val="2"/>
        <scheme val="minor"/>
      </rPr>
      <t xml:space="preserve"> - Newhalen Village
</t>
    </r>
    <r>
      <rPr>
        <b/>
        <sz val="11"/>
        <color theme="1"/>
        <rFont val="Calibri"/>
        <family val="2"/>
        <scheme val="minor"/>
      </rPr>
      <t>NewtokVillage</t>
    </r>
    <r>
      <rPr>
        <sz val="11"/>
        <color theme="1"/>
        <rFont val="Calibri"/>
        <family val="2"/>
        <scheme val="minor"/>
      </rPr>
      <t xml:space="preserve"> - Newtok Village
</t>
    </r>
    <r>
      <rPr>
        <b/>
        <sz val="11"/>
        <color theme="1"/>
        <rFont val="Calibri"/>
        <family val="2"/>
        <scheme val="minor"/>
      </rPr>
      <t>NezPerceTribe</t>
    </r>
    <r>
      <rPr>
        <sz val="11"/>
        <color theme="1"/>
        <rFont val="Calibri"/>
        <family val="2"/>
        <scheme val="minor"/>
      </rPr>
      <t xml:space="preserve"> - Nez Perce Tribe
</t>
    </r>
    <r>
      <rPr>
        <b/>
        <sz val="11"/>
        <color theme="1"/>
        <rFont val="Calibri"/>
        <family val="2"/>
        <scheme val="minor"/>
      </rPr>
      <t>NikolaiVillage</t>
    </r>
    <r>
      <rPr>
        <sz val="11"/>
        <color theme="1"/>
        <rFont val="Calibri"/>
        <family val="2"/>
        <scheme val="minor"/>
      </rPr>
      <t xml:space="preserve"> - Nikolai Village
</t>
    </r>
    <r>
      <rPr>
        <b/>
        <sz val="11"/>
        <color theme="1"/>
        <rFont val="Calibri"/>
        <family val="2"/>
        <scheme val="minor"/>
      </rPr>
      <t>NinilchikVillage</t>
    </r>
    <r>
      <rPr>
        <sz val="11"/>
        <color theme="1"/>
        <rFont val="Calibri"/>
        <family val="2"/>
        <scheme val="minor"/>
      </rPr>
      <t xml:space="preserve"> - Ninilchik Village
</t>
    </r>
    <r>
      <rPr>
        <b/>
        <sz val="11"/>
        <color theme="1"/>
        <rFont val="Calibri"/>
        <family val="2"/>
        <scheme val="minor"/>
      </rPr>
      <t>NisquallyIndianTribe</t>
    </r>
    <r>
      <rPr>
        <sz val="11"/>
        <color theme="1"/>
        <rFont val="Calibri"/>
        <family val="2"/>
        <scheme val="minor"/>
      </rPr>
      <t xml:space="preserve"> - Nisqually Indian Tribe 
</t>
    </r>
    <r>
      <rPr>
        <b/>
        <sz val="11"/>
        <color theme="1"/>
        <rFont val="Calibri"/>
        <family val="2"/>
        <scheme val="minor"/>
      </rPr>
      <t>NomeEskimoCommunity</t>
    </r>
    <r>
      <rPr>
        <sz val="11"/>
        <color theme="1"/>
        <rFont val="Calibri"/>
        <family val="2"/>
        <scheme val="minor"/>
      </rPr>
      <t xml:space="preserve"> - Nome Eskimo Community
</t>
    </r>
    <r>
      <rPr>
        <b/>
        <sz val="11"/>
        <color theme="1"/>
        <rFont val="Calibri"/>
        <family val="2"/>
        <scheme val="minor"/>
      </rPr>
      <t>NondaltonVillage</t>
    </r>
    <r>
      <rPr>
        <sz val="11"/>
        <color theme="1"/>
        <rFont val="Calibri"/>
        <family val="2"/>
        <scheme val="minor"/>
      </rPr>
      <t xml:space="preserve"> - Nondalton Village
</t>
    </r>
    <r>
      <rPr>
        <b/>
        <sz val="11"/>
        <color theme="1"/>
        <rFont val="Calibri"/>
        <family val="2"/>
        <scheme val="minor"/>
      </rPr>
      <t>NooksackIndianTribeofWashington</t>
    </r>
    <r>
      <rPr>
        <sz val="11"/>
        <color theme="1"/>
        <rFont val="Calibri"/>
        <family val="2"/>
        <scheme val="minor"/>
      </rPr>
      <t>- Nooksack Indian Tribe of Washington</t>
    </r>
  </si>
  <si>
    <r>
      <t>NoorvikNativeCommunity</t>
    </r>
    <r>
      <rPr>
        <sz val="11"/>
        <color theme="1"/>
        <rFont val="Calibri"/>
        <family val="2"/>
        <scheme val="minor"/>
      </rPr>
      <t xml:space="preserve"> - Noorvik Native Community
</t>
    </r>
    <r>
      <rPr>
        <b/>
        <sz val="11"/>
        <color theme="1"/>
        <rFont val="Calibri"/>
        <family val="2"/>
        <scheme val="minor"/>
      </rPr>
      <t>NorthernCheyenneNorthernCheyenne</t>
    </r>
    <r>
      <rPr>
        <sz val="11"/>
        <color theme="1"/>
        <rFont val="Calibri"/>
        <family val="2"/>
        <scheme val="minor"/>
      </rPr>
      <t xml:space="preserve"> - Northern Cheyenne Tribe of the Northern Cheyenne Indian Reservation
</t>
    </r>
    <r>
      <rPr>
        <b/>
        <sz val="11"/>
        <color theme="1"/>
        <rFont val="Calibri"/>
        <family val="2"/>
        <scheme val="minor"/>
      </rPr>
      <t>NorthforkRancheriaofMono</t>
    </r>
    <r>
      <rPr>
        <sz val="11"/>
        <color theme="1"/>
        <rFont val="Calibri"/>
        <family val="2"/>
        <scheme val="minor"/>
      </rPr>
      <t xml:space="preserve"> - Northfork Rancheria of Mono Indians of California
</t>
    </r>
    <r>
      <rPr>
        <b/>
        <sz val="11"/>
        <color theme="1"/>
        <rFont val="Calibri"/>
        <family val="2"/>
        <scheme val="minor"/>
      </rPr>
      <t>NorthwayVillage</t>
    </r>
    <r>
      <rPr>
        <sz val="11"/>
        <color theme="1"/>
        <rFont val="Calibri"/>
        <family val="2"/>
        <scheme val="minor"/>
      </rPr>
      <t xml:space="preserve"> - Northway Village
</t>
    </r>
    <r>
      <rPr>
        <b/>
        <sz val="11"/>
        <color theme="1"/>
        <rFont val="Calibri"/>
        <family val="2"/>
        <scheme val="minor"/>
      </rPr>
      <t>NorthwesternBandofShoshoniNation</t>
    </r>
    <r>
      <rPr>
        <sz val="11"/>
        <color theme="1"/>
        <rFont val="Calibri"/>
        <family val="2"/>
        <scheme val="minor"/>
      </rPr>
      <t xml:space="preserve"> - Northwestern Band of Shoshoni Nation 
</t>
    </r>
    <r>
      <rPr>
        <b/>
        <sz val="11"/>
        <color theme="1"/>
        <rFont val="Calibri"/>
        <family val="2"/>
        <scheme val="minor"/>
      </rPr>
      <t>NottawaseppiHuronBandofthePotawatomi</t>
    </r>
    <r>
      <rPr>
        <sz val="11"/>
        <color theme="1"/>
        <rFont val="Calibri"/>
        <family val="2"/>
        <scheme val="minor"/>
      </rPr>
      <t xml:space="preserve"> - Nottawaseppi Huron Band of the Potawatomi
</t>
    </r>
    <r>
      <rPr>
        <b/>
        <sz val="11"/>
        <color theme="1"/>
        <rFont val="Calibri"/>
        <family val="2"/>
        <scheme val="minor"/>
      </rPr>
      <t>NulatoVillage</t>
    </r>
    <r>
      <rPr>
        <sz val="11"/>
        <color theme="1"/>
        <rFont val="Calibri"/>
        <family val="2"/>
        <scheme val="minor"/>
      </rPr>
      <t xml:space="preserve"> - Nulato Village
</t>
    </r>
    <r>
      <rPr>
        <b/>
        <sz val="11"/>
        <color theme="1"/>
        <rFont val="Calibri"/>
        <family val="2"/>
        <scheme val="minor"/>
      </rPr>
      <t>NunakauyarmiutTribe</t>
    </r>
    <r>
      <rPr>
        <sz val="11"/>
        <color theme="1"/>
        <rFont val="Calibri"/>
        <family val="2"/>
        <scheme val="minor"/>
      </rPr>
      <t xml:space="preserve"> - Nunakauyarmiut Tribe (formerly the Native Village of Toksook Bay)
</t>
    </r>
    <r>
      <rPr>
        <b/>
        <sz val="11"/>
        <color theme="1"/>
        <rFont val="Calibri"/>
        <family val="2"/>
        <scheme val="minor"/>
      </rPr>
      <t>OglalaSiouxTribe</t>
    </r>
    <r>
      <rPr>
        <sz val="11"/>
        <color theme="1"/>
        <rFont val="Calibri"/>
        <family val="2"/>
        <scheme val="minor"/>
      </rPr>
      <t xml:space="preserve"> - Oglala Sioux Tribe (previously listed as Oglala Sioux Tribe of the Pine Ridge Reservation)
</t>
    </r>
    <r>
      <rPr>
        <b/>
        <sz val="11"/>
        <color theme="1"/>
        <rFont val="Calibri"/>
        <family val="2"/>
        <scheme val="minor"/>
      </rPr>
      <t>OhkayOwingeh</t>
    </r>
    <r>
      <rPr>
        <sz val="11"/>
        <color theme="1"/>
        <rFont val="Calibri"/>
        <family val="2"/>
        <scheme val="minor"/>
      </rPr>
      <t xml:space="preserve"> - Ohkay Owingeh (formerly the Pueblo of San Juan)
</t>
    </r>
    <r>
      <rPr>
        <b/>
        <sz val="11"/>
        <color theme="1"/>
        <rFont val="Calibri"/>
        <family val="2"/>
        <scheme val="minor"/>
      </rPr>
      <t>OmahaTribeofNebraska</t>
    </r>
    <r>
      <rPr>
        <sz val="11"/>
        <color theme="1"/>
        <rFont val="Calibri"/>
        <family val="2"/>
        <scheme val="minor"/>
      </rPr>
      <t xml:space="preserve"> - Omaha Tribe of Nebraska
</t>
    </r>
    <r>
      <rPr>
        <b/>
        <sz val="11"/>
        <color theme="1"/>
        <rFont val="Calibri"/>
        <family val="2"/>
        <scheme val="minor"/>
      </rPr>
      <t>OneidaNationofNewYork</t>
    </r>
    <r>
      <rPr>
        <sz val="11"/>
        <color theme="1"/>
        <rFont val="Calibri"/>
        <family val="2"/>
        <scheme val="minor"/>
      </rPr>
      <t xml:space="preserve"> - Oneida Nation of New York
</t>
    </r>
    <r>
      <rPr>
        <b/>
        <sz val="11"/>
        <color theme="1"/>
        <rFont val="Calibri"/>
        <family val="2"/>
        <scheme val="minor"/>
      </rPr>
      <t>Oneida</t>
    </r>
    <r>
      <rPr>
        <sz val="11"/>
        <color theme="1"/>
        <rFont val="Calibri"/>
        <family val="2"/>
        <scheme val="minor"/>
      </rPr>
      <t xml:space="preserve"> - Oneida Tribe of Indians of Wisconsin
</t>
    </r>
    <r>
      <rPr>
        <b/>
        <sz val="11"/>
        <color theme="1"/>
        <rFont val="Calibri"/>
        <family val="2"/>
        <scheme val="minor"/>
      </rPr>
      <t>OnondagaNation</t>
    </r>
    <r>
      <rPr>
        <sz val="11"/>
        <color theme="1"/>
        <rFont val="Calibri"/>
        <family val="2"/>
        <scheme val="minor"/>
      </rPr>
      <t xml:space="preserve"> - Onondaga Nation 
</t>
    </r>
    <r>
      <rPr>
        <b/>
        <sz val="11"/>
        <color theme="1"/>
        <rFont val="Calibri"/>
        <family val="2"/>
        <scheme val="minor"/>
      </rPr>
      <t>OrganizedVillageofGrayling</t>
    </r>
    <r>
      <rPr>
        <sz val="11"/>
        <color theme="1"/>
        <rFont val="Calibri"/>
        <family val="2"/>
        <scheme val="minor"/>
      </rPr>
      <t xml:space="preserve"> - Organized Village of Grayling (aka Holikachuk)
</t>
    </r>
    <r>
      <rPr>
        <b/>
        <sz val="11"/>
        <color theme="1"/>
        <rFont val="Calibri"/>
        <family val="2"/>
        <scheme val="minor"/>
      </rPr>
      <t>OrganizedVillageofKake</t>
    </r>
    <r>
      <rPr>
        <sz val="11"/>
        <color theme="1"/>
        <rFont val="Calibri"/>
        <family val="2"/>
        <scheme val="minor"/>
      </rPr>
      <t xml:space="preserve"> - Organized Village of Kake
</t>
    </r>
    <r>
      <rPr>
        <b/>
        <sz val="11"/>
        <color theme="1"/>
        <rFont val="Calibri"/>
        <family val="2"/>
        <scheme val="minor"/>
      </rPr>
      <t>OrganizedVillageofKasaan</t>
    </r>
    <r>
      <rPr>
        <sz val="11"/>
        <color theme="1"/>
        <rFont val="Calibri"/>
        <family val="2"/>
        <scheme val="minor"/>
      </rPr>
      <t xml:space="preserve"> - Organized Village of Kasaan
</t>
    </r>
    <r>
      <rPr>
        <b/>
        <sz val="11"/>
        <color theme="1"/>
        <rFont val="Calibri"/>
        <family val="2"/>
        <scheme val="minor"/>
      </rPr>
      <t>OrganizedVillageofKwethluk</t>
    </r>
    <r>
      <rPr>
        <sz val="11"/>
        <color theme="1"/>
        <rFont val="Calibri"/>
        <family val="2"/>
        <scheme val="minor"/>
      </rPr>
      <t xml:space="preserve"> - Organized Village of Kwethluk
</t>
    </r>
    <r>
      <rPr>
        <b/>
        <sz val="11"/>
        <color theme="1"/>
        <rFont val="Calibri"/>
        <family val="2"/>
        <scheme val="minor"/>
      </rPr>
      <t>OrganizedVillageofSaxman</t>
    </r>
    <r>
      <rPr>
        <sz val="11"/>
        <color theme="1"/>
        <rFont val="Calibri"/>
        <family val="2"/>
        <scheme val="minor"/>
      </rPr>
      <t xml:space="preserve"> - Organized Village of Saxman
</t>
    </r>
    <r>
      <rPr>
        <b/>
        <sz val="11"/>
        <color theme="1"/>
        <rFont val="Calibri"/>
        <family val="2"/>
        <scheme val="minor"/>
      </rPr>
      <t>OrutsararmuitNativeVillage</t>
    </r>
    <r>
      <rPr>
        <sz val="11"/>
        <color theme="1"/>
        <rFont val="Calibri"/>
        <family val="2"/>
        <scheme val="minor"/>
      </rPr>
      <t xml:space="preserve"> - Orutsararmuit Native Village (aka Bethel)
</t>
    </r>
    <r>
      <rPr>
        <b/>
        <sz val="11"/>
        <color theme="1"/>
        <rFont val="Calibri"/>
        <family val="2"/>
        <scheme val="minor"/>
      </rPr>
      <t>OscarvilleTraditionalVillage</t>
    </r>
    <r>
      <rPr>
        <sz val="11"/>
        <color theme="1"/>
        <rFont val="Calibri"/>
        <family val="2"/>
        <scheme val="minor"/>
      </rPr>
      <t xml:space="preserve"> - Oscarville Traditional Village
</t>
    </r>
    <r>
      <rPr>
        <b/>
        <sz val="11"/>
        <color theme="1"/>
        <rFont val="Calibri"/>
        <family val="2"/>
        <scheme val="minor"/>
      </rPr>
      <t>OtoeMissouria</t>
    </r>
    <r>
      <rPr>
        <sz val="11"/>
        <color theme="1"/>
        <rFont val="Calibri"/>
        <family val="2"/>
        <scheme val="minor"/>
      </rPr>
      <t xml:space="preserve"> - Otoe-Missouria Tribe of Indians
</t>
    </r>
    <r>
      <rPr>
        <b/>
        <sz val="11"/>
        <color theme="1"/>
        <rFont val="Calibri"/>
        <family val="2"/>
        <scheme val="minor"/>
      </rPr>
      <t>OttawaTribeofOklahoma</t>
    </r>
    <r>
      <rPr>
        <sz val="11"/>
        <color theme="1"/>
        <rFont val="Calibri"/>
        <family val="2"/>
        <scheme val="minor"/>
      </rPr>
      <t xml:space="preserve"> - Ottawa Tribe of Oklahoma
</t>
    </r>
    <r>
      <rPr>
        <b/>
        <sz val="11"/>
        <color theme="1"/>
        <rFont val="Calibri"/>
        <family val="2"/>
        <scheme val="minor"/>
      </rPr>
      <t>PaiuteIndianTribeofUtah</t>
    </r>
    <r>
      <rPr>
        <sz val="11"/>
        <color theme="1"/>
        <rFont val="Calibri"/>
        <family val="2"/>
        <scheme val="minor"/>
      </rPr>
      <t xml:space="preserve"> - Paiute Indian Tribe of Utah  (Cedar Band of Paiutes, Kanosh Band of Paiutes,Koosharem Band of Paiutes, Indian Peaks Band of Paiutes, and Shivwits Band of Paiutes)
</t>
    </r>
    <r>
      <rPr>
        <b/>
        <sz val="11"/>
        <color theme="1"/>
        <rFont val="Calibri"/>
        <family val="2"/>
        <scheme val="minor"/>
      </rPr>
      <t>PaiuteShoshoneFallonandColony</t>
    </r>
    <r>
      <rPr>
        <sz val="11"/>
        <color theme="1"/>
        <rFont val="Calibri"/>
        <family val="2"/>
        <scheme val="minor"/>
      </rPr>
      <t xml:space="preserve"> - Paiute-Shoshone Tribe of the Fallon Reservation and Colony
</t>
    </r>
    <r>
      <rPr>
        <b/>
        <sz val="11"/>
        <color theme="1"/>
        <rFont val="Calibri"/>
        <family val="2"/>
        <scheme val="minor"/>
      </rPr>
      <t>PalaBandofLuiseñoMission</t>
    </r>
    <r>
      <rPr>
        <sz val="11"/>
        <color theme="1"/>
        <rFont val="Calibri"/>
        <family val="2"/>
        <scheme val="minor"/>
      </rPr>
      <t xml:space="preserve"> - Pala Band of Luiseño Mission Indians of the Pala Reservation
</t>
    </r>
    <r>
      <rPr>
        <b/>
        <sz val="11"/>
        <color theme="1"/>
        <rFont val="Calibri"/>
        <family val="2"/>
        <scheme val="minor"/>
      </rPr>
      <t>PamunkeyIndianTribe</t>
    </r>
    <r>
      <rPr>
        <sz val="11"/>
        <color theme="1"/>
        <rFont val="Calibri"/>
        <family val="2"/>
        <scheme val="minor"/>
      </rPr>
      <t xml:space="preserve"> - Pamunkey Indian Tribe
</t>
    </r>
    <r>
      <rPr>
        <b/>
        <sz val="11"/>
        <color theme="1"/>
        <rFont val="Calibri"/>
        <family val="2"/>
        <scheme val="minor"/>
      </rPr>
      <t>PascuaYaquiTribeofArizona</t>
    </r>
    <r>
      <rPr>
        <sz val="11"/>
        <color theme="1"/>
        <rFont val="Calibri"/>
        <family val="2"/>
        <scheme val="minor"/>
      </rPr>
      <t xml:space="preserve"> - Pascua Yaqui Tribe of Arizona
</t>
    </r>
    <r>
      <rPr>
        <b/>
        <sz val="11"/>
        <color theme="1"/>
        <rFont val="Calibri"/>
        <family val="2"/>
        <scheme val="minor"/>
      </rPr>
      <t>PaskentaBandofNomlaki</t>
    </r>
    <r>
      <rPr>
        <sz val="11"/>
        <color theme="1"/>
        <rFont val="Calibri"/>
        <family val="2"/>
        <scheme val="minor"/>
      </rPr>
      <t xml:space="preserve"> - Paskenta Band of Nomlaki Indians of California
</t>
    </r>
    <r>
      <rPr>
        <b/>
        <sz val="11"/>
        <color theme="1"/>
        <rFont val="Calibri"/>
        <family val="2"/>
        <scheme val="minor"/>
      </rPr>
      <t>PassamaquoddyTribe</t>
    </r>
    <r>
      <rPr>
        <sz val="11"/>
        <color theme="1"/>
        <rFont val="Calibri"/>
        <family val="2"/>
        <scheme val="minor"/>
      </rPr>
      <t xml:space="preserve"> - Passamaquoddy Tribe 
</t>
    </r>
    <r>
      <rPr>
        <b/>
        <sz val="11"/>
        <color theme="1"/>
        <rFont val="Calibri"/>
        <family val="2"/>
        <scheme val="minor"/>
      </rPr>
      <t>PauloffHarborVillage</t>
    </r>
    <r>
      <rPr>
        <sz val="11"/>
        <color theme="1"/>
        <rFont val="Calibri"/>
        <family val="2"/>
        <scheme val="minor"/>
      </rPr>
      <t xml:space="preserve"> - Pauloff Harbor Village
</t>
    </r>
    <r>
      <rPr>
        <b/>
        <sz val="11"/>
        <color theme="1"/>
        <rFont val="Calibri"/>
        <family val="2"/>
        <scheme val="minor"/>
      </rPr>
      <t>PaumaBandofLuiseñoMission</t>
    </r>
    <r>
      <rPr>
        <sz val="11"/>
        <color theme="1"/>
        <rFont val="Calibri"/>
        <family val="2"/>
        <scheme val="minor"/>
      </rPr>
      <t xml:space="preserve"> - Pauma Band of Luiseño Mission Indians of the Pauma &amp; Yuima Reservation
</t>
    </r>
    <r>
      <rPr>
        <b/>
        <sz val="11"/>
        <color theme="1"/>
        <rFont val="Calibri"/>
        <family val="2"/>
        <scheme val="minor"/>
      </rPr>
      <t>PawneeNationofOklahoma</t>
    </r>
    <r>
      <rPr>
        <sz val="11"/>
        <color theme="1"/>
        <rFont val="Calibri"/>
        <family val="2"/>
        <scheme val="minor"/>
      </rPr>
      <t xml:space="preserve"> - Pawnee Nation of Oklahoma
</t>
    </r>
    <r>
      <rPr>
        <b/>
        <sz val="11"/>
        <color theme="1"/>
        <rFont val="Calibri"/>
        <family val="2"/>
        <scheme val="minor"/>
      </rPr>
      <t>PechangaBandofLuiseñoMission</t>
    </r>
    <r>
      <rPr>
        <sz val="11"/>
        <color theme="1"/>
        <rFont val="Calibri"/>
        <family val="2"/>
        <scheme val="minor"/>
      </rPr>
      <t xml:space="preserve"> - Pechanga Band of Luiseño Mission Indians of the Pechanga Reservation
</t>
    </r>
    <r>
      <rPr>
        <b/>
        <sz val="11"/>
        <color theme="1"/>
        <rFont val="Calibri"/>
        <family val="2"/>
        <scheme val="minor"/>
      </rPr>
      <t>PedroBayVillage</t>
    </r>
    <r>
      <rPr>
        <sz val="11"/>
        <color theme="1"/>
        <rFont val="Calibri"/>
        <family val="2"/>
        <scheme val="minor"/>
      </rPr>
      <t xml:space="preserve"> - Pedro Bay Village
</t>
    </r>
    <r>
      <rPr>
        <b/>
        <sz val="11"/>
        <color theme="1"/>
        <rFont val="Calibri"/>
        <family val="2"/>
        <scheme val="minor"/>
      </rPr>
      <t>PenobscotNation</t>
    </r>
    <r>
      <rPr>
        <sz val="11"/>
        <color theme="1"/>
        <rFont val="Calibri"/>
        <family val="2"/>
        <scheme val="minor"/>
      </rPr>
      <t xml:space="preserve"> - Penobscot Nation
</t>
    </r>
    <r>
      <rPr>
        <b/>
        <sz val="11"/>
        <color theme="1"/>
        <rFont val="Calibri"/>
        <family val="2"/>
        <scheme val="minor"/>
      </rPr>
      <t>Peoria</t>
    </r>
    <r>
      <rPr>
        <sz val="11"/>
        <color theme="1"/>
        <rFont val="Calibri"/>
        <family val="2"/>
        <scheme val="minor"/>
      </rPr>
      <t xml:space="preserve"> - Peoria Tribe of Indians of Oklahoma
</t>
    </r>
    <r>
      <rPr>
        <b/>
        <sz val="11"/>
        <color theme="1"/>
        <rFont val="Calibri"/>
        <family val="2"/>
        <scheme val="minor"/>
      </rPr>
      <t>PetersburgIndianAssociation</t>
    </r>
    <r>
      <rPr>
        <sz val="11"/>
        <color theme="1"/>
        <rFont val="Calibri"/>
        <family val="2"/>
        <scheme val="minor"/>
      </rPr>
      <t xml:space="preserve"> - Petersburg Indian Association
</t>
    </r>
    <r>
      <rPr>
        <b/>
        <sz val="11"/>
        <color theme="1"/>
        <rFont val="Calibri"/>
        <family val="2"/>
        <scheme val="minor"/>
      </rPr>
      <t>PicayuneRancheriaofChukchansi</t>
    </r>
    <r>
      <rPr>
        <sz val="11"/>
        <color theme="1"/>
        <rFont val="Calibri"/>
        <family val="2"/>
        <scheme val="minor"/>
      </rPr>
      <t xml:space="preserve"> - Picayune Rancheria of Chukchansi Indians of California
</t>
    </r>
    <r>
      <rPr>
        <b/>
        <sz val="11"/>
        <color theme="1"/>
        <rFont val="Calibri"/>
        <family val="2"/>
        <scheme val="minor"/>
      </rPr>
      <t>PilotStationTraditionalVillage</t>
    </r>
    <r>
      <rPr>
        <sz val="11"/>
        <color theme="1"/>
        <rFont val="Calibri"/>
        <family val="2"/>
        <scheme val="minor"/>
      </rPr>
      <t xml:space="preserve"> - Pilot Station Traditional Village
</t>
    </r>
    <r>
      <rPr>
        <b/>
        <sz val="11"/>
        <color theme="1"/>
        <rFont val="Calibri"/>
        <family val="2"/>
        <scheme val="minor"/>
      </rPr>
      <t>PinolevillePomoNation</t>
    </r>
    <r>
      <rPr>
        <sz val="11"/>
        <color theme="1"/>
        <rFont val="Calibri"/>
        <family val="2"/>
        <scheme val="minor"/>
      </rPr>
      <t xml:space="preserve"> - Pinoleville Pomo Nation (formerly the Pinoleville Rancheria of Pomo Indians of California)
</t>
    </r>
    <r>
      <rPr>
        <b/>
        <sz val="11"/>
        <color theme="1"/>
        <rFont val="Calibri"/>
        <family val="2"/>
        <scheme val="minor"/>
      </rPr>
      <t>PitRiverTribe</t>
    </r>
    <r>
      <rPr>
        <sz val="11"/>
        <color theme="1"/>
        <rFont val="Calibri"/>
        <family val="2"/>
        <scheme val="minor"/>
      </rPr>
      <t xml:space="preserve"> - Pit River Tribe (includes XL Ranch, Big Bend, Likely, Lookout, Montgomery Creek and Roaring Creek Rancherias)
</t>
    </r>
    <r>
      <rPr>
        <b/>
        <sz val="11"/>
        <color theme="1"/>
        <rFont val="Calibri"/>
        <family val="2"/>
        <scheme val="minor"/>
      </rPr>
      <t>PlatinumTraditionalVillage</t>
    </r>
    <r>
      <rPr>
        <sz val="11"/>
        <color theme="1"/>
        <rFont val="Calibri"/>
        <family val="2"/>
        <scheme val="minor"/>
      </rPr>
      <t xml:space="preserve"> - Platinum Traditional Village
</t>
    </r>
    <r>
      <rPr>
        <b/>
        <sz val="11"/>
        <color theme="1"/>
        <rFont val="Calibri"/>
        <family val="2"/>
        <scheme val="minor"/>
      </rPr>
      <t>PoarchBandofCreeks</t>
    </r>
    <r>
      <rPr>
        <sz val="11"/>
        <color theme="1"/>
        <rFont val="Calibri"/>
        <family val="2"/>
        <scheme val="minor"/>
      </rPr>
      <t xml:space="preserve"> - Poarch Band of Creeks
</t>
    </r>
    <r>
      <rPr>
        <b/>
        <sz val="11"/>
        <color theme="1"/>
        <rFont val="Calibri"/>
        <family val="2"/>
        <scheme val="minor"/>
      </rPr>
      <t>PokagonBandofPotawatomi</t>
    </r>
    <r>
      <rPr>
        <sz val="11"/>
        <color theme="1"/>
        <rFont val="Calibri"/>
        <family val="2"/>
        <scheme val="minor"/>
      </rPr>
      <t xml:space="preserve"> - Pokagon Band of Potawatomi Indians (Michigan and Indiana)
</t>
    </r>
    <r>
      <rPr>
        <b/>
        <sz val="11"/>
        <color theme="1"/>
        <rFont val="Calibri"/>
        <family val="2"/>
        <scheme val="minor"/>
      </rPr>
      <t>Ponca</t>
    </r>
    <r>
      <rPr>
        <sz val="11"/>
        <color theme="1"/>
        <rFont val="Calibri"/>
        <family val="2"/>
        <scheme val="minor"/>
      </rPr>
      <t xml:space="preserve"> - Ponca Tribe of Indians of Oklahoma
</t>
    </r>
    <r>
      <rPr>
        <b/>
        <sz val="11"/>
        <color theme="1"/>
        <rFont val="Calibri"/>
        <family val="2"/>
        <scheme val="minor"/>
      </rPr>
      <t>PoncaTribeofNebraska</t>
    </r>
    <r>
      <rPr>
        <sz val="11"/>
        <color theme="1"/>
        <rFont val="Calibri"/>
        <family val="2"/>
        <scheme val="minor"/>
      </rPr>
      <t xml:space="preserve"> - Ponca Tribe of Nebraska
</t>
    </r>
    <r>
      <rPr>
        <b/>
        <sz val="11"/>
        <color theme="1"/>
        <rFont val="Calibri"/>
        <family val="2"/>
        <scheme val="minor"/>
      </rPr>
      <t>PortGambleSKlallamTribe</t>
    </r>
    <r>
      <rPr>
        <sz val="11"/>
        <color theme="1"/>
        <rFont val="Calibri"/>
        <family val="2"/>
        <scheme val="minor"/>
      </rPr>
      <t xml:space="preserve"> - Port Gamble S'Klallam Tribe 
</t>
    </r>
    <r>
      <rPr>
        <b/>
        <sz val="11"/>
        <color theme="1"/>
        <rFont val="Calibri"/>
        <family val="2"/>
        <scheme val="minor"/>
      </rPr>
      <t>PortageCreekVillage</t>
    </r>
    <r>
      <rPr>
        <sz val="11"/>
        <color theme="1"/>
        <rFont val="Calibri"/>
        <family val="2"/>
        <scheme val="minor"/>
      </rPr>
      <t xml:space="preserve"> - Portage Creek Village (aka Ohgsenakale)
</t>
    </r>
    <r>
      <rPr>
        <b/>
        <sz val="11"/>
        <color theme="1"/>
        <rFont val="Calibri"/>
        <family val="2"/>
        <scheme val="minor"/>
      </rPr>
      <t>PotterValleyTribe</t>
    </r>
    <r>
      <rPr>
        <sz val="11"/>
        <color theme="1"/>
        <rFont val="Calibri"/>
        <family val="2"/>
        <scheme val="minor"/>
      </rPr>
      <t xml:space="preserve"> - Potter Valley Tribe (formerly the Potter Valley Rancheria of Pomo Indians of California)
</t>
    </r>
    <r>
      <rPr>
        <b/>
        <sz val="11"/>
        <color theme="1"/>
        <rFont val="Calibri"/>
        <family val="2"/>
        <scheme val="minor"/>
      </rPr>
      <t>PrairieBandPotawatomiNation</t>
    </r>
    <r>
      <rPr>
        <sz val="11"/>
        <color theme="1"/>
        <rFont val="Calibri"/>
        <family val="2"/>
        <scheme val="minor"/>
      </rPr>
      <t xml:space="preserve"> - Prairie Band Potawatomi Nation
</t>
    </r>
    <r>
      <rPr>
        <b/>
        <sz val="11"/>
        <color theme="1"/>
        <rFont val="Calibri"/>
        <family val="2"/>
        <scheme val="minor"/>
      </rPr>
      <t>PrairieIslandIndianCommunityintheStateofMinnesota</t>
    </r>
    <r>
      <rPr>
        <sz val="11"/>
        <color theme="1"/>
        <rFont val="Calibri"/>
        <family val="2"/>
        <scheme val="minor"/>
      </rPr>
      <t xml:space="preserve"> - Prairie Island Indian Community in the State of Minnesota
</t>
    </r>
    <r>
      <rPr>
        <b/>
        <sz val="11"/>
        <color theme="1"/>
        <rFont val="Calibri"/>
        <family val="2"/>
        <scheme val="minor"/>
      </rPr>
      <t>PribilofIslandsAleutCommunities</t>
    </r>
    <r>
      <rPr>
        <sz val="11"/>
        <color theme="1"/>
        <rFont val="Calibri"/>
        <family val="2"/>
        <scheme val="minor"/>
      </rPr>
      <t xml:space="preserve"> - Pribilof Islands Aleut Communities of St. Paul &amp; St. George Islands
</t>
    </r>
    <r>
      <rPr>
        <b/>
        <sz val="11"/>
        <color theme="1"/>
        <rFont val="Calibri"/>
        <family val="2"/>
        <scheme val="minor"/>
      </rPr>
      <t>PuebloofAcoma</t>
    </r>
    <r>
      <rPr>
        <sz val="11"/>
        <color theme="1"/>
        <rFont val="Calibri"/>
        <family val="2"/>
        <scheme val="minor"/>
      </rPr>
      <t>- Pueblo of Acoma</t>
    </r>
  </si>
  <si>
    <r>
      <t>PuebloofCochiti</t>
    </r>
    <r>
      <rPr>
        <sz val="11"/>
        <color theme="1"/>
        <rFont val="Calibri"/>
        <family val="2"/>
        <scheme val="minor"/>
      </rPr>
      <t xml:space="preserve"> - Pueblo of Cochiti
</t>
    </r>
    <r>
      <rPr>
        <b/>
        <sz val="11"/>
        <color theme="1"/>
        <rFont val="Calibri"/>
        <family val="2"/>
        <scheme val="minor"/>
      </rPr>
      <t>PuebloofIsleta</t>
    </r>
    <r>
      <rPr>
        <sz val="11"/>
        <color theme="1"/>
        <rFont val="Calibri"/>
        <family val="2"/>
        <scheme val="minor"/>
      </rPr>
      <t xml:space="preserve"> - Pueblo of Isleta
</t>
    </r>
    <r>
      <rPr>
        <b/>
        <sz val="11"/>
        <color theme="1"/>
        <rFont val="Calibri"/>
        <family val="2"/>
        <scheme val="minor"/>
      </rPr>
      <t>PuebloofJemez</t>
    </r>
    <r>
      <rPr>
        <sz val="11"/>
        <color theme="1"/>
        <rFont val="Calibri"/>
        <family val="2"/>
        <scheme val="minor"/>
      </rPr>
      <t xml:space="preserve"> - Pueblo of Jemez
</t>
    </r>
    <r>
      <rPr>
        <b/>
        <sz val="11"/>
        <color theme="1"/>
        <rFont val="Calibri"/>
        <family val="2"/>
        <scheme val="minor"/>
      </rPr>
      <t>PuebloofLaguna</t>
    </r>
    <r>
      <rPr>
        <sz val="11"/>
        <color theme="1"/>
        <rFont val="Calibri"/>
        <family val="2"/>
        <scheme val="minor"/>
      </rPr>
      <t xml:space="preserve"> - Pueblo of Laguna
</t>
    </r>
    <r>
      <rPr>
        <b/>
        <sz val="11"/>
        <color theme="1"/>
        <rFont val="Calibri"/>
        <family val="2"/>
        <scheme val="minor"/>
      </rPr>
      <t>PuebloofNambe</t>
    </r>
    <r>
      <rPr>
        <sz val="11"/>
        <color theme="1"/>
        <rFont val="Calibri"/>
        <family val="2"/>
        <scheme val="minor"/>
      </rPr>
      <t xml:space="preserve"> - Pueblo of Nambe
</t>
    </r>
    <r>
      <rPr>
        <b/>
        <sz val="11"/>
        <color theme="1"/>
        <rFont val="Calibri"/>
        <family val="2"/>
        <scheme val="minor"/>
      </rPr>
      <t>PuebloofPicuris</t>
    </r>
    <r>
      <rPr>
        <sz val="11"/>
        <color theme="1"/>
        <rFont val="Calibri"/>
        <family val="2"/>
        <scheme val="minor"/>
      </rPr>
      <t xml:space="preserve"> - Pueblo of Picuris
</t>
    </r>
    <r>
      <rPr>
        <b/>
        <sz val="11"/>
        <color theme="1"/>
        <rFont val="Calibri"/>
        <family val="2"/>
        <scheme val="minor"/>
      </rPr>
      <t>PuebloofPojoaque</t>
    </r>
    <r>
      <rPr>
        <sz val="11"/>
        <color theme="1"/>
        <rFont val="Calibri"/>
        <family val="2"/>
        <scheme val="minor"/>
      </rPr>
      <t xml:space="preserve"> - Pueblo of Pojoaque
</t>
    </r>
    <r>
      <rPr>
        <b/>
        <sz val="11"/>
        <color theme="1"/>
        <rFont val="Calibri"/>
        <family val="2"/>
        <scheme val="minor"/>
      </rPr>
      <t>PuebloofSanFelipe</t>
    </r>
    <r>
      <rPr>
        <sz val="11"/>
        <color theme="1"/>
        <rFont val="Calibri"/>
        <family val="2"/>
        <scheme val="minor"/>
      </rPr>
      <t xml:space="preserve"> - Pueblo of San Felipe
</t>
    </r>
    <r>
      <rPr>
        <b/>
        <sz val="11"/>
        <color theme="1"/>
        <rFont val="Calibri"/>
        <family val="2"/>
        <scheme val="minor"/>
      </rPr>
      <t>PuebloofSanIldefonso</t>
    </r>
    <r>
      <rPr>
        <sz val="11"/>
        <color theme="1"/>
        <rFont val="Calibri"/>
        <family val="2"/>
        <scheme val="minor"/>
      </rPr>
      <t xml:space="preserve"> - Pueblo of San Ildefonso
</t>
    </r>
    <r>
      <rPr>
        <b/>
        <sz val="11"/>
        <color theme="1"/>
        <rFont val="Calibri"/>
        <family val="2"/>
        <scheme val="minor"/>
      </rPr>
      <t>PuebloofSandia</t>
    </r>
    <r>
      <rPr>
        <sz val="11"/>
        <color theme="1"/>
        <rFont val="Calibri"/>
        <family val="2"/>
        <scheme val="minor"/>
      </rPr>
      <t xml:space="preserve"> - Pueblo of Sandia
</t>
    </r>
    <r>
      <rPr>
        <b/>
        <sz val="11"/>
        <color theme="1"/>
        <rFont val="Calibri"/>
        <family val="2"/>
        <scheme val="minor"/>
      </rPr>
      <t>PuebloofSantaAna</t>
    </r>
    <r>
      <rPr>
        <sz val="11"/>
        <color theme="1"/>
        <rFont val="Calibri"/>
        <family val="2"/>
        <scheme val="minor"/>
      </rPr>
      <t xml:space="preserve"> - Pueblo of Santa Ana
</t>
    </r>
    <r>
      <rPr>
        <b/>
        <sz val="11"/>
        <color theme="1"/>
        <rFont val="Calibri"/>
        <family val="2"/>
        <scheme val="minor"/>
      </rPr>
      <t>PuebloofSantaClara</t>
    </r>
    <r>
      <rPr>
        <sz val="11"/>
        <color theme="1"/>
        <rFont val="Calibri"/>
        <family val="2"/>
        <scheme val="minor"/>
      </rPr>
      <t xml:space="preserve"> - Pueblo of Santa Clara
</t>
    </r>
    <r>
      <rPr>
        <b/>
        <sz val="11"/>
        <color theme="1"/>
        <rFont val="Calibri"/>
        <family val="2"/>
        <scheme val="minor"/>
      </rPr>
      <t>PuebloofTaos</t>
    </r>
    <r>
      <rPr>
        <sz val="11"/>
        <color theme="1"/>
        <rFont val="Calibri"/>
        <family val="2"/>
        <scheme val="minor"/>
      </rPr>
      <t xml:space="preserve"> - Pueblo of Taos
</t>
    </r>
    <r>
      <rPr>
        <b/>
        <sz val="11"/>
        <color theme="1"/>
        <rFont val="Calibri"/>
        <family val="2"/>
        <scheme val="minor"/>
      </rPr>
      <t>PuebloofTesuque</t>
    </r>
    <r>
      <rPr>
        <sz val="11"/>
        <color theme="1"/>
        <rFont val="Calibri"/>
        <family val="2"/>
        <scheme val="minor"/>
      </rPr>
      <t xml:space="preserve"> - Pueblo of Tesuque
</t>
    </r>
    <r>
      <rPr>
        <b/>
        <sz val="11"/>
        <color theme="1"/>
        <rFont val="Calibri"/>
        <family val="2"/>
        <scheme val="minor"/>
      </rPr>
      <t>PuebloofZia</t>
    </r>
    <r>
      <rPr>
        <sz val="11"/>
        <color theme="1"/>
        <rFont val="Calibri"/>
        <family val="2"/>
        <scheme val="minor"/>
      </rPr>
      <t xml:space="preserve"> - Pueblo of Zia
</t>
    </r>
    <r>
      <rPr>
        <b/>
        <sz val="11"/>
        <color theme="1"/>
        <rFont val="Calibri"/>
        <family val="2"/>
        <scheme val="minor"/>
      </rPr>
      <t>PuyallupPuyallup</t>
    </r>
    <r>
      <rPr>
        <sz val="11"/>
        <color theme="1"/>
        <rFont val="Calibri"/>
        <family val="2"/>
        <scheme val="minor"/>
      </rPr>
      <t xml:space="preserve"> - Puyallup Tribe of the Puyallup Reservation
</t>
    </r>
    <r>
      <rPr>
        <b/>
        <sz val="11"/>
        <color theme="1"/>
        <rFont val="Calibri"/>
        <family val="2"/>
        <scheme val="minor"/>
      </rPr>
      <t>PyramidLakePaiutePyramidLake</t>
    </r>
    <r>
      <rPr>
        <sz val="11"/>
        <color theme="1"/>
        <rFont val="Calibri"/>
        <family val="2"/>
        <scheme val="minor"/>
      </rPr>
      <t xml:space="preserve"> - Pyramid Lake Paiute Tribe of the Pyramid Lake Reservation
</t>
    </r>
    <r>
      <rPr>
        <b/>
        <sz val="11"/>
        <color theme="1"/>
        <rFont val="Calibri"/>
        <family val="2"/>
        <scheme val="minor"/>
      </rPr>
      <t>QaganTayagunginTribeofSandPointVillage</t>
    </r>
    <r>
      <rPr>
        <sz val="11"/>
        <color theme="1"/>
        <rFont val="Calibri"/>
        <family val="2"/>
        <scheme val="minor"/>
      </rPr>
      <t xml:space="preserve"> - Qagan Tayagungin Tribe of Sand Point Village
</t>
    </r>
    <r>
      <rPr>
        <b/>
        <sz val="11"/>
        <color theme="1"/>
        <rFont val="Calibri"/>
        <family val="2"/>
        <scheme val="minor"/>
      </rPr>
      <t>QawalanginTribeofUnalaska</t>
    </r>
    <r>
      <rPr>
        <sz val="11"/>
        <color theme="1"/>
        <rFont val="Calibri"/>
        <family val="2"/>
        <scheme val="minor"/>
      </rPr>
      <t xml:space="preserve"> - Qawalangin Tribe of Unalaska
</t>
    </r>
    <r>
      <rPr>
        <b/>
        <sz val="11"/>
        <color theme="1"/>
        <rFont val="Calibri"/>
        <family val="2"/>
        <scheme val="minor"/>
      </rPr>
      <t>Quapaw</t>
    </r>
    <r>
      <rPr>
        <sz val="11"/>
        <color theme="1"/>
        <rFont val="Calibri"/>
        <family val="2"/>
        <scheme val="minor"/>
      </rPr>
      <t xml:space="preserve"> - Quapaw Tribe of Indians
</t>
    </r>
    <r>
      <rPr>
        <b/>
        <sz val="11"/>
        <color theme="1"/>
        <rFont val="Calibri"/>
        <family val="2"/>
        <scheme val="minor"/>
      </rPr>
      <t>QuartzValleyIndianCommunityoftheQuartzValley</t>
    </r>
    <r>
      <rPr>
        <sz val="11"/>
        <color theme="1"/>
        <rFont val="Calibri"/>
        <family val="2"/>
        <scheme val="minor"/>
      </rPr>
      <t xml:space="preserve"> - Quartz Valley Indian Community of the Quartz Valley Reservation of California
</t>
    </r>
    <r>
      <rPr>
        <b/>
        <sz val="11"/>
        <color theme="1"/>
        <rFont val="Calibri"/>
        <family val="2"/>
        <scheme val="minor"/>
      </rPr>
      <t>QuechanFortYuma</t>
    </r>
    <r>
      <rPr>
        <sz val="11"/>
        <color theme="1"/>
        <rFont val="Calibri"/>
        <family val="2"/>
        <scheme val="minor"/>
      </rPr>
      <t xml:space="preserve"> - Quechan Tribe of the Fort Yuma Indian Reservation (Arizona and California)
</t>
    </r>
    <r>
      <rPr>
        <b/>
        <sz val="11"/>
        <color theme="1"/>
        <rFont val="Calibri"/>
        <family val="2"/>
        <scheme val="minor"/>
      </rPr>
      <t>QuileuteQuileute</t>
    </r>
    <r>
      <rPr>
        <sz val="11"/>
        <color theme="1"/>
        <rFont val="Calibri"/>
        <family val="2"/>
        <scheme val="minor"/>
      </rPr>
      <t xml:space="preserve"> - Quileute Tribe of the Quileute Reservation
</t>
    </r>
    <r>
      <rPr>
        <b/>
        <sz val="11"/>
        <color theme="1"/>
        <rFont val="Calibri"/>
        <family val="2"/>
        <scheme val="minor"/>
      </rPr>
      <t>QuinaultIndianNation</t>
    </r>
    <r>
      <rPr>
        <sz val="11"/>
        <color theme="1"/>
        <rFont val="Calibri"/>
        <family val="2"/>
        <scheme val="minor"/>
      </rPr>
      <t xml:space="preserve"> - Quinault Indian Nation
</t>
    </r>
    <r>
      <rPr>
        <b/>
        <sz val="11"/>
        <color theme="1"/>
        <rFont val="Calibri"/>
        <family val="2"/>
        <scheme val="minor"/>
      </rPr>
      <t>RamonaBandofCahuilla</t>
    </r>
    <r>
      <rPr>
        <sz val="11"/>
        <color theme="1"/>
        <rFont val="Calibri"/>
        <family val="2"/>
        <scheme val="minor"/>
      </rPr>
      <t xml:space="preserve"> - Ramona Band of Cahuilla
</t>
    </r>
    <r>
      <rPr>
        <b/>
        <sz val="11"/>
        <color theme="1"/>
        <rFont val="Calibri"/>
        <family val="2"/>
        <scheme val="minor"/>
      </rPr>
      <t>RampartVillage</t>
    </r>
    <r>
      <rPr>
        <sz val="11"/>
        <color theme="1"/>
        <rFont val="Calibri"/>
        <family val="2"/>
        <scheme val="minor"/>
      </rPr>
      <t xml:space="preserve"> - Rampart Village
</t>
    </r>
    <r>
      <rPr>
        <b/>
        <sz val="11"/>
        <color theme="1"/>
        <rFont val="Calibri"/>
        <family val="2"/>
        <scheme val="minor"/>
      </rPr>
      <t>RedCliffBandofLakeSuperiorChippewa</t>
    </r>
    <r>
      <rPr>
        <sz val="11"/>
        <color theme="1"/>
        <rFont val="Calibri"/>
        <family val="2"/>
        <scheme val="minor"/>
      </rPr>
      <t xml:space="preserve"> - Red Cliff Band of Lake Superior Chippewa Indians of Wisconsin
</t>
    </r>
    <r>
      <rPr>
        <b/>
        <sz val="11"/>
        <color theme="1"/>
        <rFont val="Calibri"/>
        <family val="2"/>
        <scheme val="minor"/>
      </rPr>
      <t>RedLakeBandofChippewa</t>
    </r>
    <r>
      <rPr>
        <sz val="11"/>
        <color theme="1"/>
        <rFont val="Calibri"/>
        <family val="2"/>
        <scheme val="minor"/>
      </rPr>
      <t xml:space="preserve"> - Red Lake Band of Chippewa Indians
</t>
    </r>
    <r>
      <rPr>
        <b/>
        <sz val="11"/>
        <color theme="1"/>
        <rFont val="Calibri"/>
        <family val="2"/>
        <scheme val="minor"/>
      </rPr>
      <t>ReddingRancheria</t>
    </r>
    <r>
      <rPr>
        <sz val="11"/>
        <color theme="1"/>
        <rFont val="Calibri"/>
        <family val="2"/>
        <scheme val="minor"/>
      </rPr>
      <t xml:space="preserve"> - Redding Rancheria
</t>
    </r>
    <r>
      <rPr>
        <b/>
        <sz val="11"/>
        <color theme="1"/>
        <rFont val="Calibri"/>
        <family val="2"/>
        <scheme val="minor"/>
      </rPr>
      <t>RedwoodValleyorLittleRiverBandofPomo</t>
    </r>
    <r>
      <rPr>
        <sz val="11"/>
        <color theme="1"/>
        <rFont val="Calibri"/>
        <family val="2"/>
        <scheme val="minor"/>
      </rPr>
      <t xml:space="preserve"> - Redwood Valley or Little River Band of Pomo Indians of the Redwood Valley Rancheria California
</t>
    </r>
    <r>
      <rPr>
        <b/>
        <sz val="11"/>
        <color theme="1"/>
        <rFont val="Calibri"/>
        <family val="2"/>
        <scheme val="minor"/>
      </rPr>
      <t>RenoSparksIndianColony</t>
    </r>
    <r>
      <rPr>
        <sz val="11"/>
        <color theme="1"/>
        <rFont val="Calibri"/>
        <family val="2"/>
        <scheme val="minor"/>
      </rPr>
      <t xml:space="preserve"> - Reno-Sparks Indian Colony
</t>
    </r>
    <r>
      <rPr>
        <b/>
        <sz val="11"/>
        <color theme="1"/>
        <rFont val="Calibri"/>
        <family val="2"/>
        <scheme val="minor"/>
      </rPr>
      <t>ResighiniRancheria</t>
    </r>
    <r>
      <rPr>
        <sz val="11"/>
        <color theme="1"/>
        <rFont val="Calibri"/>
        <family val="2"/>
        <scheme val="minor"/>
      </rPr>
      <t xml:space="preserve"> - Resighini Rancheria
</t>
    </r>
    <r>
      <rPr>
        <b/>
        <sz val="11"/>
        <color theme="1"/>
        <rFont val="Calibri"/>
        <family val="2"/>
        <scheme val="minor"/>
      </rPr>
      <t>RinconBandofLuiseñoMission</t>
    </r>
    <r>
      <rPr>
        <sz val="11"/>
        <color theme="1"/>
        <rFont val="Calibri"/>
        <family val="2"/>
        <scheme val="minor"/>
      </rPr>
      <t xml:space="preserve"> - Rincon Band of Luiseño Mission Indians of the Rincon Reservation
</t>
    </r>
    <r>
      <rPr>
        <b/>
        <sz val="11"/>
        <color theme="1"/>
        <rFont val="Calibri"/>
        <family val="2"/>
        <scheme val="minor"/>
      </rPr>
      <t>RobinsonRancheria</t>
    </r>
    <r>
      <rPr>
        <sz val="11"/>
        <color theme="1"/>
        <rFont val="Calibri"/>
        <family val="2"/>
        <scheme val="minor"/>
      </rPr>
      <t xml:space="preserve"> - Robinson Rancheria
</t>
    </r>
    <r>
      <rPr>
        <b/>
        <sz val="11"/>
        <color theme="1"/>
        <rFont val="Calibri"/>
        <family val="2"/>
        <scheme val="minor"/>
      </rPr>
      <t>RosebudSiouxRosebud</t>
    </r>
    <r>
      <rPr>
        <sz val="11"/>
        <color theme="1"/>
        <rFont val="Calibri"/>
        <family val="2"/>
        <scheme val="minor"/>
      </rPr>
      <t xml:space="preserve"> - Rosebud Sioux Tribe of the Rosebud Indian Reservation
</t>
    </r>
    <r>
      <rPr>
        <b/>
        <sz val="11"/>
        <color theme="1"/>
        <rFont val="Calibri"/>
        <family val="2"/>
        <scheme val="minor"/>
      </rPr>
      <t>RoundValleyIndianTribesRoundValley</t>
    </r>
    <r>
      <rPr>
        <sz val="11"/>
        <color theme="1"/>
        <rFont val="Calibri"/>
        <family val="2"/>
        <scheme val="minor"/>
      </rPr>
      <t xml:space="preserve"> - Round Valley Indian Tribes, Round Valley Reservation
</t>
    </r>
    <r>
      <rPr>
        <b/>
        <sz val="11"/>
        <color theme="1"/>
        <rFont val="Calibri"/>
        <family val="2"/>
        <scheme val="minor"/>
      </rPr>
      <t>Sac&amp;FoxNation</t>
    </r>
    <r>
      <rPr>
        <sz val="11"/>
        <color theme="1"/>
        <rFont val="Calibri"/>
        <family val="2"/>
        <scheme val="minor"/>
      </rPr>
      <t xml:space="preserve"> - Sac &amp; Fox Nation
</t>
    </r>
    <r>
      <rPr>
        <b/>
        <sz val="11"/>
        <color theme="1"/>
        <rFont val="Calibri"/>
        <family val="2"/>
        <scheme val="minor"/>
      </rPr>
      <t>Sac&amp;FoxNationofMissouri</t>
    </r>
    <r>
      <rPr>
        <sz val="11"/>
        <color theme="1"/>
        <rFont val="Calibri"/>
        <family val="2"/>
        <scheme val="minor"/>
      </rPr>
      <t xml:space="preserve"> - Sac &amp; Fox Nation of Missouri (Kansas and Nebraska)
</t>
    </r>
    <r>
      <rPr>
        <b/>
        <sz val="11"/>
        <color theme="1"/>
        <rFont val="Calibri"/>
        <family val="2"/>
        <scheme val="minor"/>
      </rPr>
      <t>Sac&amp;FoxMississippiinIowa</t>
    </r>
    <r>
      <rPr>
        <sz val="11"/>
        <color theme="1"/>
        <rFont val="Calibri"/>
        <family val="2"/>
        <scheme val="minor"/>
      </rPr>
      <t xml:space="preserve"> - Sac &amp; Fox Tribe of the Mississippi in Iowa
</t>
    </r>
    <r>
      <rPr>
        <b/>
        <sz val="11"/>
        <color theme="1"/>
        <rFont val="Calibri"/>
        <family val="2"/>
        <scheme val="minor"/>
      </rPr>
      <t>SaginawChippewaIndianTribeofMichigan</t>
    </r>
    <r>
      <rPr>
        <sz val="11"/>
        <color theme="1"/>
        <rFont val="Calibri"/>
        <family val="2"/>
        <scheme val="minor"/>
      </rPr>
      <t xml:space="preserve"> - Saginaw Chippewa Indian Tribe of Michigan
</t>
    </r>
    <r>
      <rPr>
        <b/>
        <sz val="11"/>
        <color theme="1"/>
        <rFont val="Calibri"/>
        <family val="2"/>
        <scheme val="minor"/>
      </rPr>
      <t>SaintGeorgeIsland</t>
    </r>
    <r>
      <rPr>
        <sz val="11"/>
        <color theme="1"/>
        <rFont val="Calibri"/>
        <family val="2"/>
        <scheme val="minor"/>
      </rPr>
      <t xml:space="preserve"> - Saint George Island (See Pribilof Islands Aleut Communities of St. Paul &amp; St. George Islands)
</t>
    </r>
    <r>
      <rPr>
        <b/>
        <sz val="11"/>
        <color theme="1"/>
        <rFont val="Calibri"/>
        <family val="2"/>
        <scheme val="minor"/>
      </rPr>
      <t>SaintPaulIsland</t>
    </r>
    <r>
      <rPr>
        <sz val="11"/>
        <color theme="1"/>
        <rFont val="Calibri"/>
        <family val="2"/>
        <scheme val="minor"/>
      </rPr>
      <t xml:space="preserve"> - Saint Paul Island (See Pribilof Islands Aleut Communities of St. Paul &amp; St. George Islands)
</t>
    </r>
    <r>
      <rPr>
        <b/>
        <sz val="11"/>
        <color theme="1"/>
        <rFont val="Calibri"/>
        <family val="2"/>
        <scheme val="minor"/>
      </rPr>
      <t>SaintRegisMohawkTribe</t>
    </r>
    <r>
      <rPr>
        <sz val="11"/>
        <color theme="1"/>
        <rFont val="Calibri"/>
        <family val="2"/>
        <scheme val="minor"/>
      </rPr>
      <t xml:space="preserve"> - Saint Regis Mohawk Tribe (formerly the St. Regis Band of Mohawk Indians of New York)
</t>
    </r>
    <r>
      <rPr>
        <b/>
        <sz val="11"/>
        <color theme="1"/>
        <rFont val="Calibri"/>
        <family val="2"/>
        <scheme val="minor"/>
      </rPr>
      <t>SaltRiverPimaMaricopaIndianCommunityoftheSaltRiver</t>
    </r>
    <r>
      <rPr>
        <sz val="11"/>
        <color theme="1"/>
        <rFont val="Calibri"/>
        <family val="2"/>
        <scheme val="minor"/>
      </rPr>
      <t xml:space="preserve"> - Salt River Pima-Maricopa Indian Community of the Salt River Reservation
</t>
    </r>
    <r>
      <rPr>
        <b/>
        <sz val="11"/>
        <color theme="1"/>
        <rFont val="Calibri"/>
        <family val="2"/>
        <scheme val="minor"/>
      </rPr>
      <t>SamishIndianNation</t>
    </r>
    <r>
      <rPr>
        <sz val="11"/>
        <color theme="1"/>
        <rFont val="Calibri"/>
        <family val="2"/>
        <scheme val="minor"/>
      </rPr>
      <t xml:space="preserve"> - Samish Indian Nation
</t>
    </r>
    <r>
      <rPr>
        <b/>
        <sz val="11"/>
        <color theme="1"/>
        <rFont val="Calibri"/>
        <family val="2"/>
        <scheme val="minor"/>
      </rPr>
      <t>SanCarlosApacheSanCarlos</t>
    </r>
    <r>
      <rPr>
        <sz val="11"/>
        <color theme="1"/>
        <rFont val="Calibri"/>
        <family val="2"/>
        <scheme val="minor"/>
      </rPr>
      <t xml:space="preserve"> - San Carlos Apache Tribe of the San Carlos Reservation
</t>
    </r>
    <r>
      <rPr>
        <b/>
        <sz val="11"/>
        <color theme="1"/>
        <rFont val="Calibri"/>
        <family val="2"/>
        <scheme val="minor"/>
      </rPr>
      <t>SanJuanSouthernPaiuteTribeofArizona</t>
    </r>
    <r>
      <rPr>
        <sz val="11"/>
        <color theme="1"/>
        <rFont val="Calibri"/>
        <family val="2"/>
        <scheme val="minor"/>
      </rPr>
      <t xml:space="preserve"> - San Juan Southern Paiute Tribe of Arizona
</t>
    </r>
    <r>
      <rPr>
        <b/>
        <sz val="11"/>
        <color theme="1"/>
        <rFont val="Calibri"/>
        <family val="2"/>
        <scheme val="minor"/>
      </rPr>
      <t>SanManualBandofSerranoMission</t>
    </r>
    <r>
      <rPr>
        <sz val="11"/>
        <color theme="1"/>
        <rFont val="Calibri"/>
        <family val="2"/>
        <scheme val="minor"/>
      </rPr>
      <t xml:space="preserve"> - San Manual Band of Serrano Mission Indians of the San Maual Reservation
</t>
    </r>
    <r>
      <rPr>
        <b/>
        <sz val="11"/>
        <color theme="1"/>
        <rFont val="Calibri"/>
        <family val="2"/>
        <scheme val="minor"/>
      </rPr>
      <t>SanPasqualBandofDiegueñoMission</t>
    </r>
    <r>
      <rPr>
        <sz val="11"/>
        <color theme="1"/>
        <rFont val="Calibri"/>
        <family val="2"/>
        <scheme val="minor"/>
      </rPr>
      <t xml:space="preserve"> - San Pasqual Band of Diegueño Mission Indians of California
</t>
    </r>
    <r>
      <rPr>
        <b/>
        <sz val="11"/>
        <color theme="1"/>
        <rFont val="Calibri"/>
        <family val="2"/>
        <scheme val="minor"/>
      </rPr>
      <t>SantaRosaBandofCahuilla</t>
    </r>
    <r>
      <rPr>
        <sz val="11"/>
        <color theme="1"/>
        <rFont val="Calibri"/>
        <family val="2"/>
        <scheme val="minor"/>
      </rPr>
      <t xml:space="preserve"> - Santa Rosa Band of Cahuilla Indians (formerly the Santa Rosa Band of Cahuilla Mission Indians of the Santa Rosa Reservation)
</t>
    </r>
    <r>
      <rPr>
        <b/>
        <sz val="11"/>
        <color theme="1"/>
        <rFont val="Calibri"/>
        <family val="2"/>
        <scheme val="minor"/>
      </rPr>
      <t>SantaRosaIndianCommunityoftheSantaRosaRancheria</t>
    </r>
    <r>
      <rPr>
        <sz val="11"/>
        <color theme="1"/>
        <rFont val="Calibri"/>
        <family val="2"/>
        <scheme val="minor"/>
      </rPr>
      <t xml:space="preserve"> - Santa Rosa Indian Community of the Santa Rosa Rancheria
</t>
    </r>
    <r>
      <rPr>
        <b/>
        <sz val="11"/>
        <color theme="1"/>
        <rFont val="Calibri"/>
        <family val="2"/>
        <scheme val="minor"/>
      </rPr>
      <t>SantaYnezBandofChumashMission</t>
    </r>
    <r>
      <rPr>
        <sz val="11"/>
        <color theme="1"/>
        <rFont val="Calibri"/>
        <family val="2"/>
        <scheme val="minor"/>
      </rPr>
      <t xml:space="preserve"> - Santa Ynez Band of Chumash Mission Indians of the Santa Ynez Reservation
</t>
    </r>
    <r>
      <rPr>
        <b/>
        <sz val="11"/>
        <color theme="1"/>
        <rFont val="Calibri"/>
        <family val="2"/>
        <scheme val="minor"/>
      </rPr>
      <t>SanteeSiouxNation</t>
    </r>
    <r>
      <rPr>
        <sz val="11"/>
        <color theme="1"/>
        <rFont val="Calibri"/>
        <family val="2"/>
        <scheme val="minor"/>
      </rPr>
      <t xml:space="preserve"> - Santee Sioux Nation
</t>
    </r>
    <r>
      <rPr>
        <b/>
        <sz val="11"/>
        <color theme="1"/>
        <rFont val="Calibri"/>
        <family val="2"/>
        <scheme val="minor"/>
      </rPr>
      <t>SaukSuiattleIndianTribeofWashington</t>
    </r>
    <r>
      <rPr>
        <sz val="11"/>
        <color theme="1"/>
        <rFont val="Calibri"/>
        <family val="2"/>
        <scheme val="minor"/>
      </rPr>
      <t xml:space="preserve"> - Sauk-Suiattle Indian Tribe of Washington
</t>
    </r>
    <r>
      <rPr>
        <b/>
        <sz val="11"/>
        <color theme="1"/>
        <rFont val="Calibri"/>
        <family val="2"/>
        <scheme val="minor"/>
      </rPr>
      <t>SaultSteMarieTribeofChippewa</t>
    </r>
    <r>
      <rPr>
        <sz val="11"/>
        <color theme="1"/>
        <rFont val="Calibri"/>
        <family val="2"/>
        <scheme val="minor"/>
      </rPr>
      <t>- Sault Ste. Marie Tribe of Chippewa Indians of Michigan</t>
    </r>
  </si>
  <si>
    <r>
      <t>ScottsValleyBandofPomo</t>
    </r>
    <r>
      <rPr>
        <sz val="11"/>
        <color theme="1"/>
        <rFont val="Calibri"/>
        <family val="2"/>
        <scheme val="minor"/>
      </rPr>
      <t xml:space="preserve"> - Scotts Valley Band of Pomo Indians of California
</t>
    </r>
    <r>
      <rPr>
        <b/>
        <sz val="11"/>
        <color theme="1"/>
        <rFont val="Calibri"/>
        <family val="2"/>
        <scheme val="minor"/>
      </rPr>
      <t>SeldoviaVillageTribe</t>
    </r>
    <r>
      <rPr>
        <sz val="11"/>
        <color theme="1"/>
        <rFont val="Calibri"/>
        <family val="2"/>
        <scheme val="minor"/>
      </rPr>
      <t xml:space="preserve"> - Seldovia Village Tribe
</t>
    </r>
    <r>
      <rPr>
        <b/>
        <sz val="11"/>
        <color theme="1"/>
        <rFont val="Calibri"/>
        <family val="2"/>
        <scheme val="minor"/>
      </rPr>
      <t>SeminoleNationofOklahoma</t>
    </r>
    <r>
      <rPr>
        <sz val="11"/>
        <color theme="1"/>
        <rFont val="Calibri"/>
        <family val="2"/>
        <scheme val="minor"/>
      </rPr>
      <t xml:space="preserve"> - Seminole Nation of Oklahoma
</t>
    </r>
    <r>
      <rPr>
        <b/>
        <sz val="11"/>
        <color theme="1"/>
        <rFont val="Calibri"/>
        <family val="2"/>
        <scheme val="minor"/>
      </rPr>
      <t>SeminoleTribeofFlorida</t>
    </r>
    <r>
      <rPr>
        <sz val="11"/>
        <color theme="1"/>
        <rFont val="Calibri"/>
        <family val="2"/>
        <scheme val="minor"/>
      </rPr>
      <t xml:space="preserve"> - Seminole Tribe of Florida (Dania, Big Cypress, Brighton, Hollywood and Tampa Reservations)
</t>
    </r>
    <r>
      <rPr>
        <b/>
        <sz val="11"/>
        <color theme="1"/>
        <rFont val="Calibri"/>
        <family val="2"/>
        <scheme val="minor"/>
      </rPr>
      <t>SenecaNationof</t>
    </r>
    <r>
      <rPr>
        <sz val="11"/>
        <color theme="1"/>
        <rFont val="Calibri"/>
        <family val="2"/>
        <scheme val="minor"/>
      </rPr>
      <t xml:space="preserve"> - Seneca Nation of Indians
</t>
    </r>
    <r>
      <rPr>
        <b/>
        <sz val="11"/>
        <color theme="1"/>
        <rFont val="Calibri"/>
        <family val="2"/>
        <scheme val="minor"/>
      </rPr>
      <t>SenecaCayugaNation</t>
    </r>
    <r>
      <rPr>
        <sz val="11"/>
        <color theme="1"/>
        <rFont val="Calibri"/>
        <family val="2"/>
        <scheme val="minor"/>
      </rPr>
      <t xml:space="preserve"> - Seneca-Cayuga Nation
</t>
    </r>
    <r>
      <rPr>
        <b/>
        <sz val="11"/>
        <color theme="1"/>
        <rFont val="Calibri"/>
        <family val="2"/>
        <scheme val="minor"/>
      </rPr>
      <t>ShagelukNativeVillage</t>
    </r>
    <r>
      <rPr>
        <sz val="11"/>
        <color theme="1"/>
        <rFont val="Calibri"/>
        <family val="2"/>
        <scheme val="minor"/>
      </rPr>
      <t xml:space="preserve"> - Shageluk Native Village
</t>
    </r>
    <r>
      <rPr>
        <b/>
        <sz val="11"/>
        <color theme="1"/>
        <rFont val="Calibri"/>
        <family val="2"/>
        <scheme val="minor"/>
      </rPr>
      <t>ShakopeeMdewakantonSiouxCommunityofMinnesota</t>
    </r>
    <r>
      <rPr>
        <sz val="11"/>
        <color theme="1"/>
        <rFont val="Calibri"/>
        <family val="2"/>
        <scheme val="minor"/>
      </rPr>
      <t xml:space="preserve"> - Shakopee Mdewakanton Sioux Community of Minnesota
</t>
    </r>
    <r>
      <rPr>
        <b/>
        <sz val="11"/>
        <color theme="1"/>
        <rFont val="Calibri"/>
        <family val="2"/>
        <scheme val="minor"/>
      </rPr>
      <t>ShawneeTribe</t>
    </r>
    <r>
      <rPr>
        <sz val="11"/>
        <color theme="1"/>
        <rFont val="Calibri"/>
        <family val="2"/>
        <scheme val="minor"/>
      </rPr>
      <t xml:space="preserve"> - Shawnee Tribe
</t>
    </r>
    <r>
      <rPr>
        <b/>
        <sz val="11"/>
        <color theme="1"/>
        <rFont val="Calibri"/>
        <family val="2"/>
        <scheme val="minor"/>
      </rPr>
      <t>SheepRanchRancheriaofMeWuk</t>
    </r>
    <r>
      <rPr>
        <sz val="11"/>
        <color theme="1"/>
        <rFont val="Calibri"/>
        <family val="2"/>
        <scheme val="minor"/>
      </rPr>
      <t xml:space="preserve"> - Sheep Ranch Rancheria of Me-Wuk Indians
</t>
    </r>
    <r>
      <rPr>
        <b/>
        <sz val="11"/>
        <color theme="1"/>
        <rFont val="Calibri"/>
        <family val="2"/>
        <scheme val="minor"/>
      </rPr>
      <t>SherwoodValleyRancheriaofPomo</t>
    </r>
    <r>
      <rPr>
        <sz val="11"/>
        <color theme="1"/>
        <rFont val="Calibri"/>
        <family val="2"/>
        <scheme val="minor"/>
      </rPr>
      <t xml:space="preserve"> - Sherwood Valley Rancheria of Pomo Indians of California
</t>
    </r>
    <r>
      <rPr>
        <b/>
        <sz val="11"/>
        <color theme="1"/>
        <rFont val="Calibri"/>
        <family val="2"/>
        <scheme val="minor"/>
      </rPr>
      <t>ShingleSpringsBandofMiwokShingleSpringsRancheria</t>
    </r>
    <r>
      <rPr>
        <sz val="11"/>
        <color theme="1"/>
        <rFont val="Calibri"/>
        <family val="2"/>
        <scheme val="minor"/>
      </rPr>
      <t xml:space="preserve"> - Shingle Springs Band of Miwok Indians, Shingle Springs Rancheria (Verona Tract)
</t>
    </r>
    <r>
      <rPr>
        <b/>
        <sz val="11"/>
        <color theme="1"/>
        <rFont val="Calibri"/>
        <family val="2"/>
        <scheme val="minor"/>
      </rPr>
      <t>ShinnecockIndianNation</t>
    </r>
    <r>
      <rPr>
        <sz val="11"/>
        <color theme="1"/>
        <rFont val="Calibri"/>
        <family val="2"/>
        <scheme val="minor"/>
      </rPr>
      <t xml:space="preserve"> - Shinnecock Indian Nation
</t>
    </r>
    <r>
      <rPr>
        <b/>
        <sz val="11"/>
        <color theme="1"/>
        <rFont val="Calibri"/>
        <family val="2"/>
        <scheme val="minor"/>
      </rPr>
      <t>ShoalwaterBayIndianShoalwaterBay</t>
    </r>
    <r>
      <rPr>
        <sz val="11"/>
        <color theme="1"/>
        <rFont val="Calibri"/>
        <family val="2"/>
        <scheme val="minor"/>
      </rPr>
      <t xml:space="preserve"> - Shoalwater Bay IndianTribe of the Shoalwater Bay Indian Reservation
</t>
    </r>
    <r>
      <rPr>
        <b/>
        <sz val="11"/>
        <color theme="1"/>
        <rFont val="Calibri"/>
        <family val="2"/>
        <scheme val="minor"/>
      </rPr>
      <t>ShoshoneWindRiver</t>
    </r>
    <r>
      <rPr>
        <sz val="11"/>
        <color theme="1"/>
        <rFont val="Calibri"/>
        <family val="2"/>
        <scheme val="minor"/>
      </rPr>
      <t xml:space="preserve"> - Shoshone Tribe of the Wind River Reservation
</t>
    </r>
    <r>
      <rPr>
        <b/>
        <sz val="11"/>
        <color theme="1"/>
        <rFont val="Calibri"/>
        <family val="2"/>
        <scheme val="minor"/>
      </rPr>
      <t>ShoshoneBannockFortHall</t>
    </r>
    <r>
      <rPr>
        <sz val="11"/>
        <color theme="1"/>
        <rFont val="Calibri"/>
        <family val="2"/>
        <scheme val="minor"/>
      </rPr>
      <t xml:space="preserve"> - Shoshone-Bannock Tribes of the Fort Hall Reservation of Idaho
</t>
    </r>
    <r>
      <rPr>
        <b/>
        <sz val="11"/>
        <color theme="1"/>
        <rFont val="Calibri"/>
        <family val="2"/>
        <scheme val="minor"/>
      </rPr>
      <t>ShoshonePaiuteDuckValley</t>
    </r>
    <r>
      <rPr>
        <sz val="11"/>
        <color theme="1"/>
        <rFont val="Calibri"/>
        <family val="2"/>
        <scheme val="minor"/>
      </rPr>
      <t xml:space="preserve"> - Shoshone-Paiute Tribes of the Duck Valley Reservation
</t>
    </r>
    <r>
      <rPr>
        <b/>
        <sz val="11"/>
        <color theme="1"/>
        <rFont val="Calibri"/>
        <family val="2"/>
        <scheme val="minor"/>
      </rPr>
      <t>SissetonWahpetonOyateoftheLakeTraverse</t>
    </r>
    <r>
      <rPr>
        <sz val="11"/>
        <color theme="1"/>
        <rFont val="Calibri"/>
        <family val="2"/>
        <scheme val="minor"/>
      </rPr>
      <t xml:space="preserve"> - Sisseton-Wahpeton Oyate of the Lake Traverse Reservation
</t>
    </r>
    <r>
      <rPr>
        <b/>
        <sz val="11"/>
        <color theme="1"/>
        <rFont val="Calibri"/>
        <family val="2"/>
        <scheme val="minor"/>
      </rPr>
      <t>SitkaTribeofAlaska</t>
    </r>
    <r>
      <rPr>
        <sz val="11"/>
        <color theme="1"/>
        <rFont val="Calibri"/>
        <family val="2"/>
        <scheme val="minor"/>
      </rPr>
      <t xml:space="preserve"> - Sitka Tribe of Alaska
</t>
    </r>
    <r>
      <rPr>
        <b/>
        <sz val="11"/>
        <color theme="1"/>
        <rFont val="Calibri"/>
        <family val="2"/>
        <scheme val="minor"/>
      </rPr>
      <t>SkagwayVillage</t>
    </r>
    <r>
      <rPr>
        <sz val="11"/>
        <color theme="1"/>
        <rFont val="Calibri"/>
        <family val="2"/>
        <scheme val="minor"/>
      </rPr>
      <t xml:space="preserve"> - Skagway Village
</t>
    </r>
    <r>
      <rPr>
        <b/>
        <sz val="11"/>
        <color theme="1"/>
        <rFont val="Calibri"/>
        <family val="2"/>
        <scheme val="minor"/>
      </rPr>
      <t>SkokomishIndianTribe</t>
    </r>
    <r>
      <rPr>
        <sz val="11"/>
        <color theme="1"/>
        <rFont val="Calibri"/>
        <family val="2"/>
        <scheme val="minor"/>
      </rPr>
      <t xml:space="preserve"> - Skokomish Indian Tribe 
</t>
    </r>
    <r>
      <rPr>
        <b/>
        <sz val="11"/>
        <color theme="1"/>
        <rFont val="Calibri"/>
        <family val="2"/>
        <scheme val="minor"/>
      </rPr>
      <t>SkullValleyBandofGoshute</t>
    </r>
    <r>
      <rPr>
        <sz val="11"/>
        <color theme="1"/>
        <rFont val="Calibri"/>
        <family val="2"/>
        <scheme val="minor"/>
      </rPr>
      <t xml:space="preserve"> - Skull Valley Band of Goshute Indians of Utah
</t>
    </r>
    <r>
      <rPr>
        <b/>
        <sz val="11"/>
        <color theme="1"/>
        <rFont val="Calibri"/>
        <family val="2"/>
        <scheme val="minor"/>
      </rPr>
      <t>SmithRiverRancheria</t>
    </r>
    <r>
      <rPr>
        <sz val="11"/>
        <color theme="1"/>
        <rFont val="Calibri"/>
        <family val="2"/>
        <scheme val="minor"/>
      </rPr>
      <t xml:space="preserve"> - Smith River Rancheria
</t>
    </r>
    <r>
      <rPr>
        <b/>
        <sz val="11"/>
        <color theme="1"/>
        <rFont val="Calibri"/>
        <family val="2"/>
        <scheme val="minor"/>
      </rPr>
      <t>SnoqualmieIndianTribe</t>
    </r>
    <r>
      <rPr>
        <sz val="11"/>
        <color theme="1"/>
        <rFont val="Calibri"/>
        <family val="2"/>
        <scheme val="minor"/>
      </rPr>
      <t xml:space="preserve"> - Snoqualmie Indian Tribe
</t>
    </r>
    <r>
      <rPr>
        <b/>
        <sz val="11"/>
        <color theme="1"/>
        <rFont val="Calibri"/>
        <family val="2"/>
        <scheme val="minor"/>
      </rPr>
      <t>SobobaBandofLuiseño</t>
    </r>
    <r>
      <rPr>
        <sz val="11"/>
        <color theme="1"/>
        <rFont val="Calibri"/>
        <family val="2"/>
        <scheme val="minor"/>
      </rPr>
      <t xml:space="preserve"> - Soboba Band of Luiseño Indians
</t>
    </r>
    <r>
      <rPr>
        <b/>
        <sz val="11"/>
        <color theme="1"/>
        <rFont val="Calibri"/>
        <family val="2"/>
        <scheme val="minor"/>
      </rPr>
      <t>SokaogonChippewaCommunity</t>
    </r>
    <r>
      <rPr>
        <sz val="11"/>
        <color theme="1"/>
        <rFont val="Calibri"/>
        <family val="2"/>
        <scheme val="minor"/>
      </rPr>
      <t xml:space="preserve"> - Sokaogon Chippewa Community
</t>
    </r>
    <r>
      <rPr>
        <b/>
        <sz val="11"/>
        <color theme="1"/>
        <rFont val="Calibri"/>
        <family val="2"/>
        <scheme val="minor"/>
      </rPr>
      <t>SouthNaknekVillage</t>
    </r>
    <r>
      <rPr>
        <sz val="11"/>
        <color theme="1"/>
        <rFont val="Calibri"/>
        <family val="2"/>
        <scheme val="minor"/>
      </rPr>
      <t xml:space="preserve"> - South Naknek Village
</t>
    </r>
    <r>
      <rPr>
        <b/>
        <sz val="11"/>
        <color theme="1"/>
        <rFont val="Calibri"/>
        <family val="2"/>
        <scheme val="minor"/>
      </rPr>
      <t>SouthernUteIndianSouthernUte</t>
    </r>
    <r>
      <rPr>
        <sz val="11"/>
        <color theme="1"/>
        <rFont val="Calibri"/>
        <family val="2"/>
        <scheme val="minor"/>
      </rPr>
      <t xml:space="preserve"> - Southern Ute Indian Tribe of the Southern Ute Reservation
</t>
    </r>
    <r>
      <rPr>
        <b/>
        <sz val="11"/>
        <color theme="1"/>
        <rFont val="Calibri"/>
        <family val="2"/>
        <scheme val="minor"/>
      </rPr>
      <t>SpiritLakeTribe</t>
    </r>
    <r>
      <rPr>
        <sz val="11"/>
        <color theme="1"/>
        <rFont val="Calibri"/>
        <family val="2"/>
        <scheme val="minor"/>
      </rPr>
      <t xml:space="preserve"> - Spirit Lake Tribe
</t>
    </r>
    <r>
      <rPr>
        <b/>
        <sz val="11"/>
        <color theme="1"/>
        <rFont val="Calibri"/>
        <family val="2"/>
        <scheme val="minor"/>
      </rPr>
      <t>SpokaneSpokane</t>
    </r>
    <r>
      <rPr>
        <sz val="11"/>
        <color theme="1"/>
        <rFont val="Calibri"/>
        <family val="2"/>
        <scheme val="minor"/>
      </rPr>
      <t xml:space="preserve"> - Spokane Tribe of the Spokane Reservation
</t>
    </r>
    <r>
      <rPr>
        <b/>
        <sz val="11"/>
        <color theme="1"/>
        <rFont val="Calibri"/>
        <family val="2"/>
        <scheme val="minor"/>
      </rPr>
      <t>SquaxinIslandSquaxinIsland</t>
    </r>
    <r>
      <rPr>
        <sz val="11"/>
        <color theme="1"/>
        <rFont val="Calibri"/>
        <family val="2"/>
        <scheme val="minor"/>
      </rPr>
      <t xml:space="preserve"> - Squaxin Island Tribe of the Squaxin Island Reservation
</t>
    </r>
    <r>
      <rPr>
        <b/>
        <sz val="11"/>
        <color theme="1"/>
        <rFont val="Calibri"/>
        <family val="2"/>
        <scheme val="minor"/>
      </rPr>
      <t>StCroixChippewaofWisconsin</t>
    </r>
    <r>
      <rPr>
        <sz val="11"/>
        <color theme="1"/>
        <rFont val="Calibri"/>
        <family val="2"/>
        <scheme val="minor"/>
      </rPr>
      <t xml:space="preserve"> - St. Croix Chippewa Indians of Wisconsin
</t>
    </r>
    <r>
      <rPr>
        <b/>
        <sz val="11"/>
        <color theme="1"/>
        <rFont val="Calibri"/>
        <family val="2"/>
        <scheme val="minor"/>
      </rPr>
      <t>StandingRockSiouxTribe</t>
    </r>
    <r>
      <rPr>
        <sz val="11"/>
        <color theme="1"/>
        <rFont val="Calibri"/>
        <family val="2"/>
        <scheme val="minor"/>
      </rPr>
      <t xml:space="preserve"> - Standing Rock Sioux Tribe (North Dakota and South Dakota)
</t>
    </r>
    <r>
      <rPr>
        <b/>
        <sz val="11"/>
        <color theme="1"/>
        <rFont val="Calibri"/>
        <family val="2"/>
        <scheme val="minor"/>
      </rPr>
      <t>StebbinsCommunityAssociation</t>
    </r>
    <r>
      <rPr>
        <sz val="11"/>
        <color theme="1"/>
        <rFont val="Calibri"/>
        <family val="2"/>
        <scheme val="minor"/>
      </rPr>
      <t xml:space="preserve"> - Stebbins Community Association
</t>
    </r>
    <r>
      <rPr>
        <b/>
        <sz val="11"/>
        <color theme="1"/>
        <rFont val="Calibri"/>
        <family val="2"/>
        <scheme val="minor"/>
      </rPr>
      <t>Stillaguamish</t>
    </r>
    <r>
      <rPr>
        <sz val="11"/>
        <color theme="1"/>
        <rFont val="Calibri"/>
        <family val="2"/>
        <scheme val="minor"/>
      </rPr>
      <t xml:space="preserve"> - Stillaguamish Tribe of Indians of Washington
</t>
    </r>
    <r>
      <rPr>
        <b/>
        <sz val="11"/>
        <color theme="1"/>
        <rFont val="Calibri"/>
        <family val="2"/>
        <scheme val="minor"/>
      </rPr>
      <t>StockbridgeMunseeCommunity</t>
    </r>
    <r>
      <rPr>
        <sz val="11"/>
        <color theme="1"/>
        <rFont val="Calibri"/>
        <family val="2"/>
        <scheme val="minor"/>
      </rPr>
      <t xml:space="preserve"> - Stockbridge Munsee Community
</t>
    </r>
    <r>
      <rPr>
        <b/>
        <sz val="11"/>
        <color theme="1"/>
        <rFont val="Calibri"/>
        <family val="2"/>
        <scheme val="minor"/>
      </rPr>
      <t>SummitLakePaiuteTribeofNevada</t>
    </r>
    <r>
      <rPr>
        <sz val="11"/>
        <color theme="1"/>
        <rFont val="Calibri"/>
        <family val="2"/>
        <scheme val="minor"/>
      </rPr>
      <t xml:space="preserve"> - Summit Lake Paiute Tribe of Nevada
</t>
    </r>
    <r>
      <rPr>
        <b/>
        <sz val="11"/>
        <color theme="1"/>
        <rFont val="Calibri"/>
        <family val="2"/>
        <scheme val="minor"/>
      </rPr>
      <t>SunaqTribeofKodiak</t>
    </r>
    <r>
      <rPr>
        <sz val="11"/>
        <color theme="1"/>
        <rFont val="Calibri"/>
        <family val="2"/>
        <scheme val="minor"/>
      </rPr>
      <t xml:space="preserve"> - Sun'aq Tribe of Kodiak (formerly the Shoonaq' Tribe of Kodiak)
</t>
    </r>
    <r>
      <rPr>
        <b/>
        <sz val="11"/>
        <color theme="1"/>
        <rFont val="Calibri"/>
        <family val="2"/>
        <scheme val="minor"/>
      </rPr>
      <t>SuquamishIndianPortMadison</t>
    </r>
    <r>
      <rPr>
        <sz val="11"/>
        <color theme="1"/>
        <rFont val="Calibri"/>
        <family val="2"/>
        <scheme val="minor"/>
      </rPr>
      <t xml:space="preserve"> - Suquamish Indian Tribe of the Port Madison Reservation
</t>
    </r>
    <r>
      <rPr>
        <b/>
        <sz val="11"/>
        <color theme="1"/>
        <rFont val="Calibri"/>
        <family val="2"/>
        <scheme val="minor"/>
      </rPr>
      <t>SusanvilleIndianRancheria</t>
    </r>
    <r>
      <rPr>
        <sz val="11"/>
        <color theme="1"/>
        <rFont val="Calibri"/>
        <family val="2"/>
        <scheme val="minor"/>
      </rPr>
      <t xml:space="preserve"> - Susanville Indian Rancheria
</t>
    </r>
    <r>
      <rPr>
        <b/>
        <sz val="11"/>
        <color theme="1"/>
        <rFont val="Calibri"/>
        <family val="2"/>
        <scheme val="minor"/>
      </rPr>
      <t>SwinomishIndianTribalCommunity</t>
    </r>
    <r>
      <rPr>
        <sz val="11"/>
        <color theme="1"/>
        <rFont val="Calibri"/>
        <family val="2"/>
        <scheme val="minor"/>
      </rPr>
      <t xml:space="preserve"> - Swinomish Indian Tribal Community
</t>
    </r>
    <r>
      <rPr>
        <b/>
        <sz val="11"/>
        <color theme="1"/>
        <rFont val="Calibri"/>
        <family val="2"/>
        <scheme val="minor"/>
      </rPr>
      <t>SycuanBandoftheKumeyaayNation</t>
    </r>
    <r>
      <rPr>
        <sz val="11"/>
        <color theme="1"/>
        <rFont val="Calibri"/>
        <family val="2"/>
        <scheme val="minor"/>
      </rPr>
      <t xml:space="preserve"> - Sycuan Band of the Kumeyaay Nation (formerly the Sycuan Band of Diegueno Mission Indians of California)
</t>
    </r>
    <r>
      <rPr>
        <b/>
        <sz val="11"/>
        <color theme="1"/>
        <rFont val="Calibri"/>
        <family val="2"/>
        <scheme val="minor"/>
      </rPr>
      <t>TableMountainRancheriaofCalifornia</t>
    </r>
    <r>
      <rPr>
        <sz val="11"/>
        <color theme="1"/>
        <rFont val="Calibri"/>
        <family val="2"/>
        <scheme val="minor"/>
      </rPr>
      <t xml:space="preserve"> - Table Mountain Rancheria of California
</t>
    </r>
    <r>
      <rPr>
        <b/>
        <sz val="11"/>
        <color theme="1"/>
        <rFont val="Calibri"/>
        <family val="2"/>
        <scheme val="minor"/>
      </rPr>
      <t>TakotnaVillage</t>
    </r>
    <r>
      <rPr>
        <sz val="11"/>
        <color theme="1"/>
        <rFont val="Calibri"/>
        <family val="2"/>
        <scheme val="minor"/>
      </rPr>
      <t xml:space="preserve"> - Takotna Village
</t>
    </r>
    <r>
      <rPr>
        <b/>
        <sz val="11"/>
        <color theme="1"/>
        <rFont val="Calibri"/>
        <family val="2"/>
        <scheme val="minor"/>
      </rPr>
      <t>TangirnaqNativeVillage</t>
    </r>
    <r>
      <rPr>
        <sz val="11"/>
        <color theme="1"/>
        <rFont val="Calibri"/>
        <family val="2"/>
        <scheme val="minor"/>
      </rPr>
      <t xml:space="preserve"> - Tangirnaq Native Village (formerly Lesnoi Village)
</t>
    </r>
    <r>
      <rPr>
        <b/>
        <sz val="11"/>
        <color theme="1"/>
        <rFont val="Calibri"/>
        <family val="2"/>
        <scheme val="minor"/>
      </rPr>
      <t>TeMoakTribeofWesternShoshone</t>
    </r>
    <r>
      <rPr>
        <sz val="11"/>
        <color theme="1"/>
        <rFont val="Calibri"/>
        <family val="2"/>
        <scheme val="minor"/>
      </rPr>
      <t xml:space="preserve"> - Te-Moak Tribe of Western Shoshone Indians of Nevada (Four constituent bands: Battle Mountain Band; Elko Band; South Fork Band; Wells Band)
</t>
    </r>
    <r>
      <rPr>
        <b/>
        <sz val="11"/>
        <color theme="1"/>
        <rFont val="Calibri"/>
        <family val="2"/>
        <scheme val="minor"/>
      </rPr>
      <t>TejonIndianTribe</t>
    </r>
    <r>
      <rPr>
        <sz val="11"/>
        <color theme="1"/>
        <rFont val="Calibri"/>
        <family val="2"/>
        <scheme val="minor"/>
      </rPr>
      <t xml:space="preserve"> - Tejon Indian Tribe
</t>
    </r>
    <r>
      <rPr>
        <b/>
        <sz val="11"/>
        <color theme="1"/>
        <rFont val="Calibri"/>
        <family val="2"/>
        <scheme val="minor"/>
      </rPr>
      <t>TelidaVillage</t>
    </r>
    <r>
      <rPr>
        <sz val="11"/>
        <color theme="1"/>
        <rFont val="Calibri"/>
        <family val="2"/>
        <scheme val="minor"/>
      </rPr>
      <t xml:space="preserve"> - Telida Village
</t>
    </r>
    <r>
      <rPr>
        <b/>
        <sz val="11"/>
        <color theme="1"/>
        <rFont val="Calibri"/>
        <family val="2"/>
        <scheme val="minor"/>
      </rPr>
      <t>TheChickasawNation</t>
    </r>
    <r>
      <rPr>
        <sz val="11"/>
        <color theme="1"/>
        <rFont val="Calibri"/>
        <family val="2"/>
        <scheme val="minor"/>
      </rPr>
      <t xml:space="preserve"> - The Chickasaw Nation
</t>
    </r>
    <r>
      <rPr>
        <b/>
        <sz val="11"/>
        <color theme="1"/>
        <rFont val="Calibri"/>
        <family val="2"/>
        <scheme val="minor"/>
      </rPr>
      <t>TheChoctawNationofOklahoma</t>
    </r>
    <r>
      <rPr>
        <sz val="11"/>
        <color theme="1"/>
        <rFont val="Calibri"/>
        <family val="2"/>
        <scheme val="minor"/>
      </rPr>
      <t xml:space="preserve"> - The Choctaw Nation of Oklahoma
</t>
    </r>
    <r>
      <rPr>
        <b/>
        <sz val="11"/>
        <color theme="1"/>
        <rFont val="Calibri"/>
        <family val="2"/>
        <scheme val="minor"/>
      </rPr>
      <t>TheOsageNation</t>
    </r>
    <r>
      <rPr>
        <sz val="11"/>
        <color theme="1"/>
        <rFont val="Calibri"/>
        <family val="2"/>
        <scheme val="minor"/>
      </rPr>
      <t xml:space="preserve"> - The Osage Nation
</t>
    </r>
    <r>
      <rPr>
        <b/>
        <sz val="11"/>
        <color theme="1"/>
        <rFont val="Calibri"/>
        <family val="2"/>
        <scheme val="minor"/>
      </rPr>
      <t>ThlopthloccoTribalTown</t>
    </r>
    <r>
      <rPr>
        <sz val="11"/>
        <color theme="1"/>
        <rFont val="Calibri"/>
        <family val="2"/>
        <scheme val="minor"/>
      </rPr>
      <t xml:space="preserve"> - Thlopthlocco Tribal Town
</t>
    </r>
    <r>
      <rPr>
        <b/>
        <sz val="11"/>
        <color theme="1"/>
        <rFont val="Calibri"/>
        <family val="2"/>
        <scheme val="minor"/>
      </rPr>
      <t>ThreeAffiliatedFortBerthold</t>
    </r>
    <r>
      <rPr>
        <sz val="11"/>
        <color theme="1"/>
        <rFont val="Calibri"/>
        <family val="2"/>
        <scheme val="minor"/>
      </rPr>
      <t xml:space="preserve"> - Three Affiliated Tribes of the Fort Berthold Reservation
</t>
    </r>
    <r>
      <rPr>
        <b/>
        <sz val="11"/>
        <color theme="1"/>
        <rFont val="Calibri"/>
        <family val="2"/>
        <scheme val="minor"/>
      </rPr>
      <t>TohonoOodhamNationofArizona</t>
    </r>
    <r>
      <rPr>
        <sz val="11"/>
        <color theme="1"/>
        <rFont val="Calibri"/>
        <family val="2"/>
        <scheme val="minor"/>
      </rPr>
      <t xml:space="preserve"> - Tohono O’odham Nation of Arizona
</t>
    </r>
    <r>
      <rPr>
        <b/>
        <sz val="11"/>
        <color theme="1"/>
        <rFont val="Calibri"/>
        <family val="2"/>
        <scheme val="minor"/>
      </rPr>
      <t>TonawandaBandofSeneca</t>
    </r>
    <r>
      <rPr>
        <sz val="11"/>
        <color theme="1"/>
        <rFont val="Calibri"/>
        <family val="2"/>
        <scheme val="minor"/>
      </rPr>
      <t>- Tonawanda Band of Seneca </t>
    </r>
  </si>
  <si>
    <r>
      <t>Tonkawa</t>
    </r>
    <r>
      <rPr>
        <sz val="11"/>
        <color theme="1"/>
        <rFont val="Calibri"/>
        <family val="2"/>
        <scheme val="minor"/>
      </rPr>
      <t xml:space="preserve"> - Tonkawa Tribe of Indians of Oklahoma
</t>
    </r>
    <r>
      <rPr>
        <b/>
        <sz val="11"/>
        <color theme="1"/>
        <rFont val="Calibri"/>
        <family val="2"/>
        <scheme val="minor"/>
      </rPr>
      <t>TontoApacheTribeofArizona</t>
    </r>
    <r>
      <rPr>
        <sz val="11"/>
        <color theme="1"/>
        <rFont val="Calibri"/>
        <family val="2"/>
        <scheme val="minor"/>
      </rPr>
      <t xml:space="preserve"> - Tonto Apache Tribe of Arizona
</t>
    </r>
    <r>
      <rPr>
        <b/>
        <sz val="11"/>
        <color theme="1"/>
        <rFont val="Calibri"/>
        <family val="2"/>
        <scheme val="minor"/>
      </rPr>
      <t>TorresMartinezDesertCahuilla</t>
    </r>
    <r>
      <rPr>
        <sz val="11"/>
        <color theme="1"/>
        <rFont val="Calibri"/>
        <family val="2"/>
        <scheme val="minor"/>
      </rPr>
      <t xml:space="preserve"> - Torres-Martinez Desert Cahuilla Indians 
</t>
    </r>
    <r>
      <rPr>
        <b/>
        <sz val="11"/>
        <color theme="1"/>
        <rFont val="Calibri"/>
        <family val="2"/>
        <scheme val="minor"/>
      </rPr>
      <t>TraditionalVillageofTogiak</t>
    </r>
    <r>
      <rPr>
        <sz val="11"/>
        <color theme="1"/>
        <rFont val="Calibri"/>
        <family val="2"/>
        <scheme val="minor"/>
      </rPr>
      <t xml:space="preserve"> - Traditional Village of Togiak
</t>
    </r>
    <r>
      <rPr>
        <b/>
        <sz val="11"/>
        <color theme="1"/>
        <rFont val="Calibri"/>
        <family val="2"/>
        <scheme val="minor"/>
      </rPr>
      <t>TulalipTribesofWashington</t>
    </r>
    <r>
      <rPr>
        <sz val="11"/>
        <color theme="1"/>
        <rFont val="Calibri"/>
        <family val="2"/>
        <scheme val="minor"/>
      </rPr>
      <t xml:space="preserve"> - Tulalip Tribes of Washington
</t>
    </r>
    <r>
      <rPr>
        <b/>
        <sz val="11"/>
        <color theme="1"/>
        <rFont val="Calibri"/>
        <family val="2"/>
        <scheme val="minor"/>
      </rPr>
      <t>TuleRiverIndianTuleRiver</t>
    </r>
    <r>
      <rPr>
        <sz val="11"/>
        <color theme="1"/>
        <rFont val="Calibri"/>
        <family val="2"/>
        <scheme val="minor"/>
      </rPr>
      <t xml:space="preserve"> - Tule River Indian Tribe of the Tule River Reservation
</t>
    </r>
    <r>
      <rPr>
        <b/>
        <sz val="11"/>
        <color theme="1"/>
        <rFont val="Calibri"/>
        <family val="2"/>
        <scheme val="minor"/>
      </rPr>
      <t>TuluksakNativeCommunity</t>
    </r>
    <r>
      <rPr>
        <sz val="11"/>
        <color theme="1"/>
        <rFont val="Calibri"/>
        <family val="2"/>
        <scheme val="minor"/>
      </rPr>
      <t xml:space="preserve"> - Tuluksak Native Community
</t>
    </r>
    <r>
      <rPr>
        <b/>
        <sz val="11"/>
        <color theme="1"/>
        <rFont val="Calibri"/>
        <family val="2"/>
        <scheme val="minor"/>
      </rPr>
      <t>TunicaBiloxiIndianTribeofLouisiana</t>
    </r>
    <r>
      <rPr>
        <sz val="11"/>
        <color theme="1"/>
        <rFont val="Calibri"/>
        <family val="2"/>
        <scheme val="minor"/>
      </rPr>
      <t xml:space="preserve"> - Tunica-Biloxi Indian Tribe of Louisiana
</t>
    </r>
    <r>
      <rPr>
        <b/>
        <sz val="11"/>
        <color theme="1"/>
        <rFont val="Calibri"/>
        <family val="2"/>
        <scheme val="minor"/>
      </rPr>
      <t>TuolumneBandofMeWuk</t>
    </r>
    <r>
      <rPr>
        <sz val="11"/>
        <color theme="1"/>
        <rFont val="Calibri"/>
        <family val="2"/>
        <scheme val="minor"/>
      </rPr>
      <t xml:space="preserve"> - Tuolumne Band of Me-Wuk Indians of the Tuolumne Rancheria of California
</t>
    </r>
    <r>
      <rPr>
        <b/>
        <sz val="11"/>
        <color theme="1"/>
        <rFont val="Calibri"/>
        <family val="2"/>
        <scheme val="minor"/>
      </rPr>
      <t>TurtleMountainBandofChippewa</t>
    </r>
    <r>
      <rPr>
        <sz val="11"/>
        <color theme="1"/>
        <rFont val="Calibri"/>
        <family val="2"/>
        <scheme val="minor"/>
      </rPr>
      <t xml:space="preserve"> - Turtle Mountain Band of Chippewa Indians of North Dakota
</t>
    </r>
    <r>
      <rPr>
        <b/>
        <sz val="11"/>
        <color theme="1"/>
        <rFont val="Calibri"/>
        <family val="2"/>
        <scheme val="minor"/>
      </rPr>
      <t>TuscaroraNationofNewYork</t>
    </r>
    <r>
      <rPr>
        <sz val="11"/>
        <color theme="1"/>
        <rFont val="Calibri"/>
        <family val="2"/>
        <scheme val="minor"/>
      </rPr>
      <t xml:space="preserve"> - Tuscarora Nation of New York
</t>
    </r>
    <r>
      <rPr>
        <b/>
        <sz val="11"/>
        <color theme="1"/>
        <rFont val="Calibri"/>
        <family val="2"/>
        <scheme val="minor"/>
      </rPr>
      <t>TwentyNinePalmsBandofMission</t>
    </r>
    <r>
      <rPr>
        <sz val="11"/>
        <color theme="1"/>
        <rFont val="Calibri"/>
        <family val="2"/>
        <scheme val="minor"/>
      </rPr>
      <t xml:space="preserve"> - Twenty-Nine Palms Band of Mission Indians of California
</t>
    </r>
    <r>
      <rPr>
        <b/>
        <sz val="11"/>
        <color theme="1"/>
        <rFont val="Calibri"/>
        <family val="2"/>
        <scheme val="minor"/>
      </rPr>
      <t>TwinHillsVillage</t>
    </r>
    <r>
      <rPr>
        <sz val="11"/>
        <color theme="1"/>
        <rFont val="Calibri"/>
        <family val="2"/>
        <scheme val="minor"/>
      </rPr>
      <t xml:space="preserve"> - Twin Hills Village
</t>
    </r>
    <r>
      <rPr>
        <b/>
        <sz val="11"/>
        <color theme="1"/>
        <rFont val="Calibri"/>
        <family val="2"/>
        <scheme val="minor"/>
      </rPr>
      <t>UgashikVillage</t>
    </r>
    <r>
      <rPr>
        <sz val="11"/>
        <color theme="1"/>
        <rFont val="Calibri"/>
        <family val="2"/>
        <scheme val="minor"/>
      </rPr>
      <t xml:space="preserve"> - Ugashik Village
</t>
    </r>
    <r>
      <rPr>
        <b/>
        <sz val="11"/>
        <color theme="1"/>
        <rFont val="Calibri"/>
        <family val="2"/>
        <scheme val="minor"/>
      </rPr>
      <t>UmkumiuteNativeVillage</t>
    </r>
    <r>
      <rPr>
        <sz val="11"/>
        <color theme="1"/>
        <rFont val="Calibri"/>
        <family val="2"/>
        <scheme val="minor"/>
      </rPr>
      <t xml:space="preserve"> - Umkumiute Native Village
</t>
    </r>
    <r>
      <rPr>
        <b/>
        <sz val="11"/>
        <color theme="1"/>
        <rFont val="Calibri"/>
        <family val="2"/>
        <scheme val="minor"/>
      </rPr>
      <t>UnitedAuburnIndianCommunityoftheAuburnRancheria</t>
    </r>
    <r>
      <rPr>
        <sz val="11"/>
        <color theme="1"/>
        <rFont val="Calibri"/>
        <family val="2"/>
        <scheme val="minor"/>
      </rPr>
      <t xml:space="preserve"> - United Auburn Indian Community of the Auburn Rancheria of California
</t>
    </r>
    <r>
      <rPr>
        <b/>
        <sz val="11"/>
        <color theme="1"/>
        <rFont val="Calibri"/>
        <family val="2"/>
        <scheme val="minor"/>
      </rPr>
      <t>UnitedKeetoowahBandofCherokeeinOklahoma</t>
    </r>
    <r>
      <rPr>
        <sz val="11"/>
        <color theme="1"/>
        <rFont val="Calibri"/>
        <family val="2"/>
        <scheme val="minor"/>
      </rPr>
      <t xml:space="preserve"> - United Keetoowah Band of Cherokee Indians in Oklahoma
</t>
    </r>
    <r>
      <rPr>
        <b/>
        <sz val="11"/>
        <color theme="1"/>
        <rFont val="Calibri"/>
        <family val="2"/>
        <scheme val="minor"/>
      </rPr>
      <t>UpperLakeBandofPomo</t>
    </r>
    <r>
      <rPr>
        <sz val="11"/>
        <color theme="1"/>
        <rFont val="Calibri"/>
        <family val="2"/>
        <scheme val="minor"/>
      </rPr>
      <t xml:space="preserve"> - Upper Lake Band of Pomo Indians
</t>
    </r>
    <r>
      <rPr>
        <b/>
        <sz val="11"/>
        <color theme="1"/>
        <rFont val="Calibri"/>
        <family val="2"/>
        <scheme val="minor"/>
      </rPr>
      <t>UpperSiouxCommunity</t>
    </r>
    <r>
      <rPr>
        <sz val="11"/>
        <color theme="1"/>
        <rFont val="Calibri"/>
        <family val="2"/>
        <scheme val="minor"/>
      </rPr>
      <t xml:space="preserve"> - Upper Sioux Community
</t>
    </r>
    <r>
      <rPr>
        <b/>
        <sz val="11"/>
        <color theme="1"/>
        <rFont val="Calibri"/>
        <family val="2"/>
        <scheme val="minor"/>
      </rPr>
      <t>UpperSkagitIndianTribeofWashington</t>
    </r>
    <r>
      <rPr>
        <sz val="11"/>
        <color theme="1"/>
        <rFont val="Calibri"/>
        <family val="2"/>
        <scheme val="minor"/>
      </rPr>
      <t xml:space="preserve"> - Upper Skagit Indian Tribe of Washington
</t>
    </r>
    <r>
      <rPr>
        <b/>
        <sz val="11"/>
        <color theme="1"/>
        <rFont val="Calibri"/>
        <family val="2"/>
        <scheme val="minor"/>
      </rPr>
      <t>UteIndianUintahandOuray</t>
    </r>
    <r>
      <rPr>
        <sz val="11"/>
        <color theme="1"/>
        <rFont val="Calibri"/>
        <family val="2"/>
        <scheme val="minor"/>
      </rPr>
      <t xml:space="preserve"> - Ute Indian Tribe of the Uintah and Ouray Reservation
</t>
    </r>
    <r>
      <rPr>
        <b/>
        <sz val="11"/>
        <color theme="1"/>
        <rFont val="Calibri"/>
        <family val="2"/>
        <scheme val="minor"/>
      </rPr>
      <t>UteMountainUteMountain</t>
    </r>
    <r>
      <rPr>
        <sz val="11"/>
        <color theme="1"/>
        <rFont val="Calibri"/>
        <family val="2"/>
        <scheme val="minor"/>
      </rPr>
      <t xml:space="preserve"> - Ute Mountain Tribe of the Ute Mountain Reservation (Colorado, New Mexico and Utah)
</t>
    </r>
    <r>
      <rPr>
        <b/>
        <sz val="11"/>
        <color theme="1"/>
        <rFont val="Calibri"/>
        <family val="2"/>
        <scheme val="minor"/>
      </rPr>
      <t>UteMountainUteTribe</t>
    </r>
    <r>
      <rPr>
        <sz val="11"/>
        <color theme="1"/>
        <rFont val="Calibri"/>
        <family val="2"/>
        <scheme val="minor"/>
      </rPr>
      <t xml:space="preserve"> - Ute Mountain Ute Tribe (Colorado, New Mexico and Utah)
</t>
    </r>
    <r>
      <rPr>
        <b/>
        <sz val="11"/>
        <color theme="1"/>
        <rFont val="Calibri"/>
        <family val="2"/>
        <scheme val="minor"/>
      </rPr>
      <t>UtuUtuGwaituPaiuteBentonPaiute</t>
    </r>
    <r>
      <rPr>
        <sz val="11"/>
        <color theme="1"/>
        <rFont val="Calibri"/>
        <family val="2"/>
        <scheme val="minor"/>
      </rPr>
      <t xml:space="preserve"> - Utu Utu Gwaitu Paiute Tribe of the Benton Paiute Reservation
</t>
    </r>
    <r>
      <rPr>
        <b/>
        <sz val="11"/>
        <color theme="1"/>
        <rFont val="Calibri"/>
        <family val="2"/>
        <scheme val="minor"/>
      </rPr>
      <t>VillageofAlakanuk</t>
    </r>
    <r>
      <rPr>
        <sz val="11"/>
        <color theme="1"/>
        <rFont val="Calibri"/>
        <family val="2"/>
        <scheme val="minor"/>
      </rPr>
      <t xml:space="preserve"> - Village of Alakanuk
</t>
    </r>
    <r>
      <rPr>
        <b/>
        <sz val="11"/>
        <color theme="1"/>
        <rFont val="Calibri"/>
        <family val="2"/>
        <scheme val="minor"/>
      </rPr>
      <t>VillageofAnaktuvukPass</t>
    </r>
    <r>
      <rPr>
        <sz val="11"/>
        <color theme="1"/>
        <rFont val="Calibri"/>
        <family val="2"/>
        <scheme val="minor"/>
      </rPr>
      <t xml:space="preserve"> - Village of Anaktuvuk Pass
</t>
    </r>
    <r>
      <rPr>
        <b/>
        <sz val="11"/>
        <color theme="1"/>
        <rFont val="Calibri"/>
        <family val="2"/>
        <scheme val="minor"/>
      </rPr>
      <t>VillageofAniak</t>
    </r>
    <r>
      <rPr>
        <sz val="11"/>
        <color theme="1"/>
        <rFont val="Calibri"/>
        <family val="2"/>
        <scheme val="minor"/>
      </rPr>
      <t xml:space="preserve"> - Village of Aniak
</t>
    </r>
    <r>
      <rPr>
        <b/>
        <sz val="11"/>
        <color theme="1"/>
        <rFont val="Calibri"/>
        <family val="2"/>
        <scheme val="minor"/>
      </rPr>
      <t>VillageofAtmautluak</t>
    </r>
    <r>
      <rPr>
        <sz val="11"/>
        <color theme="1"/>
        <rFont val="Calibri"/>
        <family val="2"/>
        <scheme val="minor"/>
      </rPr>
      <t xml:space="preserve"> - Village of Atmautluak
</t>
    </r>
    <r>
      <rPr>
        <b/>
        <sz val="11"/>
        <color theme="1"/>
        <rFont val="Calibri"/>
        <family val="2"/>
        <scheme val="minor"/>
      </rPr>
      <t>VillageofBillMooresSlough</t>
    </r>
    <r>
      <rPr>
        <sz val="11"/>
        <color theme="1"/>
        <rFont val="Calibri"/>
        <family val="2"/>
        <scheme val="minor"/>
      </rPr>
      <t xml:space="preserve"> - Village of Bill Moore's Slough
</t>
    </r>
    <r>
      <rPr>
        <b/>
        <sz val="11"/>
        <color theme="1"/>
        <rFont val="Calibri"/>
        <family val="2"/>
        <scheme val="minor"/>
      </rPr>
      <t>VillageofChefornak</t>
    </r>
    <r>
      <rPr>
        <sz val="11"/>
        <color theme="1"/>
        <rFont val="Calibri"/>
        <family val="2"/>
        <scheme val="minor"/>
      </rPr>
      <t xml:space="preserve"> - Village of Chefornak
</t>
    </r>
    <r>
      <rPr>
        <b/>
        <sz val="11"/>
        <color theme="1"/>
        <rFont val="Calibri"/>
        <family val="2"/>
        <scheme val="minor"/>
      </rPr>
      <t>VillageofClarksPoint</t>
    </r>
    <r>
      <rPr>
        <sz val="11"/>
        <color theme="1"/>
        <rFont val="Calibri"/>
        <family val="2"/>
        <scheme val="minor"/>
      </rPr>
      <t xml:space="preserve"> - Village of Clarks Point
</t>
    </r>
    <r>
      <rPr>
        <b/>
        <sz val="11"/>
        <color theme="1"/>
        <rFont val="Calibri"/>
        <family val="2"/>
        <scheme val="minor"/>
      </rPr>
      <t>VillageofCrookedCreek</t>
    </r>
    <r>
      <rPr>
        <sz val="11"/>
        <color theme="1"/>
        <rFont val="Calibri"/>
        <family val="2"/>
        <scheme val="minor"/>
      </rPr>
      <t xml:space="preserve"> - Village of Crooked Creek
</t>
    </r>
    <r>
      <rPr>
        <b/>
        <sz val="11"/>
        <color theme="1"/>
        <rFont val="Calibri"/>
        <family val="2"/>
        <scheme val="minor"/>
      </rPr>
      <t>VillageofDotLake</t>
    </r>
    <r>
      <rPr>
        <sz val="11"/>
        <color theme="1"/>
        <rFont val="Calibri"/>
        <family val="2"/>
        <scheme val="minor"/>
      </rPr>
      <t xml:space="preserve"> - Village of Dot Lake
</t>
    </r>
    <r>
      <rPr>
        <b/>
        <sz val="11"/>
        <color theme="1"/>
        <rFont val="Calibri"/>
        <family val="2"/>
        <scheme val="minor"/>
      </rPr>
      <t>VillageofIliamna</t>
    </r>
    <r>
      <rPr>
        <sz val="11"/>
        <color theme="1"/>
        <rFont val="Calibri"/>
        <family val="2"/>
        <scheme val="minor"/>
      </rPr>
      <t xml:space="preserve"> - Village of Iliamna
</t>
    </r>
    <r>
      <rPr>
        <b/>
        <sz val="11"/>
        <color theme="1"/>
        <rFont val="Calibri"/>
        <family val="2"/>
        <scheme val="minor"/>
      </rPr>
      <t>VillageofKalskag</t>
    </r>
    <r>
      <rPr>
        <sz val="11"/>
        <color theme="1"/>
        <rFont val="Calibri"/>
        <family val="2"/>
        <scheme val="minor"/>
      </rPr>
      <t xml:space="preserve"> - Village of Kalskag
</t>
    </r>
    <r>
      <rPr>
        <b/>
        <sz val="11"/>
        <color theme="1"/>
        <rFont val="Calibri"/>
        <family val="2"/>
        <scheme val="minor"/>
      </rPr>
      <t>VillageofKaltag</t>
    </r>
    <r>
      <rPr>
        <sz val="11"/>
        <color theme="1"/>
        <rFont val="Calibri"/>
        <family val="2"/>
        <scheme val="minor"/>
      </rPr>
      <t xml:space="preserve"> - Village of Kaltag
</t>
    </r>
    <r>
      <rPr>
        <b/>
        <sz val="11"/>
        <color theme="1"/>
        <rFont val="Calibri"/>
        <family val="2"/>
        <scheme val="minor"/>
      </rPr>
      <t>VillageofKotlik</t>
    </r>
    <r>
      <rPr>
        <sz val="11"/>
        <color theme="1"/>
        <rFont val="Calibri"/>
        <family val="2"/>
        <scheme val="minor"/>
      </rPr>
      <t xml:space="preserve"> - Village of Kotlik
</t>
    </r>
    <r>
      <rPr>
        <b/>
        <sz val="11"/>
        <color theme="1"/>
        <rFont val="Calibri"/>
        <family val="2"/>
        <scheme val="minor"/>
      </rPr>
      <t>VillageofLowerKalskag</t>
    </r>
    <r>
      <rPr>
        <sz val="11"/>
        <color theme="1"/>
        <rFont val="Calibri"/>
        <family val="2"/>
        <scheme val="minor"/>
      </rPr>
      <t xml:space="preserve"> - Village of Lower Kalskag
</t>
    </r>
    <r>
      <rPr>
        <b/>
        <sz val="11"/>
        <color theme="1"/>
        <rFont val="Calibri"/>
        <family val="2"/>
        <scheme val="minor"/>
      </rPr>
      <t>VillageofOhogamiut</t>
    </r>
    <r>
      <rPr>
        <sz val="11"/>
        <color theme="1"/>
        <rFont val="Calibri"/>
        <family val="2"/>
        <scheme val="minor"/>
      </rPr>
      <t xml:space="preserve"> - Village of Ohogamiut
</t>
    </r>
    <r>
      <rPr>
        <b/>
        <sz val="11"/>
        <color theme="1"/>
        <rFont val="Calibri"/>
        <family val="2"/>
        <scheme val="minor"/>
      </rPr>
      <t>VillageofOldHarbor</t>
    </r>
    <r>
      <rPr>
        <sz val="11"/>
        <color theme="1"/>
        <rFont val="Calibri"/>
        <family val="2"/>
        <scheme val="minor"/>
      </rPr>
      <t xml:space="preserve"> - Village of Old Harbor
</t>
    </r>
    <r>
      <rPr>
        <b/>
        <sz val="11"/>
        <color theme="1"/>
        <rFont val="Calibri"/>
        <family val="2"/>
        <scheme val="minor"/>
      </rPr>
      <t>VillageofRedDevil</t>
    </r>
    <r>
      <rPr>
        <sz val="11"/>
        <color theme="1"/>
        <rFont val="Calibri"/>
        <family val="2"/>
        <scheme val="minor"/>
      </rPr>
      <t xml:space="preserve"> - Village of Red Devil
</t>
    </r>
    <r>
      <rPr>
        <b/>
        <sz val="11"/>
        <color theme="1"/>
        <rFont val="Calibri"/>
        <family val="2"/>
        <scheme val="minor"/>
      </rPr>
      <t>VillageofSalamat</t>
    </r>
    <r>
      <rPr>
        <sz val="11"/>
        <color theme="1"/>
        <rFont val="Calibri"/>
        <family val="2"/>
        <scheme val="minor"/>
      </rPr>
      <t xml:space="preserve"> - Village of Salamatoff
</t>
    </r>
    <r>
      <rPr>
        <b/>
        <sz val="11"/>
        <color theme="1"/>
        <rFont val="Calibri"/>
        <family val="2"/>
        <scheme val="minor"/>
      </rPr>
      <t>VillageofSleetmute</t>
    </r>
    <r>
      <rPr>
        <sz val="11"/>
        <color theme="1"/>
        <rFont val="Calibri"/>
        <family val="2"/>
        <scheme val="minor"/>
      </rPr>
      <t xml:space="preserve"> - Village of Sleetmute
</t>
    </r>
    <r>
      <rPr>
        <b/>
        <sz val="11"/>
        <color theme="1"/>
        <rFont val="Calibri"/>
        <family val="2"/>
        <scheme val="minor"/>
      </rPr>
      <t>VillageofSolomon</t>
    </r>
    <r>
      <rPr>
        <sz val="11"/>
        <color theme="1"/>
        <rFont val="Calibri"/>
        <family val="2"/>
        <scheme val="minor"/>
      </rPr>
      <t xml:space="preserve"> - Village of Solomon
</t>
    </r>
    <r>
      <rPr>
        <b/>
        <sz val="11"/>
        <color theme="1"/>
        <rFont val="Calibri"/>
        <family val="2"/>
        <scheme val="minor"/>
      </rPr>
      <t>VillageofStonyRiver</t>
    </r>
    <r>
      <rPr>
        <sz val="11"/>
        <color theme="1"/>
        <rFont val="Calibri"/>
        <family val="2"/>
        <scheme val="minor"/>
      </rPr>
      <t xml:space="preserve"> - Village of Stony River
</t>
    </r>
    <r>
      <rPr>
        <b/>
        <sz val="11"/>
        <color theme="1"/>
        <rFont val="Calibri"/>
        <family val="2"/>
        <scheme val="minor"/>
      </rPr>
      <t>VillageofVenetie</t>
    </r>
    <r>
      <rPr>
        <sz val="11"/>
        <color theme="1"/>
        <rFont val="Calibri"/>
        <family val="2"/>
        <scheme val="minor"/>
      </rPr>
      <t xml:space="preserve"> - Village of Venetie (See Native Village of Venetie Tribal Government)
</t>
    </r>
    <r>
      <rPr>
        <b/>
        <sz val="11"/>
        <color theme="1"/>
        <rFont val="Calibri"/>
        <family val="2"/>
        <scheme val="minor"/>
      </rPr>
      <t>VillageofWainwright</t>
    </r>
    <r>
      <rPr>
        <sz val="11"/>
        <color theme="1"/>
        <rFont val="Calibri"/>
        <family val="2"/>
        <scheme val="minor"/>
      </rPr>
      <t xml:space="preserve"> - Village of Wainwright
</t>
    </r>
    <r>
      <rPr>
        <b/>
        <sz val="11"/>
        <color theme="1"/>
        <rFont val="Calibri"/>
        <family val="2"/>
        <scheme val="minor"/>
      </rPr>
      <t>WalkerRiverPaiuteWalkerRiver</t>
    </r>
    <r>
      <rPr>
        <sz val="11"/>
        <color theme="1"/>
        <rFont val="Calibri"/>
        <family val="2"/>
        <scheme val="minor"/>
      </rPr>
      <t xml:space="preserve"> - Walker River Paiute Tribe of the Walker River Reservation
</t>
    </r>
    <r>
      <rPr>
        <b/>
        <sz val="11"/>
        <color theme="1"/>
        <rFont val="Calibri"/>
        <family val="2"/>
        <scheme val="minor"/>
      </rPr>
      <t>WampanoagTribeofGayHead</t>
    </r>
    <r>
      <rPr>
        <sz val="11"/>
        <color theme="1"/>
        <rFont val="Calibri"/>
        <family val="2"/>
        <scheme val="minor"/>
      </rPr>
      <t xml:space="preserve"> - Wampanoag Tribe of Gay Head (Aquinnah) of Massachusetts
</t>
    </r>
    <r>
      <rPr>
        <b/>
        <sz val="11"/>
        <color theme="1"/>
        <rFont val="Calibri"/>
        <family val="2"/>
        <scheme val="minor"/>
      </rPr>
      <t>WashoeTribeCaliforniaandNevada</t>
    </r>
    <r>
      <rPr>
        <sz val="11"/>
        <color theme="1"/>
        <rFont val="Calibri"/>
        <family val="2"/>
        <scheme val="minor"/>
      </rPr>
      <t xml:space="preserve"> - Washoe Tribe (Carson Colony, Dresslerville Colony, Woodfords Community, Stewart Community and Washoe Ranches) (California and Nevada)
</t>
    </r>
    <r>
      <rPr>
        <b/>
        <sz val="11"/>
        <color theme="1"/>
        <rFont val="Calibri"/>
        <family val="2"/>
        <scheme val="minor"/>
      </rPr>
      <t>WashoeTribeNevadaandCalifornia</t>
    </r>
    <r>
      <rPr>
        <sz val="11"/>
        <color theme="1"/>
        <rFont val="Calibri"/>
        <family val="2"/>
        <scheme val="minor"/>
      </rPr>
      <t xml:space="preserve"> - Washoe Tribe (Nevada and California) (Carson Colony, Dresslerville Colony, Woodfords Community, Stewart Community and Washoe Ranches)
</t>
    </r>
    <r>
      <rPr>
        <b/>
        <sz val="11"/>
        <color theme="1"/>
        <rFont val="Calibri"/>
        <family val="2"/>
        <scheme val="minor"/>
      </rPr>
      <t>WhiteMountainApacheFortApache</t>
    </r>
    <r>
      <rPr>
        <sz val="11"/>
        <color theme="1"/>
        <rFont val="Calibri"/>
        <family val="2"/>
        <scheme val="minor"/>
      </rPr>
      <t xml:space="preserve"> - White Mountain Apache Tribe of the Fort Apache Reservation
</t>
    </r>
    <r>
      <rPr>
        <b/>
        <sz val="11"/>
        <color theme="1"/>
        <rFont val="Calibri"/>
        <family val="2"/>
        <scheme val="minor"/>
      </rPr>
      <t>WichitaandAffiliatedTribes</t>
    </r>
    <r>
      <rPr>
        <sz val="11"/>
        <color theme="1"/>
        <rFont val="Calibri"/>
        <family val="2"/>
        <scheme val="minor"/>
      </rPr>
      <t xml:space="preserve"> - Wichita and Affiliated Tribes (Wichita, Keechi, Waco and Tawakonie)
</t>
    </r>
    <r>
      <rPr>
        <b/>
        <sz val="11"/>
        <color theme="1"/>
        <rFont val="Calibri"/>
        <family val="2"/>
        <scheme val="minor"/>
      </rPr>
      <t>WiltonRancheria</t>
    </r>
    <r>
      <rPr>
        <sz val="11"/>
        <color theme="1"/>
        <rFont val="Calibri"/>
        <family val="2"/>
        <scheme val="minor"/>
      </rPr>
      <t xml:space="preserve"> - Wilton Rancheria
</t>
    </r>
    <r>
      <rPr>
        <b/>
        <sz val="11"/>
        <color theme="1"/>
        <rFont val="Calibri"/>
        <family val="2"/>
        <scheme val="minor"/>
      </rPr>
      <t>WinnebagoTribeofNebraska</t>
    </r>
    <r>
      <rPr>
        <sz val="11"/>
        <color theme="1"/>
        <rFont val="Calibri"/>
        <family val="2"/>
        <scheme val="minor"/>
      </rPr>
      <t xml:space="preserve"> - Winnebago Tribe of Nebraska
</t>
    </r>
    <r>
      <rPr>
        <b/>
        <sz val="11"/>
        <color theme="1"/>
        <rFont val="Calibri"/>
        <family val="2"/>
        <scheme val="minor"/>
      </rPr>
      <t>WinnemuccaIndianColonyofNevada</t>
    </r>
    <r>
      <rPr>
        <sz val="11"/>
        <color theme="1"/>
        <rFont val="Calibri"/>
        <family val="2"/>
        <scheme val="minor"/>
      </rPr>
      <t xml:space="preserve"> - Winnemucca Indian Colony of Nevada
</t>
    </r>
    <r>
      <rPr>
        <b/>
        <sz val="11"/>
        <color theme="1"/>
        <rFont val="Calibri"/>
        <family val="2"/>
        <scheme val="minor"/>
      </rPr>
      <t>WiyotTribe</t>
    </r>
    <r>
      <rPr>
        <sz val="11"/>
        <color theme="1"/>
        <rFont val="Calibri"/>
        <family val="2"/>
        <scheme val="minor"/>
      </rPr>
      <t>- Wiyot Tribe (formerly the Table Bluff Reservation-Wiyot Tribe)</t>
    </r>
  </si>
  <si>
    <r>
      <t>WrangellCooperativeAssociation</t>
    </r>
    <r>
      <rPr>
        <sz val="11"/>
        <color theme="1"/>
        <rFont val="Calibri"/>
        <family val="2"/>
        <scheme val="minor"/>
      </rPr>
      <t xml:space="preserve"> - Wrangell Cooperative Association
</t>
    </r>
    <r>
      <rPr>
        <b/>
        <sz val="11"/>
        <color theme="1"/>
        <rFont val="Calibri"/>
        <family val="2"/>
        <scheme val="minor"/>
      </rPr>
      <t>WyandotteNation</t>
    </r>
    <r>
      <rPr>
        <sz val="11"/>
        <color theme="1"/>
        <rFont val="Calibri"/>
        <family val="2"/>
        <scheme val="minor"/>
      </rPr>
      <t xml:space="preserve"> - Wyandotte Nation
</t>
    </r>
    <r>
      <rPr>
        <b/>
        <sz val="11"/>
        <color theme="1"/>
        <rFont val="Calibri"/>
        <family val="2"/>
        <scheme val="minor"/>
      </rPr>
      <t>YakutatTlingitTribe</t>
    </r>
    <r>
      <rPr>
        <sz val="11"/>
        <color theme="1"/>
        <rFont val="Calibri"/>
        <family val="2"/>
        <scheme val="minor"/>
      </rPr>
      <t xml:space="preserve"> - Yakutat Tlingit Tribe
</t>
    </r>
    <r>
      <rPr>
        <b/>
        <sz val="11"/>
        <color theme="1"/>
        <rFont val="Calibri"/>
        <family val="2"/>
        <scheme val="minor"/>
      </rPr>
      <t>YanktonSiouxTribeofSouthDakota</t>
    </r>
    <r>
      <rPr>
        <sz val="11"/>
        <color theme="1"/>
        <rFont val="Calibri"/>
        <family val="2"/>
        <scheme val="minor"/>
      </rPr>
      <t xml:space="preserve"> - Yankton Sioux Tribe of South Dakota
</t>
    </r>
    <r>
      <rPr>
        <b/>
        <sz val="11"/>
        <color theme="1"/>
        <rFont val="Calibri"/>
        <family val="2"/>
        <scheme val="minor"/>
      </rPr>
      <t>YavapaiApacheNationoftheCampVerde</t>
    </r>
    <r>
      <rPr>
        <sz val="11"/>
        <color theme="1"/>
        <rFont val="Calibri"/>
        <family val="2"/>
        <scheme val="minor"/>
      </rPr>
      <t xml:space="preserve"> - Yavapai-Apache Nation of the Camp Verde Indian Reservation
</t>
    </r>
    <r>
      <rPr>
        <b/>
        <sz val="11"/>
        <color theme="1"/>
        <rFont val="Calibri"/>
        <family val="2"/>
        <scheme val="minor"/>
      </rPr>
      <t>YavapaiPrescottIndianTribe</t>
    </r>
    <r>
      <rPr>
        <sz val="11"/>
        <color theme="1"/>
        <rFont val="Calibri"/>
        <family val="2"/>
        <scheme val="minor"/>
      </rPr>
      <t xml:space="preserve"> - Yavapai-Prescott Indian Tribe 
</t>
    </r>
    <r>
      <rPr>
        <b/>
        <sz val="11"/>
        <color theme="1"/>
        <rFont val="Calibri"/>
        <family val="2"/>
        <scheme val="minor"/>
      </rPr>
      <t>YeringtonPaiuteYeringtonColony&amp;CampbellRanch</t>
    </r>
    <r>
      <rPr>
        <sz val="11"/>
        <color theme="1"/>
        <rFont val="Calibri"/>
        <family val="2"/>
        <scheme val="minor"/>
      </rPr>
      <t xml:space="preserve"> - Yerington Paiute Tribe of the Yerington Colony &amp; Campbell Ranch
</t>
    </r>
    <r>
      <rPr>
        <b/>
        <sz val="11"/>
        <color theme="1"/>
        <rFont val="Calibri"/>
        <family val="2"/>
        <scheme val="minor"/>
      </rPr>
      <t>YochaDeheWintunNation</t>
    </r>
    <r>
      <rPr>
        <sz val="11"/>
        <color theme="1"/>
        <rFont val="Calibri"/>
        <family val="2"/>
        <scheme val="minor"/>
      </rPr>
      <t xml:space="preserve"> - Yocha Dehe Wintun Nation 
</t>
    </r>
    <r>
      <rPr>
        <b/>
        <sz val="11"/>
        <color theme="1"/>
        <rFont val="Calibri"/>
        <family val="2"/>
        <scheme val="minor"/>
      </rPr>
      <t>YombaShoshoneYomba</t>
    </r>
    <r>
      <rPr>
        <sz val="11"/>
        <color theme="1"/>
        <rFont val="Calibri"/>
        <family val="2"/>
        <scheme val="minor"/>
      </rPr>
      <t xml:space="preserve"> - Yomba Shoshone Tribe of the Yomba Reservation
</t>
    </r>
    <r>
      <rPr>
        <b/>
        <sz val="11"/>
        <color theme="1"/>
        <rFont val="Calibri"/>
        <family val="2"/>
        <scheme val="minor"/>
      </rPr>
      <t>YsletaDelSurPueblo</t>
    </r>
    <r>
      <rPr>
        <sz val="11"/>
        <color theme="1"/>
        <rFont val="Calibri"/>
        <family val="2"/>
        <scheme val="minor"/>
      </rPr>
      <t xml:space="preserve"> - Ysleta Del Sur Pueblo 
</t>
    </r>
    <r>
      <rPr>
        <b/>
        <sz val="11"/>
        <color theme="1"/>
        <rFont val="Calibri"/>
        <family val="2"/>
        <scheme val="minor"/>
      </rPr>
      <t>YupiitofAndreafski</t>
    </r>
    <r>
      <rPr>
        <sz val="11"/>
        <color theme="1"/>
        <rFont val="Calibri"/>
        <family val="2"/>
        <scheme val="minor"/>
      </rPr>
      <t xml:space="preserve"> - Yupiit of Andreafski
</t>
    </r>
    <r>
      <rPr>
        <b/>
        <sz val="11"/>
        <color theme="1"/>
        <rFont val="Calibri"/>
        <family val="2"/>
        <scheme val="minor"/>
      </rPr>
      <t>YurokYurok</t>
    </r>
    <r>
      <rPr>
        <sz val="11"/>
        <color theme="1"/>
        <rFont val="Calibri"/>
        <family val="2"/>
        <scheme val="minor"/>
      </rPr>
      <t xml:space="preserve"> - Yurok Tribe of the Yurok Reservation
</t>
    </r>
    <r>
      <rPr>
        <b/>
        <sz val="11"/>
        <color theme="1"/>
        <rFont val="Calibri"/>
        <family val="2"/>
        <scheme val="minor"/>
      </rPr>
      <t>ZuniZuni</t>
    </r>
    <r>
      <rPr>
        <sz val="11"/>
        <color theme="1"/>
        <rFont val="Calibri"/>
        <family val="2"/>
        <scheme val="minor"/>
      </rPr>
      <t xml:space="preserve"> - Zuni Tribe of the Zuni Reservation
</t>
    </r>
  </si>
  <si>
    <t>Early Learning</t>
  </si>
  <si>
    <t>EL Child</t>
  </si>
  <si>
    <t>Identity-&gt;Name</t>
  </si>
  <si>
    <t>No</t>
  </si>
  <si>
    <t>Identity-&gt;Other Name</t>
  </si>
  <si>
    <t>Identity-&gt;Identification</t>
  </si>
  <si>
    <t>Contact-&gt;Address</t>
  </si>
  <si>
    <t>Yes</t>
  </si>
  <si>
    <t>Contact-&gt;Telephone</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</si>
  <si>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</si>
  <si>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</si>
  <si>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</si>
  <si>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</si>
  <si>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</si>
  <si>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</si>
  <si>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</si>
  <si>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</si>
  <si>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</si>
  <si>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</si>
  <si>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</si>
  <si>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</si>
  <si>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</si>
  <si>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</si>
  <si>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Finance</t>
  </si>
  <si>
    <t>Services</t>
  </si>
  <si>
    <t>Services-&gt;Application</t>
  </si>
  <si>
    <t>Services-&gt;Service Partners</t>
  </si>
  <si>
    <t>Individualized Program</t>
  </si>
  <si>
    <t>Individualized Program-&gt;Learning Goal</t>
  </si>
  <si>
    <t>Individualized Program-&gt;Individualized Transition Plan</t>
  </si>
  <si>
    <t>Child Outcome Summary</t>
  </si>
  <si>
    <t>Program</t>
  </si>
  <si>
    <t>Disability</t>
  </si>
  <si>
    <t>Parent/Guardian</t>
  </si>
  <si>
    <t>Relationship</t>
  </si>
  <si>
    <t>Contact-&gt;Email</t>
  </si>
  <si>
    <t>Education</t>
  </si>
  <si>
    <t>Insurance</t>
  </si>
  <si>
    <t>EL Family</t>
  </si>
  <si>
    <t>Identification</t>
  </si>
  <si>
    <t>Family/Household Information</t>
  </si>
  <si>
    <t>EL Organization</t>
  </si>
  <si>
    <t>Contact</t>
  </si>
  <si>
    <t>Contact-&gt;Name</t>
  </si>
  <si>
    <t>Contact-&gt;Other Name</t>
  </si>
  <si>
    <t>Address</t>
  </si>
  <si>
    <t>Telephone</t>
  </si>
  <si>
    <t>Licensing</t>
  </si>
  <si>
    <t>Directory</t>
  </si>
  <si>
    <t>QRIS Rating</t>
  </si>
  <si>
    <t>Facility</t>
  </si>
  <si>
    <t>Monitoring</t>
  </si>
  <si>
    <t>Accreditation</t>
  </si>
  <si>
    <t>Policies</t>
  </si>
  <si>
    <t>Cultural and Linguistic Diversity</t>
  </si>
  <si>
    <t>Health Promotion</t>
  </si>
  <si>
    <t>Inclusion</t>
  </si>
  <si>
    <t>Organization Information</t>
  </si>
  <si>
    <t>Parental/Family Involvement</t>
  </si>
  <si>
    <t>Compensation</t>
  </si>
  <si>
    <t>Professional Development</t>
  </si>
  <si>
    <t>Site Level Characteristics</t>
  </si>
  <si>
    <t>Quality</t>
  </si>
  <si>
    <t>Service Partners</t>
  </si>
  <si>
    <t>EL Staff</t>
  </si>
  <si>
    <t>Employment</t>
  </si>
  <si>
    <t>Credential or License</t>
  </si>
  <si>
    <t>Professional Development-&gt;Instructor</t>
  </si>
  <si>
    <t>Professional Development Activity</t>
  </si>
  <si>
    <t>Professional Development Activity-&gt;Session</t>
  </si>
  <si>
    <t>Professional Development Activity-&gt;Session - Location</t>
  </si>
  <si>
    <t>EL Class/Group</t>
  </si>
  <si>
    <t>Early Learning Program</t>
  </si>
  <si>
    <t>K12</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</si>
  <si>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</si>
  <si>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</si>
  <si>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</si>
  <si>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</si>
  <si>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</si>
  <si>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</si>
  <si>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</si>
  <si>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</si>
  <si>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</si>
  <si>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</si>
  <si>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</si>
  <si>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</si>
  <si>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</si>
  <si>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</si>
  <si>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</si>
  <si>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Academic Record</t>
  </si>
  <si>
    <t>Academic Record-&gt;Achievement</t>
  </si>
  <si>
    <t>Academic Record-&gt;Activity</t>
  </si>
  <si>
    <t>Academic Record-&gt;Academic Award</t>
  </si>
  <si>
    <t>Attendance</t>
  </si>
  <si>
    <t>CTE</t>
  </si>
  <si>
    <t>Discipline</t>
  </si>
  <si>
    <t>Economically Disadvantaged</t>
  </si>
  <si>
    <t>Graduation Plan</t>
  </si>
  <si>
    <t>Graduation Plan-&gt;Subject Area</t>
  </si>
  <si>
    <t>Graduation Plan-&gt;Course</t>
  </si>
  <si>
    <t>Homeless</t>
  </si>
  <si>
    <t>Immigrant</t>
  </si>
  <si>
    <t>Limited English Proficiency</t>
  </si>
  <si>
    <t>Migrant</t>
  </si>
  <si>
    <t>Neglected or Delinquent</t>
  </si>
  <si>
    <t>IDEA</t>
  </si>
  <si>
    <t>Title I</t>
  </si>
  <si>
    <t>Learner Action</t>
  </si>
  <si>
    <t>K12 Staff</t>
  </si>
  <si>
    <t>Assignment</t>
  </si>
  <si>
    <t>K12 Course</t>
  </si>
  <si>
    <t>Course Section</t>
  </si>
  <si>
    <t>Course</t>
  </si>
  <si>
    <t>Enrollment-&gt;Student Course Section Mark</t>
  </si>
  <si>
    <t>Staff</t>
  </si>
  <si>
    <t>Teacher Student Data Link Exclusion</t>
  </si>
  <si>
    <t>Organization</t>
  </si>
  <si>
    <t>Incident</t>
  </si>
  <si>
    <t>Calendar</t>
  </si>
  <si>
    <t>Crisis</t>
  </si>
  <si>
    <t>Event</t>
  </si>
  <si>
    <t>Learning Resource</t>
  </si>
  <si>
    <t>Peer Rating</t>
  </si>
  <si>
    <t>Peer Rating System</t>
  </si>
  <si>
    <t>Learning Goal</t>
  </si>
  <si>
    <t>Achievement</t>
  </si>
  <si>
    <t>Postsecondary</t>
  </si>
  <si>
    <t>PS Institution</t>
  </si>
  <si>
    <t>IPEDS Reporting</t>
  </si>
  <si>
    <t>PS Student</t>
  </si>
  <si>
    <t>Application</t>
  </si>
  <si>
    <t>Financial Aid</t>
  </si>
  <si>
    <t>Institution Enrollment</t>
  </si>
  <si>
    <t>Institution Enrollment-&gt;Program</t>
  </si>
  <si>
    <t>Institution Enrollment-&gt;Prior Academic Award</t>
  </si>
  <si>
    <t>Term Enrollment</t>
  </si>
  <si>
    <t>Graduate Student</t>
  </si>
  <si>
    <t>Graduate Student-&gt;Thesis/Dissertation Advisor</t>
  </si>
  <si>
    <t>Assessment</t>
  </si>
  <si>
    <t>Teacher Education/Preparation</t>
  </si>
  <si>
    <t>K12 Transcript</t>
  </si>
  <si>
    <t>Program Participation</t>
  </si>
  <si>
    <t>PS Staff</t>
  </si>
  <si>
    <t>PS Applicant</t>
  </si>
  <si>
    <t>Career and Technical</t>
  </si>
  <si>
    <t>CTE Student</t>
  </si>
  <si>
    <t>Career Education Plan</t>
  </si>
  <si>
    <t>CTE Staff</t>
  </si>
  <si>
    <t>Adult Education</t>
  </si>
  <si>
    <t>AE Student</t>
  </si>
  <si>
    <t>AE Staff</t>
  </si>
  <si>
    <t>Certification</t>
  </si>
  <si>
    <t>Credential</t>
  </si>
  <si>
    <t>Experience</t>
  </si>
  <si>
    <t>AE Provider</t>
  </si>
  <si>
    <t>Workforce Program Participant</t>
  </si>
  <si>
    <t>Training Record</t>
  </si>
  <si>
    <t>Quarterly Employment Record</t>
  </si>
  <si>
    <t>Assessments</t>
  </si>
  <si>
    <t>Assessment Form</t>
  </si>
  <si>
    <t>Assessment Form Section</t>
  </si>
  <si>
    <t>Assessment Form Section-&gt;Assessment Item</t>
  </si>
  <si>
    <t>Assessment Form Subtest Assessment Item</t>
  </si>
  <si>
    <t>Assessment Session</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</si>
  <si>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</si>
  <si>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</si>
  <si>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</si>
  <si>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</si>
  <si>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</si>
  <si>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</si>
  <si>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</si>
  <si>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</si>
  <si>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</si>
  <si>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</si>
  <si>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</si>
  <si>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Result</t>
  </si>
  <si>
    <t>Scorer</t>
  </si>
  <si>
    <t>Assessment Registration</t>
  </si>
  <si>
    <t>Assessment Administration</t>
  </si>
  <si>
    <t>Assessment Personal Needs Profile</t>
  </si>
  <si>
    <t>Assessment Need Profile Content</t>
  </si>
  <si>
    <t>Assessment Need Profile Control</t>
  </si>
  <si>
    <t>Assessment Need Profile Display</t>
  </si>
  <si>
    <t>Assessment Need Screen Enhancement</t>
  </si>
  <si>
    <t>Assessment Participant Session</t>
  </si>
  <si>
    <t>Learning Standards</t>
  </si>
  <si>
    <t>Learning Standard Document</t>
  </si>
  <si>
    <t>Learning Resource Competency Alignment</t>
  </si>
  <si>
    <t>Learning Standard Item</t>
  </si>
  <si>
    <t>Learning Standard Item-&gt;Learning Standard Item Association</t>
  </si>
  <si>
    <t>Competency Set</t>
  </si>
  <si>
    <t>Learner Activity</t>
  </si>
  <si>
    <t>Assessment Performance Level</t>
  </si>
  <si>
    <t>Learning Standard Item Association</t>
  </si>
  <si>
    <t>Learning Resources</t>
  </si>
  <si>
    <t>Authentication and Authorization</t>
  </si>
  <si>
    <t>Authentication Identity Provider</t>
  </si>
  <si>
    <t>Authorization Application</t>
  </si>
  <si>
    <t>Domain</t>
  </si>
  <si>
    <t>Entity</t>
  </si>
  <si>
    <t>Category</t>
  </si>
  <si>
    <t>New Association</t>
  </si>
  <si>
    <t>Use Case / Connection</t>
  </si>
  <si>
    <t>Element Change Status</t>
  </si>
  <si>
    <t>Submit Comment</t>
  </si>
  <si>
    <t>Ed-Fi</t>
  </si>
  <si>
    <t>AcademicWeek--&gt;BeginDate</t>
  </si>
  <si>
    <t>The start date for the academic week.</t>
  </si>
  <si>
    <t>Link</t>
  </si>
  <si>
    <t>AcademicWeek--&gt;EndDate</t>
  </si>
  <si>
    <t>The end date for the academic week.</t>
  </si>
  <si>
    <t>AcademicWeek--&gt;WeekIdentifier</t>
  </si>
  <si>
    <t>The school label for the week.</t>
  </si>
  <si>
    <t>Account--&gt;AccountCodes</t>
  </si>
  <si>
    <t>The set of account codes defined for the education accounting system organized by account code type (e.g., fund, function, object, etc.) that map to the account.</t>
  </si>
  <si>
    <t>Account--&gt;AccountCodes--&gt;AccountCodeType</t>
  </si>
  <si>
    <t>The type of the account code (e.g., fund, function, object)</t>
  </si>
  <si>
    <t>Account--&gt;FiscalYear</t>
  </si>
  <si>
    <t>The financial accounting year.</t>
  </si>
  <si>
    <t>Actual--&gt;AmountToDate</t>
  </si>
  <si>
    <t>Current balance for the account.</t>
  </si>
  <si>
    <t>Actual--&gt;AsOfDate</t>
  </si>
  <si>
    <t>The date of the reported actual element.</t>
  </si>
  <si>
    <t>Assessment--&gt;ContentStandard--&gt;PublicationDate</t>
  </si>
  <si>
    <t>Assessment--&gt;ContentStandard--&gt;PublicationYear</t>
  </si>
  <si>
    <t>The year at which this content was first published.</t>
  </si>
  <si>
    <t>Assessment--&gt;Nomenclature</t>
  </si>
  <si>
    <t>Reflects the specific nomenclature used for Assessment.</t>
  </si>
  <si>
    <t>Assessment--&gt;RevisionDate</t>
  </si>
  <si>
    <t>AssessmentFamily--&gt;AssessmentFamilyIdentificationCode--&gt;ID</t>
  </si>
  <si>
    <t>A unique number or alphanumeric code assigned to an assessment by a school, school system, state or other agency or entity.</t>
  </si>
  <si>
    <t>AssessmentFamily--&gt;Nomenclature</t>
  </si>
  <si>
    <t>Reflects the specific nomenclature used for this level of AssessmentFamily.</t>
  </si>
  <si>
    <t>AssessmentFamily--&gt;RevisionDate</t>
  </si>
  <si>
    <t>The month, day, and year that the conceptual design for the assessment family was most recently revised substantially.</t>
  </si>
  <si>
    <t>AssessmentFamily--&gt;Version</t>
  </si>
  <si>
    <t>The version identifier for the assessment family.</t>
  </si>
  <si>
    <t>AssessmentItem--&gt;CorrectResponse</t>
  </si>
  <si>
    <t>The correct response for the assessment item.</t>
  </si>
  <si>
    <t>AssessmentItem--&gt;Nomenclature</t>
  </si>
  <si>
    <t>Reflects the specific nomenclature used for AssessmentItem.</t>
  </si>
  <si>
    <t>AttendanceEvent--&gt;EducationalEnvironment</t>
  </si>
  <si>
    <t>The setting in which a child receives education and related services. This attribute is only used if it differs from the Educational Environment of the section. This is only used in the AttendanceEvent if different from the associated Section.</t>
  </si>
  <si>
    <t>BellSchedule--&gt;BellScheduleName</t>
  </si>
  <si>
    <t>Name or title of the bell schedule.</t>
  </si>
  <si>
    <t>BellSchedule--&gt;MeetingTime--&gt;OfficialAttendancePeriod</t>
  </si>
  <si>
    <t>Indicator of whether this meeting time is used for official daily attendance.</t>
  </si>
  <si>
    <t>Budget--&gt;AsOfDate</t>
  </si>
  <si>
    <t>The date of the reported budget element.</t>
  </si>
  <si>
    <t>Cohort--&gt;AcademicSubject</t>
  </si>
  <si>
    <t>The academic subject associated with an academic intervention.</t>
  </si>
  <si>
    <t>Cohort--&gt;CohortScope</t>
  </si>
  <si>
    <t>The scope of cohort (e.g., school, district, classroom, etc.)</t>
  </si>
  <si>
    <t>Cohort--&gt;CohortType</t>
  </si>
  <si>
    <t>The type of cohort (e.g., academic intervention, classroom breakout)</t>
  </si>
  <si>
    <t>ContractedStaff--&gt;AmountToDate</t>
  </si>
  <si>
    <t>Current balance (amount paid to contractor) for account for the fiscal year.</t>
  </si>
  <si>
    <t>ContractedStaff--&gt;AsOfDate</t>
  </si>
  <si>
    <t>The date of the reported contracted staff element.</t>
  </si>
  <si>
    <t>Course--&gt;CompetencyLevels</t>
  </si>
  <si>
    <t>The competency levels defined to rate the student for the course.</t>
  </si>
  <si>
    <t>Course--&gt;DateCourseAdopted</t>
  </si>
  <si>
    <t>Date the course was adopted by the education agency.</t>
  </si>
  <si>
    <t>Course--&gt;MinimumAvailableCredit--&gt;Credit</t>
  </si>
  <si>
    <t>The value of credits or units of value awarded for the completion of a course</t>
  </si>
  <si>
    <t>Course--&gt;NumberOfParts</t>
  </si>
  <si>
    <t>The number of parts identified for a course.</t>
  </si>
  <si>
    <t>CourseOffering--&gt;InstructionalTimePlanned</t>
  </si>
  <si>
    <t>The plannned total number of clock minutes of instruction for this course offering. Generally, this should be at least as many minutes as is required for completion by the related state- or district-defined Course.</t>
  </si>
  <si>
    <t>CourseTranscript--&gt;MethodCreditEarned</t>
  </si>
  <si>
    <t>The method the credits were earned, for example: Classroom, Examination, Transfer</t>
  </si>
  <si>
    <t>EducationContent--&gt;AdditionalAuthorsIndicator</t>
  </si>
  <si>
    <t>Indicates whether there are additional un-named authors. In a research report, this is often marked by the abbreviation "et al".</t>
  </si>
  <si>
    <t>EducationContent--&gt;Cost</t>
  </si>
  <si>
    <t>An amount that has to be paid or spent to buy or obtain the education content.</t>
  </si>
  <si>
    <t>EducationContent--&gt;CostRate</t>
  </si>
  <si>
    <t>The rate by which the cost applies.</t>
  </si>
  <si>
    <t>EducationContent--&gt;LearningResourceMetadataURI</t>
  </si>
  <si>
    <t>The URI (typical a URL) pointing to the metadata entry in a LRMI metadata repository, which describes this content item.</t>
  </si>
  <si>
    <t>EducationContent--&gt;SexAppropriateness</t>
  </si>
  <si>
    <t>Sexes for which this education content is applicable. If omitted, considered generally applicable.</t>
  </si>
  <si>
    <t>EducationOrganization--&gt;AccountabilityRatings--&gt;Rating</t>
  </si>
  <si>
    <t>An accountability rating level, designation, or assessment.</t>
  </si>
  <si>
    <t>EducationOrganization--&gt;AccountabilityRatings--&gt;RatingDate</t>
  </si>
  <si>
    <t>The date the rating was awarded.</t>
  </si>
  <si>
    <t>EducationOrganization--&gt;AccountabilityRatings--&gt;RatingOrganization</t>
  </si>
  <si>
    <t>The organization that assessed the rating.</t>
  </si>
  <si>
    <t>EducationOrganization--&gt;AccountabilityRatings--&gt;RatingProgram</t>
  </si>
  <si>
    <t>The program associated with the accountability rating (e.g., NCLB, AEIS)</t>
  </si>
  <si>
    <t>EducationOrganization--&gt;AccountabilityRatings--&gt;RatingTitle</t>
  </si>
  <si>
    <t>The title of the rating (e.g., School Rating, Safety Score, etc.)</t>
  </si>
  <si>
    <t>EducationOrganization--&gt;Address--&gt;AddressLine</t>
  </si>
  <si>
    <t>Any number of address lines associated with an international address.</t>
  </si>
  <si>
    <t>EducationOrganization--&gt;Address--&gt;BeginDate</t>
  </si>
  <si>
    <t>The first date the address is valid. For physical addresses, the date the person moved to that address.</t>
  </si>
  <si>
    <t>EducationOrganization--&gt;Address--&gt;EndDate</t>
  </si>
  <si>
    <t>The last date the address is valid. For physical addresses, this would be the date the person moved from that address.</t>
  </si>
  <si>
    <t>EducationOrganizationInterventionPrescriptionAssociation--&gt;BeginDate</t>
  </si>
  <si>
    <t>The begin date of the period during which the InterventionPrescription is available.</t>
  </si>
  <si>
    <t>EducationOrganizationInterventionPrescriptionAssociation--&gt;EndDate</t>
  </si>
  <si>
    <t>The end date of the period during which the InterventionPrescription is available.</t>
  </si>
  <si>
    <t>EducationOrganizationNetwork--&gt;AccountabilityRatings--&gt;Rating</t>
  </si>
  <si>
    <t>EducationOrganizationNetwork--&gt;AccountabilityRatings--&gt;RatingDate</t>
  </si>
  <si>
    <t>EducationOrganizationNetwork--&gt;AccountabilityRatings--&gt;RatingOrganization</t>
  </si>
  <si>
    <t>EducationOrganizationNetwork--&gt;AccountabilityRatings--&gt;RatingProgram</t>
  </si>
  <si>
    <t>EducationOrganizationNetwork--&gt;AccountabilityRatings--&gt;RatingTitle</t>
  </si>
  <si>
    <t>EducationOrganizationNetwork--&gt;Address--&gt;AddressLine</t>
  </si>
  <si>
    <t>EducationOrganizationNetwork--&gt;NetworkPurpose</t>
  </si>
  <si>
    <t>The purpose(s) of the network, e.g. shared services, collective procurement, etc.</t>
  </si>
  <si>
    <t>EducationOrganizationNetworkAssociation--&gt;BeginDate</t>
  </si>
  <si>
    <t>The date on which the EdOrg joined this network.</t>
  </si>
  <si>
    <t>EducationOrganizationNetworkAssociation--&gt;EndDate</t>
  </si>
  <si>
    <t>The date on which the EdOrg left this network.</t>
  </si>
  <si>
    <t>EducationServiceCenter--&gt;AccountabilityRatings--&gt;Rating</t>
  </si>
  <si>
    <t>EducationServiceCenter--&gt;AccountabilityRatings--&gt;RatingDate</t>
  </si>
  <si>
    <t>EducationServiceCenter--&gt;AccountabilityRatings--&gt;RatingOrganization</t>
  </si>
  <si>
    <t>EducationServiceCenter--&gt;AccountabilityRatings--&gt;RatingProgram</t>
  </si>
  <si>
    <t>EducationServiceCenter--&gt;AccountabilityRatings--&gt;RatingTitle</t>
  </si>
  <si>
    <t>EducationServiceCenter--&gt;Address--&gt;AddressLine</t>
  </si>
  <si>
    <t>EducationServiceCenter--&gt;Address--&gt;BeginDate</t>
  </si>
  <si>
    <t>EducationServiceCenter--&gt;Address--&gt;EndDate</t>
  </si>
  <si>
    <t>FeederSchoolAssociation--&gt;BeginDate</t>
  </si>
  <si>
    <t>The month, day, and year of the first day of the feeder school association.</t>
  </si>
  <si>
    <t>FeederSchoolAssociation--&gt;EndDate</t>
  </si>
  <si>
    <t>The month, day, and year of the last day of the feeder school association.</t>
  </si>
  <si>
    <t>FeederSchoolAssociation--&gt;FeederRelationshipDescription</t>
  </si>
  <si>
    <t>Describes the relationship from the feeder school to the receiving school, for example by program emphasis, such as special education, language immersion, science or performing art.</t>
  </si>
  <si>
    <t>GradebookEntry--&gt;GradebookEntryTitle</t>
  </si>
  <si>
    <t>The type of the gradebook entry; for example, homework, assignment, quiz, unit test, oral presentation, etc.</t>
  </si>
  <si>
    <t>GradingPeriod--&gt;BeginDate</t>
  </si>
  <si>
    <t>Month, day, and year of the first day of the grading period.</t>
  </si>
  <si>
    <t>GradingPeriod--&gt;PeriodSequence</t>
  </si>
  <si>
    <t>The sequential order of this period relative to other periods.</t>
  </si>
  <si>
    <t>GraduationPlan--&gt;CreditsByCourse--&gt;Credits--&gt;Credit</t>
  </si>
  <si>
    <t>GraduationPlan--&gt;CreditsByCourse--&gt;GradeLevel</t>
  </si>
  <si>
    <t>The grade level when the student is planned to take the course.</t>
  </si>
  <si>
    <t>GraduationPlan--&gt;GraduationPlanType</t>
  </si>
  <si>
    <t>The type of academic plan the student is following for graduation: for example, Minimum, Recommended, Distinguished or Standard.</t>
  </si>
  <si>
    <t>Intervention--&gt;DeliveryMethod</t>
  </si>
  <si>
    <t>The way in which an intervention was implemented: individual, small group, whole class, or whole school.</t>
  </si>
  <si>
    <t>Intervention--&gt;Diagnosis</t>
  </si>
  <si>
    <t>Targeted purpose of the intervention (e.g., attendance issue, dropout risk).</t>
  </si>
  <si>
    <t>Intervention--&gt;GradeLevelAppropriateness</t>
  </si>
  <si>
    <t>Grade levels for the prescribed intervention-if omitted, considered generally applicable.</t>
  </si>
  <si>
    <t>Intervention--&gt;MeetingTime--&gt;OfficialAttendancePeriod</t>
  </si>
  <si>
    <t>Intervention--&gt;PopulationServed</t>
  </si>
  <si>
    <t>A subset of students that are the focus of the intervention.</t>
  </si>
  <si>
    <t>Intervention--&gt;SexAppropriateness</t>
  </si>
  <si>
    <t>Sexes for the intervention. If omitted, considered generally applicable.</t>
  </si>
  <si>
    <t>InterventionPrescription--&gt;DeliveryMethod</t>
  </si>
  <si>
    <t>InterventionPrescription--&gt;Diagnosis</t>
  </si>
  <si>
    <t>InterventionPrescription--&gt;GradeLevelAppropriateness</t>
  </si>
  <si>
    <t>InterventionPrescription--&gt;InterventionClass</t>
  </si>
  <si>
    <t>The way in which an intervention is used: curriculum, supplement, or practice.</t>
  </si>
  <si>
    <t>InterventionPrescription--&gt;PopulationServed</t>
  </si>
  <si>
    <t>InterventionPrescription--&gt;SexAppropriateness</t>
  </si>
  <si>
    <t>InterventionStudy--&gt;DeliveryMethod</t>
  </si>
  <si>
    <t>InterventionStudy--&gt;InterventionClass</t>
  </si>
  <si>
    <t>InterventionStudy--&gt;InterventionEffectiveness--&gt;Diagnosis</t>
  </si>
  <si>
    <t>Targeted purpose of the intervention (e.g., attendance issue, dropout risk) for which the effectiveness is measured.</t>
  </si>
  <si>
    <t>InterventionStudy--&gt;InterventionEffectiveness--&gt;ImprovementIndex</t>
  </si>
  <si>
    <t>Along a percentile distribution of students, the improvement index represents the change in an average student’s percentile rank that is considered to be due to the intervention.</t>
  </si>
  <si>
    <t>InterventionStudy--&gt;InterventionEffectiveness--&gt;PopulationServed</t>
  </si>
  <si>
    <t>Population for which effectiveness is measured.</t>
  </si>
  <si>
    <t>InterventionStudy--&gt;InterventionEffectiveness--&gt;Rating</t>
  </si>
  <si>
    <t>An intervention demonstrates effectiveness if the research has shown that the program caused an improvement in outcomes. Rating Values: positive effects, potentially positive effects, mixed effects, potentially negative effects, negative effects and no discernible effects.</t>
  </si>
  <si>
    <t>InterventionStudy--&gt;Participants</t>
  </si>
  <si>
    <t>The number of participants observed in the study.</t>
  </si>
  <si>
    <t>InterventionStudy--&gt;PopulationServed</t>
  </si>
  <si>
    <t>InterventionStudy--&gt;Sex</t>
  </si>
  <si>
    <t>Sexes participating in this study. If omitted, considered to be all.</t>
  </si>
  <si>
    <t>LearningObjective--&gt;AcademicSubject</t>
  </si>
  <si>
    <t>The description of the content or subject area (e.g., arts, mathematics, reading, stenography, or a foreign language) of an assessment.</t>
  </si>
  <si>
    <t>LearningObjective--&gt;ContentStandard--&gt;PublicationDate</t>
  </si>
  <si>
    <t>LearningObjective--&gt;ContentStandard--&gt;PublicationYear</t>
  </si>
  <si>
    <t>LearningObjective--&gt;LearningObjectiveId</t>
  </si>
  <si>
    <t>The Identifier for the specific learning objective in the context of a standard (e.g., 111.15.3.1.A)</t>
  </si>
  <si>
    <t>LearningObjective--&gt;Nomenclature</t>
  </si>
  <si>
    <t>Reflects the specific nomenclature used for the Learning Objective.</t>
  </si>
  <si>
    <t>LearningStandard--&gt;ContentStandard--&gt;PublicationDate</t>
  </si>
  <si>
    <t>LearningStandard--&gt;ContentStandard--&gt;PublicationYear</t>
  </si>
  <si>
    <t>LearningStandard--&gt;CourseTitle</t>
  </si>
  <si>
    <t>The official Course Title with which this learning standard is associated.</t>
  </si>
  <si>
    <t>LearningStandard--&gt;SubjectArea</t>
  </si>
  <si>
    <t>Subject area for the learning standard.</t>
  </si>
  <si>
    <t>LeaveEvent--&gt;EventDate</t>
  </si>
  <si>
    <t>Date for this leave event.</t>
  </si>
  <si>
    <t>LeaveEvent--&gt;HoursOnLeave</t>
  </si>
  <si>
    <t>The hours the staff was absent, if not the entire working day.</t>
  </si>
  <si>
    <t>LeaveEvent--&gt;LeaveEventReason</t>
  </si>
  <si>
    <t>Expanded reason for the staff leave.</t>
  </si>
  <si>
    <t>LeaveEvent--&gt;SubstituteAssigned</t>
  </si>
  <si>
    <t>Indicator of whether a substitute was assigned during the period of staff leave.</t>
  </si>
  <si>
    <t>LocalEducationAgency--&gt;AccountabilityRatings--&gt;RatingDate</t>
  </si>
  <si>
    <t>LocalEducationAgency--&gt;AccountabilityRatings--&gt;RatingOrganization</t>
  </si>
  <si>
    <t>LocalEducationAgency--&gt;Address--&gt;AddressLine</t>
  </si>
  <si>
    <t>LocalEducationAgency--&gt;Address--&gt;BeginDate</t>
  </si>
  <si>
    <t>LocalEducationAgency--&gt;Address--&gt;EndDate</t>
  </si>
  <si>
    <t>LocalEducationAgency--&gt;LocalEducationAgencyFederalFunds--&gt;FiscalYear</t>
  </si>
  <si>
    <t>The school year for which the accountability is reported.</t>
  </si>
  <si>
    <t>Location--&gt;MaximumNumberOfSeats</t>
  </si>
  <si>
    <t>The most number of seats the class can maintain.</t>
  </si>
  <si>
    <t>Location--&gt;OptimalNumberOfSeats</t>
  </si>
  <si>
    <t>The number of seats that is most favorable to the class.</t>
  </si>
  <si>
    <t>ObjectiveAssessment--&gt;Nomenclature</t>
  </si>
  <si>
    <t>Reflects the specific nomenclature used for this level of ObjectiveAssessment.</t>
  </si>
  <si>
    <t>ObjectiveAssessment--&gt;PercentOfAssessment</t>
  </si>
  <si>
    <t>The percent of the Assessment that tests this Objective.</t>
  </si>
  <si>
    <t>OpenStaffPosition--&gt;AcademicSubjects</t>
  </si>
  <si>
    <t>The teaching field required for the position, for example English/Language Arts, Reading, Mathematics, Science, Social Sciences, etc.</t>
  </si>
  <si>
    <t>OpenStaffPosition--&gt;DatePosted</t>
  </si>
  <si>
    <t>Date the open position was posted.</t>
  </si>
  <si>
    <t>OpenStaffPosition--&gt;DatePostingRemoved</t>
  </si>
  <si>
    <t>The date the posting was removed or filled.</t>
  </si>
  <si>
    <t>OpenStaffPosition--&gt;InstructionalGradeLevels</t>
  </si>
  <si>
    <t>The set of grade levels for which the position's assignment is responsible.</t>
  </si>
  <si>
    <t>OpenStaffPosition--&gt;PostingResult</t>
  </si>
  <si>
    <t>Indication of whether the position was filled or retired without filling.</t>
  </si>
  <si>
    <t>OpenStaffPosition--&gt;ProgramAssignment</t>
  </si>
  <si>
    <t>The name of the program for which the position will be assigned; for example: Regular education Title I-Academic Title I-Non-Academic Special Education Bilingual/English as a Second Language</t>
  </si>
  <si>
    <t>OpenStaffPosition--&gt;RequisitionNumber</t>
  </si>
  <si>
    <t>The number or identifier assigned to an open staff position, typically a requisition number assigned by Human Resources.</t>
  </si>
  <si>
    <t>Parent--&gt;Address--&gt;AddressLine</t>
  </si>
  <si>
    <t>Parent--&gt;Address--&gt;BeginDate</t>
  </si>
  <si>
    <t>Parent--&gt;Address--&gt;BuildingSiteNumber</t>
  </si>
  <si>
    <t>Parent--&gt;Address--&gt;EndDate</t>
  </si>
  <si>
    <t>Parent--&gt;LoginId</t>
  </si>
  <si>
    <t>The login ID for the user; used for security access control interface.</t>
  </si>
  <si>
    <t>Parent--&gt;Name--&gt;PersonalInformationVerification--&gt;DocumentExpirationDate</t>
  </si>
  <si>
    <t>The day when the document expires, if null then never expires.</t>
  </si>
  <si>
    <t>Parent--&gt;Name--&gt;PersonalInformationVerification--&gt;DocumentTitle</t>
  </si>
  <si>
    <t>The title of the document given by the issuer.</t>
  </si>
  <si>
    <t>Parent--&gt;Name--&gt;PersonalInformationVerification--&gt;IssuerCountry</t>
  </si>
  <si>
    <t>Country of origin of the document.</t>
  </si>
  <si>
    <t>Parent--&gt;Name--&gt;PersonalInformationVerification--&gt;IssuerDocumentIdentificationCode</t>
  </si>
  <si>
    <t>The unique identifier on the issuer's identification system.</t>
  </si>
  <si>
    <t>Parent--&gt;Name--&gt;PersonalInformationVerification--&gt;IssuerName</t>
  </si>
  <si>
    <t>Name of the entity or institution that issued the document.</t>
  </si>
  <si>
    <t>Parent--&gt;ParentUniqueStateId</t>
  </si>
  <si>
    <t>A unique number or alphanumeric code assigned to a person.</t>
  </si>
  <si>
    <t>Parent--&gt;PersonUniqueStateId</t>
  </si>
  <si>
    <t>Payroll--&gt;AsOfDate</t>
  </si>
  <si>
    <t>The date of the reported payroll element.</t>
  </si>
  <si>
    <t>PostSecondaryEvent--&gt;PostSecondaryInstitution--&gt;InstructionalCategory</t>
  </si>
  <si>
    <t>The categories in which an institution serves the students.</t>
  </si>
  <si>
    <t>Program--&gt;ProgramCharacteristic</t>
  </si>
  <si>
    <t>Reflects important characteristics of the Program, such as categories or particular indications.</t>
  </si>
  <si>
    <t>Program--&gt;Services</t>
  </si>
  <si>
    <t>Defines the services this program provides to students.</t>
  </si>
  <si>
    <t>Program--&gt;Services--&gt;ServiceCategory</t>
  </si>
  <si>
    <t>A classification of the behavior for reporting types.</t>
  </si>
  <si>
    <t>ReportCard--&gt;NumberOfDaysTardy</t>
  </si>
  <si>
    <t>The number of days an individual is tardy during a given reporting period.</t>
  </si>
  <si>
    <t>RestraintEvent--&gt;EducationalEnvironment</t>
  </si>
  <si>
    <t>The setting where the restraint was exercised.</t>
  </si>
  <si>
    <t>RestraintEvent--&gt;RestraintEventReasons--&gt;RestraintEventReason</t>
  </si>
  <si>
    <t>The categorization of the circumstances or reason for the restraint.</t>
  </si>
  <si>
    <t>School--&gt;AccountabilityRatings--&gt;RatingDate</t>
  </si>
  <si>
    <t>School--&gt;AccountabilityRatings--&gt;RatingOrganization</t>
  </si>
  <si>
    <t>School--&gt;Address--&gt;AddressLine</t>
  </si>
  <si>
    <t>School--&gt;Address--&gt;BeginDate</t>
  </si>
  <si>
    <t>School--&gt;Address--&gt;EndDate</t>
  </si>
  <si>
    <t>Section--&gt;SectionCharacteristics</t>
  </si>
  <si>
    <t>Reflects important characteristics of the Section, such as whether or not attendance is taken and the Section is graded.</t>
  </si>
  <si>
    <t>Staff--&gt;Address--&gt;AddressLine</t>
  </si>
  <si>
    <t>Staff--&gt;Address--&gt;BeginDate</t>
  </si>
  <si>
    <t>Staff--&gt;Address--&gt;BuildingSiteNumber</t>
  </si>
  <si>
    <t>Staff--&gt;Address--&gt;EndDate</t>
  </si>
  <si>
    <t>Staff--&gt;Citizenship--&gt;ForeignCitizenshipDocumentation--&gt;DocumentExpirationDate</t>
  </si>
  <si>
    <t>Staff--&gt;Citizenship--&gt;ForeignCitizenshipDocumentation--&gt;DocumentTitle</t>
  </si>
  <si>
    <t>Staff--&gt;Citizenship--&gt;ForeignCitizenshipDocumentation--&gt;IssuerCountry</t>
  </si>
  <si>
    <t>Staff--&gt;Citizenship--&gt;ForeignCitizenshipDocumentation--&gt;IssuerDocumentIdentificationCode</t>
  </si>
  <si>
    <t>Staff--&gt;Citizenship--&gt;ForeignCitizenshipDocumentation--&gt;IssuerName</t>
  </si>
  <si>
    <t>Staff--&gt;Citizenship--&gt;USCitizenshipDocumentation--&gt;DocumentExpirationDate</t>
  </si>
  <si>
    <t>Staff--&gt;Citizenship--&gt;USCitizenshipDocumentation--&gt;DocumentTitle</t>
  </si>
  <si>
    <t>Staff--&gt;Citizenship--&gt;USCitizenshipDocumentation--&gt;IssuerCountry</t>
  </si>
  <si>
    <t>Staff--&gt;Citizenship--&gt;USCitizenshipDocumentation--&gt;IssuerDocumentIdentificationCode</t>
  </si>
  <si>
    <t>Staff--&gt;Citizenship--&gt;USCitizenshipDocumentation--&gt;IssuerName</t>
  </si>
  <si>
    <t>Staff--&gt;Credentials--&gt;CredentialField</t>
  </si>
  <si>
    <t>The field of certification for the certificate (e.g., Mathematics, Music)</t>
  </si>
  <si>
    <t>Staff--&gt;Credentials--&gt;Level</t>
  </si>
  <si>
    <t>The grade level(s) certified for teaching.</t>
  </si>
  <si>
    <t>Staff--&gt;LoginId</t>
  </si>
  <si>
    <t>Staff--&gt;Name--&gt;PersonalInformationVerification--&gt;DocumentExpirationDate</t>
  </si>
  <si>
    <t>Staff--&gt;Name--&gt;PersonalInformationVerification--&gt;DocumentTitle</t>
  </si>
  <si>
    <t>Staff--&gt;Name--&gt;PersonalInformationVerification--&gt;IssuerCountry</t>
  </si>
  <si>
    <t>Staff--&gt;Name--&gt;PersonalInformationVerification--&gt;IssuerDocumentIdentificationCode</t>
  </si>
  <si>
    <t>Staff--&gt;Name--&gt;PersonalInformationVerification--&gt;IssuerName</t>
  </si>
  <si>
    <t>Staff--&gt;PersonUniqueStateId</t>
  </si>
  <si>
    <t>StaffCohortAssociation--&gt;BeginDate</t>
  </si>
  <si>
    <t>The month, day, and year on which the student was first identified as part of the cohort.</t>
  </si>
  <si>
    <t>StaffCohortAssociation--&gt;EndDate</t>
  </si>
  <si>
    <t>End date for the association of staff to this cohort.</t>
  </si>
  <si>
    <t>StaffCohortAssociation--&gt;StudentRecordAccess</t>
  </si>
  <si>
    <t>Indicator of whether the staff has access to the student records of the cohort per district interpretation of FERPA and other privacy laws, regulations and policies.</t>
  </si>
  <si>
    <t>StaffEducationOrgEmploymentAssociation--&gt;Department</t>
  </si>
  <si>
    <t>The department or suborganization the employee/contractor is associated with in the Education Organization.</t>
  </si>
  <si>
    <t>StaffEducationOrgEmploymentAssociation--&gt;OfferDate</t>
  </si>
  <si>
    <t>Date at which the staff member was made an official offer for this employment.</t>
  </si>
  <si>
    <t>StaffProgramAssociation--&gt;BeginDate</t>
  </si>
  <si>
    <t>Start date for the association of staff to this cohort.</t>
  </si>
  <si>
    <t>StaffProgramAssociation--&gt;EndDate</t>
  </si>
  <si>
    <t>StaffProgramAssociation--&gt;StudentRecordAccess</t>
  </si>
  <si>
    <t>Indicator of whether the staff has access to the student records of the program per district interpretation of FERPA and other privacy laws, regulations and policies.</t>
  </si>
  <si>
    <t>StateEducationAgency--&gt;AccountabilityRatings--&gt;RatingDate</t>
  </si>
  <si>
    <t>StateEducationAgency--&gt;AccountabilityRatings--&gt;RatingOrganization</t>
  </si>
  <si>
    <t>StateEducationAgency--&gt;Address--&gt;AddressLine</t>
  </si>
  <si>
    <t>StateEducationAgency--&gt;Address--&gt;BeginDate</t>
  </si>
  <si>
    <t>StateEducationAgency--&gt;Address--&gt;EndDate</t>
  </si>
  <si>
    <t>StateEducationAgency--&gt;StateEducationAgencyFederalFunds--&gt;FiscalYear</t>
  </si>
  <si>
    <t>The fiscal year for which the federal funds are received.</t>
  </si>
  <si>
    <t>Student--&gt;Address--&gt;AddressLine</t>
  </si>
  <si>
    <t>Student--&gt;Address--&gt;BeginDate</t>
  </si>
  <si>
    <t>Student--&gt;Address--&gt;BuildingSiteNumber</t>
  </si>
  <si>
    <t>Student--&gt;Address--&gt;EndDate</t>
  </si>
  <si>
    <t>Student--&gt;Citizenship--&gt;ForeignCitizenshipDocumentation--&gt;DocumentExpirationDate</t>
  </si>
  <si>
    <t>Student--&gt;Citizenship--&gt;ForeignCitizenshipDocumentation--&gt;DocumentTitle</t>
  </si>
  <si>
    <t>Student--&gt;Citizenship--&gt;ForeignCitizenshipDocumentation--&gt;IssuerCountry</t>
  </si>
  <si>
    <t>Student--&gt;Citizenship--&gt;ForeignCitizenshipDocumentation--&gt;IssuerDocumentIdentificationCode</t>
  </si>
  <si>
    <t>Student--&gt;Citizenship--&gt;ForeignCitizenshipDocumentation--&gt;IssuerName</t>
  </si>
  <si>
    <t>Student--&gt;Citizenship--&gt;USCitizenshipDocumentation--&gt;DocumentExpirationDate</t>
  </si>
  <si>
    <t>Student--&gt;Citizenship--&gt;USCitizenshipDocumentation--&gt;DocumentTitle</t>
  </si>
  <si>
    <t>Student--&gt;Citizenship--&gt;USCitizenshipDocumentation--&gt;IssuerCountry</t>
  </si>
  <si>
    <t>Student--&gt;Citizenship--&gt;USCitizenshipDocumentation--&gt;IssuerDocumentIdentificationCode</t>
  </si>
  <si>
    <t>Student--&gt;Citizenship--&gt;USCitizenshipDocumentation--&gt;IssuerName</t>
  </si>
  <si>
    <t>Student--&gt;Disabilities--&gt;DisabilityDiagnosis</t>
  </si>
  <si>
    <t>A description of the disability diagnosis.</t>
  </si>
  <si>
    <t>Student--&gt;LearningStyles--&gt;AuditoryLearning</t>
  </si>
  <si>
    <t>The student's relative preference expressed as a percent to auditory learning.</t>
  </si>
  <si>
    <t>Student--&gt;LearningStyles--&gt;TactileLearning</t>
  </si>
  <si>
    <t>The student's relative preference expressed as a percent to kinesthetic or tactile learning.</t>
  </si>
  <si>
    <t>Student--&gt;LearningStyles--&gt;VisualLearning</t>
  </si>
  <si>
    <t>The student's relative preference expressed as a percent to visual learning.</t>
  </si>
  <si>
    <t>Student--&gt;LoginId</t>
  </si>
  <si>
    <t>Student--&gt;Name--&gt;MaidenName</t>
  </si>
  <si>
    <t>The person's maiden name.</t>
  </si>
  <si>
    <t>Student--&gt;Name--&gt;PersonalInformationVerification--&gt;DocumentExpirationDate</t>
  </si>
  <si>
    <t>Student--&gt;Name--&gt;PersonalInformationVerification--&gt;DocumentTitle</t>
  </si>
  <si>
    <t>Student--&gt;Name--&gt;PersonalInformationVerification--&gt;IssuerCountry</t>
  </si>
  <si>
    <t>Student--&gt;Name--&gt;PersonalInformationVerification--&gt;IssuerDocumentIdentificationCode</t>
  </si>
  <si>
    <t>Student--&gt;Name--&gt;PersonalInformationVerification--&gt;IssuerName</t>
  </si>
  <si>
    <t>Student--&gt;ProgramParticipations--&gt;DesignatedBy</t>
  </si>
  <si>
    <t>The person, organization, or department that designated the program association.</t>
  </si>
  <si>
    <t>Student--&gt;ProgramParticipations--&gt;ProgramCharacteristic</t>
  </si>
  <si>
    <t>Student--&gt;StudentCharacteristics--&gt;DesignatedBy</t>
  </si>
  <si>
    <t>The person, organization, or department that designated the characteristic.</t>
  </si>
  <si>
    <t>Student--&gt;StudentIndicators--&gt;BeginDate</t>
  </si>
  <si>
    <t>The date when the indicator was assigned or computed.</t>
  </si>
  <si>
    <t>Student--&gt;StudentIndicators--&gt;DesignatedBy</t>
  </si>
  <si>
    <t>Student--&gt;StudentIndicators--&gt;EndDate</t>
  </si>
  <si>
    <t>The date the indicator or metric was sunset or removed.</t>
  </si>
  <si>
    <t>Student--&gt;StudentIndicators--&gt;IndicatorGroup</t>
  </si>
  <si>
    <t>The name for a group of indicators.</t>
  </si>
  <si>
    <t>StudentAcademicRecord--&gt;AcademicHonors--&gt;AchievementCategory</t>
  </si>
  <si>
    <t>StudentAcademicRecord--&gt;ClassRanking--&gt;PercentageRanking</t>
  </si>
  <si>
    <t>The academic percentage rank of a student in relation to his or her graduating class (e.g., 95%, 80%, 50%).</t>
  </si>
  <si>
    <t>StudentAcademicRecord--&gt;Diploma--&gt;AchievementCategory</t>
  </si>
  <si>
    <t>StudentAcademicRecord--&gt;Diploma--&gt;AchievementCategorySystem</t>
  </si>
  <si>
    <t>StudentAcademicRecord--&gt;Diploma--&gt;IssuerName</t>
  </si>
  <si>
    <t>The name of the agent, entity or institution issuing the element.</t>
  </si>
  <si>
    <t>StudentAcademicRecord--&gt;Recognitions--&gt;AchievementCategory</t>
  </si>
  <si>
    <t>StudentAcademicRecord--&gt;Recognitions--&gt;AchievementCategorySystem</t>
  </si>
  <si>
    <t>StudentAcademicRecord--&gt;Recognitions--&gt;IssuerName</t>
  </si>
  <si>
    <t>StudentAcademicRecord--&gt;Recognitions--&gt;RecognitionAwardDate</t>
  </si>
  <si>
    <t>The date the recognition was awarded or earned.</t>
  </si>
  <si>
    <t>StudentAcademicRecord--&gt;Recognitions--&gt;RecognitionDescription</t>
  </si>
  <si>
    <t>A description of the type of academic distinctions earned by or awarded to the individual.</t>
  </si>
  <si>
    <t>StudentAcademicRecord--&gt;SessionCreditsAttempted--&gt;Credit</t>
  </si>
  <si>
    <t>StudentAcademicRecord--&gt;SessionGradePointsEarned</t>
  </si>
  <si>
    <t>The number of grade points an individual earned for this session.</t>
  </si>
  <si>
    <t>StudentCompetency--&gt;CompetencyLevel</t>
  </si>
  <si>
    <t>The competency level assessed for the student for the referenced learning objective.</t>
  </si>
  <si>
    <t>StudentCompetencyObjective--&gt;StudentCompetencyObjectiveId</t>
  </si>
  <si>
    <t>The Identifier for the student competency.</t>
  </si>
  <si>
    <t>StudentCTEProgramAssociation--&gt;CTEProgram--&gt;PrimaryCTEProgramIndicator</t>
  </si>
  <si>
    <t>A Boolean indicator of whether this CTE program, is the student’s primary CTE program.</t>
  </si>
  <si>
    <t>StudentCTEProgramAssociation--&gt;ServedOutsideOfRegularSession</t>
  </si>
  <si>
    <t>Indicates whether the student received services during the summer session or between sessions.</t>
  </si>
  <si>
    <t>StudentCTEProgramAssociation--&gt;Services</t>
  </si>
  <si>
    <t>Indicates the services being provided to the student by the program.</t>
  </si>
  <si>
    <t>StudentCTEProgramAssociation--&gt;Services--&gt;ServiceCategory</t>
  </si>
  <si>
    <t>StudentDisciplineIncidentAssociation--&gt;Behaviors--&gt;BehaviorDetailedDescription</t>
  </si>
  <si>
    <t>Specifies a more granular level of detail of a behavior involved in the incident.</t>
  </si>
  <si>
    <t>StudentGradebookEntry--&gt;CompetencyLevel</t>
  </si>
  <si>
    <t>StudentGradebookEntry--&gt;DateFulfilled</t>
  </si>
  <si>
    <t>The date an assignment was turned in or the date of an assessment.</t>
  </si>
  <si>
    <t>StudentInterventionAssociation--&gt;InterventionEffectiveness--&gt;Diagnosis</t>
  </si>
  <si>
    <t>StudentInterventionAssociation--&gt;InterventionEffectiveness--&gt;GradeLevel</t>
  </si>
  <si>
    <t>Grade level for which effectiveness is measured.</t>
  </si>
  <si>
    <t>StudentInterventionAssociation--&gt;InterventionEffectiveness--&gt;ImprovementIndex</t>
  </si>
  <si>
    <t>StudentInterventionAssociation--&gt;InterventionEffectiveness--&gt;PopulationServed</t>
  </si>
  <si>
    <t>StudentInterventionAssociation--&gt;InterventionEffectiveness--&gt;Rating</t>
  </si>
  <si>
    <t>StudentMigrantEducationProgramAssociation--&gt;Services</t>
  </si>
  <si>
    <t>StudentMigrantEducationProgramAssociation--&gt;Services--&gt;ServiceCategory</t>
  </si>
  <si>
    <t>StudentMigrantEducationProgramAssociation--&gt;USInitialEntry</t>
  </si>
  <si>
    <t>The month, day, and year on which the student first entered the US.</t>
  </si>
  <si>
    <t>StudentMigrantEducationProgramAssociation--&gt;USInitialSchoolEntry</t>
  </si>
  <si>
    <t>The month, day, and year on which the student first entered a US School.</t>
  </si>
  <si>
    <t>StudentMigrantEducationProgramAssociation--&gt;USMostRecentEntry</t>
  </si>
  <si>
    <t>The month, day, and year of the student's most recent entry into the US.</t>
  </si>
  <si>
    <t>StudentProgramAssociation--&gt;ServedOutsideOfRegularSession</t>
  </si>
  <si>
    <t>StudentProgramAssociation--&gt;Services</t>
  </si>
  <si>
    <t>StudentProgramAssociation--&gt;Services--&gt;ServiceCategory</t>
  </si>
  <si>
    <t>StudentSchoolAssociation--&gt;ResidencyStatus</t>
  </si>
  <si>
    <t>An indication of the location of a persons legal residence relative to (within or outside of) the boundaries of the public school attended and its administrative unit.</t>
  </si>
  <si>
    <t>StudentSpecialEdProgramAssociation--&gt;Services</t>
  </si>
  <si>
    <t>StudentSpecialEdProgramAssociation--&gt;Services--&gt;ServiceCategory</t>
  </si>
  <si>
    <t>StudentTitleIPartAProgramAssociation--&gt;ServedOutsideOfRegularSession</t>
  </si>
  <si>
    <t>StudentTitleIPartAProgramAssociation--&gt;Services</t>
  </si>
  <si>
    <t>StudentTitleIPartAProgramAssociation--&gt;Services--&gt;ServiceCategory</t>
  </si>
  <si>
    <t>Teacher--&gt;Address--&gt;AddressLine</t>
  </si>
  <si>
    <t>Teacher--&gt;Address--&gt;BeginDate</t>
  </si>
  <si>
    <t>Teacher--&gt;Address--&gt;EndDate</t>
  </si>
  <si>
    <t>Teacher--&gt;Citizenship--&gt;ForeignCitizenshipDocumentation--&gt;DocumentExpirationDate</t>
  </si>
  <si>
    <t>Teacher--&gt;Citizenship--&gt;ForeignCitizenshipDocumentation--&gt;DocumentTitle</t>
  </si>
  <si>
    <t>Teacher--&gt;Citizenship--&gt;ForeignCitizenshipDocumentation--&gt;IssuerCountry</t>
  </si>
  <si>
    <t>Teacher--&gt;Citizenship--&gt;ForeignCitizenshipDocumentation--&gt;IssuerDocumentIdentificationCode</t>
  </si>
  <si>
    <t>Teacher--&gt;Citizenship--&gt;ForeignCitizenshipDocumentation--&gt;IssuerName</t>
  </si>
  <si>
    <t>Teacher--&gt;Citizenship--&gt;USCitizenshipDocumentation--&gt;DocumentExpirationDate</t>
  </si>
  <si>
    <t>Teacher--&gt;Citizenship--&gt;USCitizenshipDocumentation--&gt;DocumentTitle</t>
  </si>
  <si>
    <t>Teacher--&gt;Citizenship--&gt;USCitizenshipDocumentation--&gt;IssuerCountry</t>
  </si>
  <si>
    <t>Teacher--&gt;Citizenship--&gt;USCitizenshipDocumentation--&gt;IssuerDocumentIdentificationCode</t>
  </si>
  <si>
    <t>Teacher--&gt;Citizenship--&gt;USCitizenshipDocumentation--&gt;IssuerName</t>
  </si>
  <si>
    <t>Teacher--&gt;Credentials--&gt;CredentialField</t>
  </si>
  <si>
    <t>Teacher--&gt;Credentials--&gt;Level</t>
  </si>
  <si>
    <t>Teacher--&gt;LoginId</t>
  </si>
  <si>
    <t>Teacher--&gt;Name--&gt;PersonalInformationVerification--&gt;DocumentExpirationDate</t>
  </si>
  <si>
    <t>Teacher--&gt;Name--&gt;PersonalInformationVerification--&gt;DocumentTitle</t>
  </si>
  <si>
    <t>Teacher--&gt;Name--&gt;PersonalInformationVerification--&gt;IssuerCountry</t>
  </si>
  <si>
    <t>Teacher--&gt;Name--&gt;PersonalInformationVerification--&gt;IssuerDocumentIdentificationCode</t>
  </si>
  <si>
    <t>Teacher--&gt;Name--&gt;PersonalInformationVerification--&gt;IssuerName</t>
  </si>
  <si>
    <t>Teacher--&gt;PersonUniqueStateId</t>
  </si>
  <si>
    <t>Teacher--&gt;TeacherUniqueStateId</t>
  </si>
  <si>
    <t>An ID number maintained by the state that uniquely identifies this teacher.</t>
  </si>
  <si>
    <t>Teacher--&gt;YearsOfPriorProfessionalExperience</t>
  </si>
  <si>
    <t>The total number of years that an individual has previously held a similar professional position in one or more education institutions.</t>
  </si>
  <si>
    <t>TeacherSchoolAssociation--&gt;AcademicSubjects</t>
  </si>
  <si>
    <t>The teaching field taught by an individual, for example English/Language Arts, Reading, Mathematics, Science, Social Sciences, etc.</t>
  </si>
  <si>
    <t>TeacherSchoolAssociation--&gt;InstructionalGradeLevels</t>
  </si>
  <si>
    <t>The set of grade levels for which the individual's assignment is responsible.</t>
  </si>
  <si>
    <t>TeacherSchoolAssociation--&gt;ProgramAssignment</t>
  </si>
  <si>
    <t>The name of the program for which the individual is assigned; for example: Regular education Title I-Academic Title I-Non-Academic Special Education Bilingual/English as a Second Language</t>
  </si>
  <si>
    <t>NCES Handbooks</t>
  </si>
  <si>
    <t>Access to Records Status</t>
  </si>
  <si>
    <t>An indicator as to whether this contact has access to the student''s records.</t>
  </si>
  <si>
    <t>ID</t>
  </si>
  <si>
    <t xml:space="preserve">Yes/No
   00002 - Yes
   00232 - No
</t>
  </si>
  <si>
    <t>Accountability Focus</t>
  </si>
  <si>
    <t>A description of the educational unit under evaluation for accountability.</t>
  </si>
  <si>
    <t>AN</t>
  </si>
  <si>
    <t xml:space="preserve">No Options
   00996 - No option list available
</t>
  </si>
  <si>
    <t>Accountability Interventions</t>
  </si>
  <si>
    <t>A description of the interventions as a result of the accountability results.</t>
  </si>
  <si>
    <t xml:space="preserve">Accountability Interventions
   00396 - Improvement planning
   00398 - Professional development
   00401 - Provide additional assistance to schools (e.g., Title I)
   00402 - Provide additional financial resources to low performing units
   00397 - Strategic planning
   09999 - Other
</t>
  </si>
  <si>
    <t>Accountability Report Producing Organization</t>
  </si>
  <si>
    <t>The name of the organization that produced the accountability report.</t>
  </si>
  <si>
    <t>Accountability Report Producing Organization Type</t>
  </si>
  <si>
    <t>The type of organization that produced the accountability report.</t>
  </si>
  <si>
    <t xml:space="preserve">Accountability Report Producing Organization Type
   00797 - Federal government
   00860 - State agency
   00214 - Regional or intermediate educational agency
   00862 - Local (e.g., school board, city council, municipal board)
   00675 - School
   00864 - Private/Religious
</t>
  </si>
  <si>
    <t>Accountability Rewards</t>
  </si>
  <si>
    <t>A description of the rewards as a result of the accountability results.</t>
  </si>
  <si>
    <t xml:space="preserve">Accountability Rewards
   02362 - Non-monetary awards to staff
   00404 - Monetary awards
   00405 - Exemption from regulations
   00406 - Accreditation
   00407 - Direct monetary awards to staff members
   00408 - Staff salary increases
   09999 - Other
</t>
  </si>
  <si>
    <t>Accountability Sanctions</t>
  </si>
  <si>
    <t>A description of the sanctions as a result of the accountability results.</t>
  </si>
  <si>
    <t xml:space="preserve">Accountability Sanctions
   00897 - Warning
   00898 - Probation or watch lists
   00899 - Monetary penalties to units
   00900 - Management change
   00901 - Accreditation change
   00903 - Dissolving the educational unit
   00904 - Staff dismissal
   00905 - Staff monetary penalties
   00908 - Loss of charter
   09999 - Other
</t>
  </si>
  <si>
    <t>Accreditation Status</t>
  </si>
  <si>
    <t>An indication as to whether the organization has been accredited by an outside accrediting agency. The accreditation process generally includes a review of an organization's educational program and staff for quality, and concludes with certification (or not) that the organization meets a minimal set of standards.</t>
  </si>
  <si>
    <t>Acquisition Date</t>
  </si>
  <si>
    <t>The date the property/facility was acquired.</t>
  </si>
  <si>
    <t>DT</t>
  </si>
  <si>
    <t>Activity Curriculum Type</t>
  </si>
  <si>
    <t>An indication of the degree that an activity is related to a student''s curriculum.</t>
  </si>
  <si>
    <t xml:space="preserve">Activity Type
   00750 - Co-curricular activity
   00751 - Extra-curricular Activity
</t>
  </si>
  <si>
    <t>The description of a particular co-curricular or extra-curricular activity in which the individual is involved.</t>
  </si>
  <si>
    <t>Activity Leadership/Coordinator Participation Level</t>
  </si>
  <si>
    <t>The individual''s level of leadership or coordinator involvement in the activity.</t>
  </si>
  <si>
    <t xml:space="preserve">Activity Leadership
   00666 - Student manager
   00671 - Officer
   00670 - President
   08689 - Vice president
   08690 - Treasurer 
   08691 - Captain 
   04845 - Secretary
   09999 - Other
</t>
  </si>
  <si>
    <t>Activity Level</t>
  </si>
  <si>
    <t>A description of the separation of level in the activity.</t>
  </si>
  <si>
    <t xml:space="preserve">Activity Level
   08681 - Varsity
   08682 - Junior Varsity
   08683 - Freshman
   08684 - Sophomore
   08685 - Junior
   08686 - Senior
   08687 - Intramural 
   08688 - Honors
   09999 - Other
</t>
  </si>
  <si>
    <t>Activity Time</t>
  </si>
  <si>
    <t>An indication of the time of day the activity takes place.</t>
  </si>
  <si>
    <t xml:space="preserve">Activity Time
   00736 - Before school hours
   00934 - After school hours
   00935 - During school hours
</t>
  </si>
  <si>
    <t>Activity Type</t>
  </si>
  <si>
    <t>The type of co-curricular or extra-curricular activity.</t>
  </si>
  <si>
    <t xml:space="preserve">Activity List
   00628 - Archery
   00629 - Badminton
   00630 - Baseball
   00631 - Basketball
   00633 - Bowling
   00634 - Boxing
   00667 - Cheerleading
   00635 - Crew
   00636 - Cross country
   00637 - Diving
   00639 - Fencing
   00638 - Field hockey
   08667 - Flag football
   00640 - Football
   00641 - Golf
   00642 - Gymnastics
   00644 - Ice hockey
   08668 - Judo
   00645 - Lacrosse
   00646 - Martial arts
   00647 - Polo
   08669 - Power lifting
   00648 - Racquetball
   00664 - Rodeo
   00649 - Rugby
   00650 - Sailing
   08670 - School spirit/Pep club
   00665 - Scuba diving
   00651 - Skiing
   00652 - Soccer
   00653 - Softball
   00655 - Squash
   00656 - Swimming
   00657 - Synchronized swimming
   00658 - Team handball
   00659 - Tennis
   00660 - Track and field
   00661 - Volleyball
   00662 - Water polo
   00663 - Wrestling
   00668 - Other sport
   00677 - Band
   00680 - Chorus
   00679 - Jazz ensemble
   00674 - Music - instrumental
   00676 - Music - theory and composition
   00673 - Music - vocal
   00678 - Orchestra
   00681 - Other music
   00684 - Dance
   00685 - Dance team
   00696 - Drama club
   00688 - Drill team
   00682 - Theater/drama
   00734 - Thespian Society
   00689 - Other performing arts
   00721 - 4 H
   00729 - Academic team/knowledge bowl
   00683 - Art and graphic design
   00700 - Art club
   08671 - Astronomy club
   00718 - Boy Scouts
   00691 - Broadcasting
   00713 - Business Professionals of America
   00722 - Chess club
   00701 - Computer club
   00707 - Distributive Education Clubs of America (DECA)
   08672 - Environmental club
   00705 - Family, Career and Community Leaders of America
   00694 - Family consumer science
   00724 - Fraternity
   00702 - Future Business Leaders of America - Phi Beta Lambda (FBLA - PBL)
   00703 - Future Teachers of America
   00719 - Girl Scouts
   00706 - Health Occupations Students of America
   01986 - Honor society
   00690 - Journalism
   00717 - Key Club
   00697 - Language club
   00693 - Literary magazine
   00726 - National Forensic League
   00704 - National Future Farmers of America (FFA)
   08673 - Newspaper
   08674 - Model United Nations
   00714 - Peer counseling
   08675 - Religious/Faith
   08676 - Red Cross
   00699 - Science club
   08677 - Service club
   00723 - Sorority
   00695 - Speech/debate
   08678 - Stock market club
   00716 - Students Against Destructive Decisions (SADD)
   08679 - Student Council/Government
   00708 - Technology Student Association (TSA)
   00715 - Tutoring
   00712 - Vocational Industrial Clubs of America
   00692 - Year book
   08680 - Young Democrats/Republicans/Other political
   09999 - Other
</t>
  </si>
  <si>
    <t>Actual Use Date</t>
  </si>
  <si>
    <t>The month, day, and year on which a benefit will be paid off in a lump-sum payment or distributed in installments to an individual.</t>
  </si>
  <si>
    <t>Addition Year</t>
  </si>
  <si>
    <t>The year the construction on the addition was completed.</t>
  </si>
  <si>
    <t>N</t>
  </si>
  <si>
    <t>Additional Compensation Type</t>
  </si>
  <si>
    <t>An indication of the category of income, wages, or benefits an individual receives as compensation for service in compliance with the employment agreement.</t>
  </si>
  <si>
    <t xml:space="preserve">Other Compensation Type
   01467 - Supplement pay/compensation
   01468 - Fringe benefit
   01469 - In-kind compensation
   09999 - Other
</t>
  </si>
  <si>
    <t>Additional Geographic Designation</t>
  </si>
  <si>
    <t>Any additional relevant description, beyond locale code or geo-coding, for a geographical location.</t>
  </si>
  <si>
    <t>Additional Health Data and Medical Condition</t>
  </si>
  <si>
    <t>Additional information concerning an individual's health (e.g., consideration for healthy life choices, such as "non-smoker").</t>
  </si>
  <si>
    <t>Additional Post-school Accomplishments</t>
  </si>
  <si>
    <t>Notable post-school activities and accomplishments other than information about employment, education, and military service (e.g., elective offices held and books published).</t>
  </si>
  <si>
    <t>Additional Special Health Needs, Information, or Instructions</t>
  </si>
  <si>
    <t>The description or detailed specific instructions (beyond what has already been included) regarding an individual''s medical or dental treatment as directed by the individual or his or her parents/guardian, or health care provider.</t>
  </si>
  <si>
    <t>Adequate Yearly Progress Failure Begin Date</t>
  </si>
  <si>
    <t>The month, day, and year on which the education institution fails to meet AYP standards.</t>
  </si>
  <si>
    <t>Adequate Yearly Progress Met Date</t>
  </si>
  <si>
    <t>The month, day, and year on which the education institution meets AYP standards.</t>
  </si>
  <si>
    <t>Adjusted Income Amount</t>
  </si>
  <si>
    <t>The amount of income and supplemental pay earned after deductions for the specific time period.</t>
  </si>
  <si>
    <t>R</t>
  </si>
  <si>
    <t>Administrative Space Type</t>
  </si>
  <si>
    <t>The space designed primarily for conducting administrative and business functions.</t>
  </si>
  <si>
    <t xml:space="preserve">Administrative Space Type
   02986 - Administrative office/room
   02742 - Principal's office
   02743 - Vice-principal/assistant principal's office
   02744 - Clerical areas
   02745 - Mail room
   02746 - Conference room
   02747 - Attendance reception
   02748 - General reception
   02749 - Security/police/probation office
   02750 - Staff lounge
   02751 - Staff work room
   02752 - School store
   02753 - School bank
   02754 - PTO/PTA spaces
   02755 - Site-based council office
   02756 - Records room/vault
   02757 - Storage - textbook
   02758 - Storage - resource materials
   02759 - Storage - instructional equipment
   09999 - Other
</t>
  </si>
  <si>
    <t>Admission Date</t>
  </si>
  <si>
    <t>The month, day, and year on which a student is admitted to a school or an educational institution.</t>
  </si>
  <si>
    <t>Admission Status</t>
  </si>
  <si>
    <t>The status given to a student when he or she is admitted to a school or an educational institution.</t>
  </si>
  <si>
    <t xml:space="preserve">Admission Status
   01814 - Regular student
   01815 - Probationary student (academic)
   01816 - Probationary student (attendance)
   01817 - Probationary student (behavioral)
   01818 - Probationary student (other)
   01819 - Exchange student
   01820 - Guest student
   09999 - Other
</t>
  </si>
  <si>
    <t>Advance Pay</t>
  </si>
  <si>
    <t>The amount paid to an individual prior to services rendered (e.g., deposit).</t>
  </si>
  <si>
    <t>Affiliated Institution Type</t>
  </si>
  <si>
    <t>An indication of the type of institution or organization providing the educational experience to the individual.</t>
  </si>
  <si>
    <t xml:space="preserve">Affiliated Institution Type
   00099 - Postsecondary institution
   00209 - Career/technical/vocational institution
   00211 - Public elementary/secondary school
   00212 - Private elementary/secondary school
   00066 - Local education agency 
   00622 - Local/community government
   00214 - Regional or intermediate educational agency
   00617 - State government
   00997 - Business
   00749 - Foundations and other charitable organizations
   00772 - Unions
   00731 - Parent/teacher organizations
   00797 - Federal government
   00218 - Religious organization
   00219 - Fraternal organization
   01275 - Non-profit organization
   09999 - Other
</t>
  </si>
  <si>
    <t>Ages Served</t>
  </si>
  <si>
    <t>The ages of children served by an institution as identified by the funding and/or licensing source.</t>
  </si>
  <si>
    <t>Air Distribution System</t>
  </si>
  <si>
    <t>The primary means by which air is circulated, freshened, and exhausted.</t>
  </si>
  <si>
    <t xml:space="preserve">Ventilation System
   02492 - Window ventilation
   02493 - Gravity ventilation
   02494 - Mechanical exhaust
   02495 - Mechanical supply
   02496 - Both mechanical exhaust and supply
   02497 - Air handler units
   09999 - Other
</t>
  </si>
  <si>
    <t>Ala Carte Non-Reimbursable Purchase Price</t>
  </si>
  <si>
    <t>The total dollar amount paid for the purchase of food, for which no federal reimbursement is received, associated with a particular individual transaction.</t>
  </si>
  <si>
    <t>Alcohol Violation</t>
  </si>
  <si>
    <t>Violation of laws or ordinances prohibiting the manufacture, sale, purchase, transportation, possession, or consumption of intoxicating alcoholic beverages or substances represented as alcohol. Suspicion of being under the influence of alcohol may be included if it results in disciplinary action.</t>
  </si>
  <si>
    <t xml:space="preserve">Alcohol Violation
   04619 - Sale of alcohol
   04620 - Distribution of alcohol
   04621 - Drinking alcohol
   04622 - Possession of alcohol
   04623 - Suspicion of alcohol use
   09999 - Other
</t>
  </si>
  <si>
    <t>Alias</t>
  </si>
  <si>
    <t>An assumed name, or a name by which an individual is otherwise known.</t>
  </si>
  <si>
    <t>Allergy Alert</t>
  </si>
  <si>
    <t>An indication that the individual has a severe allergy.</t>
  </si>
  <si>
    <t>Allowances Number</t>
  </si>
  <si>
    <t>The total number of personal allowances an individual is claiming on his or her tax withholding form.</t>
  </si>
  <si>
    <t>Alternative School</t>
  </si>
  <si>
    <t>A school that: 1) addresses needs of students which cannot typically be met in a regular school; 2) provides nontraditional education; 3) falls outside of the categories of regular, magnet/special program emphasis, special, or vocational/technical education.</t>
  </si>
  <si>
    <t>Amount of Activity Involvement</t>
  </si>
  <si>
    <t>An indication of the degree to which the individual is involved in the activity (e.g., number of hours per week).</t>
  </si>
  <si>
    <t>Amount of Non-school Activity Involvement</t>
  </si>
  <si>
    <t>An indication of the degree to which the student is involved in the activity (e.g., number of hours per week).</t>
  </si>
  <si>
    <t>Annual Earning Rate of Pay</t>
  </si>
  <si>
    <t>The monetary unit of salary compensation an individual is paid for performance of agreed-upon duties on an annual basis.</t>
  </si>
  <si>
    <t>Annual Hours of School Operation-After School</t>
  </si>
  <si>
    <t>The number of hours that a building is open after regular school hours for its school related programs and operations over a twelve month period.</t>
  </si>
  <si>
    <t>Annual Hours of School Operation-Before School</t>
  </si>
  <si>
    <t>The number of hours that a building is open before regular school hours for its school related programs and operations over a twelve month period.</t>
  </si>
  <si>
    <t>Annual Hours of School Operation-Regular School Hours</t>
  </si>
  <si>
    <t>The number of hours that a building is open during regular school hours for its school related programs and operations over a twelve month period.</t>
  </si>
  <si>
    <t>Annual Hours of School Operation-Summer Session</t>
  </si>
  <si>
    <t>The number of hours that a building is open during the summer session for its school related programs and operations over a twelve month period.</t>
  </si>
  <si>
    <t>Annual Hours of School Operation-Weekend Hours</t>
  </si>
  <si>
    <t>The number of hours that a building is open during weekend hours for its school related programs and operations over a twelve month period.</t>
  </si>
  <si>
    <t>Annual Maximum Payroll Deduction Allowed</t>
  </si>
  <si>
    <t>The maximum allowable amount of money within a year that would be withheld or deducted from the employee's paycheck.</t>
  </si>
  <si>
    <t>Applicable Grades</t>
  </si>
  <si>
    <t>The specific grade or combination of grades.</t>
  </si>
  <si>
    <t xml:space="preserve">Grade Level
   00787 - Infant/toddler
   00788 - Preschool
   00789 - Prekindergarten
   03494 - Transitional Kindergarten
   00805 - Kindergarten
   00790 - First grade
   00791 - Second grade
   00792 - Third grade
   00793 - Fourth grade
   00794 - Fifth grade
   00795 - Sixth grade
   00796 - Seventh grade
   00798 - Eighth grade
   00799 - Ninth grade
   00800 - Tenth grade
   00801 - Eleventh Grade
   00802 - Twelfth grade
   00803 - Grade 13
   02359 - Postsecondary
   00804 - Ungraded
   09999 - Other
</t>
  </si>
  <si>
    <t>Application Status</t>
  </si>
  <si>
    <t>An indication of the status of the individual's employment application.</t>
  </si>
  <si>
    <t xml:space="preserve">Active/Inactive
   00122 - Active
   00133 - Inactive
</t>
  </si>
  <si>
    <t>Architect Name</t>
  </si>
  <si>
    <t>The name of the architect of record for the building.</t>
  </si>
  <si>
    <t>Architectural Firm</t>
  </si>
  <si>
    <t>The name of the architectural firm responsible for the building design.</t>
  </si>
  <si>
    <t>Areas of Informal Qualification</t>
  </si>
  <si>
    <t>Other areas or fields in which an individual has some special informal qualification or occupational training (e.g., as an artist).</t>
  </si>
  <si>
    <t>Art Specialty Space Type</t>
  </si>
  <si>
    <t>The space designed to support the teaching and learning of 2 dimensional or 3 dimensional visual arts.</t>
  </si>
  <si>
    <t xml:space="preserve">Art Specialty Space Type
   02644 - 2-dimensional art classroom
   02645 - 3-dimensional art classroom
   02646 - Darkroom
   02647 - Ceramic studio
   02648 - Photography studio/graphic arts
   02649 - Kiln room
   09999 - Other
</t>
  </si>
  <si>
    <t>Assembly Space Type</t>
  </si>
  <si>
    <t>An area designed primarily for theater productions, assemblies, and other large gatherings.</t>
  </si>
  <si>
    <t xml:space="preserve">Assembly Space Types
   02768 - Auditorium (fixed seats)
   02769 - Control room
   03108 - Disaster shelter area
   02770 - Costume storage area
   02771 - Set storage area
   02772 - Backstage room/green room
   02773 - Multi-purpose Room
   09999 - Other
</t>
  </si>
  <si>
    <t>Assessment Administration Window/Date(s)</t>
  </si>
  <si>
    <t>The month(s), day(s), and year on which an assessment is administered.</t>
  </si>
  <si>
    <t>Assessment Description</t>
  </si>
  <si>
    <t>A description of the assessment.</t>
  </si>
  <si>
    <t>Assessment Development</t>
  </si>
  <si>
    <t>An indication of how the assessment was produced or developed.</t>
  </si>
  <si>
    <t xml:space="preserve">Assessment Development
   00423 - Off-the-shelf
   00425 - Built from commercial item banks
   00427 - Custom developed
   00424 - Customized off-the-shelf
   00428 - District developed
   00429 - State developed
</t>
  </si>
  <si>
    <t>Assessment Development Vendor Name</t>
  </si>
  <si>
    <t>The name of the contractor(s) who developed and/or provided the assessment.</t>
  </si>
  <si>
    <t>Assessment Feedback</t>
  </si>
  <si>
    <t>Feedback provided to the student from various sources.</t>
  </si>
  <si>
    <t>Assessment for Promotion/Graduation Status</t>
  </si>
  <si>
    <t>An indication of whether the district or state assessments that were given to students were required to be passed or were used as a significant factor in making promotion or graduation decisions for all students being assessed.</t>
  </si>
  <si>
    <t xml:space="preserve">Assessment for Promotion/Graduation Status
   00232 - No
   13380 - Yes, for Both Promotion and Graduation
   13381 - Yes, for Graduation Only
   13382 - Yes, for Promotion Only
</t>
  </si>
  <si>
    <t>Assessment Groups</t>
  </si>
  <si>
    <t>The groups or subgroups of individuals at the designated grades who were assessed.</t>
  </si>
  <si>
    <t xml:space="preserve">Assessment Groups
   00480 - All students
   00481 - Sample
   00482 - Voluntary
   03472 - Sub-population
   09999 - Other
</t>
  </si>
  <si>
    <t>Assessment Item Choice Content</t>
  </si>
  <si>
    <t>The text of the choice, such as true, 27, or Important economic and social factors.</t>
  </si>
  <si>
    <t>Assessment Item Choice Credit Value</t>
  </si>
  <si>
    <t>A numeric value that indicates the amount of credit awarded for choosing the choice.</t>
  </si>
  <si>
    <t>Assessment Item Choice Label</t>
  </si>
  <si>
    <t>A choice number or other identifier for the choice. It may be used to indicate the order or grouping of the choices.</t>
  </si>
  <si>
    <t>Assessment Item Correct Response</t>
  </si>
  <si>
    <t>Assessment Item Description</t>
  </si>
  <si>
    <t>A description of the assessment item.</t>
  </si>
  <si>
    <t>Assessment Item Rubric URL Reference</t>
  </si>
  <si>
    <t>The URL location where the rubric for scoring an item may be found.</t>
  </si>
  <si>
    <t>Assessment Item Rubric/Rating</t>
  </si>
  <si>
    <t>An indication of the quantitative or qualitative range of possible scores/ratings for an individual''s performance on an assessment item.</t>
  </si>
  <si>
    <t>Assessment Item Title</t>
  </si>
  <si>
    <t>The title or name of the assessment item.</t>
  </si>
  <si>
    <t>Assessment Number of Items</t>
  </si>
  <si>
    <t>The number of items on an assessment.</t>
  </si>
  <si>
    <t>Assessment Performance Level Name</t>
  </si>
  <si>
    <t>The level of performance of students on an assessment.</t>
  </si>
  <si>
    <t xml:space="preserve">Performance Level Code
   13550 - Level 0
   13551 - Level 1
   13552 - Level 2
   13553 - Level 3
   13554 - Level 4
   13555 - Level 5
   13556 - Level 6
</t>
  </si>
  <si>
    <t>Assessment Reference Type</t>
  </si>
  <si>
    <t>A classification of how results of achievement tests are related and interpreted.</t>
  </si>
  <si>
    <t xml:space="preserve">Assessment Reference Type
   00487 - Norm-referenced
   00488 - Criterion-referenced
   00489 - Achievement-level reference or benchmarked
</t>
  </si>
  <si>
    <t>Assessment Registration Grade Level When Assessed</t>
  </si>
  <si>
    <t>The grade or level of the learner as specified during assessment registration.</t>
  </si>
  <si>
    <t xml:space="preserve">Education Level
   73080 - Birth to Three
   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t>
  </si>
  <si>
    <t>Assessment Reporting Level</t>
  </si>
  <si>
    <t>The level at which results are presented.</t>
  </si>
  <si>
    <t xml:space="preserve">Assessment Reporting Level
   00514 - Individual scores
   00515 - More detailed profiles of individual performance
   02390 - Teacher/classroom level scores
   02391 - School level scores
   00517 - District-level scores
   00519 - Program scores
   03481 - State-level scores
   00520 - Data disaggregated by category
   03482 - Data disaggregated by population sub-group
   09999 - Other
</t>
  </si>
  <si>
    <t>Assessment Requirement Authority</t>
  </si>
  <si>
    <t>The person, agency, governmental entity, or other institution requiring or sponsoring the completion of the assessment requirement.</t>
  </si>
  <si>
    <t xml:space="preserve">Assessment Requirement Authority
   00065 - Teacher/staff member
   00675 - School
   00066 - Local education agency 
   00890 - Intermediate Education Unit
   00868 - State Education Agency
   00847 - State Legislature
   03460 - State department of health
   00070 - US Department of Education
   00086 - Speech education director
   00072 - Admission, review, and dismissal (ARD) committee
   00654 - College/University
   00074 - Award-granting organization
   09999 - Other
</t>
  </si>
  <si>
    <t>Assessment Response Language</t>
  </si>
  <si>
    <t>The language in which assessment responses are provided. (Note: A list of languages and codes is currently maintained and updated by the ISO as ISO 639.2 on its website http://www.iso.org/iso/iso_catalogue/catalogue_tc/catalogue_detail.htm?csnumber=4767).</t>
  </si>
  <si>
    <t>Assessment Rubric/Rating</t>
  </si>
  <si>
    <t>An indication of the quantitative or qualitative range of possible scores/rating for an individual's performance on an assessment.</t>
  </si>
  <si>
    <t>Assessment Scoring Vendor Name</t>
  </si>
  <si>
    <t>The name of the contractor(s) who score the assessment.</t>
  </si>
  <si>
    <t>Assessment Subest Score Value</t>
  </si>
  <si>
    <t>A score value expressed as a number representing the performance of a person on an administration of an assessment as determined by the sub test scoring rules. The score relates to the overall assessment or a sub test scoring one aspect of performance on the test. This value may be used to determine performance level for the test or sub test.</t>
  </si>
  <si>
    <t>Assigned Space</t>
  </si>
  <si>
    <t>An indication that the instruction space in a school is used in the calculation of student capacity.</t>
  </si>
  <si>
    <t>The name or description of the assignment.</t>
  </si>
  <si>
    <t>Assignment Description</t>
  </si>
  <si>
    <t>Further description of a staff assignment that fully defines the activity, as necessary. For example, a "teacher" assignment would be defined in terms of the grade levels taught or the types of duties involved (e.g., lead teacher for a class of third graders).</t>
  </si>
  <si>
    <t>Assignment Finish Date</t>
  </si>
  <si>
    <t>The month, day, and year that the assignment is finished by students.</t>
  </si>
  <si>
    <t>Assignment Number of Attempts</t>
  </si>
  <si>
    <t>The number of attempts allowed by an instructor on an assignment or taken by a student to complete the assignment.</t>
  </si>
  <si>
    <t>Assignment to Physical Space</t>
  </si>
  <si>
    <t>A unique number or alphanumeric code assigned to a physical space to which the equipment is assigned.</t>
  </si>
  <si>
    <t>At Risk of Developmental Delay</t>
  </si>
  <si>
    <t>The risk of having substantial developmental delays if early intervention services are not provided.</t>
  </si>
  <si>
    <t xml:space="preserve">At Risk of Developmental Delay
   05993 - Established conditions
   05994 - Environment factors
   05995 - No established condition
   05996 - No established condition, needs follow-up
</t>
  </si>
  <si>
    <t>At-Risk Status</t>
  </si>
  <si>
    <t>An indication that the student met the criteria for classification as being at-risk.</t>
  </si>
  <si>
    <t>Attendance Area Code</t>
  </si>
  <si>
    <t>A unique number or alphanumeric code of an attendance area that the school or building serves assigned by a school, school system, state, or other agency or entity.</t>
  </si>
  <si>
    <t>Attendance Description</t>
  </si>
  <si>
    <t>A description of the attendance status.</t>
  </si>
  <si>
    <t>Attendance Policy Violation</t>
  </si>
  <si>
    <t>Violation of state, school district, or school policy relating to attendance.</t>
  </si>
  <si>
    <t xml:space="preserve">Attendance Policy Violation
   04627 - Forging absence excuse
   04628 - Skipping class 
   04629 - Tardiness
   04630 - Truancy
   09999 - Other
</t>
  </si>
  <si>
    <t>Attendance Status Time</t>
  </si>
  <si>
    <t>An indication of the time of day the attendance status is recorded.</t>
  </si>
  <si>
    <t>Audit Type</t>
  </si>
  <si>
    <t>The type of systematic review or audit of facility quality, management, decision making processes, controls, schedule and cost.</t>
  </si>
  <si>
    <t xml:space="preserve">Audit Type
   02976 - Management audit
   02977 - Financial audit
   02978 - Performance audit
   02979 - Building commissioning
   02980 - Fiscal audit
   02981 - Process audit
   13687 - Retro-commissioning
   13688 - Post Occupancy Evaluation
   09999 - Other
</t>
  </si>
  <si>
    <t>Authorized Instructional Level</t>
  </si>
  <si>
    <t>The instructional level or levels within which an individual is authorized to serve by an active credential.</t>
  </si>
  <si>
    <t xml:space="preserve">School Level
   00787 - Infant/toddler
   01981 - Preschool/early childhood
   02397 - Primary
   01304 - Elementary
   02399 - Intermediate
   02400 - Middle
   02602 - Junior high school
   02402 - High school
   02403 - Secondary
   01302 - All levels
   00013 - Adult education
   73066 - Joint secondary and postsecondary
</t>
  </si>
  <si>
    <t>Authorized/Insured to Use Organization Vehicles</t>
  </si>
  <si>
    <t>An indication of whether the individual is authorized and/or insured to use the employer's vehicles to conduct official business.</t>
  </si>
  <si>
    <t>Authorized/Insured to Use Own Vehicles</t>
  </si>
  <si>
    <t>An indication of whether the individual is authorized and/or insured to use his or her own vehicles to conduct official business.</t>
  </si>
  <si>
    <t>Authorizing Entity Name</t>
  </si>
  <si>
    <t>The name of the organization that has ultimate responsibility for policy and operational decisions for an educational institution.</t>
  </si>
  <si>
    <t>Authorizing Entity Type</t>
  </si>
  <si>
    <t>The type of organization that has ultimate responsibility for policy and operational decisions for an educational institution.</t>
  </si>
  <si>
    <t xml:space="preserve">Authorizing Entity Type
   00797 - Federal government
   00860 - State agency
   00214 - Regional or intermediate educational agency
   00862 - Local (e.g., school board, city council, municipal board)
   00675 - School
   00864 - Private/Religious
   00865 - Charter board
   03166 - Other non-profit organization
   03167 - Commercial or other for-profit firm
   13377 - University
</t>
  </si>
  <si>
    <t>Avocational Interests and Skills</t>
  </si>
  <si>
    <t>Description of a hobby or other interest or skill of an individual. These may include but are not limited to singing, art, music, writing, public speaking, and youth work.</t>
  </si>
  <si>
    <t>Award Amount</t>
  </si>
  <si>
    <t>The amount of money awarded to the individual or institution for high performance or improvement.</t>
  </si>
  <si>
    <t>Background Check Completion Date</t>
  </si>
  <si>
    <t>The month, day, and year on which the examination of the individual's employment and/or other records was completed. This examination is part of the requirements for this position or a credential.</t>
  </si>
  <si>
    <t>Background Check Description</t>
  </si>
  <si>
    <t>A description of the means used to check an individual's employment and/or other records investigated to determine whether he or she meets the basic and security requirements for employment or a credential.</t>
  </si>
  <si>
    <t>Background Check Type</t>
  </si>
  <si>
    <t>An indication of the type of employment and/or other records that are investigated to determine whether the individual meets the basic and security requirements for employment or a credential.</t>
  </si>
  <si>
    <t xml:space="preserve">Background Check Type
   01420 - Criminal records
   01421 - Previous employment records
   01422 - Personal references
   01423 - Credentials
   09999 - Other
</t>
  </si>
  <si>
    <t>Bank Account Type</t>
  </si>
  <si>
    <t>The type of bank account that is under an individual's name.</t>
  </si>
  <si>
    <t xml:space="preserve">Bank Account Type
   01589 - Checking
   01590 - Savings
   01591 - Money market
   09999 - Other
</t>
  </si>
  <si>
    <t>Base Indicators</t>
  </si>
  <si>
    <t>A description of the indicators that are used as the primary indicators of improvement and performance.</t>
  </si>
  <si>
    <t xml:space="preserve">Base Indicators
   00393 - Demographics
   00394 - Outcome
   00395 - Process
   09999 - Other
</t>
  </si>
  <si>
    <t>Baseline Utility Cost</t>
  </si>
  <si>
    <t>The calculated utility cost of operating and maintaining a utility before carrying out any utility efficiency improvements.</t>
  </si>
  <si>
    <t>Basement Excavation</t>
  </si>
  <si>
    <t>The site work required to create basement spaces under a building.</t>
  </si>
  <si>
    <t>Basement Walls</t>
  </si>
  <si>
    <t>The construction of structural vertical faces in the basement of a building.</t>
  </si>
  <si>
    <t>Basic Classroom Design Type</t>
  </si>
  <si>
    <t>A classroom designed for instruction of a particular age group, but not a specific subject.</t>
  </si>
  <si>
    <t xml:space="preserve">Classroom Instruction Use Type
   01981 - Preschool/early childhood
   01304 - Elementary
   02403 - Secondary
   03495 - Resource
   14906 - Skills center
   09999 - Other
</t>
  </si>
  <si>
    <t>Beginning Date of Data in Report</t>
  </si>
  <si>
    <t>The first month, day, and year of data covered in the report.</t>
  </si>
  <si>
    <t>Bell Period End Time</t>
  </si>
  <si>
    <t>The ending time for the bell period.</t>
  </si>
  <si>
    <t>Bell Period Start Time</t>
  </si>
  <si>
    <t>The starting time for the bell period.</t>
  </si>
  <si>
    <t>Bell Schedule Name</t>
  </si>
  <si>
    <t>A name that uniquely identifies a particular Bell Schedule from others for the same school and year.</t>
  </si>
  <si>
    <t>Benefit Contribution Amount</t>
  </si>
  <si>
    <t>The monetary amount or description of the contribution given to an employee's benefit plan.</t>
  </si>
  <si>
    <t>Benefit Contribution Type</t>
  </si>
  <si>
    <t>An indication of the form of donation an individual or institution gives to an employee's benefit plan.</t>
  </si>
  <si>
    <t xml:space="preserve">Benefit Contribution Type
   01559 - Monetary
   01560 - In-kind
   09999 - Other
</t>
  </si>
  <si>
    <t>Benefit Contributor Type</t>
  </si>
  <si>
    <t>An indication of the category of an individual or institution that donates to an employee's benefit plan.</t>
  </si>
  <si>
    <t xml:space="preserve">Benefit Contributor Type
   01552 - Employer
   00860 - State agency
   01560 - In-kind
   00066 - Local education agency 
   00214 - Regional or intermediate educational agency
   01555 - Community organization, business, or group
   01556 - Other organization, business, or group
   01557 - Individual employee
   01558 - Individual other than employee
   09999 - Other
</t>
  </si>
  <si>
    <t>Benefit Payoff Date</t>
  </si>
  <si>
    <t>The earliest possible month, day, and year on which a benefit will be paid off in a lump-sum payment or distributed in installments to an individual.</t>
  </si>
  <si>
    <t>Bilingual Education Program Type</t>
  </si>
  <si>
    <t>The types of program of instruction and services that uses more than one language to teach a content area. Students served by this program may or may not be proficient in English.</t>
  </si>
  <si>
    <t xml:space="preserve">Bilingual Education Program
   04924 - Curriculum content in native language
   04925 - Developmental bilingual education
   04926 - Native language support
   04927 - Two way bilingual education
   09999 - Other
</t>
  </si>
  <si>
    <t>Block Number Area (BNA)</t>
  </si>
  <si>
    <t>The informal description of location sometimes used in rural areas, for example, "from the highway to the railroad tracks."</t>
  </si>
  <si>
    <t>Blood Pressure</t>
  </si>
  <si>
    <t>An indication of an individual's blood pressure as measured by a qualified health care provider, usually expressed in terms of systolic pressure relative to diastolic pressure.</t>
  </si>
  <si>
    <t>Boarding Status</t>
  </si>
  <si>
    <t>The status of a student in relation to campus housing during the school year.</t>
  </si>
  <si>
    <t xml:space="preserve">Boarding Status
   01861 - Seven (7) days per week
   01862 - Five (5) days per week
   01863 - Intermittent
   01864 - Not boarding
   09999 - Other
</t>
  </si>
  <si>
    <t>Bond Interest Rate</t>
  </si>
  <si>
    <t>The interest rate payable by the issuer to the buyer of the bonds.</t>
  </si>
  <si>
    <t>Bond Term</t>
  </si>
  <si>
    <t>The length of time in years during which a bond may be repaid.</t>
  </si>
  <si>
    <t>Bond Year</t>
  </si>
  <si>
    <t>The year in which a bond must be repaid.</t>
  </si>
  <si>
    <t>Born Outside of the U.S.</t>
  </si>
  <si>
    <t>An indication that an individual was born outside of the 50 states, the District of Columbia, and the outlying areas (e.g., territories, embassies, military bases, etc.).</t>
  </si>
  <si>
    <t xml:space="preserve">Yes/No/Unknown
   00002 - Yes
   00232 - No
   09997 - Unknown
</t>
  </si>
  <si>
    <t>Building Addition</t>
  </si>
  <si>
    <t>A description of the permanent structure added to the original building.</t>
  </si>
  <si>
    <t>Building Addition Code</t>
  </si>
  <si>
    <t>A unique number or alphanumeric code assigned to a building addition by a school, school system, state, or other agency or entity.</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</si>
  <si>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</si>
  <si>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</si>
  <si>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Building Design Type</t>
  </si>
  <si>
    <t>The primary design or purpose of a building, as determined by its physical layout and built-in systems and equipment, regardless of its current use.</t>
  </si>
  <si>
    <t xml:space="preserve">Building Design Type
   03106 - School building
   02610 - Service center building
   02611 - Office building
   02612 - Warehouse building
   02613 - Garage building
   02614 - Central kitchen building
   02615 - Stadium building
   02616 - Field house building
   02617 - Media production center building
   02618 - Natatorium
   02619 - Dormitory building
   02620 - Gymnasium building
   02621 - Assembly building
   09999 - Other
</t>
  </si>
  <si>
    <t>Building Elements Demolition</t>
  </si>
  <si>
    <t>A description of the destruction and removal of parts of an existing building.</t>
  </si>
  <si>
    <t>Building Permanency</t>
  </si>
  <si>
    <t>An indication of whether the building is built for permanent use in the same location or is relocatable.</t>
  </si>
  <si>
    <t xml:space="preserve">Building Permanency
   02431 - Permanent building
   02432 - Nonpermanent building
</t>
  </si>
  <si>
    <t>Building Type</t>
  </si>
  <si>
    <t>The type of building in which a school is located.</t>
  </si>
  <si>
    <t xml:space="preserve">Building Type
   13561 - Church
   13562 - Commercial office building
   13563 - Commercial warehouse
   13564 - Community center
   13565 - Public school building
</t>
  </si>
  <si>
    <t>Bus Driver Name</t>
  </si>
  <si>
    <t>The name of the driver who drives the bus route.</t>
  </si>
  <si>
    <t>Bus Maximum Load</t>
  </si>
  <si>
    <t>The maximum number of students who are on the bus at any point along the bus route.</t>
  </si>
  <si>
    <t>Bus Route Description</t>
  </si>
  <si>
    <t>The description of the bus route. It may include a designation of the area or a general name used to label the bus routes (ex. the `orange` route).</t>
  </si>
  <si>
    <t>Bus Route Distance Loaded</t>
  </si>
  <si>
    <t>The distance the bus drives when at least one student is riding the bus.</t>
  </si>
  <si>
    <t>Bus Route Distance Total</t>
  </si>
  <si>
    <t>The total distance driven for the bus route including to and from garage.</t>
  </si>
  <si>
    <t>Bus Route Duration Loaded</t>
  </si>
  <si>
    <t>The amount of time that at least one student is riding the bus.</t>
  </si>
  <si>
    <t>Bus Route Duration Total</t>
  </si>
  <si>
    <t>The amount of time of the entire bus route, including time in which no students are on the bus such as driving to and from the garage, etc.</t>
  </si>
  <si>
    <t>Bus Route ID</t>
  </si>
  <si>
    <t>A unique number or alphanumeric code assigned to the bus route.</t>
  </si>
  <si>
    <t>Bus Route Type</t>
  </si>
  <si>
    <t>An indication to whether the bus route is in an inbound or outbound direction.</t>
  </si>
  <si>
    <t xml:space="preserve">Bus Route Type
   08695 - Inbound
   08696 - Outbound 
</t>
  </si>
  <si>
    <t>Bus Stop Arrival Time</t>
  </si>
  <si>
    <t>The time that the bus will stop at the bus stop.</t>
  </si>
  <si>
    <t>Bus Stop Description</t>
  </si>
  <si>
    <t>The description of the bus stop. It may include a designation of the area or a general name used to label the bus stop.</t>
  </si>
  <si>
    <t>Bus Stop Distance</t>
  </si>
  <si>
    <t>The distance between the student''s address and the bus stop where they are picked up and/or dropped off.</t>
  </si>
  <si>
    <t>Bus Stop from School ID</t>
  </si>
  <si>
    <t>A unique number or alphanumeric code assigned to the bus stop the student uses to leave school.</t>
  </si>
  <si>
    <t>Bus Stop ID</t>
  </si>
  <si>
    <t>A unique number or alphanumeric code assigned to the bus stop the student uses to go to school.</t>
  </si>
  <si>
    <t>Bus Stop to School Distance</t>
  </si>
  <si>
    <t>The distance between the bus stop where a student is picked up and/or dropped off and the school.</t>
  </si>
  <si>
    <t>Bus Stop to School ID</t>
  </si>
  <si>
    <t>Business Type</t>
  </si>
  <si>
    <t>An indication of the general nature of an organization or institution.</t>
  </si>
  <si>
    <t>Calendar Date Number</t>
  </si>
  <si>
    <t>The order in which the calendar date falls within the school calendar.</t>
  </si>
  <si>
    <t>Calendar Event Description</t>
  </si>
  <si>
    <t>A brief description of the reason for scheduled and unscheduled interruption to instruction.</t>
  </si>
  <si>
    <t>Calendar Event Ending Date</t>
  </si>
  <si>
    <t>The month, day, and year on which the event ends.</t>
  </si>
  <si>
    <t>Calendar Type</t>
  </si>
  <si>
    <t>Designation of the nature of the instructional calendar.</t>
  </si>
  <si>
    <t xml:space="preserve">Calendar Type
   00823 - Planned school calendar
   00824 - Actual or revised school calendar
   00826 - Tentative schedule
   09999 - Other
</t>
  </si>
  <si>
    <t>Capacity Factor</t>
  </si>
  <si>
    <t>A designation as to whether the space is included in the calculation of school building capacity under state or local guidelines.</t>
  </si>
  <si>
    <t xml:space="preserve">Capacity Factor
   02813 - Capacity space
   02814 - Noncapacity space
</t>
  </si>
  <si>
    <t>Capital Budget Year</t>
  </si>
  <si>
    <t>The year for which the project has been approved for expenditures.</t>
  </si>
  <si>
    <t>Capital Expenditure per Building</t>
  </si>
  <si>
    <t>The annual expenditure from capital funds for a building.</t>
  </si>
  <si>
    <t>Capital Expenditure per School</t>
  </si>
  <si>
    <t>The annual expenditure from capital funds for a school.</t>
  </si>
  <si>
    <t>Capital Improvement Project Type</t>
  </si>
  <si>
    <t>The type of a capital improvement project as characterized by the kind of alteration, addition, new construction, system or component renewal..</t>
  </si>
  <si>
    <t xml:space="preserve">Capital Improvement Project Type
   02904 - Site acquisition
   02905 - Environmental clean-up of site
   02906 - Planning
   02907 - Design
   02908 - New construction
   02909 - Demolition
   02910 - Remodeling of interior space
   02911 - Full modernization
   02912 - Partial modernization
   02914 - Component or systems replacement
   02915 - Exterior modernization
   02916 - Site improvements
   02992 - Landscaping improvement or development
   13643 - Renovation
   13644 - Environmental building clean-up
   13645 - Building and site assessment
   13646 - Portable classroom installation
   13647 - Accessibility improvements
   13648 - Addition
   13649 - Building replacement
   13650 - Instructional upgrades
   13651 - Systemic renovation
   09999 - Other
</t>
  </si>
  <si>
    <t>Capital Project Actual Completion Date</t>
  </si>
  <si>
    <t>The month, day, and year on which the project is determined to be at substantial completion.</t>
  </si>
  <si>
    <t>Capital Project Change Scheduled Completion Date</t>
  </si>
  <si>
    <t>The revised day, month and year that a capital project is scheduled to be completed such that the owners may safely occupy or use the building, system, or space.</t>
  </si>
  <si>
    <t>Capital Project Change Start Date</t>
  </si>
  <si>
    <t>The revised day, month, year for the start of a capital improvement project.</t>
  </si>
  <si>
    <t>Capital Project Delivery Method</t>
  </si>
  <si>
    <t>The method for packaging, contracting, and managing capital improvement projects.</t>
  </si>
  <si>
    <t xml:space="preserve">Capital Project Delivery Method
   02917 - Design-bid-build
   02918 - Construction management
   02919 - Construction management at risk
   02920 - General contractor method
   02921 - Design build
   02922 - Fast track
   02923 - Job order contracting
   09999 - Other
</t>
  </si>
  <si>
    <t>Capital Project Expenditure</t>
  </si>
  <si>
    <t>The expenditure of bond proceeds for approved capital projects.</t>
  </si>
  <si>
    <t>Capital Project Scheduled Completion Date</t>
  </si>
  <si>
    <t>The month, day, and year on which the project is scheduled for completion.</t>
  </si>
  <si>
    <t>Capital Project Sequence</t>
  </si>
  <si>
    <t>A description of the sequence of work required to complete a major capital project.</t>
  </si>
  <si>
    <t>Capital Project Start Date</t>
  </si>
  <si>
    <t>The month, day, and year on which a project is approved for expenditures.</t>
  </si>
  <si>
    <t>Capital Project Status</t>
  </si>
  <si>
    <t>The phases of work required to complete a major capital project.</t>
  </si>
  <si>
    <t xml:space="preserve">Capital Project Work Type
   02924 - Demographic research
   02993 - Planning phase
   02994 - Site acquisition phase
   02925 - Architect/engineer selection
   02926 - Feasibility review phase
   02927 - Schematic design phase
   02928 - Design development phase
   02929 - Construction documents
   02930 - Construction procurement
   02931 - Demolition/site development phase
   02932 - Construction phase
   02933 - Beneficial occupancy
   02934 - Close-out phase
   02935 - Post-occupancy evaluation
   13640 - Environmental clean-up
   13641 - Environmental testing
   13642 - Public review phase
   09999 - Other
</t>
  </si>
  <si>
    <t>Capital Project Work Type</t>
  </si>
  <si>
    <t>The type of work required to complete a major capital project.</t>
  </si>
  <si>
    <t>Care/Service Beginning Date</t>
  </si>
  <si>
    <t>The month, day, and year on which an individual first receives program services.</t>
  </si>
  <si>
    <t>Care/Service Day Status</t>
  </si>
  <si>
    <t>An indication as to whether care, education, and/or services provided to an individual takes place during full-day or part-day session.</t>
  </si>
  <si>
    <t xml:space="preserve">Care/Service Day Status
   09999 - Other
</t>
  </si>
  <si>
    <t>Care/Service Ending Date</t>
  </si>
  <si>
    <t>The month, day, and year on which an individual last participated in or received program services.</t>
  </si>
  <si>
    <t>Care/Service Intensity</t>
  </si>
  <si>
    <t>The average number of hours or portion of hours per week that care, education, and/or services are provided to an individual.</t>
  </si>
  <si>
    <t>Career Development Needs</t>
  </si>
  <si>
    <t>A description of the exposure and preparation needed by an individual to be ready for a specified future assignment or position.</t>
  </si>
  <si>
    <t xml:space="preserve">Career Development Needs
   01622 - No preparation or additional experience required
   01623 - Job specialization required
   01624 - Task assignment required
   01625 - Job rotation required
   01626 - Formal preparation/credentials required
   09999 - Other
</t>
  </si>
  <si>
    <t>Career Objectives</t>
  </si>
  <si>
    <t>A student''s occupational plan or aspirations. (Note: The Bureau of Labor Statistics maintains a website of the Standard Occupational Classification (SOC) System. The option set uses the SOC''s broad occupation categories. To see the list of detailed occupations see http://stats.bls.gov/soc/home.htm).</t>
  </si>
  <si>
    <t xml:space="preserve">Occupational Groups and Codes
   04309 - Top Executives
   04310 - Advertising, Marketing, Promotions, Public Relations, and Sales Managers
   04311 - Operations Specialties Managers
   04312 - Other Management Occupations
   04313 - Business Operations Specialists
   04314 - Financial Specialists
   04315 - Computer Specialists
   04316 - Mathematical Science Occupations
   04317 - Architects, Surveyors, and Cartographers
   04318 - Engineers
   04319 - Drafters, Engineering, and Mapping Technicians
   04320 - Life Scientists
   04321 - Physical Scientists
   04322 - Social Scientists and Related Workers
   04323 - Life, Physical, and Social Science Technicians
   04324 - Counselors, Social Workers, and Other Community and Social Service Specialists
   04325 - Religious Workers
   04326 - Lawyers, Judges, and Related Workers
   04327 - Legal Support Workers
   04328 - Postsecondary Teachers
   04329 - Primary, Secondary, and Special Education School Teachers
   04330 - Other Teachers and Instructors
   04331 - Librarians, Curators, and Archivists
   04332 - Other Education, Training, and Library Occupations
   04333 - Art and Design Workers
   04334 - Entertainers and Performers, Sports and Related Workers
   04335 - Media and Communication Workers
   04336 - Media and Communication Equipment Workers
   04337 - Health Diagnosing and Treating Practitioners
   04338 - Health Technologists and Technicians
   04339 - Other Healthcare Practitioners and Technical Occupations
   04340 - Nursing, Psychiatric, and Home Health Aides
   04341 - Occupational and Physical Therapist Assistants and Aides
   04342 - Other Healthcare Support Occupations
   04343 - First-Line Supervisors/Managers, Protective Service Workers
   04344 - Fire Fighting and Prevention Workers
   04345 - Law Enforcement Workers
   04346 - Other Protective Service Workers
   04347 - Supervisors, Food Preparation and Serving Workers
   04348 - Cooks and Food Preparation Workers
   04349 - Food and Beverage Serving Workers
   04350 - Other Food Preparation and Serving Related Workers
   04351 - Supervisors, Building and Grounds Cleaning and Maintenance Workers
   04352 - Building Cleaning and Pest Control Workers
   04353 - Grounds Maintenance Workers
   04354 - Supervisors, Personal Care and Service Workers
   04355 - Animal Care and Service Workers
   04356 - Entertainment Attendants and Related Workers
   04357 - Funeral Service Workers
   04358 - Personal Appearance Workers
   04359 - Transportation, Tourism, and Lodging Attendants
   04360 - Other Personal Care and Service Workers
   04361 - Supervisors, Sales Workers
   04362 - Retail Sales Workers
   04363 - Sales Representatives, Services
   04364 - Sales Representatives, Wholesale and Manufacturing
   04365 - Other Sales and Related Workers
   04366 - Supervisors, Office and Administrative Support Workers
   04367 - Communications Equipment Operators
   04368 - Financial Clerks
   04369 - Information and Record Clerks
   04370 - Material Recording, Scheduling, Dispatching, and Distributing Workers
   04371 - Secretaries and Administrative Assistants
   04372 - Other Office and Administrative Support Workers
   04373 - Supervisors, Farming, Fishing, and Forestry Workers
   04374 - Agricultural Workers
   04375 - Fishing and Hunting Workers
   04376 - Forest, Conservation, and Logging Workers
   04377 - Supervisors, Construction and Extraction Workers
   04378 - Construction Trades Workers
   04379 - Helpers, Construction Trades
   04380 - Other Construction and Related Workers
   04381 - Extraction Workers
   04382 - Supervisors of Installation, Maintenance, and Repair Workers
   04383 - Electrical and Electronic Equipment Mechanics, Installers, and Repairers
   04384 - Vehicle and Mobile Equipment Mechanics, Installers, and Repairers
   04385 - Other Installation, Maintenance, and Repair Occupations
   04386 - Supervisors, Production Workers
   04387 - Assemblers and Fabricators
   04388 - Food Processing Workers
   04389 - Metal Workers and Plastic Workers
   04390 - Printing Workers
   04391 - Textile, Apparel, and Furnishings Workers
   04392 - Woodworkers
   04393 - Plant and System Operators
   04394 - Other Production Occupations
   04395 - Supervisors, Transportation and Material Moving Workers
   04396 - Air Transportation Workers
   04397 - Motor Vehicle Operators
   04398 - Rail Transportation Workers
   04399 - Water Transportation Workers
   04400 - Other Transportation Workers
   04401 - Material Moving Workers
   04402 - Military Officer Special and Tactical Operations Leaders/Managers
   04403 - First-Line Enlisted Military Supervisor/Managers
   04404 - Military Enlisted Tactical Operations and Air/Weapons Specialists and Crew Members
   09999 - Other
</t>
  </si>
  <si>
    <t>Career Technical Education Representation Status</t>
  </si>
  <si>
    <t>An indication of whether CTE participants were members of an underrepresented gender group.</t>
  </si>
  <si>
    <t xml:space="preserve">CTE Representation Status
   14554 - Members of an underrepresented gender group
   14555 - Not members of an underrepresented gender group
</t>
  </si>
  <si>
    <t>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</si>
  <si>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</si>
  <si>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t xml:space="preserve">Career-Technical Education Space Type
   02678 - Computer/information technology laboratory
   02679 - Consumer science - food classroom
   02680 - Consumer science - clothing classroom
   02681 - Family and consumer science
   02682 - Automotive/avionics technology shop
   02683 - Electronics/engineering technology laboratory
   02684 - Drafting room/CAD/CAM
   02685 - Agricultural/natural resources shop
   02686 - Greenhouse
   02687 - Barbering and cosmetology shop
   02688 - Multimedia production studio/communications
   02689 - Wood shop
   02690 - Dental science classroom
   02691 - Aeronautical technology classroom
   02692 - Building construction technology shop
   02693 - Precision manufacturing laboratory/metalworking shop
   02694 - Retail store/entrepreneurship laboratory
   02695 - Financial services center/bank
   02696 - Food services/hospitality laboratory
   02697 - Business and administrative services/office management laboratory
   02698 - Health occupations laboratory
   02699 - Early childhood laboratory/child care center
   02700 - Graphic/digital arts and design studio
   02701 - Law enforcement/fire technology/protective services laboratory
   02702 - Biotechnology laboratory
   09999 - Other
</t>
  </si>
  <si>
    <t>Caregiver/Early Childhood Program Description</t>
  </si>
  <si>
    <t>The title (or description) which identifies the caregiver or the early childhood programs in which a child participates (e.g., Head Start, University Child Development Center, or Thomas Jefferson Elementary School).</t>
  </si>
  <si>
    <t>Case Manager</t>
  </si>
  <si>
    <t>The name of the case manager responsible for the academic plans of this student.</t>
  </si>
  <si>
    <t>Catalog of Federal Domestic Assistance (CFDA) Number</t>
  </si>
  <si>
    <t>The number given to all Federal programs available to State and local governments.</t>
  </si>
  <si>
    <t xml:space="preserve">Catalog of Federal Domestic Assistance (CFDA) Number
   06088 - 93.995
   06089 - 94.006
   06090 - 23.002
   06091 - 10.558
   06092 - 93.645
   06093 - 84.304
   06094 - 10.225
   06095 - 93.104
   06096 - 93.229
   06097 - 84.196
   06098 - 93.557
   06099 - 84.258
   06100 - 84.214
   06101 - 84.213
   06102 - 27.005
   06103 - 27.006
   06104 - 93.658
   06105 - 16.544
   06106 - 93.600
   06107 - 84.169
   06108 - 15.043
   06109 - 15.144
   06110 - 84.060
   06111 - 16.540
   06112 - 16.726
   06113 - 94.004
   06114 - 84.165
   06115 - 93.778
   06116 - 84.011
   06117 - 10.555
   06118 - 84.357
   06119 - 84.126
   06120 - 84.186
   06121 - 10.553
   06122 - 84.325
   06123 - 84.173
   06124 - 84.027
   06125 - 10.556
   06126 - 10.557
   06127 - 93.767
   06128 - 10.559
   06129 - 84.243
   06130 - 84.010
   06131 - 84.013
   06132 - 16.731
   06133 - 84.287
   06134 - 84.047
   06135 - 84.048
   06136 - 84.101
   06137 - 84.083
   06138 - 84.002
   06139 - 84.004
   06140 - 84.007
   06141 - 84.015
   06142 - 84.016
   06143 - 84.017
   06144 - 84.018
   06145 - 84.019
   06146 - 84.021
   06147 - 84.022
   06148 - 84.031
   06149 - 84.032
   06150 - 84.033
   06151 - 84.037
   06152 - 84.038
   06153 - 84.040
   06154 - 84.041
   06155 - 84.042
   06156 - 84.044
   06157 - 84.051
   06158 - 84.063
   06159 - 84.066
   06160 - 84.069
   06161 - 84.103
   06162 - 84.116
   06163 - 84.120
   06164 - 84.128
   06165 - 84.129
   06166 - 84.132
   06167 - 84.133
   06168 - 84.141
   06169 - 84.144
   06170 - 84.145
   06171 - 84.149
   06172 - 84.153
   06173 - 84.160
   06174 - 84.161
   06175 - 84.170
   06176 - 84.177
   06177 - 84.181
   06178 - 84.184
   06179 - 84.185
   06180 - 84.187
   06181 - 84.191
   06182 - 84.200
   06183 - 84.203
   06184 - 84.206
   06185 - 84.215
   06186 - 84.217
   06187 - 84.220
   06188 - 84.224
   06189 - 84.229
   06190 - 84.234
   06191 - 84.235
   06192 - 84.240
   06193 - 84.245
   06194 - 84.246
   06195 - 84.250
   06196 - 84.255
   06197 - 84.256
   06198 - 84.257
   06199 - 84.259
   06200 - 84.263
   06201 - 84.264
   06202 - 84.265
   06203 - 84.268
   06204 - 84.269
   06205 - 84.274
   06206 - 84.275
   06207 - 84.282
   06208 - 84.283
   06209 - 84.286
   06210 - 84.293
   06211 - 84.295
   06212 - 84.298
   06213 - 84.305
   06214 - 84.310
   06215 - 84.315
   06216 - 84.318
   06217 - 84.323
   06218 - 84.324
   06219 - 84.326
   06220 - 84.327
   06221 - 84.328
   06222 - 84.329
   06223 - 84.330
   06224 - 84.331
   06225 - 84.332
   06226 - 84.333
   06227 - 84.334
   06228 - 84.335
   06229 - 84.336
   06230 - 84.337
   06231 - 84.341
   06232 - 84.343
   06233 - 84.344
   06234 - 84.345
   06235 - 84.346
   06236 - 84.349
   06237 - 84.350
   06238 - 84.351
   06239 - 84.353
   06240 - 84.354
   06241 - 84.356
   06242 - 84.358
   06243 - 84.359
   06244 - 84.360
   06245 - 84.361
   06246 - 84.362
   06247 - 84.363
   06248 - 84.364
   06249 - 84.365
   06250 - 84.366
   06251 - 84.367
   06252 - 84.369
   06253 - 84.370
   06254 - 84.371
   06255 - 84.372
   06256 - 84.373
   06257 - 84.374
   06258 - 84.375
   06259 - 84.376
   06260 - 84.938
   09999 - Other
</t>
  </si>
  <si>
    <t>Census Tract</t>
  </si>
  <si>
    <t>The census tract number of the school site.</t>
  </si>
  <si>
    <t>Certification Status</t>
  </si>
  <si>
    <t>An indication that the educator holds the certification required by his or her assignment.</t>
  </si>
  <si>
    <t>Change in Developmental Delay Status</t>
  </si>
  <si>
    <t>As measured by appropriate diagnostic instruments and procedures, change in the delay a child demonstrates.</t>
  </si>
  <si>
    <t xml:space="preserve">Developmental Delay
   05987 - Cognitive development delay
   05988 - Physical development delay
   05989 - Communication development delay
   05990 - Social or emotional development delay
   05991 - Adaptive development delay
   05992 - No delay, needs follow-up
   09998 - None
   09999 - Other
   14575 - Carnegie Units
   14576 - No delay detected
   14577 - Established condition
   14578 - At-risk of developing delay
</t>
  </si>
  <si>
    <t>Charter School Location Duration</t>
  </si>
  <si>
    <t>An indication of permanency that a public charter school will be in a location.</t>
  </si>
  <si>
    <t xml:space="preserve">Charter School Location Duration
   13728 - Permanent
   13729 - Temporary
</t>
  </si>
  <si>
    <t>Charter School Realty Access Type</t>
  </si>
  <si>
    <t>The type of real estate vehicle throughwhich a public charter school has access and control of its building space.</t>
  </si>
  <si>
    <t xml:space="preserve">Charter School Realty Access Type
   13691 - Leasehold
   13692 - Ownership by Charter Non-Profit Corporation
   13693 - Third Party Non-Profit Ownership
   14907 - Third-party public sector ownership
</t>
  </si>
  <si>
    <t>Child-to-Instructional Staff Ratio</t>
  </si>
  <si>
    <t>The number of children per instructional staff member.</t>
  </si>
  <si>
    <t>Children Service</t>
  </si>
  <si>
    <t>An indication of the children an employee serves in current employment.</t>
  </si>
  <si>
    <t xml:space="preserve">Previous Children Serviced
   02135 - Infants and Toddlers with Disabilities
   06057 - Infants and toddlers without disabilities
   06058 - Preschool children with disabilities
   06059 - Preschool children without disabilities
   06060 - Children in other age groups with disabilities
   06061 - Children in other age groups without disabilities
   09998 - None
   09999 - Other
</t>
  </si>
  <si>
    <t>Circulation Space Type</t>
  </si>
  <si>
    <t>A space designed to enable people to move within the building.</t>
  </si>
  <si>
    <t xml:space="preserve">Circulation Space Type
   02774 - Hallway
   02775 - Stairway
   02776 - Lobby
   02516 - Elevator
   13593 - Lift
   02517 - Escalator
   13594 - Moving Walk
   13619 - Handicap Access Ramp
   09999 - Other
</t>
  </si>
  <si>
    <t>Class Attendance Status</t>
  </si>
  <si>
    <t>The status of a student''s attendance in class.</t>
  </si>
  <si>
    <t xml:space="preserve">Class Attendance Status
   01904 - Early departure
   03451 - Absent
   01900 - In attendance/present
   01903 - Tardy
</t>
  </si>
  <si>
    <t xml:space="preserve">Attendance Status
   01900 - In attendance/present
   01901 - Excused absence
   01902 - Unexcused absence
   01903 - Tardy
   01904 - Early departure
</t>
  </si>
  <si>
    <t>Class Organization</t>
  </si>
  <si>
    <t>The structure in which class instruction is arranged.</t>
  </si>
  <si>
    <t xml:space="preserve">Class Organization
   00580 - Departmentalized instruction
   00581 - Self-contained class
   00582 - Elementary enrichment class
   00584 - Team-taught class
   00003 - Pull-out class
   00472 - Self-contained class (special education)
   03170 - Ability group class
</t>
  </si>
  <si>
    <t>Class Pace</t>
  </si>
  <si>
    <t>The pace at which class instruction is arranged.</t>
  </si>
  <si>
    <t xml:space="preserve">Class Pace
   01860 - Self-paced
   03483 - Controlled paced
   03484 - Combination of self-paced and control paced
</t>
  </si>
  <si>
    <t>Classroom Instruction Use Type</t>
  </si>
  <si>
    <t>Indication of the particular grade levels that receives instruction in the classroom.</t>
  </si>
  <si>
    <t>Cleaning Standard</t>
  </si>
  <si>
    <t>The standard for cleanliness, and benchmarks for how much space can be assigned to one properly supplied custodian to meet these standards.</t>
  </si>
  <si>
    <t xml:space="preserve">Cleaning Standard
   02831 - Level 1 cleaning
   02832 - Level 2 cleaning
   02833 - Level 3 cleaning
   02834 - Level 4 cleaning
   02835 - Level 5 cleaning
</t>
  </si>
  <si>
    <t>Co-educational Status</t>
  </si>
  <si>
    <t>An indication of the genders to whom the school offers instruction.</t>
  </si>
  <si>
    <t xml:space="preserve">Co-educational Status
   00016 - Co-educational
   00017 - All-female
   00018 - All-male
</t>
  </si>
  <si>
    <t>Collaborative Assignment</t>
  </si>
  <si>
    <t>An indication whether the assignment/activity was collaborative or independent.</t>
  </si>
  <si>
    <t xml:space="preserve">Collaborative Assignment
   07699 - Collaborative assignment
   07700 - Independent assignment
   07701 - Both collaborative and independent
</t>
  </si>
  <si>
    <t>Commercial Equipment</t>
  </si>
  <si>
    <t>Food preparation equipment used for warming, cooking, drying, cleaning, freezing, or cooling.</t>
  </si>
  <si>
    <t>Communications Management Component System</t>
  </si>
  <si>
    <t>The types of system, interface, and management components for carrying voice, video, and data throughout a building.</t>
  </si>
  <si>
    <t xml:space="preserve">Communications Management Component System
   02498 - Voice
   02499 - Video
   02500 - Data
   02501 - Public address system
   14905 - Integrated (voice, data, video, etc.)
   09999 - Other
</t>
  </si>
  <si>
    <t>Community Service Hours</t>
  </si>
  <si>
    <t>The number of hours the student participated in community service.</t>
  </si>
  <si>
    <t>Community Services Program Type</t>
  </si>
  <si>
    <t>The types of program of activities which are not directly related to the provision of educational services in a school system. These include services provided to the community as a whole or some segment of the community.</t>
  </si>
  <si>
    <t xml:space="preserve">Community Services Program
   04946 - Civic services
   04947 - Community recreation
   04948 - Coordination of casework
   04949 - Custody and child care services
   04950 - Public library services
   04951 - Welfare activities
   04952 - Other community services
   09999 - Other
</t>
  </si>
  <si>
    <t>Community Use Space Type</t>
  </si>
  <si>
    <t>The space designed primarily for community or shared use.</t>
  </si>
  <si>
    <t xml:space="preserve">Community Use Space Type
   02760 - Before- and after-school office
   02761 - Child care and development space
   02762 - Health clinic
   02987 - Head Start space
   02763 - Parent room
   02764 - Before- and after-school care
   02765 - Community room
   02766 - Full-service health clinic
   02767 - Family resource center
   09999 - Other
</t>
  </si>
  <si>
    <t>Compensation Amount</t>
  </si>
  <si>
    <t>The amount of income, supplemental pay, fringe benefits, or in-kind compensation an individual receives for performance of duties within a position.</t>
  </si>
  <si>
    <t>Compensation Description</t>
  </si>
  <si>
    <t>A description of the compensation (salary, supplemental pay, fringe benefits, in-kind compensation, or other) an individual receives for the position.</t>
  </si>
  <si>
    <t>Compensation Eligibility</t>
  </si>
  <si>
    <t>The maximum amount of income, supplemental pay, fringe benefits, or in-kind compensation an individual is eligible to receive for performance of duties within a position.</t>
  </si>
  <si>
    <t>Completion Date</t>
  </si>
  <si>
    <t>The month, day, and year on which an individual completed a course, an education program or a staff development activity.</t>
  </si>
  <si>
    <t>Compliance Agency Type</t>
  </si>
  <si>
    <t>The type of agency that has ultimate responsibility for the compliance determination.</t>
  </si>
  <si>
    <t xml:space="preserve">Responsible Compliance Agency Type
   00860 - State agency
   00214 - Regional or intermediate educational agency
   00862 - Local (e.g., school board, city council, municipal board)
   00864 - Private/Religious
   00865 - Charter board
   13652 - Federal Agency
</t>
  </si>
  <si>
    <t>Compliance Determination Date</t>
  </si>
  <si>
    <t>The month, day, and year that the school, building, site, system, component, equipment, or fixture compliance status was determined.</t>
  </si>
  <si>
    <t>Compliance Name</t>
  </si>
  <si>
    <t>The name of the inspection or process that indicates conformity to the requirements or standards specified in federal, state, or local standards or codes.</t>
  </si>
  <si>
    <t>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</si>
  <si>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</si>
  <si>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t xml:space="preserve">Compliance Status
   02570 - In compliance
   02571 - Not in compliance
   02572 - Planned compliance
   02573 - Waived compliance
</t>
  </si>
  <si>
    <t>Component Deficiency</t>
  </si>
  <si>
    <t>A description of the component, system, or finish that needs replacement, repair, or maintenance to perform at an optimal level.</t>
  </si>
  <si>
    <t>Component Identification Code</t>
  </si>
  <si>
    <t>A unique number or alphanumeric code assigned to a component by a school, school system, state, or other agency or entity.</t>
  </si>
  <si>
    <t>Compulsory Attendance Status at Time of Discontinuing School</t>
  </si>
  <si>
    <t>Information about a student at the time of discontinuing school, recorded in accordance with state or local laws and regulations for compulsory school attendance. This may include information about the student's age, his or her progress, the distance from his or her residence to the school or school bus route, economic needs of his or her family, and employment status as it relates to his or her attendance status.</t>
  </si>
  <si>
    <t>Computer Hardware</t>
  </si>
  <si>
    <t>The computer equipment used to do the work (i.e., operate software programs). It consists of the items that can be touched, such as the computer case and peripherals (e.g., monitor, keyboard, mouse) that are attached to the computer.</t>
  </si>
  <si>
    <t xml:space="preserve">Hardware
   03177 - Monitor
   03231 - Keyboard
   03232 - Mouse
   03233 - Speakers
   03234 - Modem
   03235 - Wireless router
   03236 - External storage drive
   03237 - PDA port
</t>
  </si>
  <si>
    <t>Computer Operating System Version</t>
  </si>
  <si>
    <t>Software that contains the electronic instructions that control the computer and run the programs. This software is generally specific to a type of computer (e.g., Windows 2000, UNIX linux, and Mac OS X).</t>
  </si>
  <si>
    <t xml:space="preserve">Computer Operating System
   03216 - Linux/variants
   03430 - Macintosh System 6
   03431 - Macintosh System 7
   03217 - Mac OS 8
   03432 - Mac OS 9
   03433 - Mac OS X
   03427 - Mac OS X v10.2 Jaguar
   03428 - Mac OS X v10.3 Panther
   03429 - Mac OS X v10.4 Tiger
   03218 - MS-DOS
   03219 - IBM OS/2 Warp
   03220 - UNIX / variants
   03221 - Windows CE
   03222 - Windows 3.x
   03223 - Windows 95
   03224 - Windows 98
   03445 - Windows 98 SE
   03226 - Windows ME
   03227 - Windows NT
   03228 - Windows 2000
   03225 - Windows Server 2003
   03229 - Windows XP
</t>
  </si>
  <si>
    <t>Computers Available for Instruction</t>
  </si>
  <si>
    <t>The number of computers available to students for instruction, other than on-line testing (e.g., in classrooms, media centers, and movable from one room to another on media carts.).</t>
  </si>
  <si>
    <t>Condition of Employment</t>
  </si>
  <si>
    <t>Information concerning the employment contract between an individual and an organization.</t>
  </si>
  <si>
    <t>Condition of System or Component</t>
  </si>
  <si>
    <t>The rating of the system or component functions under the demands of its regular operation.</t>
  </si>
  <si>
    <t xml:space="preserve">Condition of System or Component
   02561 - Excellent System or Component Condition
   02562 - Good System or Component Condition
   02563 - Adequate system or component condition
   02564 - Fair System or Component Condition
   02565 - Poor System or Component Condition
   02983 - Nonoperable system or component condition
   02566 - Urgent building system or component condition
   02567 - Emergency system or component condition
</t>
  </si>
  <si>
    <t>Condition Onset Date</t>
  </si>
  <si>
    <t>The month, day, and year of the onset of a condition.</t>
  </si>
  <si>
    <t>Congressional District Number</t>
  </si>
  <si>
    <t>The legislatively defined subdivisions of a State for the purpose of electing representatives or delegates to the House of Representatives of the United States Congress. A State or equivalent entity may comprise a single congressional district or similar representational area. The Federal Information Processing Standard (FIPS) provides the structure of numeric codes for representing congressional districts and similar areas defined for the various Congresses of the United States. The Congressional Districts Number is a two-digit numeric code. (Note: The Congressional District code can be accessed online by visiting the FIPS Home Page at http://www.itl.nist.gov/fipspubs/.)</t>
  </si>
  <si>
    <t>Construction Date</t>
  </si>
  <si>
    <t>The month, day, and year on which construction of a building, addition, or improvement was completed.</t>
  </si>
  <si>
    <t>Construction Date Type</t>
  </si>
  <si>
    <t>Designation of the nature of the construction completion date.</t>
  </si>
  <si>
    <t xml:space="preserve">Construction Date Type
   02420 - Actual
   02421 - Estimated
</t>
  </si>
  <si>
    <t>Construction Material Type</t>
  </si>
  <si>
    <t>The primary material used for the construction of a building.</t>
  </si>
  <si>
    <t xml:space="preserve">Construction Material Type
   02422 - Brick
   02423 - Brick veneer
   02424 - Block
   02425 - Wood frame
   02426 - Concrete
   02427 - Prefabricated
   02428 - Aluminum
   02429 - Steel
   02430 - Adobe
   09999 - Other
</t>
  </si>
  <si>
    <t>Contact Sequence</t>
  </si>
  <si>
    <t>Number indicating the order in which the person should be contacted.</t>
  </si>
  <si>
    <t>Contract Beginning Date</t>
  </si>
  <si>
    <t>The month, day, and year on which a contract between an individual and a governing authority specifies that employment is to begin (or the date on which the agreement is made valid).</t>
  </si>
  <si>
    <t>Contract Ending Date</t>
  </si>
  <si>
    <t>The month, day, and year on which a contract between an individual and a governing authority specifies that employment is to end (or the date on which the agreement is no longer valid).</t>
  </si>
  <si>
    <t>Contractual Term</t>
  </si>
  <si>
    <t>The length of the contract under which an individual is employed by an employer.</t>
  </si>
  <si>
    <t xml:space="preserve">Contractual Term
   01439 - Short-term
   00410 - Annual year
   01440 - Continuing
   01441 - Renewable
   01442 - Multiyear
   09999 - Other
</t>
  </si>
  <si>
    <t>Contruction Year</t>
  </si>
  <si>
    <t>The year the building was first constructed.</t>
  </si>
  <si>
    <t>Cooling Generation System</t>
  </si>
  <si>
    <t>The type of mechanical systems and building designs used for cooling.</t>
  </si>
  <si>
    <t xml:space="preserve">Cooling System
   02486 - Central cooling system
   02487 - Local zone cooling system
   02488 - Individual (room) unit cooling system
   02489 - Combination cooling systems
   02490 - Ceiling fans or ventilation fans
   02491 - Natural systems
   09998 - None
   09999 - Other
</t>
  </si>
  <si>
    <t>Copyright Date</t>
  </si>
  <si>
    <t>The month, day, and year that a publication lists for its copyright.</t>
  </si>
  <si>
    <t>Copyright Holder</t>
  </si>
  <si>
    <t>Name of the copyright holder</t>
  </si>
  <si>
    <t>Corrected Score/Results</t>
  </si>
  <si>
    <t>A revised qualitative or quantitative description or indicator of an individual's health status, condition, performance, or assessed ability with the assistance of corrective equipment. This is recorded after a medical examination is performed.</t>
  </si>
  <si>
    <t>Corrective Equipment Prescribed</t>
  </si>
  <si>
    <t>A description of the corrective equipment (e.g., contact lenses, glasses, or hearing aid) that an individual's condition necessitates.</t>
  </si>
  <si>
    <t>Corrective Equipment Purpose</t>
  </si>
  <si>
    <t>A description of the reason for or the prescribed use of corrective equipment.</t>
  </si>
  <si>
    <t>Country of Citizenship Code</t>
  </si>
  <si>
    <t>The unique two digit International Organization for Standardization (ISO) code for the country to which an individual acknowledges citizenship. (Note: A list of countries and codes is currently maintained and updated by the ISO as ISO 3166 on its website http://www.iso.org/iso/en/prods-services/iso3166ma/index.html.)</t>
  </si>
  <si>
    <t>County Federal Information Processing Standards Code</t>
  </si>
  <si>
    <t>The Federal Information Processing Standards (FIPS) numeric code for the county issued by the National Institute of Standards and Technology (NIST). Counties are considered to be the `first-order subdivisions` of each State and statistically equivalent entity, regardless of their local designations (county, parish, borough, etc.). Counties in different States will have the same code. A unique county number is created when combined with the 2-digit FIPS State Code.</t>
  </si>
  <si>
    <t>County of Birth</t>
  </si>
  <si>
    <t>The name of the county, parish, borough, or comparable unit (within a state) in which an individual was born.</t>
  </si>
  <si>
    <t>Course Attendance Frequency Requirement</t>
  </si>
  <si>
    <t>A description of any synchronous attendance requirement (online or in person) or the number of times a student must log in and the length of the log in time required for an asynchronous course.</t>
  </si>
  <si>
    <t>Course Attendance Requirement</t>
  </si>
  <si>
    <t>An indication that a course attendance is required during specific periods, at specific intervals, or for a specific student population.</t>
  </si>
  <si>
    <t>Course Weight</t>
  </si>
  <si>
    <t>The amount of weight this course holds in calculating a grade or GPA.</t>
  </si>
  <si>
    <t>Coverage Amount</t>
  </si>
  <si>
    <t>The total amount or degree to which an individual is entitled benefits.</t>
  </si>
  <si>
    <t>Coverage Beginning Date</t>
  </si>
  <si>
    <t>The month, day, and year on which an individual's benefit plan becomes effective.</t>
  </si>
  <si>
    <t>Coverage Description</t>
  </si>
  <si>
    <t>A description or title of the actual plan, program, or policy by which an individual is provided coverage.</t>
  </si>
  <si>
    <t>Coverage Ending Date</t>
  </si>
  <si>
    <t>The month, day, and year on which an individual's benefit plan ends.</t>
  </si>
  <si>
    <t>Coverage Identifier</t>
  </si>
  <si>
    <t>Information necessary to identify an individual's benefit plan (e.g., group reference, policy number, etc.).</t>
  </si>
  <si>
    <t>Coverage Type</t>
  </si>
  <si>
    <t>The specific type of plan (e.g., family coverage, high option, low option, term, whole life) by which an individual is covered.</t>
  </si>
  <si>
    <t xml:space="preserve">Coverage Type
   14919 - Family Coverage
   14920 - High option
   14921 - Low option
   01571 - Term life insurance
   14922 - Whole life insurance
   14923 - Dental Insurance
   14924 - Health Insurance
   14925 - Long term disability
</t>
  </si>
  <si>
    <t>Crafts and Trades Job Classification</t>
  </si>
  <si>
    <t>A general job classification that describes staff that performs tasks requiring high manual skill level which is acquired through on-the-job training and experience or through apprenticeship or other formal training programs. This assignment requires considerable judgment and a thorough and comprehensive knowledge of the processes involved in the work.</t>
  </si>
  <si>
    <t xml:space="preserve">Crafts and Trades Job Classification
   04851 - Brick mason
   04852 - Carpenter
   04853 - Cement mason
   04854 - Electrician
   04855 - HVAC mechanic
   04856 - Locksmith
   04857 - Maintenance repairers/general utility
   04858 - Painter and paperhanger
   04859 - Plasterer
   04860 - Plumber
   04861 - Printer
   04862 - Vehicle mechanic
   09999 - Other
</t>
  </si>
  <si>
    <t>Credential Assessment Code</t>
  </si>
  <si>
    <t>A unique number or alphanumeric code used by a state or local education agency or a testing organization to identify a particular assessment given to an individual.</t>
  </si>
  <si>
    <t>Credential Assessment Content</t>
  </si>
  <si>
    <t>An indication of the specific content (e.g., subject matter) on which an individual is evaluated through an assessment.</t>
  </si>
  <si>
    <t xml:space="preserve">Credential Assessment Content
   01285 - Basic mathematics
   01286 - Basic reading
   00565 - Spelling
   01287 - Writing
   01288 - Basic language arts
   01289 - General knowledge
   01290 - Credential subject matter
   01291 - Knowledge of teaching/pedagogy
   01292 - Technology/computer literacy
   01293 - Teaching performance
   01294 - Administrator knowledge
   01295 - Administrator performance
   09999 - Other
</t>
  </si>
  <si>
    <t>Credential Assessment Content Level</t>
  </si>
  <si>
    <t>An indication of the level (e.g., basic or advanced) of the content on which an individual is evaluated through an assessment.</t>
  </si>
  <si>
    <t>Credential Assessment Date</t>
  </si>
  <si>
    <t>The day, month, and year on which a credential assessment was administered.</t>
  </si>
  <si>
    <t>Credential Assessment Purpose</t>
  </si>
  <si>
    <t>The reason for which an assessment is being conducted.</t>
  </si>
  <si>
    <t xml:space="preserve">Credential Assessment Purpose
   01276 - Initial credentialing
   01277 - Continuation of credential
   01278 - Renewal of credential
   09999 - Other
</t>
  </si>
  <si>
    <t>Credential Assessment Score/Results</t>
  </si>
  <si>
    <t>An indication of the evaluated performance of an individual on a credential assessment.</t>
  </si>
  <si>
    <t>Credential Authorized Function</t>
  </si>
  <si>
    <t>A functional area within which an individual is authorized to serve by an active credential (e.g., English teaching, vocational education, special education, career counseling, principal, superintendent, or online teacher).</t>
  </si>
  <si>
    <t>Credential Description</t>
  </si>
  <si>
    <t>An indication of the title or description of a credential that an individual holds.</t>
  </si>
  <si>
    <t>Credential Fee Amount</t>
  </si>
  <si>
    <t>The amount of money required from an individual as a fee for receiving a credential.</t>
  </si>
  <si>
    <t>Credential Renewal Date</t>
  </si>
  <si>
    <t>The month, day, and year on which the individual met the requirements necessary to renew a credential.</t>
  </si>
  <si>
    <t>Credential Renewal Requirement</t>
  </si>
  <si>
    <t>An indication of any requirements necessary for an individual to renew a credential.</t>
  </si>
  <si>
    <t xml:space="preserve">Credential Renewal Requirement
   01260 - Education hours completed
   01261 - Degree completed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01271 - Advisor/mentor approval
   01255 - Tuberculosis screening
   01256 - Drug testing
   01257 - Chest x-ray
   01258 - Oath of allegiance
   02307 - Recertification points received
   01272 - Time on the job
   01259 - Compliance with state tax laws
   09998 - None
   09999 - Other
</t>
  </si>
  <si>
    <t>Credential Renewal Units Attempted</t>
  </si>
  <si>
    <t>The number of professional development or re-certification units attempted by the individual.</t>
  </si>
  <si>
    <t>Credential Renewal Units Earned</t>
  </si>
  <si>
    <t>The number of professional development or re-certification units earned by the individual.</t>
  </si>
  <si>
    <t>Credential Revocation Date</t>
  </si>
  <si>
    <t>The month, day, and year on which a credential was revoked.</t>
  </si>
  <si>
    <t>Credential Revocation Reason</t>
  </si>
  <si>
    <t>The basis of the decision to revoke a credential (e.g., lapsed, felony conviction).</t>
  </si>
  <si>
    <t>Credits Attempted: Given Grading Period</t>
  </si>
  <si>
    <t>The number of credits an individual attempts to earn by taking courses during a given grading period.</t>
  </si>
  <si>
    <t>Credits Attempted: Given School Year</t>
  </si>
  <si>
    <t>The total number of credits an individual attempts to earn by taking courses during a given school year (e.g., 1999-2000).</t>
  </si>
  <si>
    <t>Credits Attempted: Given Session</t>
  </si>
  <si>
    <t>The total number of credits an individual attempts to earn by taking courses during a given grading period.</t>
  </si>
  <si>
    <t>Credits Earned in Course/Staff Development Activity</t>
  </si>
  <si>
    <t>The number of credits earned by an individual for completing a course or staff development activity.</t>
  </si>
  <si>
    <t>Credits Received: Given Grading Period</t>
  </si>
  <si>
    <t>The number of credits an individual earns by successfully completing courses or examinations during a given grading period.</t>
  </si>
  <si>
    <t>Credits Received: Given School Year</t>
  </si>
  <si>
    <t>The total number of credits an individual earns by successfully completing courses or examinations during a given school year.</t>
  </si>
  <si>
    <t>Credits Received: Given Session</t>
  </si>
  <si>
    <t>The total number of credits an individual earns by successfully completing courses or examinations during a given session.</t>
  </si>
  <si>
    <t>Crisis Descriptor(s)</t>
  </si>
  <si>
    <t>Curriculum Framework Name</t>
  </si>
  <si>
    <t>The name of the curriculum framework use for this course.</t>
  </si>
  <si>
    <t>Custody Status</t>
  </si>
  <si>
    <t>An indicator as to whether this contact has or shares custody of the student.</t>
  </si>
  <si>
    <t>Daily Attendance Status</t>
  </si>
  <si>
    <t>The status of a student's attendance during a given day while school is in session.</t>
  </si>
  <si>
    <t>Date Attendance Value</t>
  </si>
  <si>
    <t>Amount of the school day in which the student should be in attendance.</t>
  </si>
  <si>
    <t>Date Count toward Attendance</t>
  </si>
  <si>
    <t>An indication as to whether date should be counted toward student attendance.</t>
  </si>
  <si>
    <t>Date Credential Requirement Met</t>
  </si>
  <si>
    <t>The month, day, and year on which the individual met the requirement necessary to receive a credential.</t>
  </si>
  <si>
    <t>Date Founded</t>
  </si>
  <si>
    <t>The month, day, and year in which the institution was founded.</t>
  </si>
  <si>
    <t>Date of Assessment Revision</t>
  </si>
  <si>
    <t>Date of Capital Expenditure</t>
  </si>
  <si>
    <t>The month, day, and year that the funds for a capital project are encumbered, usually upon execution of a service or construction contract.</t>
  </si>
  <si>
    <t>Date of Certificate of Occupancy</t>
  </si>
  <si>
    <t>The month, day and year in which a certificate of occupancy was granted by the appropriate local authority.</t>
  </si>
  <si>
    <t>Date of Closure</t>
  </si>
  <si>
    <t>The month, day, and year that the education institution was closed.</t>
  </si>
  <si>
    <t>Date of Complaint</t>
  </si>
  <si>
    <t>The month, day, and year on which a statement or official expression is submitted by another individual against the employee about his or her employment.</t>
  </si>
  <si>
    <t>Date of Last Audit</t>
  </si>
  <si>
    <t>The month, day, and year of the latest review of the process, finances, or quality of work associated with capital projects.</t>
  </si>
  <si>
    <t>Date of Last Bond Referendum</t>
  </si>
  <si>
    <t>The month, day, and year of the last request to the public for approval to raise revenue that will enable borrowing by a school district, as is required and prescribed by law.</t>
  </si>
  <si>
    <t>Date of Release</t>
  </si>
  <si>
    <t>The day, month, and year that the accountability report is released.</t>
  </si>
  <si>
    <t>Date Opened</t>
  </si>
  <si>
    <t>The first month, day, and year of operation.</t>
  </si>
  <si>
    <t>Day/Evening Session</t>
  </si>
  <si>
    <t>An indication of the time of day that instruction is provided by the educational institution.</t>
  </si>
  <si>
    <t xml:space="preserve">Day/Evening Session
   00838 - Day
   00839 - Morning
   00840 - Afternoon
   00841 - Evening
   00842 - Anytime
   09999 - Other
</t>
  </si>
  <si>
    <t>Day/Evening Status</t>
  </si>
  <si>
    <t>The status of a student in relation to the time of day that he or she attends the majority of his or her classes, as defined by the educational institution.</t>
  </si>
  <si>
    <t xml:space="preserve">Day/Evening Status
   01856 - Day student
   01857 - Morning student
   01858 - Afternoon student
   01859 - Evening student
   01860 - Self-paced
   09999 - Other
</t>
  </si>
  <si>
    <t>Days of Service Per Week</t>
  </si>
  <si>
    <t>The average number of days per week that an individual is expected to work as outlined specifically in his or her employment agreement.</t>
  </si>
  <si>
    <t>Death Cause</t>
  </si>
  <si>
    <t>The official cause of an individual's death.</t>
  </si>
  <si>
    <t>Death Date</t>
  </si>
  <si>
    <t>The month, day, and year of an individual's death.</t>
  </si>
  <si>
    <t>Debt Amount</t>
  </si>
  <si>
    <t>The amount of debt currently being carried by the school district.</t>
  </si>
  <si>
    <t>Debt Financing Type</t>
  </si>
  <si>
    <t>The type of long-term debt instrument, usually applicable to large capital projects, that obligates the issuer to pay back debt principal over a defined period at an agreed-upon rate of interest.</t>
  </si>
  <si>
    <t xml:space="preserve">Debt Financing Type
   02949 - General obligation bond
   02950 - Municipal bond
   02951 - Revenue bond
   02952 - Certificates of participation
   02953 - Tax increment financing
   13713 - Advance refunding
   13714 - Debt Defeasance
   13715 - Installment financing
   13716 - Mortgage
   09999 - Other
</t>
  </si>
  <si>
    <t>Deduction Amount</t>
  </si>
  <si>
    <t>The amount of money to be withheld or deducted from the employee's paycheck.</t>
  </si>
  <si>
    <t>Deduction Period</t>
  </si>
  <si>
    <t>The length of time in which money is withheld or deducted from the employee's paycheck, which begins on the month, day, and year on which the deduction is first made, and ends on the month, day, and year on which the last deduction is made.</t>
  </si>
  <si>
    <t>Degree/Certificate Service Area</t>
  </si>
  <si>
    <t>The Early Intervention service area specialization of a degree or certificate.</t>
  </si>
  <si>
    <t xml:space="preserve">EI Service Types
   06014 - Assistive technology services and devices
   06015 - Audiology services
   14932 - Family training, counseling, and home visits
   06016 - Health services
   00262 - Medical services
   00335 - Nursing service
   00336 - Nutrition services
   00309 - Occupational therapy
   00313 - Physical therapy
   00331 - Psychological services
   00294 - Service coordination (case management services)
   14933 - Sign language and cued language services
   00337 - Social work services
   06018 - Special instruction
   00322 - Speech-language therapy
   06019 - Transportation and related
   00330 - Vision services
   09999 - Other
</t>
  </si>
  <si>
    <t>Deposit Amount</t>
  </si>
  <si>
    <t>The amount that is deposited into an individual's bank account.</t>
  </si>
  <si>
    <t>Deposit Date</t>
  </si>
  <si>
    <t>The month, day, and year on which the deposit was made to an individual's bank account.</t>
  </si>
  <si>
    <t>Description of Collaboration</t>
  </si>
  <si>
    <t>A description of the collaboration between organizations.</t>
  </si>
  <si>
    <t>Description of Work Requested</t>
  </si>
  <si>
    <t>A description of the work requested.</t>
  </si>
  <si>
    <t>Developmental Delay</t>
  </si>
  <si>
    <t>Delays as measured by appropriate diagnostic instruments and procedures.</t>
  </si>
  <si>
    <t>Developmental Screening Results</t>
  </si>
  <si>
    <t>The administration of a brief standardized screening tool aiding in the identification of children at risk of a developmental disorder.</t>
  </si>
  <si>
    <t xml:space="preserve">Developmental Screening Results
   14579 - Further evaluation needed
   14580 - No further evaluation needed
</t>
  </si>
  <si>
    <t>Diagnosis of Causative Factor (Condition)</t>
  </si>
  <si>
    <t>An evaluation of the physiological reason for an individual's condition or impairment by a qualified health care provider.</t>
  </si>
  <si>
    <t>Dialect Name</t>
  </si>
  <si>
    <t>The name of the specific dialect that an individual uses to communicate.</t>
  </si>
  <si>
    <t>Direct Assessment Administration of Group/Individual</t>
  </si>
  <si>
    <t>Information about the grouping of the direct administration of the assessment to students.</t>
  </si>
  <si>
    <t xml:space="preserve">Assessment Administration Method
   00439 - Group
   00440 - Individual
   00441 - Both group and individual
</t>
  </si>
  <si>
    <t>Disability Level</t>
  </si>
  <si>
    <t>The degree of disability as determined by a qualified evaluator (e.g., mild mental retardation, moderate mental retardation, severe mental retardation).</t>
  </si>
  <si>
    <t>Disability Severity</t>
  </si>
  <si>
    <t>The severity of the disability.</t>
  </si>
  <si>
    <t xml:space="preserve">Disability Severity
   05997 - No problem
   05998 - Mild problem
   05999 - Moderate problem
   06000 - Severe problem
   06001 - Complete problem
   06002 - Not specified
   06003 - Not applicable
</t>
  </si>
  <si>
    <t>Discontinuing Schooling Reason</t>
  </si>
  <si>
    <t>The primary reason for which a student discontinued schooling or left school before graduation or matriculation.</t>
  </si>
  <si>
    <t xml:space="preserve">Discontinuing Schooling Reason
   02154 - Academic difficulty
   01933 - Behavioral difficulty
   01934 - Dislike of school experience
   01935 - Economic reasons
   01936 - Employment
   01937 - Entered criminal justice system
   01938 - Failed required test
   01939 - Lack of appropriate curriculum
   01940 - Lack of childcare
   01941 - Lack of transportation
   01942 - Language difficulty
   01943 - Marriage
   01944 - Military reason
   01945 - Needed at home
   01946 - Parent/guardian influence
   01947 - Poor relationships with fellow students
   01948 - Poor student-staff relationships
   01949 - Pregnancy
   01950 - Religion reason
   01951 - Substance abuse
   01952 - Failed graduation examination
   03416 - Technical difficulty
   02233 - Unknown reason
   09999 - Other
</t>
  </si>
  <si>
    <t>Discount Rate</t>
  </si>
  <si>
    <t>The interest rate used to assess the present value of future cost and revenue streams.</t>
  </si>
  <si>
    <t>Diseases, Illnesses, and Other Health Conditions</t>
  </si>
  <si>
    <t>An instance in which an individual has contracted a disease, illness, or other health condition (e.g., pregnancy).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</si>
  <si>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Distance From Home to School</t>
  </si>
  <si>
    <t>The distance between a student's residence and the school measured according to state or local regulations.</t>
  </si>
  <si>
    <t>Distinguished School Status</t>
  </si>
  <si>
    <t>An indication of whether the school has been identified as distinguished based on the state accountability requirements.</t>
  </si>
  <si>
    <t>Drugs Excluding Alcohol and Tobacco Violation</t>
  </si>
  <si>
    <t>Unlawful use, cultivation, manufacture, distribution, sale, solicitation, purchase, possession, transportation, or importation of any controlled drug (e.g., Demerol, morphine) or narcotic substance.</t>
  </si>
  <si>
    <t xml:space="preserve">Drugs Excluding Alcohol and Tobacco Violation
   04636 - Sale of illegal drug
   04637 - Sale of substance represented as an illegal drug
   04638 - Distribution of illegal drug
   04639 - Distribution of substance represented as an illegal drug
   04640 - Use of illegal drug
   04641 - Possession of illegal drug
   04642 - Possession of drug paraphernalia
   04643 - Suspicion of use
   13781 - Solicitation of illegal drug
   09999 - Other
</t>
  </si>
  <si>
    <t>Dwelling Arrangement</t>
  </si>
  <si>
    <t>An indication of the arrangement or environment in which an individual resides.</t>
  </si>
  <si>
    <t xml:space="preserve">Dwelling Arrangement
   01669 - Boarding house
   01670 - Cooperative house
   01671 - Crisis shelter
   01672 - Disaster shelter
   01673 - Residential school/dormitory
   01674 - Family residence
   01675 - Foster home
   01676 - Institution
   01677 - Prison or juvenile detention center
   01678 - Rooming house
   01679 - Transient shelter
   01680 - No home
   01681 - Other dormitory
   03425 - Group home/halfway house
   09999 - Other
</t>
  </si>
  <si>
    <t>Dwelling Ownership</t>
  </si>
  <si>
    <t>An indication of the type of ownership of a residence in which an individual lives.</t>
  </si>
  <si>
    <t xml:space="preserve">Dwelling Ownership
   01682 - Owned property
   01683 - Public or subsidized housing
   01684 - Rental property
   09999 - Other
</t>
  </si>
  <si>
    <t>Early Childhood Program Purposes</t>
  </si>
  <si>
    <t>A description of the major purposes of an early childhood program.</t>
  </si>
  <si>
    <t xml:space="preserve">Early Childhood Program Components
   03492 - Care
   01156 - Education
   03493 - Services
</t>
  </si>
  <si>
    <t>Early Childhood Program Sponsorship</t>
  </si>
  <si>
    <t>The type of organizational sponsorship of an early childhood program.</t>
  </si>
  <si>
    <t xml:space="preserve">Early Childhood Program Sponsorship
   02177 - Public school sponsored program
   02178 - Publicly sponsored program
   02179 - Non-profit and not-for-profit privately sponsored program
   02180 - For-profit program
</t>
  </si>
  <si>
    <t>Early Childhood Special Education Funding Source</t>
  </si>
  <si>
    <t>The primary method by which funds are generated in order to support a program.</t>
  </si>
  <si>
    <t xml:space="preserve">Early Childhood Program Funding Source
   02181 - Sponsor generated
   02182 - Client/tuition fees
   02183 - Both sponsor generated and client tuition/fees
   09999 - Other
</t>
  </si>
  <si>
    <t>Early Childhood Special Education Program Focus</t>
  </si>
  <si>
    <t>An indication as to whether the programs and services provided to a child have a special education focus.</t>
  </si>
  <si>
    <t xml:space="preserve">Early Childhood Program Focus
   02193 - Designed for children with developmental delay or disability
   02194 - Designed for typically developing children
   02195 - Designed for children with developmental delay and typically developing children
</t>
  </si>
  <si>
    <t>Early Childhood Special Education Setting</t>
  </si>
  <si>
    <t>The site or setting in which a child receives special education early childhood care, education, and/or services.</t>
  </si>
  <si>
    <t xml:space="preserve">Early Childhood Program Setting
   02164 - Child's home
   02165 - Home other than the child's
   02166 - Public school facility
   03496 - Special education classroom in a public school facility
   00776 - Private school
   03497 - Special education classroom in a private school
   02167 - Childcare facility
   02184 - Special education classroom in child care facility
   02168 - Head Start center (no matter where offered)
   02169 - Religion-affiliated institution
   02170 - Business/workplace
   02172 - University/postsecondary institution
   02187 - Hospital facility
   02190 - Facility sponsored by a state agency
   02174 - Shelter or orphanage
   02188 - Other community-based setting
   02191 - Other childcare facility
   09999 - Other
</t>
  </si>
  <si>
    <t>Early Intervention Caseload</t>
  </si>
  <si>
    <t>The number of children ages birth-three for whom an employee provides services.</t>
  </si>
  <si>
    <t>Early Intervention Credential Assessment Content</t>
  </si>
  <si>
    <t>An indication of the specific early intervention content on which an individual is evaluated through an assessment.</t>
  </si>
  <si>
    <t>Early Intervention Credential Service Area</t>
  </si>
  <si>
    <t>The early intervention service area specialization of a license/credential.</t>
  </si>
  <si>
    <t>Early Intervention Evaluation Process Description/Title</t>
  </si>
  <si>
    <t>The process, instrument, or informed clinical opinion used to identify or evaluate an individual''s need for services.</t>
  </si>
  <si>
    <t>Early Intervention Level of Personal Functioning</t>
  </si>
  <si>
    <t>An activity or execution of a task or action by an infant or toddler. (Note: see the Activity Codes and their qualifiers established in the World''s Health Organization''s International Classification of Functioning, Disability and Health.)</t>
  </si>
  <si>
    <t>Early Intervention Postsecondary Subject Matter Area</t>
  </si>
  <si>
    <t>The descriptive name of an Early Intervention academic or vocational discipline studied by an individual in an educational program or staff development activity.</t>
  </si>
  <si>
    <t>Early Intervention Program Degree Type</t>
  </si>
  <si>
    <t>The type of Early Intervention certification or degree earned by an individual.</t>
  </si>
  <si>
    <t xml:space="preserve">Program Degree Type
   06043 - Developmental specialist
   06044 - Developmental therapist
   06045 - Early intervention generalist
   06046 - Early intervention specialist
   06047 - Early interventionist
   06048 - Early childhood educator
   06049 - Early childhood special educator
   06051 - Pre-school special needs teacher
   06052 - Educational assistant (level I, II, III)
   06053 - Early childhood teacher assistant (I, II, III)
   06054 - Early childhood associate
   06055 - Developmental therapy assistant
   06056 - Developmental therapy associate
   00059 - Paraprofessionals/teacher aides
   09999 - Other
</t>
  </si>
  <si>
    <t>Early Intervention Service Description</t>
  </si>
  <si>
    <t>The type of Early Intervention services delivered to a child who has been determined eligible for services under Part C of IDEA.</t>
  </si>
  <si>
    <t>Early Intervention Service Location</t>
  </si>
  <si>
    <t>The type of location at which Early Intervention instruction or service takes place.</t>
  </si>
  <si>
    <t xml:space="preserve">Location Type
   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</si>
  <si>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Earned Income Credit</t>
  </si>
  <si>
    <t>The amount of tax credit available to an eligible individual that he or she can use to reduce his or her tax liability.</t>
  </si>
  <si>
    <t>Earning Rates of Pay</t>
  </si>
  <si>
    <t>The monetary unit of salary compensation an individual is paid for performance of agreed-upon duties.</t>
  </si>
  <si>
    <t>Education Planned</t>
  </si>
  <si>
    <t>The extent of postsecondary education a student is planning to pursue after graduating from or leaving his or her current school or enrollment.</t>
  </si>
  <si>
    <t xml:space="preserve">Degree/Certificate Type
   01045 - High school diploma or the equivalent (e.g., GED or recognized homeschool)
   73063 - Adult education certification, endorsement, or degree
   00819 - Career and Technical Education certificate
   01047 - Formal award, certificate or diploma (less than one year)
   01048 - Formal award, certificate or diploma (more than or equal to one year)
   01049 - Some college but no degree
   01050 - Associate's degree (two years or more)
   01051 - Bachelor's (Baccalaureate) degree 
   01052 - Graduate certificate
   01053 - First-professional degree 
   01054 - Master's degree (e.g., M.A., M.S., M. Eng., M.Ed., M.S.W., M.B.A., M.L.S.)
   01055 - Specialist's degree (e.g., Ed.S.)
   01056 - Post-professional degree
   01057 - Doctoral (Doctor's) degree 
   09999 - Other
</t>
  </si>
  <si>
    <t>Educational Program/Staff Development Activity Anticipated Outcome</t>
  </si>
  <si>
    <t>The anticipated results of an individual's successful participation in an educational program or staff development activity.</t>
  </si>
  <si>
    <t xml:space="preserve">Educational Program/Staff Development Activity Anticipated Outcome
   01125 - Completion of high school credential
   01126 - Obtain training for employment
   01127 - Completion of an initial degree program
   01128 - Completion of an initial degree program and professional credential requirements
   01129 - Seeking an initial professional credential
   01130 - Completion of an additional degree program
   01131 - Obtaining an advanced-level credential
   01132 - Maintaining or renewing a credential
   01133 - Meeting staff development requirements
   01134 - Qualifying for an advanced level job
   01135 - Qualifying for a salary increase
   01136 - Personal improvement
   09999 - Other
</t>
  </si>
  <si>
    <t>Educational Program/Staff Development Activity Arrangement</t>
  </si>
  <si>
    <t>An indication of the manner in which an individual's participation in an educational program or staff development activity has been scheduled.</t>
  </si>
  <si>
    <t xml:space="preserve">Educational Program/Staff Development Activity
   00348 - Released time, substitute provided
   00350 - Released time from duties, no substitute provided
   00352 - Off-the-job
</t>
  </si>
  <si>
    <t>Educational Program/Staff Development Activity Compensation</t>
  </si>
  <si>
    <t>An indication of the type of financial support an individual receives for participating in an educational program or staff development activity.</t>
  </si>
  <si>
    <t xml:space="preserve">Educational Program/Staff Development Activity Compensation
   00343 - Time paid
   00344 - Stipend only
   00345 - Travel/expense reimbursement
   00346 - Tuition and/or fees
   00347 - No compensation
   01469 - In-kind compensation
   09999 - Other
</t>
  </si>
  <si>
    <t>Educational Program/Staff Development Activity Contact Hours</t>
  </si>
  <si>
    <t>The total number of hours or portion of hours in which an individual participates in an educational program or staff development activity.</t>
  </si>
  <si>
    <t>Educational Program/Staff Development Activity Description</t>
  </si>
  <si>
    <t>A description of the content standards and goals covered in the educational program/staff development activity.</t>
  </si>
  <si>
    <t>Educational Program/Staff Development Activity Duration</t>
  </si>
  <si>
    <t>The average number of hours or portion of hours that an individual participates in an educational program or staff development activity session.</t>
  </si>
  <si>
    <t>Educational Program/Staff Development Activity Format</t>
  </si>
  <si>
    <t>A designation of the specific category explaining how an educational program or staff development activity is organized.</t>
  </si>
  <si>
    <t xml:space="preserve">Educational Program/Staff Development Activity Format
   01192 - Computer-based course
   01200 - Conference
   01201 - Committee
   01202 - Collaborative activity
   01193 - Correspondence course
   00607 - Distance learning
   01203 - Instructor provided course
   00608 - Virtual/On-line Distance learning
   02032 - Internship experience
   01204 - Mentoring/coaching
   01205 - Networking with professionals in the field
   01206 - Professional collaboration
   01207 - Professional organization
   01208 - Research and/or publication
   01209 - Self-instruction
   01210 - Training course
   09999 - Other
</t>
  </si>
  <si>
    <t>Educational Program/Staff Development Activity Frequency</t>
  </si>
  <si>
    <t>The average number of sessions per month that an individual participates in an educational program or staff development activity.</t>
  </si>
  <si>
    <t>Educational Program/Staff Development Activity Intensity</t>
  </si>
  <si>
    <t>The total number of sessions an individual is expected to participate in an educational program or staff development activity.</t>
  </si>
  <si>
    <t>Educational Program/Staff Development Activity Involvement</t>
  </si>
  <si>
    <t>A description of an individual's level of involvement in an educational program or staff development activity (e.g., chairperson of a committee, voting or affiliate member of a group, student enrolled in a course, student auditing a course).</t>
  </si>
  <si>
    <t>Educational Program/Staff Development Activity Location</t>
  </si>
  <si>
    <t>An indication as to the location at which an educational program or staff development activity takes place (e.g., room number, building site, campus designation, or address of a business organization, service center, or community building).</t>
  </si>
  <si>
    <t>Educational Program/Staff Development Activity Name</t>
  </si>
  <si>
    <t>The name given to an educational program/staff development activity offered in a school or other institution or organization.</t>
  </si>
  <si>
    <t>Educational Program/Staff Development Activity Outcomes</t>
  </si>
  <si>
    <t>The description of any products, honors, or recognition resulting from participation in an educational program or staff development activity. Examples include the development of reports, publications, curriculum frameworks, and/or program plans.</t>
  </si>
  <si>
    <t>Educational Program/Staff Development Activity Participant's Role</t>
  </si>
  <si>
    <t>An indication of the level of involvement of an individual while participating in an educational program or staff development activity.</t>
  </si>
  <si>
    <t xml:space="preserve">Educational Program/Staff Development Activity Participant's Role
   01197 - Consumer/learner
   01198 - Provider/trainer
   01199 - Collaborator/peer
   09999 - Other
</t>
  </si>
  <si>
    <t>Educational Program/Staff Development Activity Purpose</t>
  </si>
  <si>
    <t>The primary reason an individual is involved in an educational program or staff development activity.</t>
  </si>
  <si>
    <t xml:space="preserve">Educational Program/Staff Development Activity Purpose
   01122 - Acquisition of new skills or knowledge
   01123 - Maintenance or improvement of skills or knowledge
   01124 - Remediation of skills or knowledge
</t>
  </si>
  <si>
    <t>Educational Program/Staff Development Activity Relevance</t>
  </si>
  <si>
    <t>An indication as to whether the contents of an educational program or staff development activity are directly related to an individual's performance of job duties.</t>
  </si>
  <si>
    <t xml:space="preserve">Educational Program/Staff Development Activity Relevance
   01137 - Related to current job
   01138 - Related to advancement within the current job
   01139 - Related to a different job or higher position
   01140 - Not related
   02380 - General development
</t>
  </si>
  <si>
    <t>Educational Program/Staff Development Early Intervention Activity Participant''s Role</t>
  </si>
  <si>
    <t>An indication of the level of involvement, in terms of role, of an Early Intervention individual (e.g., employee) while participating in an educational program or staff development activity.</t>
  </si>
  <si>
    <t xml:space="preserve">Educational Program/Staff Development Early Intervention Activity Participant''s Role
   06032 - Consultation
   06033 - Training parents and others
   06064 - Screening Provider
   06035 - Multidisciplinary evaluation
   06036 - Direct service delivery to children
   06037 - Direct service delivery to children and families
   06038 - Service coordination
   06039 - Transition coordination
   06040 - Multidisciplinary team member
   06041 - Interdisciplinary team member
   06042 - Transdisciplinary team member
   09999 - Other
</t>
  </si>
  <si>
    <t>Educator/Agency Program Focus</t>
  </si>
  <si>
    <t>A description of the focus of the program or services offered to educators or agencies.</t>
  </si>
  <si>
    <t>Electrical System</t>
  </si>
  <si>
    <t>The components and system required to distribute electricity throughout the building or site.</t>
  </si>
  <si>
    <t xml:space="preserve">Electrical System
   02472 - Electrical supply
   02473 - Electrical distribution
   02474 - Emergency generator
   02475 - Electrical interface
   02476 - Circuit breakers
   09999 - Other
   13570 - Communications and security
   13571 - Electrical service and distribution
   13572 - Lighting and branch wiring
</t>
  </si>
  <si>
    <t>Electronic Deposit Bank Account Number</t>
  </si>
  <si>
    <t>An identification number uniquely assigned to an account within a bank for the purpose of conducting electronic transfers of funds.</t>
  </si>
  <si>
    <t>Electronic Deposit Bank Routing Number</t>
  </si>
  <si>
    <t>An identification number uniquely assigned to a bank for the purpose of conducting electronic transfers of funds.</t>
  </si>
  <si>
    <t>Eligibility Status</t>
  </si>
  <si>
    <t>An appraisal as to whether an individual is or is not eligible for a given benefit plan.</t>
  </si>
  <si>
    <t xml:space="preserve">Eligibility Status
   01549 - Eligible
   01550 - Eligible, but coverage declined
   01551 - Not eligible for participation
</t>
  </si>
  <si>
    <t>Emergency Factor</t>
  </si>
  <si>
    <t>An identification of a physical or medical condition of potential special significance during an emergency treatment.</t>
  </si>
  <si>
    <t xml:space="preserve">Emergency Factor
   01084 - Allergy, aspirin
   01085 - Allergy, insect bite
   01086 - Allergy, iodine
   01087 - Allergy, penicillin
   01088 - Allergy, sulfa
   01089 - Allergy, multiple
   01090 - Asthma
   01091 - Contact lenses worn
   01092 - Diabetes
   01093 - Drug dependency
   01094 - Epilepsy
   01095 - Hearing impaired
   01096 - Heart disease
   01097 - Hemophilia
   01098 - Rheumatic fever
   01099 - Speech impaired
   01100 - Vision impaired
   09998 - None
   09999 - Other
</t>
  </si>
  <si>
    <t>Emergency Repair</t>
  </si>
  <si>
    <t>A description of the urgent restoration work on a piece of equipment, building, or grounds to original completeness or efficiency from a worn, damaged, or deteriorated condition.</t>
  </si>
  <si>
    <t>Emergency Transportation Cost</t>
  </si>
  <si>
    <t>The cost of transporting students who are temporarily served in other facilities pending repairs to a building to comply with federal, state, or local requirements.</t>
  </si>
  <si>
    <t>Employer Type</t>
  </si>
  <si>
    <t>An indication of the general nature of the major employment of an individual.</t>
  </si>
  <si>
    <t xml:space="preserve">Employer Type
   01803 - Government
   01804 - Military
   01805 - Private organization
   01806 - Self-employed
   01807 - Military/Department of Defense
   01808 - Agricultural/fishery seasonal employer
   09999 - Other
</t>
  </si>
  <si>
    <t>Employment Eligibility Verification</t>
  </si>
  <si>
    <t>The documentation in addition to an identification document with photograph (e.g., driver's license) furnished by an individual to prove his or her eligibility to be legally employed in the United States.</t>
  </si>
  <si>
    <t xml:space="preserve">Employment Eligibility Verification
   01018 - U.S. passport
   01019 - Certificate of U.S. citizenship (INS Form N-560 or N-561)
   01020 - Certificate of naturalization (INS Form N-550 or N-570)
   01024 - Unexpired employment authorization card (INS Form I-688A)
   01022 - Alien registration receipt card with photograph (INS Form I-151 or I-155)
   01023 - Unexpired temporary resident card (INS Form I-688)
   01025 - Unexpired reentry permit (INS Form I-327)
   01026 - Unexpired refugee travel document (INS Form I-571)
   01034 - Unexpired employment authorization document issued by the INS 
   01028 - U.S. social security card issued by the Social Security Administration (other than a card stating it is not valid for employment)
   01029 - Certification of birth abroad issued by the Department of State (Form FS-545 or Form DS-1350)
   01030 - Original or certified copy of a birth certificate issued by a state, county, municipal authority or outlying possession of the United States bearing a
   01031 - Native American tribal document
   01032 - U.S. citizen ID card (INS Form I-197)
   01033 - ID card for use of resident citizen in the United States (INS Form I-179)
   09999 - Other
</t>
  </si>
  <si>
    <t>Employment Location State Abbreviation</t>
  </si>
  <si>
    <t>The state in which an individual is found employed.</t>
  </si>
  <si>
    <t xml:space="preserve">State Abbreviation
   03348 - AL
   03349 - AK
   03350 - AZ
   03351 - AR
   03352 - CA
   03353 - CO
   03354 - CT
   03355 - DE
   03356 - DC
   03357 - FL
   03358 - GA
   03359 - HI
   03360 - ID
   03361 - IL
   03362 - IN
   03363 - IA
   03364 - KS
   03365 - KY
   03366 - LA
   03367 - ME
   03368 - MD
   03369 - MA
   03370 - MI
   03371 - MN
   03372 - MS
   03373 - MO
   03374 - MT
   03375 - NE
   03376 - NV
   03377 - NH
   03378 - NJ
   03379 - NM
   03380 - NY
   03381 - NC
   03382 - ND
   03383 - OH
   03384 - OK
   03385 - OR
   03386 - PA
   03387 - RI
   03388 - SC
   03389 - SD
   03390 - TN
   03391 - TX
   03392 - UT
   03393 - VT
   03394 - VA
   03395 - WA
   03396 - WV
   03397 - WI
   03398 - WY
   03402 - AS
   03403 - GU
   03404 - MP
   03405 - PR
   03406 - VI
   03722 - FM
   03716 - MH
   03747 - PW
</t>
  </si>
  <si>
    <t>Employment Permit Certifying Organization</t>
  </si>
  <si>
    <t>The organization responsible for sanctioning an individual's employment permit.</t>
  </si>
  <si>
    <t>Employment Permit Description</t>
  </si>
  <si>
    <t>The description of a permit, license, or certificate if required of an individual to hold employment.</t>
  </si>
  <si>
    <t>Employment Permit Expiration Date</t>
  </si>
  <si>
    <t>The month, day, and year on which an employment permit expires.</t>
  </si>
  <si>
    <t>Employment Permit Number</t>
  </si>
  <si>
    <t>The number of the permit, license or certificate, if required, of an individual to hold employment.</t>
  </si>
  <si>
    <t>Employment Permit Valid Date</t>
  </si>
  <si>
    <t>The month, day, and year on which an employment permit becomes valid.</t>
  </si>
  <si>
    <t>Employment Recognition</t>
  </si>
  <si>
    <t>The honor or recognition given to an individual for the successful completion of certain tasks or work performed at his or her job.</t>
  </si>
  <si>
    <t xml:space="preserve">Employment Recognition
   02044 - Certification awarded
   02045 - Credit or fulfillment of a requirement
   02046 - Employment permit
   02047 - Honor award
   02048 - Letter of commendation
   02049 - Licensure awarded
   02407 - Job promotion or advancement
   09999 - Other
</t>
  </si>
  <si>
    <t>Employment Separation Date</t>
  </si>
  <si>
    <t>The month, day, and year on which an individual ended a period of self-employment or employment with an organization or institution.</t>
  </si>
  <si>
    <t>Employment Time Annually</t>
  </si>
  <si>
    <t>The annual amount/unit of time an individual is employed to perform an assignment for an employer (e.g., 180 days, nine months, ten months, full year).</t>
  </si>
  <si>
    <t>End Date</t>
  </si>
  <si>
    <t>The ending date on which information in an instance, school year, or reporting period is applicable.</t>
  </si>
  <si>
    <t>End Day</t>
  </si>
  <si>
    <t>Number of the last school day to which an instance, school year, or reporting period applies.</t>
  </si>
  <si>
    <t>Ending Date of Data in Report</t>
  </si>
  <si>
    <t>The last month, day, and year of data covered in the report.</t>
  </si>
  <si>
    <t>Energy Conservation Measure (ECM)</t>
  </si>
  <si>
    <t>The type of modification to, or replacement of, a piece of equipment or building shell/system that increases energy efficiency.</t>
  </si>
  <si>
    <t xml:space="preserve">Energy Conservation Measure
   02846 - Window replacement
   02847 - Installation of energy controls
   02848 - HVAC replacement
   02849 - Lighting replacement
   02850 - Insulation improvements
   13653 - Daylighting
   13654 - Delamping
   14903 - Relamping
   14904 - Installation of solar equipment
   09999 - Other
</t>
  </si>
  <si>
    <t>Energy Service Company (ESCo)</t>
  </si>
  <si>
    <t>The name of the company that designs, procures, finances, installs, maintains, and guarantees the performance of energy conservation measures in an owner's facility or facilities.</t>
  </si>
  <si>
    <t>Energy Source</t>
  </si>
  <si>
    <t>The source of energy that directly powers a school district facility or building system.</t>
  </si>
  <si>
    <t xml:space="preserve">Energy Source
   02853 - Gas
   02854 - Electric
   02842 - Oil
   02855 - Solar
   02856 - Wind
   02857 - Geothermal
   02858 - Coal
   02859 - Nuclear
   02843 - Water
   13655 - Biomass
   09999 - Other
</t>
  </si>
  <si>
    <t>English as a Second Language (ESL) Program Type</t>
  </si>
  <si>
    <t>The types of program of instruction and services in which students identified as limited English proficient are placed in regular immersion instruction for most of the school day but receive extra instruction in English for part of the day. This extra help is based on a special curriculum designed to teach English as a second language and to develop the student's ability to use the English language in an academic setting. The non-English home language may or may not be used in conjunction with ESL instruction.</t>
  </si>
  <si>
    <t xml:space="preserve">English as a Second Language (ESL) Program:
   04929 - Content ESL
   09999 - Other
</t>
  </si>
  <si>
    <t>English Proficiency</t>
  </si>
  <si>
    <t>An individual's adeptness at English as indicated by: a) reading skills (the ability to comprehend and interpret text); b) listening skills (the ability to understand verbal expressions of the language); c) writing skills (the ability to produce written text with content and format); and d) speaking skills (the ability to use oral language appropriately and effectively).</t>
  </si>
  <si>
    <t xml:space="preserve">English Proficiency
   01633 - Native English speaker
   01634 - Fluent English speaker
   02349 - Limited English proficient/English language learner
   01635 - Non-English speaking
   01636 - Redesignated as fluent English proficient
   09997 - Unknown
</t>
  </si>
  <si>
    <t>Enrollment Projection Number</t>
  </si>
  <si>
    <t>The number of students that may be assumed to enroll in a school or school system in the future, based on the number of live births, housing statistics, capture rate, historical cohort survival patterns, in and out migration into the district, and dropout rate. Projections are typically made for 3-, 5-, and 10-year intervals.</t>
  </si>
  <si>
    <t>Enrollment Projection Number-Next Year</t>
  </si>
  <si>
    <t>The number of students that may be assumed to enroll in a school or school system for the next school year.</t>
  </si>
  <si>
    <t>Enrollment Projection Year</t>
  </si>
  <si>
    <t>The year for the student enrollment projection.</t>
  </si>
  <si>
    <t>Enrollment Projection-End Year</t>
  </si>
  <si>
    <t>The last year for which enrollment projections are being developed-typically 5 to 10 years for school facility planning.</t>
  </si>
  <si>
    <t>Enrollment Projection-Start Year</t>
  </si>
  <si>
    <t>The first school year for which enrollment projections are being developed.</t>
  </si>
  <si>
    <t>D</t>
  </si>
  <si>
    <t>Environmental or Energy Performance Rating Categories</t>
  </si>
  <si>
    <t>The primary groupings that rating organizations use to evaluate environmental sustainability and energy use.</t>
  </si>
  <si>
    <t xml:space="preserve">Environmental or Energy Performance Rating Categories
   13620 - Climate/Emissions
   13621 - Energy
   13622 - Indoor Environmental Quality
   13623 - Innovations in Operations/ Project/ Environmental Management
   13624 - Leadership, Education and Innovation
   13625 - Materials and Resources
   13626 - Regional Priority
   13627 - Sustainable Sites
</t>
  </si>
  <si>
    <t>Environmental or Energy Performance Rating System</t>
  </si>
  <si>
    <t>An evaluation system that certifies that an appliance, building system or component,building or facility is designed and constructed to improve the following metrics: energy savings, water efficiency, CO2 emissions reduction, improved indoor environmental quality, and stewardship of resources and sensitivity to their impacts.</t>
  </si>
  <si>
    <t>iD</t>
  </si>
  <si>
    <t xml:space="preserve">Environmental or Energy Performance Rating System
   13573 - Collaborative for High Performance Schools (CHPS)
   13574 - Energy Star National Energy Performance Rating
   13575 - Green Globes
   13576 - Leadership in Energy and Environmental Design (LEED) for Schools
</t>
  </si>
  <si>
    <t>Equipment Description</t>
  </si>
  <si>
    <t>The description of a particular piece of equipment.</t>
  </si>
  <si>
    <t>Equipment Mobility</t>
  </si>
  <si>
    <t>The distinction of whether a piece of equipment can be moved or is built in.</t>
  </si>
  <si>
    <t xml:space="preserve">Equipment Mobility
   03266 - Built-in equipment
   03267 - Movable equipment
</t>
  </si>
  <si>
    <t>Equipment Name</t>
  </si>
  <si>
    <t>The name of a particular piece of equipment.</t>
  </si>
  <si>
    <t>Equipment Purpose</t>
  </si>
  <si>
    <t>The primary purpose of a piece of equipment, regardless of its current use.</t>
  </si>
  <si>
    <t xml:space="preserve">Equipment Type
   03268 - Art
   03269 - Performing arts
   03270 - Science materials
   03271 - Technology materials
   03272 - Indoor athletic
   03273 - Outdoor athletic
   03274 - Food service materials
   03275 - Operations/maintenance
   09999 - Other
</t>
  </si>
  <si>
    <t>Essential Personnel Identifier</t>
  </si>
  <si>
    <t>An indication as to whether an individual is considered by his or her employer to have job assignments essential during an emergency situation necessitating that his or her attendance at work is required regardless of any liberal leave or emergency administrative leave announcement.</t>
  </si>
  <si>
    <t xml:space="preserve">Essential Personnel Identifier
   01618 - Essential
   01619 - Non-essential
</t>
  </si>
  <si>
    <t>Established IDEA Condition</t>
  </si>
  <si>
    <t>A diagnosed physical or mental condition that has a high probability of resulting in developmental delay (e.g., Down Syndrome, Cerebral Palsy, Spina Bifida).</t>
  </si>
  <si>
    <t xml:space="preserve">Established IDEA Condition
   09998 - None
   09999 - Other
</t>
  </si>
  <si>
    <t>Estimated Cost to Eliminate Deferred Maintenance</t>
  </si>
  <si>
    <t>The estimated cost to bring systems, components, finishes, fixtures, or equipment to a state of good repair.</t>
  </si>
  <si>
    <t>Evaluation Date</t>
  </si>
  <si>
    <t>The month, day, and year on which an individual was evaluated.</t>
  </si>
  <si>
    <t>Evaluation Extension Date</t>
  </si>
  <si>
    <t>Actual date by which evaluation must be completed (for state use in determining timeliness in event that parent and LEA agreed to an extension beyond normal state deadline).</t>
  </si>
  <si>
    <t>Evaluation Location</t>
  </si>
  <si>
    <t>The location where a child''s evaluation was Administered.</t>
  </si>
  <si>
    <t>Evaluation Parental Consent Date</t>
  </si>
  <si>
    <t>Date parent(s) consented to completion of evaluation of child for program participation.</t>
  </si>
  <si>
    <t>Evaluation Periodicity</t>
  </si>
  <si>
    <t>The interval at which an individual's appraisal occurs.</t>
  </si>
  <si>
    <t xml:space="preserve">Evaluation Periodicity
   02321 - Monthly
   02322 - Quarterly
   02323 - Semi-annually
   02324 - Annually
   02325 - Post-probationary
   02326 - As needed
   09999 - Other
</t>
  </si>
  <si>
    <t>Evaluation Purpose</t>
  </si>
  <si>
    <t>The reason that an appraisal of an individual's performance is conducted.</t>
  </si>
  <si>
    <t xml:space="preserve">Evaluation Purpose
   02316 - End of probationary period
   02317 - Evaluation for advancement
   02318 - Evaluation for licensure
   02319 - Periodic evaluation
   02320 - Problem resolution
   09999 - Other
</t>
  </si>
  <si>
    <t>Evaluation Recommendations</t>
  </si>
  <si>
    <t>The recommendations by the employer or the supervisor of the individual after an assessment of his or her performance.</t>
  </si>
  <si>
    <t xml:space="preserve">Evaluation Recommendations
   02327 - Eligible for promotion
   02328 - Merit pay
   02329 - Regular salary/step increase
   02330 - Granted tenure
   02342 - Granted license
   02331 - Retained in position
   02332 - Removed from probationary status
   02333 - Placed on probation
   02334 - Reassigned for career development needs
   02335 - Lateral reassignment
   02336 - Demotion
   02337 - Dismissal
   02338 - Extended probation
   02339 - Recommended for additional training
   02340 - Put on administrative leave
   02341 - Credential revoked
   09999 - Other
</t>
  </si>
  <si>
    <t>Evaluation Sequence</t>
  </si>
  <si>
    <t>An indication of the sequence of the evaluation.</t>
  </si>
  <si>
    <t xml:space="preserve">Evaluation Sequence
   02101 - Initial evaluation
   02102 - Review evaluation
   02103 - Screening evaluation
   09999 - Other
</t>
  </si>
  <si>
    <t>Expected Life of Facility</t>
  </si>
  <si>
    <t>The time, in years, of the expected useful life of a facility for the purposes of depreciation.</t>
  </si>
  <si>
    <t>Expected Remediation Date</t>
  </si>
  <si>
    <t>The month, day, and year by which a hazardous condition of a site or building is expected to be remediated.</t>
  </si>
  <si>
    <t>Experience Type</t>
  </si>
  <si>
    <t>The nature of an individual's work experience.</t>
  </si>
  <si>
    <t xml:space="preserve">Experience Type
   02030 - Cooperative education
   02031 - Apprenticeship
   00611 - Internship
   02033 - Court-ordered activity
   02034 - School-mandated activity
   02035 - Voluntary school-related activity
   02036 - Voluntary community-related service
   02037 - Paid employment
   09999 - Other
</t>
  </si>
  <si>
    <t>Expulsion Cause</t>
  </si>
  <si>
    <t>The documented reason for expulsion.</t>
  </si>
  <si>
    <t>Expulsion Return Date</t>
  </si>
  <si>
    <t>The month, day, and year on which a student is allowed to return to school after an expulsion, as approved by appropriate school authorities.</t>
  </si>
  <si>
    <t>Extension Description</t>
  </si>
  <si>
    <t>A description of the extension.</t>
  </si>
  <si>
    <t>Exterior Walls</t>
  </si>
  <si>
    <t>The covering, structural or not, of the exterior building walls.</t>
  </si>
  <si>
    <t xml:space="preserve">Exterior Finish Type
   02422 - Brick
   02538 - Concrete masonry unit
   02539 - Stucco
   02540 - Synthetic stucco
   02523 - Wood
   02430 - Adobe
   02542 - Stone
   02543 - Prefabricated concrete
   02544 - Synthetic stone
   09999 - Other
</t>
  </si>
  <si>
    <t>Exterior Window Frame Material</t>
  </si>
  <si>
    <t>The building material used to construct window frames.</t>
  </si>
  <si>
    <t xml:space="preserve">Window Frame Material
   02523 - Wood
   02428 - Aluminum
   02525 - Vinyl
   02429 - Steel
   02527 - Vinyl-clad wood
   02528 - Vinyl-clad steel
   02529 - Aluminum-clad wood
   09999 - Other
</t>
  </si>
  <si>
    <t>Exterior Windows Design Type</t>
  </si>
  <si>
    <t>The type of window design, defined by how it operates.</t>
  </si>
  <si>
    <t xml:space="preserve">Window Design Type
   02518 - Nonoperable state
   02519 - Casement
   02520 - Double hung
   02521 - Tilt open (awning or hopper)
   02522 - Sliding
   09999 - Other
   13577 - Gas filled
   13578 - Switchable glazings
</t>
  </si>
  <si>
    <t>Facilities Capital Activity Type</t>
  </si>
  <si>
    <t>The type of activity that is included in the capital financing and expenditures by virtue of a bond referendum or an appropriation.</t>
  </si>
  <si>
    <t xml:space="preserve">Facilities Capital Activity Type
   02995 - Site acquisition activity
   02996 - Environmental cleanup of site activity
   02997 - Planning activity
   02998 - Design activity
   02946 - Building demolition activity
   02947 - Environmental cleanup of building activity
   02999 - Construction activity
   02982 - Management contracts activity
   02948 - Furniture, fixtures, and equipment
   14908 - Building purchase
   14909 - Infrastructure
   09999 - Other
</t>
  </si>
  <si>
    <t>Facilities Capital Budget</t>
  </si>
  <si>
    <t>The legally approved budget amount for capital finance and expenditures by virtue of a bond referendum or an appropriation.</t>
  </si>
  <si>
    <t>Facilities Management Emergency Type</t>
  </si>
  <si>
    <t>The type of abnormal and urgent circumstances that disrupt the normal operation of the building, threaten the health and safety of the occupants, or require an emergency response.</t>
  </si>
  <si>
    <t xml:space="preserve">Facilities Management Emergency Type
   02878 - Fire
   02879 - Theft
   02880 - Bomb threat
   02881 - Terrorism
   02882 - Act of violence
   02883 - Hostage
   02884 - Hurricane and tropical storm
   02885 - Thunderstorm - severe
   02886 - Earthquake
   02887 - Winter storm
   02888 - Debris flows or mudslide
   02889 - Tsunami
   02890 - Volcano
   02891 - Wildfire - surface, ground, or crown fire
   02892 - Extreme heat
   02893 - Major chemical emergency
   02894 - Gas leak
   02895 - Emergency shelter need
   02896 - Tornado
   02897 - Flood
   09999 - Other
</t>
  </si>
  <si>
    <t>Facilities Operating Budget</t>
  </si>
  <si>
    <t>The estimated annual budget for the facility operation.</t>
  </si>
  <si>
    <t>Facilities Operations Type</t>
  </si>
  <si>
    <t>The type of facilities operations coded into the operating budget.</t>
  </si>
  <si>
    <t xml:space="preserve">Facilities Operations Type
   02936 - Utilities
   02937 - Custodial personnel services
   02938 - Custodial other than personnel services
   02939 - Custodial contracts
   02940 - Maintenance/repair personnel services
   02941 - Maintenance/repair other than personnel services
   02942 - Maintenance/repair contracts
   02943 - Management personnel services
   02944 - Management other than personnel services
   02945 - Management contracts
   09999 - Other
</t>
  </si>
  <si>
    <t>Facilities Plan</t>
  </si>
  <si>
    <t>A description of the management and accountability plan.</t>
  </si>
  <si>
    <t>Facilities Plan Cost</t>
  </si>
  <si>
    <t>The estimated total amount of the facilities plan.</t>
  </si>
  <si>
    <t>Facilities Plan Type</t>
  </si>
  <si>
    <t>The type of management and accountability plan.</t>
  </si>
  <si>
    <t xml:space="preserve">Facilities Plan Type
   02825 - Emergency response plan
   02826 - Maintenance plan
   02827 - Educational facilities master plan
   02828 - Capital improvement plan
   02829 - Energy management plan
   02830 - Hazardous materials management plan
   09999 - Other
</t>
  </si>
  <si>
    <t>Facility Capital Program Management Type</t>
  </si>
  <si>
    <t>The type of management organization for planning, design, and construction of major capital projects.</t>
  </si>
  <si>
    <t xml:space="preserve">Facility Capital Program Management Type
   02913 - District management
   02823 - Private management
   02824 - Nonschool public agency management
   09999 - Other
</t>
  </si>
  <si>
    <t>Facility Furnishings Type</t>
  </si>
  <si>
    <t>Moveable assets that are provided so the building or interior assets can be utilized by occupants for their intended purposes.</t>
  </si>
  <si>
    <t xml:space="preserve">Facility Furnishings Type
   03014 - Classroom
   00103 - Administrative office
   02792 - Cafeteria
   00309 - Occupational therapy
   00559 - Physical education
   00313 - Physical therapy
</t>
  </si>
  <si>
    <t>Facility Operations Management Type</t>
  </si>
  <si>
    <t>The type of management arrangements whereby a district oversees and manages its facilities operations.</t>
  </si>
  <si>
    <t xml:space="preserve">Facility Operations Management Type
   02819 - School district management
   02820 - Private sector management
   02821 - District and private sector management
   02822 - Nonschool public sector management
   09999 - Other
</t>
  </si>
  <si>
    <t>Facility Replacement Value</t>
  </si>
  <si>
    <t>The estimated cost of replacing a facility using current per square foot estimates of total project costs.</t>
  </si>
  <si>
    <t>Facility Standard</t>
  </si>
  <si>
    <t>An indication of the district or state requirements or guidelines for the design and construction of school facilities.</t>
  </si>
  <si>
    <t xml:space="preserve">Facility Standard
   02622 - Design guidelines
   02623 - Space standards
   02624 - Master construction specifications
   02625 - Health and safety standards
   02626 - Energy performance standards
   02627 - Site selection guidelines
   13628 - Environmental Standards
   09999 - Other
</t>
  </si>
  <si>
    <t>Facility Type</t>
  </si>
  <si>
    <t>The functional or organizational classification of a function of a facility.</t>
  </si>
  <si>
    <t xml:space="preserve">Facility Type
   00752 - Community facility
   00753 - Home of student
   00754 - Hospital
   00103 - Administrative office
   00756 - Residential facility
   00758 - Education facility (PK-12)
   00759 - Shared education facility
   00760 - Support facility
   00761 - Vocational training center
   00098 - Correction or detention facility
   00100 - Religious facility
   00342 - Postsecondary facility
   00101 - Business facility
   09999 - Other
</t>
  </si>
  <si>
    <t>Fair Labor Standards Act Coverage</t>
  </si>
  <si>
    <t>Identification of the status of an individual's assignment, as governed by the provisions of the Fair Labor Standards Act, which establishes a federal minimum wage and eligibility for receiving overtime pay. Coverage depends upon the extent of managerial responsibility, use of independent discretion, position qualifications, and pay level of the assignment.</t>
  </si>
  <si>
    <t xml:space="preserve">Fair Labor Standards Act Coverage
   01443 - Nonexempt
   01438 - Exempt
</t>
  </si>
  <si>
    <t>Family Income Range</t>
  </si>
  <si>
    <t>The category which best represents the total combined income during the past 12 months of all members of the family who share financial responsibility in a household. This includes money from jobs, net income from business, farm or rent, pensions, dividends, interest, social security payments and any other money income received by members of the family.</t>
  </si>
  <si>
    <t xml:space="preserve">Family Income Range
   01697 - $0-2,999
   01698 - $3,000 to 5,999
   01699 - $6,000 to 8,999
   01700 - $9,000 to 11,999
   01701 - $12,000 to 14,999
   01702 - $15,000 to 19,999
   01703 - $20,000 to 29,999
   01704 - $30,000 to 39,999
   01705 - $40,000 to 49,999
   01706 - $50,000 to 59,999
   01707 - $60,000 to 69,999
   01708 - $70,000 to 79,999
   01709 - $80,000 to 89,999
   01710 - $90,000 to 99,999
   01711 - $100,000 or more
</t>
  </si>
  <si>
    <t>Family Involvement Activities</t>
  </si>
  <si>
    <t>Areas in which a program offers opportunities for family involvement.</t>
  </si>
  <si>
    <t xml:space="preserve">Family Involvement Activities
   06084 - Policy development and review
   06085 - Program planning
   06086 - Training participation
   06087 - Training provision
   09999 - Other
</t>
  </si>
  <si>
    <t>Family Needs Assessment Method</t>
  </si>
  <si>
    <t>The process for assessing a family''s needs, resources, and concerns, relative to their child''s need for services.</t>
  </si>
  <si>
    <t xml:space="preserve">Monitoring Method
   02204 - Counselor report
   02205 - Home visitation
   02206 - Interview
   02207 - Parent/guardian report
   02208 - Peer report
   02353 - Health care provider report
   02151 - Self-report/survey
   02209 - School health nurse report
   02210 - Social worker report
   02211 - Teacher report
   09999 - Other
</t>
  </si>
  <si>
    <t>Family Perceptions of the Impact of Early Intervention Services on the Child</t>
  </si>
  <si>
    <t>The family''s perception on the impact of the early intervention services of the child.</t>
  </si>
  <si>
    <t>Family Public Assistance Type</t>
  </si>
  <si>
    <t>An indication of the type of public assistance received by an individual''s household from a welfare agency, whether local, state, federal, or private.</t>
  </si>
  <si>
    <t xml:space="preserve">Family Public Assistance Status
   01717 - Temporary Assistance for Needy Families (TANF)
   01718 - Food stamps
   01719 - Women, Infants and Children (WIC) programs
   07698 - Medicaid
   09999 - Other
</t>
  </si>
  <si>
    <t>Family''s Primary Insurance Type</t>
  </si>
  <si>
    <t>An indication of the type of insurance covering an individual''s household for hospitalization and other health or medical care.</t>
  </si>
  <si>
    <t xml:space="preserve">Insurance Type
   06029 - Private insurance
   06030 - Public insurance
   01507 - Employee Retirement Income Security Act (ERISA)
   09999 - Other
</t>
  </si>
  <si>
    <t>Family''s Secondary Insurance Status</t>
  </si>
  <si>
    <t>An indication of the type of secondary insurance covering an individual''s household for hospitalization and other health or medical care.</t>
  </si>
  <si>
    <t>Federal Mandate</t>
  </si>
  <si>
    <t>The particular federal law, regulation, or standard that pertains to a school facility.</t>
  </si>
  <si>
    <t xml:space="preserve">Federal Mandate Name
   02584 - Americans with Disabilities Act (ADA)
   02585 - Individuals with Disabilities Education Act (IDEA)
   02586 - Safe Drinking Water Act
   02587 - Lead Contamination Control Act
   02588 - Asbestos Hazardous Emergency Response Act (AHERA)
   09999 - Other
</t>
  </si>
  <si>
    <t>Federal Mandate Interest</t>
  </si>
  <si>
    <t>The area of interest controlled by a federal law, regulation, or standard that pertains to a school facility.</t>
  </si>
  <si>
    <t xml:space="preserve">Federal Mandate Interest
   02574 - Facility accessibility and usability for individuals with disabilities
   02575 - Indoor air quality
   02576 - Radon contamination
   02577 - Drinking water safety
   02578 - Lead contamination
   02579 - Asbestos contamination
   02580 - Hazardous materials
   02581 - Underground storage tank
   02582 - Material Safety Data Sheet (MSDS)
   02583 - Integrated pest control
   03264 - National School Lunch Act
   09999 - Other
</t>
  </si>
  <si>
    <t>Fee Amount</t>
  </si>
  <si>
    <t>The amount charged a student for items not covered by tuition for a specified time period while in attendance.</t>
  </si>
  <si>
    <t>Fee Payment Date</t>
  </si>
  <si>
    <t>The month, day, and year on which fee payment was made by an individual for receipt of a credential.</t>
  </si>
  <si>
    <t>Fee Payment Status</t>
  </si>
  <si>
    <t>An indication of whether a required fee was paid.</t>
  </si>
  <si>
    <t xml:space="preserve">Fee Payment Status
   14926 - Fee was paid
   14927 - Fee was not paid
   14928 - Fee was waived
</t>
  </si>
  <si>
    <t>Fee Payment Type</t>
  </si>
  <si>
    <t>The type of charges required of a student for items not covered by tuition for a specified time period while in attendance.</t>
  </si>
  <si>
    <t xml:space="preserve">Fee Payment Type
   01865 - Student transcripts
   01866 - Driver education (behind-the-wheel)
   01867 - Towel services
   01868 - Gym suits
   01869 - Musical instrument rental
   01870 - Musical instrument repair
   01871 - Athletic events
   01484 - Extra-curricular activities
   01873 - Boarding expenses
   01874 - Books
   01875 - Equipment 
   01876 - Publications
   01877 - Supplies
   09999 - Other
</t>
  </si>
  <si>
    <t>Fee-for-Service Funding Amount</t>
  </si>
  <si>
    <t>Amount of funding the Early Intervention program collects from family fees.</t>
  </si>
  <si>
    <t>Finance Options</t>
  </si>
  <si>
    <t>An alternative method to raise revenue and structure financing of school construction or improvements.</t>
  </si>
  <si>
    <t xml:space="preserve">Finance Options
   02954 - Public/private development partnerships
   02955 - Energy saving performance contract
   02956 - Sale-lease back
   09999 - Other
</t>
  </si>
  <si>
    <t>Financial Assistance Amount</t>
  </si>
  <si>
    <t>The dollar value of financial assistance received by, or made available to, a student under the financial assistance program.</t>
  </si>
  <si>
    <t>Financial Assistance Descriptive Title</t>
  </si>
  <si>
    <t>The title (or description) of a financial assistance program (e.g., the name of a scholarship).</t>
  </si>
  <si>
    <t>Financial Assistance Qualifier</t>
  </si>
  <si>
    <t>The condition for which financial assistance is awarded to a student.</t>
  </si>
  <si>
    <t xml:space="preserve">Financial Assistance Qualifier
   01889 - Need-based assistance
   01890 - Non-need based assistance
</t>
  </si>
  <si>
    <t>Financial Assistance Source</t>
  </si>
  <si>
    <t>The funding source of financial assistance awarded to a student for his or her education.</t>
  </si>
  <si>
    <t xml:space="preserve">Payment Source(s)
   01896 - Resident school or local education agency
   01882 - Another school within the local education agency
   01883 - Another school or school district within the state but outside the local education agency
   01884 - A school or school district outside the state
   01885 - A state agency
   01886 - A federal agency
   01887 - The student or his or her family
   01899 - Parent/guardian's employer
   01888 - Other financial assistance provider
   09999 - Other
</t>
  </si>
  <si>
    <t>Financial Assistance Type</t>
  </si>
  <si>
    <t>A designation of the specific category of financial assistance awarded to a student.</t>
  </si>
  <si>
    <t xml:space="preserve">Financial Assistance Type
   01891 - Assistantship
   01892 - Grant/scholarship
   01893 - Loan
   01894 - Work-study
   01895 - Other tuition waiver/remittance
   09999 - Other
</t>
  </si>
  <si>
    <t>Financing Fee Type</t>
  </si>
  <si>
    <t>The type of fee that one must pay when getting a mortgage.</t>
  </si>
  <si>
    <t xml:space="preserve">Financing Fee Type
   13717 - Application fee
   13718 - Legal fee
   13719 - Origination fee
</t>
  </si>
  <si>
    <t>Fire Protection System</t>
  </si>
  <si>
    <t>The type of system that protects the facility against fire.</t>
  </si>
  <si>
    <t xml:space="preserve">Fire Protection System
   02511 - Automatic sprinkler
   02512 - Fire pump/extinguishers
   02513 - Alarms
   02514 - Kitchen fire suppressor system
   09999 - Other
   13579 - Fire protection specialists
   13580 - Other fire protection systems
   13581 - Standpipes
</t>
  </si>
  <si>
    <t>First Entry Date into State</t>
  </si>
  <si>
    <t>The month, day, and year of an individual's initial arrival into the state.</t>
  </si>
  <si>
    <t>First Entry Date into the United States</t>
  </si>
  <si>
    <t>The month, day, and year of an individual's initial arrival into the United States in order to establish residency.</t>
  </si>
  <si>
    <t>Fiscal Year End Date</t>
  </si>
  <si>
    <t>The month, day, and year on which the fiscal year ends.</t>
  </si>
  <si>
    <t>Fiscal Year Start Date</t>
  </si>
  <si>
    <t>The month, day, and year on which the fiscal year begins.</t>
  </si>
  <si>
    <t>Fittings</t>
  </si>
  <si>
    <t>Any machine, component, piping, or tubing part that can attach or connect two or more larger parts.</t>
  </si>
  <si>
    <t>Fixed Furnishings</t>
  </si>
  <si>
    <t>Furniture which is permanently installed in a space.</t>
  </si>
  <si>
    <t>Floor Construction</t>
  </si>
  <si>
    <t>The horizontal structures spanning the width of the building.</t>
  </si>
  <si>
    <t>Focus of Charter School</t>
  </si>
  <si>
    <t>A description of the focus of the Charter School.</t>
  </si>
  <si>
    <t>Food Service Area Eligibility</t>
  </si>
  <si>
    <t>An indication of whether all children in an area eat free in schools or at other sites, based on at least 50 percent of the children being eligible for free/reduced price school meals (applies only to Afterschool Snacks and Summer Food Service Program).</t>
  </si>
  <si>
    <t>Food Service Site</t>
  </si>
  <si>
    <t>The name of the facility where school food services are provided.</t>
  </si>
  <si>
    <t>Food Service Space Type</t>
  </si>
  <si>
    <t>The space located, designed, furnished and equipped to support meal programs.</t>
  </si>
  <si>
    <t xml:space="preserve">Food Service Space Type
   02792 - Cafeteria
   02793 - Cafetorium
   02794 - Faculty dining room
   02795 - Student dining room
   02988 - Multipurpose room
   02796 - Full-service kitchen
   02797 - Convenience kitchen
   02798 - Finishing/satellite kitchen
   02799 - Dry food/non-hazardous supplies storage area
   03109 - Refrigerated/freezer storage area
   02800 - Food serving area
   02801 - Storage of tables and chairs
   03251 - Dish return area
   03252 - Trash disposal area
   03253 - Recyclable materials area
   03254 - Food receiving area
   13629 - Kitchen garden
   09999 - Other
</t>
  </si>
  <si>
    <t>Form Date</t>
  </si>
  <si>
    <t>The month, day, and year on which the required tax form is filled out by the individual.</t>
  </si>
  <si>
    <t>Form Type</t>
  </si>
  <si>
    <t>An indication of the type of form that is required to be filled out by an individual for tax records.</t>
  </si>
  <si>
    <t xml:space="preserve">Form Type
   01592 - Federal W-4 form
   01593 - State form
   09999 - Other
</t>
  </si>
  <si>
    <t>Former Legal Name</t>
  </si>
  <si>
    <t>A previously recognized legally accepted name that is no longer valid.</t>
  </si>
  <si>
    <t>Former Name of Institution</t>
  </si>
  <si>
    <t>The previously recognized or legally accepted name of the education institution that is no longer valid.</t>
  </si>
  <si>
    <t>Foundation Type</t>
  </si>
  <si>
    <t>A part of the substructure of a building upon which the building shell is constructed.</t>
  </si>
  <si>
    <t xml:space="preserve">Foundation Type
   13582 - Slab on grade
   13583 - Specific special foundations
   13584 - Specific standard foundations
</t>
  </si>
  <si>
    <t>Frequency of Accreditation/Evaluation</t>
  </si>
  <si>
    <t>The timing of accreditation/evaluation efforts.</t>
  </si>
  <si>
    <t xml:space="preserve">Frequency of Accreditation/Evaluation
   01526 - Annual
   00411 - Bi-annual
   00412 - Semi-annual
   00413 - Ad hoc/no fixed schedule
   09999 - Other
</t>
  </si>
  <si>
    <t>Fringe Benefit Type</t>
  </si>
  <si>
    <t>An indication of the type of compensation or benefit in a form other than direct wages, provided in whole or in part by an employer to the employee.</t>
  </si>
  <si>
    <t xml:space="preserve">Fringe Benefit Type
   01501 - Social Security Old Age Insurance
   01502 - Social Security Survivor Insurance
   01503 - Social Security Disability Insurance
   01504 - Medicare for the Aged and Disabled Hospital Insurance
   01505 - Medicare for the Aged and Disabled Supplementary Medical Insurance
   01506 - Other Social Security benefits
   01507 - Employee Retirement Income Security Act (ERISA)
   01508 - Defined benefit plan
   01509 - Defined contribution plan
   01510 - Other pension plan
   01511 - Individual retirement account (IRA)
   01512 - Health insurance - health maintenance organization (HMO)
   01513 - Health insurance - preferred provider organization (PPO)
   01514 - Other health plan
   01515 - Dental care plan
   02313 - Prescription drug plan
   01516 - Vision plan
   01517 - Mental health and substance abuse benefits
   01518 - Retiree health insurance
   01519 - Health promotion program
   01520 - Consolidated Omnibus Budget Reconciliation Act (COBRA)
   01521 - Worker's compensation
   01522 - Non-occupational temporary disability insurance plan
   01523 - Short-term disability plan - employment-based private program
   02314 - Long-term disability plan - employment-based private program
   01606 - Sick leave
   01597 - Annual leave
   01527 - Leave sharing/leave bank
   01599 - Compensatory leave time
   01600 - Family and medical leave
   01530 - Other leave
   01531 - Uniform and laundry fees
   01532 - Transportation subsidy
   01533 - Parking subsidy
   01534 - Recreation subsidies
   01535 - Child care
   01536 - Car
   01537 - Housing allowances
   01538 - Tuition for children of staff
   01539 - Employee assistance program
   01540 - Long-term care insurance
   01541 - Group life insurance plan
   01542 - Survivor benefits
   01543 - Educational assistance benefits
   02312 - Legal service plan
   01545 - Dependent care
   01546 - Stock ownership plan
   01573 - Profit sharing plan
   01548 - Other direct subsidies
   09999 - Other
</t>
  </si>
  <si>
    <t>FTP Address</t>
  </si>
  <si>
    <t>The File Transfer Protocol address to let users find particular files on servers connected to the internet</t>
  </si>
  <si>
    <t>Full Service Kitchen Type</t>
  </si>
  <si>
    <t>The type of kitchen housed in the facility as defined by whether it prepares food to be served onsite and/or at additional locations.</t>
  </si>
  <si>
    <t xml:space="preserve">Full Service Kitchen Type
   03247 - Central kitchen
   03248 - Production kitchen
   03249 - Self-contained kitchen
   03250 - Non-production kitchen
</t>
  </si>
  <si>
    <t>Full-time Equivalent (FTE) Status</t>
  </si>
  <si>
    <t>The actual full-time equivalent of a student's course load (e.g., 0.25, 0.50, 0.75, or 1.00).</t>
  </si>
  <si>
    <t>Full-time/Part-time Session</t>
  </si>
  <si>
    <t>An indication of the course load status (e.g., full-time equivalency) instructional options available to students at the education institution.</t>
  </si>
  <si>
    <t xml:space="preserve">Full-time/Part-time Session
   00843 - Full-time
   00844 - Part-time
   00119 - Both full-time and part-time
</t>
  </si>
  <si>
    <t>Function Code</t>
  </si>
  <si>
    <t>The purpose of the program activities to which an individual is assigned as related to students. (Note: Refer to the Financial Accounting Handbook for Local and State School System 2003 for updated function codes at http://www.nces.ed.gov/pubs2004/h2r2/ch_6_4.asp#1).</t>
  </si>
  <si>
    <t>Functional Age of Building</t>
  </si>
  <si>
    <t>The number of years since a comprehensive upgrade of ALL major building systems and components, such that it functions as a modern building.</t>
  </si>
  <si>
    <t>Future Entry Date</t>
  </si>
  <si>
    <t>The month, date, and year on which an individual is anticipated to being receiving instructional services.</t>
  </si>
  <si>
    <t>GIS Location</t>
  </si>
  <si>
    <t>The unique geocoded designation of a building or site.</t>
  </si>
  <si>
    <t>Governing Board Meeting Requirements</t>
  </si>
  <si>
    <t>A description of the dates on which the Board is expected to meet or required frequency during a fiscal year, rules for managing the group and other requirements.</t>
  </si>
  <si>
    <t>Governmental Jurisdiction Name</t>
  </si>
  <si>
    <t>The name of the governmental jurisdiction.</t>
  </si>
  <si>
    <t>Governmental Jurisdiction Type</t>
  </si>
  <si>
    <t>The type of governmental jurisdiction.</t>
  </si>
  <si>
    <t xml:space="preserve">Governmental Jurisdiction Type
   02384 - City Council Ward
   02386 - County Commissioner District
   02387 - State Board of Education District
   02388 - State Legislative District
   02385 - Congressional District
</t>
  </si>
  <si>
    <t>GPS Position</t>
  </si>
  <si>
    <t>The global positioning system location.</t>
  </si>
  <si>
    <t>Grade Level Assessed</t>
  </si>
  <si>
    <t>The grade level or grade spans assessed.</t>
  </si>
  <si>
    <t>Grade Point Average (GPA): Given School Year</t>
  </si>
  <si>
    <t>A measure of average performance in all courses taken by an individual during a given school year (e.g., 1999-2000). This is obtained by dividing the total grade points received by the number of credits attempted for the same school year.</t>
  </si>
  <si>
    <t>Grade Point Average (GPA): Given Grading Period</t>
  </si>
  <si>
    <t>A measure of average performance in all courses for which grade points are received by an individual during a given grading period. This is obtained by dividing the total grade points received by the number of credits attempted for the same grading period.</t>
  </si>
  <si>
    <t>Grade Points Received: Given Grading Period</t>
  </si>
  <si>
    <t>The number of grade points an individual earns by successfully completing courses or examinations during a given grading period.</t>
  </si>
  <si>
    <t>Grade Points Received: Given School Year</t>
  </si>
  <si>
    <t>The total number of grade points an individual earns by successfully completing courses or examinations during a given school year (e.g., 1999-2000).</t>
  </si>
  <si>
    <t>Grade Points Received: Given Session</t>
  </si>
  <si>
    <t>The total number of grade points an individual earns by successfully completing courses or examinations during a given session.</t>
  </si>
  <si>
    <t>Grading Period Beginning Date</t>
  </si>
  <si>
    <t>The month, day, and year on which a grading period begins.</t>
  </si>
  <si>
    <t>Grading Period Ending Date</t>
  </si>
  <si>
    <t>The month, day, and year on which a grading period ends.</t>
  </si>
  <si>
    <t>Graduation Testing Status</t>
  </si>
  <si>
    <t>An indication of the status of the student with regard to test requirements for graduation.</t>
  </si>
  <si>
    <t xml:space="preserve">Promotion Testing Status
   13420 - Alternate Assessment
   03446 - Not tested
   13421 - Tested and Failed
   13422 - Tested and Passed
</t>
  </si>
  <si>
    <t>Grievance Action</t>
  </si>
  <si>
    <t>Any action taken by the employer as a result of a grievance filed by an employee.</t>
  </si>
  <si>
    <t>Grievance Date</t>
  </si>
  <si>
    <t>The month, day, and year on which a grievance was filed by an employee.</t>
  </si>
  <si>
    <t>Grievance Description</t>
  </si>
  <si>
    <t>Any statement or official expression submitted by an employee as a grievance about his or her employment.</t>
  </si>
  <si>
    <t>Grievance Outcome</t>
  </si>
  <si>
    <t>An indication of the action(s) taken or not taken by the employer as a result of a grievance filed by an employee.</t>
  </si>
  <si>
    <t>Grievance Resolution Date</t>
  </si>
  <si>
    <t>The month, day, and year on which a resolution of a grievance was announced.</t>
  </si>
  <si>
    <t>Gross Income Amount</t>
  </si>
  <si>
    <t>The amount of income and supplemental pay earned before deductions for the specific time period.</t>
  </si>
  <si>
    <t>Harassment, Nonsexual Violation</t>
  </si>
  <si>
    <t>Repeatedly annoying or attacking a student or group of students or other personnel which creates an intimidating or hostile educational or work environment.</t>
  </si>
  <si>
    <t xml:space="preserve">Harassment, Nonsexual Violation
   04647 - Bullying
   04648 - Hazing
   09999 - Other
</t>
  </si>
  <si>
    <t>Hazardous Components Abatement</t>
  </si>
  <si>
    <t>A description of the removal and control of hazardous materials from a construction site.</t>
  </si>
  <si>
    <t>Hazardous Material/Condition</t>
  </si>
  <si>
    <t>A description of the seriousness a threat or hazardous material poses.</t>
  </si>
  <si>
    <t>Hazardous Material/Condition Testing Date</t>
  </si>
  <si>
    <t>The month, day, and year that the site or building is tested for a specific hazardous material.</t>
  </si>
  <si>
    <t>Hazardous Materials or Condition Type</t>
  </si>
  <si>
    <t>The type of hazardous materials or conditions tested for at a site or building.</t>
  </si>
  <si>
    <t xml:space="preserve">Hazardous Materials or Condition Type
   02898 - Asbestos
   02899 - Lead
   02900 - Mold
   02901 - Underground storage tanks (USTs)
   02902 - Radon
   02903 - Pesticides
   13656 - Carbon Monoxide
   13657 - Chlorofluorocarbons
   13658 - Concentrated animal feeding operations (CAFOs)
   13659 - Criteria Air Pollutants
   13660 - Drip Lines
   13661 - Ground Level Ozone
   13662 - Hazardous Air Pollutants
   13663 - Hazardous, industrial, or municipal waste sites
   13664 - Hydrochlorofluorocarbons
   13665 - Mercury
   13666 - Methane
   13667 - Nitrogen Oxides
   13668 - Particulate Matter
   13669 - Polychlorinated biphenyls (PCBs)
   13670 - Propellants
   13671 - Refrigerants
   13672 - Sediment, sludge, reuse material
   13673 - Sulfur dioxide
   13674 - Vapor intrusion
   13675 - Volatile organic compounds
   09999 - Other
</t>
  </si>
  <si>
    <t>Head of Household</t>
  </si>
  <si>
    <t>The individual with primary responsibility for the maintenance of a residence.</t>
  </si>
  <si>
    <t xml:space="preserve">Head of Household
   01685 - Agency official
   01686 - Foster parent(s)
   01687 - Institution official
   01688 - Non-parental relative
   01689 - Non-relative owner of property
   00850 - Parent/guardian
   01690 - Prison official
   01691 - School official
   01692 - Spouse
   00126 - Student
   09999 - Other
</t>
  </si>
  <si>
    <t>Health Award Amount/Benefit</t>
  </si>
  <si>
    <t>The amount or type of benefits paid to an individual through worker's compensation.</t>
  </si>
  <si>
    <t>Health Care History Episode Date</t>
  </si>
  <si>
    <t>The month, day, and year of diagnosis, treatment, or update of any health condition an individual may have experienced.</t>
  </si>
  <si>
    <t>Health Care Plan</t>
  </si>
  <si>
    <t>The description or title of the health care plan by which the individual is covered.</t>
  </si>
  <si>
    <t>Health Condition Progress Report</t>
  </si>
  <si>
    <t>A periodic update on a continuing health concern or medical treatment an individual may be experiencing.</t>
  </si>
  <si>
    <t>Heating Generation System</t>
  </si>
  <si>
    <t>The method by which the heat is distributed and delivered throughout the room(s) or building.</t>
  </si>
  <si>
    <t xml:space="preserve">Heating Distribution System
   02477 - Steam radiator
   02478 - Hot water radiator
   02479 - Heat pump
   02480 - Unit ventilators
   02481 - Unit heaters/baseboard heaters
   02482 - Central duct system
   02483 - Open plenum system
   02484 - Forced air
   02485 - Displacement ventilation 
   09999 - Other
</t>
  </si>
  <si>
    <t>Historic Status</t>
  </si>
  <si>
    <t>An indication of whether or not a building is eligible to be or has been declared a landmark or historic building.</t>
  </si>
  <si>
    <t xml:space="preserve">Historic Status
   02412 - Locally eligible, not yet designated
   02413 - State eligible, not yet designated
   02414 - Nationally eligible, not yet designated
   02415 - Ineligible
   02416 - Not evaluated
   02417 - Locally designated
   02418 - State designated
   02419 - Nationally designated
</t>
  </si>
  <si>
    <t>Home Day Care Status</t>
  </si>
  <si>
    <t>An indication of the presence of other "non-sibling children" receiving care, education, and/or services with the child.</t>
  </si>
  <si>
    <t xml:space="preserve">Home Day Care Status
   02175 - Non-sibling children present
   02176 - No non-sibling children present
</t>
  </si>
  <si>
    <t>Home Schooled</t>
  </si>
  <si>
    <t>An indication that the student is receiving educational instruction offered in a home environment, as required by local and state law, for reasons other than health.</t>
  </si>
  <si>
    <t>Honor or Award</t>
  </si>
  <si>
    <t>A description of educational or professional honors (e.g., Teacher of the Year) or awards (e.g., scholarships) earned by an individual.</t>
  </si>
  <si>
    <t>Honors Title</t>
  </si>
  <si>
    <t>The title of the honors received.</t>
  </si>
  <si>
    <t>Hospital Preference</t>
  </si>
  <si>
    <t>The hospital to which an individual prefers to be taken under emergency conditions or, in the case of a minor the hospital to which the parent/guardian prefers the individual to be taken.</t>
  </si>
  <si>
    <t>Hours of Leave Used</t>
  </si>
  <si>
    <t>The number of hours of leave an individual has taken.</t>
  </si>
  <si>
    <t>Hours of Public Use per Week</t>
  </si>
  <si>
    <t>The number of hours that all or part of a building is used for purposes other than general education by the community or other organizations.</t>
  </si>
  <si>
    <t>Hours of Service per Day</t>
  </si>
  <si>
    <t>The average number of hours per work day that an individual is expected to work as outlined specifically in his or her employment agreement.</t>
  </si>
  <si>
    <t>Hours of Service per Week</t>
  </si>
  <si>
    <t>The average number of hours per week that an individual is expected to work as outlined specifically in his or her employment agreement.</t>
  </si>
  <si>
    <t>HVAC System</t>
  </si>
  <si>
    <t>The building service system that provides for heating, ventilation and air-conditioning.</t>
  </si>
  <si>
    <t xml:space="preserve">HVAC System
   13585 - Air distribution system
   13586 - Controls and instrumentation
   13587 - Cooling generation systems
   13588 - Energy supply
   13589 - Heat generating system
   13590 - Other HVAC systems and equipment
   13591 - Systems testing and balancing
   13592 - Terminal and package units
</t>
  </si>
  <si>
    <t>Identification Expiration Date</t>
  </si>
  <si>
    <t>The month, day and year on which the identification document expires and is no longer valid.</t>
  </si>
  <si>
    <t>Identification Procedure</t>
  </si>
  <si>
    <t>The manner by which information about a student's potential need for special services was gathered. This information may suggest, but does not require, that a student receive supplemental services.</t>
  </si>
  <si>
    <t xml:space="preserve">Identification Procedure
   02147 - Education assessment
   02148 - Health assessment/screening
   02149 - Parent/guardian referral
   02151 - Self-report/survey
   02152 - Special education assessment/evaluation
   02153 - Teacher referral
   05983 - Self-Referral
   09999 - Other
</t>
  </si>
  <si>
    <t>Identification Results</t>
  </si>
  <si>
    <t>Information gathered by a qualified evaluator about an individual's need for a special program/service.</t>
  </si>
  <si>
    <t>IFSP Goals Met</t>
  </si>
  <si>
    <t>Number of IFSP goals a child has met.</t>
  </si>
  <si>
    <t xml:space="preserve">Progress Toward IFSP Goals and Objectives
   06026 - Most
   06027 - Some
   06028 - All
</t>
  </si>
  <si>
    <t>IFSP Service Provision Method</t>
  </si>
  <si>
    <t>The manner by which a service is provided, in terms of individual or group basis, as listed on the IFSP.</t>
  </si>
  <si>
    <t>Illness Type</t>
  </si>
  <si>
    <t>A description of the specific illness or ailment which causes a student to leave school.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</si>
  <si>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Immunization Status</t>
  </si>
  <si>
    <t>The current immunization status as well as an indication of circumstances or situations affecting the immunizations of an individual.</t>
  </si>
  <si>
    <t xml:space="preserve">Immunization Status Code
   01104 - First inoculation
   01105 - Second inoculation
   01106 - Third inoculation
   01107 - Fourth inoculation
   01108 - Fifth inoculation
   01109 - Sixth inoculation
   01110 - Seventh inoculation
   01111 - Eighth inoculation
   01112 - Ninth inoculation
   01113 - Medical exemption
   01114 - Personal exemption
   01115 - Religious exemption
   02392 - Legal/state exemption
   01116 - Already had the disease
</t>
  </si>
  <si>
    <t>Immunizations Mandated by State Law for Participation</t>
  </si>
  <si>
    <t>An indication that an immunization is specifically required by an organization or governing body. Some diseases for which immunizations are most frequently required include: Diphtheria, Hepatitis B, Influenza, Mumps, Pertussis (whooping cough), Poliomyelitis, Rubella (German measles), Rubeola (measles), Smallpox, Tetanus, Tuberculosis (BCG), and Rh. Immune Globulin.</t>
  </si>
  <si>
    <t xml:space="preserve">Required/Not Required
   01102 - Required
   01103 - Not required
</t>
  </si>
  <si>
    <t>Impact of Early Intervention Services on the Family</t>
  </si>
  <si>
    <t>A description of the impact of the Early Intervention Services including family empowerment.</t>
  </si>
  <si>
    <t>Improvement Plan Focus Area</t>
  </si>
  <si>
    <t>The main focus area under which strategies can be grouped in the Improvement Plan.</t>
  </si>
  <si>
    <t>Improvement Plan Goals</t>
  </si>
  <si>
    <t>A broad statement that describes a desired outcome(s) of the Improvement Plan. The desired outcome establishes the organizations long-term priorities and influences the development of short-term objectives.</t>
  </si>
  <si>
    <t>Improvement Plan Model</t>
  </si>
  <si>
    <t>The established model used in the improvement effort.</t>
  </si>
  <si>
    <t>Improvement Plan Objective</t>
  </si>
  <si>
    <t>A statement of measureable outcomes that defines an end result expected to be accomplished.</t>
  </si>
  <si>
    <t>Improvement Plan Strategies</t>
  </si>
  <si>
    <t>A statement of action(s) that describe the means to be used to achieve the goals and objectives of the Improvement Plan.</t>
  </si>
  <si>
    <t>Improvement Plan Vision</t>
  </si>
  <si>
    <t>A statement of where and what the organization wants to be in the future.</t>
  </si>
  <si>
    <t>Inappropriate use of Medication Violation</t>
  </si>
  <si>
    <t>Use, possession, or distribution of any prescription or over-the-counter medication, (e.g., aspirin, cough syrup, caffeine pills, nasal sprays) in violation of school policy.</t>
  </si>
  <si>
    <t xml:space="preserve">Inappropriate use of Medication Violation
   04653 - Sale of medication
   04654 - Distribution of medication
   04655 - Use of medication in violation of school rules
   04656 - Possession of medication in violation of school rules
   04657 - Suspicion of use of medication in violation of school rules
   09999 - Other
</t>
  </si>
  <si>
    <t>Incident Recording Mechanism</t>
  </si>
  <si>
    <t>The mechanism by which evidence of an incident or offense may have been recorded (e.g., a hallway video camera, e-mail server, or police report.)</t>
  </si>
  <si>
    <t>Indebtedness Amount</t>
  </si>
  <si>
    <t>The amount of indebtedness allowed by law to be carried by the school district.</t>
  </si>
  <si>
    <t>Indoor Athletic/Physical Education Space Type</t>
  </si>
  <si>
    <t>The indoor space designed, located, furnished, and equipped for instruction and support of a physical education curriculum and athletic program.</t>
  </si>
  <si>
    <t xml:space="preserve">Indoor Athletic/Physical Education Space Type
   02984 - Gymnasium
   02709 - Auxiliary gymnasium
   02710 - Weight training room
   02711 - Wrestling room
   02712 - Dance studio
   02713 - Team room
   02714 - Pool/natatorium
   02715 - Locker room
   02716 - Equipment storage
   02717 - Press box
   02718 - Multipurpose space
   02719 - Health classroom
   02720 - Playtorium (auditorium/gymnasium)
   09999 - Other
</t>
  </si>
  <si>
    <t>Induction Program Mentor</t>
  </si>
  <si>
    <t>The name of the individual who offered guidance and assistance to the individual during the induction period.</t>
  </si>
  <si>
    <t>Ineligibility Reason</t>
  </si>
  <si>
    <t>A description of the reason an individual is not covered by or is not eligible to receive an employee benefit.</t>
  </si>
  <si>
    <t>Information Source</t>
  </si>
  <si>
    <t>The individual or agency providing information about a student.</t>
  </si>
  <si>
    <t>Initial Credential Issuance Requirements</t>
  </si>
  <si>
    <t>An indication of any requirements necessary for an individual to receive an initial credential.</t>
  </si>
  <si>
    <t xml:space="preserve">Initial Credential Issuance Requirements
   01243 - Education completion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01253 - Advisor approval
   01254 - Fingerprinting
   01255 - Tuberculosis screening
   01256 - Drug testing
   01257 - Chest x-ray
   01258 - Oath of allegiance
   01259 - Compliance with state tax laws
   09998 - None
   09999 - Other
</t>
  </si>
  <si>
    <t>Injury Circumstances</t>
  </si>
  <si>
    <t>A description of the circumstances surrounding the injury of an individual, including information collected from a witness.</t>
  </si>
  <si>
    <t>Injury Description</t>
  </si>
  <si>
    <t>A description of an injury that was sustained that might or does affect an individual's performance.</t>
  </si>
  <si>
    <t>Injury Occurrence Date</t>
  </si>
  <si>
    <t>The month, day, and year on which an individual was injured.</t>
  </si>
  <si>
    <t>Injury Occurrence Location</t>
  </si>
  <si>
    <t>A designation or description of the site at which the injury took place.</t>
  </si>
  <si>
    <t xml:space="preserve">Injury Occurrence Location
   01117 - At the workplace
   01118 - Not at the workplace but performing job duties
   09999 - Other
</t>
  </si>
  <si>
    <t>Inspection Score Results</t>
  </si>
  <si>
    <t>The description of a meaningful raw score of statistical expression of the performance on an inspection.</t>
  </si>
  <si>
    <t>Inspection Violation</t>
  </si>
  <si>
    <t>A description of the standard violation(s) found in the inspection.</t>
  </si>
  <si>
    <t>Installation Date</t>
  </si>
  <si>
    <t>The year in which the system, component, equipment, or fixture was originally installed.</t>
  </si>
  <si>
    <t>Institutional Equipment</t>
  </si>
  <si>
    <t>Equipment that is installed for use in support of instructional program such as kilns for art, planetarium equipment for astronomy, fitness equipment for physical education.</t>
  </si>
  <si>
    <t>Instructional Minutes in Period</t>
  </si>
  <si>
    <t>The number of minutes to be counted for instruction for the bell period.</t>
  </si>
  <si>
    <t>Instructional Space Factor</t>
  </si>
  <si>
    <t>A designation as to whether the space is considered an instructional space under state or local guidelines.</t>
  </si>
  <si>
    <t xml:space="preserve">Instructional Space Factor
   02811 - Instructional space
   02812 - Noninstructional space
</t>
  </si>
  <si>
    <t>Insurance Deductible</t>
  </si>
  <si>
    <t>The dollar amount a school district must pay before its insurance will compensate it for loss.</t>
  </si>
  <si>
    <t>Insurance Policy Number</t>
  </si>
  <si>
    <t>The number assigned to an insurance policy used for claims and other identification.</t>
  </si>
  <si>
    <t>Intended Administration End Date</t>
  </si>
  <si>
    <t>The ending date of the time period in which the form is intended to be administered.</t>
  </si>
  <si>
    <t>Interior Ceiling Finish</t>
  </si>
  <si>
    <t>The type of covering, structural or not, of the interior ceilings.</t>
  </si>
  <si>
    <t xml:space="preserve">Interior Finish Type
   02545 - Painted gypsum board
   02546 - Painted plaster
   02547 - Painted concrete masonry unit
   02548 - Glazed concrete masonry unit
   02549 - Glazed brick or tile
   02550 - Vinyl wall covering
   02551 - Wood flooring
   02552 - Synthetic sheetgood composite tile flooring
   02553 - Carpet
   02554 - Terrazzo flooring
   02555 - Vinyl asbestos tile (VAT)
   02556 - Quarry tile
   02557 - Sealed concrete
   02558 - Acoustical tile
   02559 - Exposed structure - painted
   02560 - Ceramic tile
   09999 - Other
</t>
  </si>
  <si>
    <t>Interior Doors</t>
  </si>
  <si>
    <t>A door that closes off rooms within a building.</t>
  </si>
  <si>
    <t>Interior Finish Type</t>
  </si>
  <si>
    <t>The type of covering, structural or not, of the interior walls, ceilings, and floors.</t>
  </si>
  <si>
    <t>Interior Floor Finish</t>
  </si>
  <si>
    <t>The type of covering, structural or not, of the interior floors.</t>
  </si>
  <si>
    <t xml:space="preserve">Interior Floor Finish
   02553 - Carpet
   02560 - Ceramic tile
   02556 - Quarry tile
   02557 - Sealed concrete
   02552 - Synthetic sheetgood composite tile flooring
   02554 - Terrazzo flooring
   02555 - Vinyl asbestos tile (VAT)
   02551 - Wood flooring
   09999 - Other
</t>
  </si>
  <si>
    <t>Interior Wall Finish</t>
  </si>
  <si>
    <t>The type of covering, structural or not, of the interior walls.</t>
  </si>
  <si>
    <t xml:space="preserve">Interior Wall Finish
   02559 - Exposed structure - painted
   02549 - Glazed brick or tile
   02548 - Glazed concrete masonry unit
   02547 - Painted concrete masonry unit
   02545 - Painted gypsum board
   02546 - Painted plaster
   02555 - Vinyl asbestos tile (VAT)
   02550 - Vinyl wall covering
   09999 - Other
</t>
  </si>
  <si>
    <t>International Dialing Code</t>
  </si>
  <si>
    <t>The international code for the telephone number.</t>
  </si>
  <si>
    <t>Internet Bandwidth to the Building</t>
  </si>
  <si>
    <t>The speed of the telecommunications link between the building and the Internet service provider, routing service, or other method of connection to the Internet.</t>
  </si>
  <si>
    <t xml:space="preserve">Internet Bandwidth to the Building
   03438 - 128K
   03439 - 256K
   03440 - 720K
   03441 - 1.5Mbps
   03435 - 10Mbps
   03442 - OC1 (51.84 Mbps)
   03443 - OC2 (103.68 Mbps)
   03444 - OC3 (155.52 Mbps)
   09999 - Other
</t>
  </si>
  <si>
    <t>Internship/Apprenticeship Beginning Date</t>
  </si>
  <si>
    <t>The month, day, and year on which an individual began an experience as an intern or apprentice.</t>
  </si>
  <si>
    <t>Internship/Apprenticeship Description</t>
  </si>
  <si>
    <t>A description of the type of internship or apprenticeship (including student or practice teaching) formally served by an individual.</t>
  </si>
  <si>
    <t>Internship/Apprenticeship Ending Date</t>
  </si>
  <si>
    <t>The month, day, and year on which an individual finished an experience as an intern or apprentice.</t>
  </si>
  <si>
    <t>Internship/Apprenticeship Results</t>
  </si>
  <si>
    <t>A description of the outcomes or recommendations resulting from completion of an internship or apprenticeship.</t>
  </si>
  <si>
    <t>IP Address</t>
  </si>
  <si>
    <t>A numerical identification and logical address that is assigned to devices participating in a computer network utilizing the Internet Protocol for communication between its nodes</t>
  </si>
  <si>
    <t>Item Content Standard</t>
  </si>
  <si>
    <t>An indication as to whether an assessment item conforms to a standard.</t>
  </si>
  <si>
    <t xml:space="preserve">Assessment Standard Indicator
   00430 - Local standard
   00431 - Statewide standard
   00432 - Regional standard
   00434 - Association standard
   00435 - School standard
   00438 - Other standard
   09998 - None
   09999 - Other
</t>
  </si>
  <si>
    <t>Item Diagnostic Statement</t>
  </si>
  <si>
    <t>Psychometric purpose or design-related comment about the question.</t>
  </si>
  <si>
    <t>Item Number of Attempts</t>
  </si>
  <si>
    <t>The number of times a student changes their answer or attempts a response.</t>
  </si>
  <si>
    <t>Item Response Location</t>
  </si>
  <si>
    <t>The location of the response or additional response.</t>
  </si>
  <si>
    <t>Job Classification</t>
  </si>
  <si>
    <t>A description of the specific group of duties and responsibilities of a position.</t>
  </si>
  <si>
    <t xml:space="preserve">Job Classification
   04706 - Official-administrative
   04722 - Professional educational
   04736 - Professional other
   04800 - Paraprofessionals
   04816 - Technical Job Classification
   04830 - Office/clerical/administrative support
   04850 - Crafts and trades
   04863 - Operative
   04866 - Laborer
   04874 - Service work
   09999 - Other
</t>
  </si>
  <si>
    <t>Job Type</t>
  </si>
  <si>
    <t>The type of trade needed to meet work order job requirements.</t>
  </si>
  <si>
    <t xml:space="preserve">Job Type
   02860 - Carpentry
   02861 - Custodial
   02862 - Electrical
   02863 - Safety and environmental
   02864 - Glazing
   02865 - Grounds
   02866 - Energy management
   02867 - Masonry
   02868 - Painting
   02869 - Plumbing
   02870 - Roofing
   02871 - HVAC
   13676 - Electronic Systems/ Security
   13677 - Locksmith
   13678 - Technology
   09999 - Other
</t>
  </si>
  <si>
    <t>Joint Development Type</t>
  </si>
  <si>
    <t>The type of development where two or more entities partner to plan, site, design, and/or build a new school or renovate an existing school to better support the joint use of the building and/or land.</t>
  </si>
  <si>
    <t xml:space="preserve">Joint Development Type
   13689 - Shared
   13690 - Dedicated
</t>
  </si>
  <si>
    <t>Joint Use Rationale</t>
  </si>
  <si>
    <t>The reasons for permitting and participating in joint-use.</t>
  </si>
  <si>
    <t xml:space="preserve">Joint Use Rationale
   13709 - Raise revenue
   13710 - Increase programs and services for students
   13711 - Increase programs and services for the community
   13712 - Increase utilization of under used space
</t>
  </si>
  <si>
    <t>Joint Use Scheduling Type</t>
  </si>
  <si>
    <t>The type of designation of non school district users by the amount of time they have access to public school for joint use.</t>
  </si>
  <si>
    <t xml:space="preserve">Joint Use Scheduling Type
   13694 - Drop-in use
   13695 - One-time event use
   13696 - Short-term lease
   13697 - Long term lease
</t>
  </si>
  <si>
    <t>Joint User Type</t>
  </si>
  <si>
    <t>The types of users sharing school district controlled, owned, or utilized facilities.</t>
  </si>
  <si>
    <t xml:space="preserve">Joint User Types
   13704 - Individuals
   13705 - Civic groups
   13706 - Other public agencies
   13707 - Private non-profit organizations
   13708 - Private for-profit corporations
</t>
  </si>
  <si>
    <t>Knife Type</t>
  </si>
  <si>
    <t>The type of knife used as a weapon.</t>
  </si>
  <si>
    <t xml:space="preserve">Knife Type
   04611 - Knife with blade length less than 2.5 inches
   04612 - Knife with blade length greater than or equal to 3 inches
   04614 - Other knife
</t>
  </si>
  <si>
    <t>Laborer Job Classification</t>
  </si>
  <si>
    <t>A general job classification that describes staff that performs tasks requiring some manual skills which can be conducted with no special training. This includes individuals performing lifting, digging, mixing, loading, and pulling operations.</t>
  </si>
  <si>
    <t xml:space="preserve">Laborer Job Classification
   04867 - Construction laborer
   04868 - Freight, stock, and materials handlers
   04869 - Garbage collector
   04870 - Gardener
   04871 - Groundskeeper
   04872 - Garage/parking lot attendant
   04873 - Vehicle washer/equipment cleaner
   09999 - Other
</t>
  </si>
  <si>
    <t>LAN Bandwidth Within the Building</t>
  </si>
  <si>
    <t>The speed of the local area network, the interconnected system of computers and/or peripheral equipment that is confined to a limited area and enables users to communicate and share information and resources.</t>
  </si>
  <si>
    <t>LAN Bandwidth Within the Building
   03434 -</t>
  </si>
  <si>
    <t>Languages Other Than English</t>
  </si>
  <si>
    <t>An indicator that an individual speaks or uses a language other than English.</t>
  </si>
  <si>
    <t>Last Check Date</t>
  </si>
  <si>
    <t>The month, day, and year that the condition of a system, component, equipment, or fixture was last checked.</t>
  </si>
  <si>
    <t>Last Service Date</t>
  </si>
  <si>
    <t>The month, day, and year a system, component, equipment, or fixture was last serviced for repair or routine maintenance.</t>
  </si>
  <si>
    <t>Last/Surname at Birth</t>
  </si>
  <si>
    <t>The original surname of an individual as identified at birth before any subsequent changes.</t>
  </si>
  <si>
    <t>Learning Standard Benchmark</t>
  </si>
  <si>
    <t>The level within the hierarchy or a learning standard that follows the subject area and the standard.</t>
  </si>
  <si>
    <t>Learning Standard Document Organization</t>
  </si>
  <si>
    <t>Name of organization represented by the document.</t>
  </si>
  <si>
    <t>Learning Standard Document Source</t>
  </si>
  <si>
    <t>Defines source of standard document. This is the descriptive type of the organization listed in Organization. It serves to describe the type of the standards contained within the document.</t>
  </si>
  <si>
    <t xml:space="preserve">Learning Standard Document Source Code
   13492 - National standard
   13493 - State standard
   00432 - Regional standard
   13494 - District standard
   13495 - Site standard
   13496 - Classroom standard
   13497 - Publisher standard
</t>
  </si>
  <si>
    <t>The learning standard to which the assessment is aligned.</t>
  </si>
  <si>
    <t>Learning Standard Number</t>
  </si>
  <si>
    <t>This is the specific number of the standard.</t>
  </si>
  <si>
    <t>Learnng Standard Document Date</t>
  </si>
  <si>
    <t>The date of the Learning Standard document.</t>
  </si>
  <si>
    <t>Lease Amount (Facilities)</t>
  </si>
  <si>
    <t>The amount of money the school must pay to rent the facility that it is in.</t>
  </si>
  <si>
    <t>Lease Amount Category (Facilities)</t>
  </si>
  <si>
    <t>The category of payment that a school must pay tp rent the facility that it is in.</t>
  </si>
  <si>
    <t xml:space="preserve">Lease Amount Category (Facilities)
   13720 - Base rent
   13721 - Credit
   13722 - Escalator
</t>
  </si>
  <si>
    <t>Lease Type (Equipment)</t>
  </si>
  <si>
    <t>The type of agreement that allows the use and possession of equipment or equipment systems from a third party in return for a regularly scheduled installment payment over an agreed-upon period.</t>
  </si>
  <si>
    <t xml:space="preserve">Lease Type (Equipment)
   02973 - Capital lease
   02974 - Master lease
   02975 - Operating lease
</t>
  </si>
  <si>
    <t>Lease Type (Facility)</t>
  </si>
  <si>
    <t>The type of agreement that allows the use and possession of a school, building, or other facility from a third party in return for a regularly scheduled installment payment over an agreed-upon period.</t>
  </si>
  <si>
    <t xml:space="preserve">Lease Type (Facility)
   13723 - Building lease
   13724 - Ground lease
   13725 - Lease build to suit
   13726 - Lease shell with significant leasehold improvements
   13727 - Triple-net lease
</t>
  </si>
  <si>
    <t>Leave Accrued</t>
  </si>
  <si>
    <t>The actual number of hours of leave earned but not yet taken by an individual.</t>
  </si>
  <si>
    <t>Leave Balance</t>
  </si>
  <si>
    <t>The current number of hours of leave available for use by an individual.</t>
  </si>
  <si>
    <t>Leave Beginning Date</t>
  </si>
  <si>
    <t>The month, day, and year on which the individual begins his or her leave.</t>
  </si>
  <si>
    <t>Leave Ending Date</t>
  </si>
  <si>
    <t>The month, day, and year on which the individual ends his or her leave.</t>
  </si>
  <si>
    <t>Leave Payment Status</t>
  </si>
  <si>
    <t>An indication as to whether an individual receives compensation from the employer during a time of leave.</t>
  </si>
  <si>
    <t xml:space="preserve">Leave Payment Status
   01611 - With pay
   01612 - Without pay
</t>
  </si>
  <si>
    <t>Leave Substitution Status</t>
  </si>
  <si>
    <t>An indication of the type of substitution provided for an individual's job assignment during the period of his/her absence.</t>
  </si>
  <si>
    <t xml:space="preserve">Leave Substitution Status
   01608 - No substitution
   01609 - Substitution by an individual without proof of required credentials
   01610 - Substitution by an individual with proof of required credentials
</t>
  </si>
  <si>
    <t>LEED Eligibility Standards for Alterations and Additions</t>
  </si>
  <si>
    <t>LEED standards for the level of work in alterations and additions required to be eligible for LEED certification for existing buildings.</t>
  </si>
  <si>
    <t xml:space="preserve">LEED Eligibility Standards for Alterations and Additions
   13630 - Maximum alterations/additions
   13631 - Minimum alterations/additions
</t>
  </si>
  <si>
    <t>Length of Time Transported</t>
  </si>
  <si>
    <t>The usual time a student spends in a vehicle when riding from his or her transfer point or bus stop to the school (including the subsequent return trip).</t>
  </si>
  <si>
    <t>Lesson Activity Begin Date</t>
  </si>
  <si>
    <t>The first month, day, and year of the lesson activity.</t>
  </si>
  <si>
    <t>Lesson Activity Description</t>
  </si>
  <si>
    <t>A description of the lesson activity.</t>
  </si>
  <si>
    <t>Lesson Activity Duration</t>
  </si>
  <si>
    <t>An estimate of the duration of time for the lesson.</t>
  </si>
  <si>
    <t>Lesson Activity End Date</t>
  </si>
  <si>
    <t>The last month, day, and year of the lesson activity.</t>
  </si>
  <si>
    <t>Lesson Activity Name</t>
  </si>
  <si>
    <t>The name of the lesson activity.</t>
  </si>
  <si>
    <t>Lesson Activity Objective</t>
  </si>
  <si>
    <t>The objectives of the lesson activity.</t>
  </si>
  <si>
    <t>Lesson Duration</t>
  </si>
  <si>
    <t>Lesson Name</t>
  </si>
  <si>
    <t>The name of the lesson.</t>
  </si>
  <si>
    <t>Lesson Objective</t>
  </si>
  <si>
    <t>A description of the learning objective(s) of the lesson.</t>
  </si>
  <si>
    <t>Lesson Plan</t>
  </si>
  <si>
    <t>A description of the lesson plan.</t>
  </si>
  <si>
    <t>Level of Specialization</t>
  </si>
  <si>
    <t>The extent to which an individual concentrates upon a particular subject matter area during his or her period of study at an educational institution.</t>
  </si>
  <si>
    <t xml:space="preserve">Level of Specialization
   01145 - Area of interest
   01144 - Post-degree study
   01143 - Area of emphasis/concentration
   01142 - Minor
   01141 - Major
</t>
  </si>
  <si>
    <t>Library/Media Center Specialty Space Type</t>
  </si>
  <si>
    <t>The primary and auxiliary space designed to provide and support student and staff access to books, periodicals, software, videos, and the Internet.</t>
  </si>
  <si>
    <t xml:space="preserve">Library/Media Center Specialty Space Type
   02703 - Collections room
   02704 - Reading room
   02705 - Distance learning lab
   02706 - Copy center
   02707 - Study room
   02708 - Workroom
   13632 - Reception/checkout desk
   09999 - Other
</t>
  </si>
  <si>
    <t>License Plate Number</t>
  </si>
  <si>
    <t>The registration plate attached to the vehicle for official identification purposes. The registration identifier is a numeric or alphanumeric code that uniquely identifies the vehicle within the issuing region''s database.</t>
  </si>
  <si>
    <t>Life Status</t>
  </si>
  <si>
    <t>The condition of being living or deceased.</t>
  </si>
  <si>
    <t xml:space="preserve">Life Status
   01784 - Deceased
   01785 - Living
</t>
  </si>
  <si>
    <t>Life-cycle Cost</t>
  </si>
  <si>
    <t>The total cost of acquiring, owning, operating, and disposing of a building, facility, or piece of equipment over its useful life.</t>
  </si>
  <si>
    <t>Limitation Beginning Date</t>
  </si>
  <si>
    <t>The month, day, and year on which an authorized evaluator recommends that the limitation of activity be instituted.</t>
  </si>
  <si>
    <t>Limitation Cause</t>
  </si>
  <si>
    <t>A description of the reason for imposing or allowing the restriction or limitation on an individual's school activities.</t>
  </si>
  <si>
    <t>Limitation Description</t>
  </si>
  <si>
    <t>A description of any specific modified activity, including alternative placement (e.g., homebound and special programs) permitted or prescribed for an individual.</t>
  </si>
  <si>
    <t>Limitation Ending Date</t>
  </si>
  <si>
    <t>The month, day, and year on which an authorized evaluator recommends that the limitation of activity be disregarded.</t>
  </si>
  <si>
    <t>Lives With Status</t>
  </si>
  <si>
    <t>An indicator as to whether the student lives with this contact.</t>
  </si>
  <si>
    <t>Local Funding Source Type</t>
  </si>
  <si>
    <t>The source of the local funds for the project.</t>
  </si>
  <si>
    <t xml:space="preserve">Local Funding Source Type
   14910 - Bond
   14911 - Capital Project Fund
   14912 - Department of Defense Grant
   14913 - Federal
   14914 - Impact Fees
   14915 - Insurance
   14916 - Levy
   14917 - Property Sale
   14918 - Reserve Funds
</t>
  </si>
  <si>
    <t>Local Funding Type</t>
  </si>
  <si>
    <t>The type of funding from local entities that serves public health, education, social services, developmental disabilities, or other.</t>
  </si>
  <si>
    <t xml:space="preserve">Local Funding Type
   06078 - Local Part C lead agency
   06079 - Local public health agency
   00066 - Local education agency 
   06081 - Local social services agency
   06082 - Local developmental disabilities agency
   06083 - Other local agency
   01555 - Community organization, business, or group
   09999 - Other
</t>
  </si>
  <si>
    <t>Locale Code</t>
  </si>
  <si>
    <t>Locale code is a variable that NCES has created for general description, sampling, and other statistical purposes. Locale codes are derived to describe a school''s location ranging from `large city` to `rural.` These urban-centric locale codes are based on the physical location represented by an address that is matched against a geographic database maintained by the Census Bureau. See Appendix D for a history of locale codes.</t>
  </si>
  <si>
    <t xml:space="preserve">Locale Code
   08655 - City, Large
   08656 - City, Midsize
   08657 - City, Small
   08658 - Suburb, Large
   08659 - Suburb, Midsize
   08660 - Suburb, Small
   08661 - Town, Fringe
   08662 - Town, Distant
   08663 - Town, Remote
   08664 - Rural, Fringe
   08665 - Rural, Distant
   08666 - Rural, Remote
</t>
  </si>
  <si>
    <t>Location of Hazardous Materials/Conditions</t>
  </si>
  <si>
    <t>The location at which the identified hazardous material is found.</t>
  </si>
  <si>
    <t>Maintenance Standard</t>
  </si>
  <si>
    <t>The standard for maintenance of a component, system, or building.</t>
  </si>
  <si>
    <t xml:space="preserve">Maintenance Standard
   02836 - Run to fail
   02837 - Routine
   02989 - Emergency maintenance repair
   02838 - Preventive
   02839 - Predictive
</t>
  </si>
  <si>
    <t>Make-up Day</t>
  </si>
  <si>
    <t>The month, day, and year that students are given instruction during the whole/part-day instruction that is scheduled solely to make up for emergency days or early dismissal days.</t>
  </si>
  <si>
    <t>Make-up Time</t>
  </si>
  <si>
    <t>The number of minutes that students are given instruction during the whole/part-day of make-up time being reported.</t>
  </si>
  <si>
    <t>Mandate Authority</t>
  </si>
  <si>
    <t>The authority that mandates through law, regulation, or standard that pertains to a specific mandate.</t>
  </si>
  <si>
    <t xml:space="preserve">Mandate Authority
   13390 - District/Local
   00859 - Federal
   00391 - State
</t>
  </si>
  <si>
    <t>Marital Status</t>
  </si>
  <si>
    <t>The condition of an individual with regard to marriage.</t>
  </si>
  <si>
    <t xml:space="preserve">Marital Status
   01040 - Legally separated
   01041 - Married
   01042 - Not married 
</t>
  </si>
  <si>
    <t>Marital Status for Tax Withholding</t>
  </si>
  <si>
    <t>An indication of the marital condition of an individual for tax purposes.</t>
  </si>
  <si>
    <t xml:space="preserve">Marital Status for Tax Withholding
   01041 - Married
   00142 - Single
   00210 - Married but withholding at single rate
</t>
  </si>
  <si>
    <t>Marking Period Beginning Date</t>
  </si>
  <si>
    <t>The month, day, and year that the marking period begins.</t>
  </si>
  <si>
    <t>Marking Period Ending Date</t>
  </si>
  <si>
    <t>The month, day, and year that the marking period ends.</t>
  </si>
  <si>
    <t>Maternal Last Name</t>
  </si>
  <si>
    <t>The last name of the female parent.</t>
  </si>
  <si>
    <t>Maximum Leave Allowed</t>
  </si>
  <si>
    <t>The maximum number of hours of leave that an individual can accrue during a calendar or fiscal year.</t>
  </si>
  <si>
    <t>Maximum Number of Seats</t>
  </si>
  <si>
    <t>Meal Menu Planning Approach Type</t>
  </si>
  <si>
    <t>The type of menu planning approach used to plan healthful and appealing meals for the student body.</t>
  </si>
  <si>
    <t xml:space="preserve">Meal Menu Planning Approach
   03255 - Traditional food-based menu planning approach
   03256 - Enhanced food-based menu planning approach
   03257 - Nutrient standard menu planning approach
   03258 - Assisted nutrient standard menu planning approach
   03259 - Alternate menu planning approach
   09999 - Other
</t>
  </si>
  <si>
    <t>Meal Payment Method (Reimbursable/Non-reimbursable)</t>
  </si>
  <si>
    <t>The type of meal payment method (reimbursable/non-reimbursable) associated with a particular individual transaction.</t>
  </si>
  <si>
    <t xml:space="preserve">Meal Payment Method (Reimbursable/Non-reimbursable)
   03119 - Free
   03151 - Debit from account (prepaid)
   03152 - Charge to account (to be paid)
   03153 - Payment at point of service 
   09999 - Other
</t>
  </si>
  <si>
    <t>Meal Purchase Price (Reimbursable)</t>
  </si>
  <si>
    <t>The total dollar amount paid for the purchase of a reimbursable meal, snack, or milk, associated with a particular individual transaction.</t>
  </si>
  <si>
    <t>Meal Service</t>
  </si>
  <si>
    <t>The particular meal or food service associated with a transaction.</t>
  </si>
  <si>
    <t xml:space="preserve">Meal Service
   03135 - Breakfast
   03136 - Lunch
   03137 - Snack
   03138 - Supper
   03139 - Milk
</t>
  </si>
  <si>
    <t>Meal Service Components</t>
  </si>
  <si>
    <t>The components of the meal service.</t>
  </si>
  <si>
    <t xml:space="preserve">Meal Service Components
   03260 - Meat
   03261 - Fruit
   03262 - Vegetable
   03263 - Bread
   03139 - Milk
</t>
  </si>
  <si>
    <t>Meal Service End Time</t>
  </si>
  <si>
    <t>The time the meal service ends. If there are different meal service end times this would be the final end time.</t>
  </si>
  <si>
    <t>Meal Service Start Time</t>
  </si>
  <si>
    <t>The time the meal service starts. If there are different meal service start times this would be the first start time.</t>
  </si>
  <si>
    <t>Meal Service Transaction Date</t>
  </si>
  <si>
    <t>The month, day, and year on which the student received a particular meal or food service.</t>
  </si>
  <si>
    <t>Meal Service Transaction Type</t>
  </si>
  <si>
    <t>The type of transaction for a particular meal or food item(s).</t>
  </si>
  <si>
    <t xml:space="preserve">Meal Service Transaction Type
   03142 - Reimbursable free meal
   03143 - Reimbursable reduced price meal
   03144 - Reimbursable full price meal
   03145 - Reimbursable free snack
   03146 - Reimbursable reduced price snack
   03147 - Reimbursable full price snack 
   03148 - Reimbursable free milk
   03149 - Reimbursable full price milk
   03150 - Non-reimbursable meal/ala carte food item(s)
</t>
  </si>
  <si>
    <t>Meal Type</t>
  </si>
  <si>
    <t>The type of meal or food service attributable to a particular transaction.</t>
  </si>
  <si>
    <t xml:space="preserve">Meal Type
   03140 - Meal
   03137 - Snack
   03139 - Milk
   03141 - Ala carte/extra food item(s)
</t>
  </si>
  <si>
    <t>Means of Introduction for Employment</t>
  </si>
  <si>
    <t>The manner in which an individual was initially introduced to an employer or the way in which the employer became aware of an individual's availability for employment.</t>
  </si>
  <si>
    <t xml:space="preserve">Means of Introduction for Employment
   01410 - Advertisement
   01411 - Assignment/appointment
   01412 - Employee-initiated effort
   01413 - Employment agency
   00357 - Peace Corps/Overseas Military
   01414 - Recruitment effort
   01415 - Staff recommendation
   01416 - Student teaching or internship
   01417 - Educator database service/network
   01418 - Work-related organization recommendation
   01419 - Internet
   09999 - Other
</t>
  </si>
  <si>
    <t>Mechanical Conveying Systems</t>
  </si>
  <si>
    <t>Mechanical means for moving people and equipment within buildings.</t>
  </si>
  <si>
    <t xml:space="preserve">Mechanical Conveying System
   02516 - Elevator
   02517 - Escalator
   13593 - Lift
   13594 - Moving Walk
   13595 - Other conveying system
</t>
  </si>
  <si>
    <t>Mechanical System</t>
  </si>
  <si>
    <t>The major manufactured systems required to operate a building.</t>
  </si>
  <si>
    <t xml:space="preserve">Mechanical System
   02454 - Cooling generation system
   02453 - Heating generation system
   02455 - Air distribution system
   09999 - Other
</t>
  </si>
  <si>
    <t>Medical Examination Date</t>
  </si>
  <si>
    <t>The month, day, and year on which a health evaluation occurred.</t>
  </si>
  <si>
    <t>Medical Examination Instrument Description/Title</t>
  </si>
  <si>
    <t>The description or title of an evaluative instrument (e.g., a specific chart or mechanical device) that has been used to identify or evaluate an individual's health condition (e.g., Snellen Illiterate "E" Test, Snellen Alphabet Test, Pure Tone Audiometric Test, Speech Discrimination Test-Unaided and Aided, Mantoux Tuberculosis test, or sickle cell anemia blood test).</t>
  </si>
  <si>
    <t>Medical Examination Results</t>
  </si>
  <si>
    <t>A written report outlining specific findings of an individual's health examination or health test as determined by a qualified professional.</t>
  </si>
  <si>
    <t>Medical Examination Type</t>
  </si>
  <si>
    <t>A designation of the specific type of test administered to an individual for the purpose of screening or evaluating a medical condition, process, or impairment.</t>
  </si>
  <si>
    <t xml:space="preserve">Medical Examination Type
   01076 - Vision evaluation
   01077 - Hearing evaluation
   01078 - Speech and language evaluation
   01079 - Routine physical examination/screening
   01080 - Special physical examination
   01081 - Physical examination for sports participation
   01082 - Employment evaluation
   01083 - Psychological evaluation
   09999 - Other
</t>
  </si>
  <si>
    <t>Medical Examination Unit of Measure</t>
  </si>
  <si>
    <t>The scale or standard by which the score or results of a medical examination are measured or compared (e.g., fractional notation referring to distance/smallest line read for vision, decibels for hearing loss, or hertz for sound frequency).</t>
  </si>
  <si>
    <t>Medical Laboratory Procedure Results</t>
  </si>
  <si>
    <t>Significant or relevant conclusions drawn by qualified personnel about an individual's medical condition based on information gained from medical laboratory procedures.</t>
  </si>
  <si>
    <t>Medical Treatment</t>
  </si>
  <si>
    <t>A medical procedure (including surgery) an individual has undergone which might or does affect his or her school performance.</t>
  </si>
  <si>
    <t>Medical Waiver</t>
  </si>
  <si>
    <t>The description or special notation, if, for any reason, an individual has been granted a waiver and is not required to submit to certain medical examinations or treatments.</t>
  </si>
  <si>
    <t>Meeting Agenda</t>
  </si>
  <si>
    <t>A list of topics or meeting activities in the order in which they are to be taken up.</t>
  </si>
  <si>
    <t>Meeting Date</t>
  </si>
  <si>
    <t>The month, day, and year on which the meeting takes place.</t>
  </si>
  <si>
    <t>Meeting Exhibits</t>
  </si>
  <si>
    <t>A list of the materials discussed and/or made available to participants at the meeting.</t>
  </si>
  <si>
    <t>Meeting Location</t>
  </si>
  <si>
    <t>The place where the meeting is held.</t>
  </si>
  <si>
    <t>Meeting Outcome</t>
  </si>
  <si>
    <t>A description of the outcome of the meeting.</t>
  </si>
  <si>
    <t>Meeting Participants</t>
  </si>
  <si>
    <t>The names and/or positions/titles of individuals who attend the meeting.</t>
  </si>
  <si>
    <t>Meeting Type</t>
  </si>
  <si>
    <t>The type of meeting.</t>
  </si>
  <si>
    <t xml:space="preserve">Meeting Type
   13360 - Governing Board
   13361 - Individualized Education Plan
   13362 - Parent/Teacher
   13363 - Parent/Administrator
   13364 - Teacher/Administrator
   13365 - Parent Teacher Association/Organization
   13366 - School Organization
   01556 - Other organization, business, or group
</t>
  </si>
  <si>
    <t>Metro Status Code (MSC)</t>
  </si>
  <si>
    <t>The classification of the institution's service area relative to a Metropolitan Statistical Area (MSA).</t>
  </si>
  <si>
    <t xml:space="preserve">Metro Status Code (MSC)
   02366 - Primarily serves a central city of a Metropolitan Statistical Area (MSA)
   02367 - Serves a Metropolitan Statistical Area (MSA) but not primarily its central city
   02368 - Does not serve a Metropolitan Statistical Area (MSA)
</t>
  </si>
  <si>
    <t>Metropolitan/Micropolitan Statistical Area (MSA) Code</t>
  </si>
  <si>
    <t>The Office of Management and Budget (OMB) defines the Metropolitan Statistical Areas (MSAs) as having at least one urbanized area of 50,000 or more population, plus adjacent territory that has a high degree of social and economic integration with the core as measured by commuting ties. Micropolitan Statistical Areas are defined as having at least one urban cluster of at least 10,000 but less than 50,000 population, plus adjacent territory that has a high degree of social and economic integration with the core as measured by commuting ties. The MSA codes are 5 digits in length, falling within the 10000 to 59999 range, which replaces the 4-digit code previously used.</t>
  </si>
  <si>
    <t>Middle Initial</t>
  </si>
  <si>
    <t>The first letter of the secondary name given to an individual at birth, baptism, or during another naming ceremony.</t>
  </si>
  <si>
    <t>Migrant Certificate of Eligibility (COE) Status</t>
  </si>
  <si>
    <t>An indication as to whether a migrant student has completed the COE, which records, usually on a single form, all eligible students in a family who arrived on the same date in the same state or district where the student, parent, guardian, or spouse, obtained or sought qualifying agricultural or fishing work.</t>
  </si>
  <si>
    <t xml:space="preserve">Migrant Certificate of Eligibility
   01650 - Certificate of eligibility completed
   01651 - Certificate of eligibility not completed
</t>
  </si>
  <si>
    <t>Migrant Classification Subgroup</t>
  </si>
  <si>
    <t>An indication of the status of a migrant student, as further specified by the migratory pattern (e.g., interstate or intrastate) and industry (e.g., agriculture or fishing) by which his or her family is influenced.</t>
  </si>
  <si>
    <t xml:space="preserve">Migrant Classification Subgroup
   03159 - Currently migratory agricultural
   03160 - Formerly migratory agricultural
   03161 - Currently migratory fishing
   03162 - Formerly migratory fishing
   03163 - Not migratory
</t>
  </si>
  <si>
    <t>Migrant Expected Graduation Institution</t>
  </si>
  <si>
    <t>An indicator that identifies whether the institution is the school or facility from which a migrant student expects to graduate. Only one school or facility may be designated for graduation at any one point in time.</t>
  </si>
  <si>
    <t>Migrant QAD to City</t>
  </si>
  <si>
    <t>The city in which the new school district was located when the migrant student's qualifying move occurred.</t>
  </si>
  <si>
    <t>Migrant QAD to State</t>
  </si>
  <si>
    <t>The state in which the new school district was located when the migrant student's qualifying move occurred.</t>
  </si>
  <si>
    <t>Migrant Qualifying Work Type</t>
  </si>
  <si>
    <t>The type of qualifying agricultural or fishing activity the migrant student and/or the migrant student's family performs.</t>
  </si>
  <si>
    <t xml:space="preserve">Migrant Qualifying Work Type
   03164 - Production
   03165 - Processing
</t>
  </si>
  <si>
    <t>Migrant Residency Date</t>
  </si>
  <si>
    <t>The month, day, and year on which a migrant student entered the school district. The residency date and the qualifying arrival date (QAD) are the same only if the most current move enables the worker to obtain or seek qualifying agricultural or fishing employment. A subsequent move for a reason other than obtaining qualifying work would create a new residency date, but would not change the qualifying arrival date. The residency date is always the same as or after the date of the qualifying arrival date.</t>
  </si>
  <si>
    <t>Migrant to Join Date</t>
  </si>
  <si>
    <t>The month, day, and year on which the student moved, which is either before or after the date the parent, guardian, or spouse moved to seek qualifying work. When the student's move precedes the worker's move, the qualifying arrival and residency dates are the date the worker arrived. When the student's move follows the worker's move, the qualifying arrival and residency dates are the date the student arrived. As a rule of thumb, the student's move should be within a year of the worker's move.</t>
  </si>
  <si>
    <t>Military Discharge Date</t>
  </si>
  <si>
    <t>The month, day, and year on which an individual was discharged from the military service.</t>
  </si>
  <si>
    <t>Military Discharge Type</t>
  </si>
  <si>
    <t>The type of discharge that an individual was granted upon leaving the Armed Forces.</t>
  </si>
  <si>
    <t xml:space="preserve">Military Discharge Type
   01070 - Honorable discharge
   01072 - General discharge
   01071 - Dishonorable discharge
</t>
  </si>
  <si>
    <t>Military Duty Status</t>
  </si>
  <si>
    <t>The current military status of an individual.</t>
  </si>
  <si>
    <t xml:space="preserve">Military Duty Status
   01064 - Active duty
   01065 - Ready reserve, selected reserve
   01066 - Ready reserve, individual ready reserve (IRR)
   01067 - Ready reserve, inactive national guard (ING)
   01068 - Standby reserve
   01069 - Retired reserve
   09998 - None
</t>
  </si>
  <si>
    <t>Military Entry Date</t>
  </si>
  <si>
    <t>The month, day, and year on which an individual entered the military service.</t>
  </si>
  <si>
    <t>Military Reserve Obligation Ending Date</t>
  </si>
  <si>
    <t>The month, day, and year on which an individual's obligation to the Military Reserve ends.</t>
  </si>
  <si>
    <t>Military Service Experience</t>
  </si>
  <si>
    <t>A description of military experience and special training a student acquired while in the service.</t>
  </si>
  <si>
    <t>Military Service Type</t>
  </si>
  <si>
    <t>The branch of the Armed Forces in which an individual serves/served.</t>
  </si>
  <si>
    <t xml:space="preserve">Military Service Type
   01058 - United States Air Force
   01059 - United States Army
   01060 - United States Coast Guard
   01061 - United States Marine Corps
   01062 - United States Navy
   01063 - National Guard
</t>
  </si>
  <si>
    <t>Minor/Adult Status</t>
  </si>
  <si>
    <t>A person's status in relation to legal adulthood as specified by state law.</t>
  </si>
  <si>
    <t xml:space="preserve">Minor/Adult Status
   01638 - Emancipated minor
   01639 - Legal adult
   01640 - Legal minor
</t>
  </si>
  <si>
    <t>Monitoring Method</t>
  </si>
  <si>
    <t>The manner by which information about a student's participation and progress was gathered.</t>
  </si>
  <si>
    <t>Monthly Earning Rate of Pay</t>
  </si>
  <si>
    <t>The monetary unit of salary compensation an individual is paid for performance of agreed-upon duties on a monthly basis.</t>
  </si>
  <si>
    <t>Mortgage Interest Amount</t>
  </si>
  <si>
    <t>The amount the borrower pays the lender to compensate the lender for the use of money to purchase a building or facility.</t>
  </si>
  <si>
    <t>Mortgage Interest Type</t>
  </si>
  <si>
    <t>The type of interest paid on a mortgage to the lender to compensate the lender for the use of money to purchase a building or facility.</t>
  </si>
  <si>
    <t xml:space="preserve">Mortgage Interest Type
   13730 - Add-on interest
   13731 - Adjustable-Rate Mortgage (ARM)
   13732 - Balloon Mortgage
   13733 - Deferred Interest
   13734 - Fixed Payment Mortgage
   13735 - Fixed-rate Mortgage
   13736 - Floating Rate
   13737 - Fully Amortizing Mortgage
   13738 - Graduated-payment Mortgage (GPM)
   13739 - Interest-only loan
   13740 - Open-end Mortgage
</t>
  </si>
  <si>
    <t>Mortgage Type</t>
  </si>
  <si>
    <t>The status of a mortgage as it relates to priority of payment.</t>
  </si>
  <si>
    <t xml:space="preserve">Mortgage Type
   13741 - Junior Mortgage
   13742 - Multiple
   13743 - Senior or first mortgage
</t>
  </si>
  <si>
    <t>Movable Furnishings</t>
  </si>
  <si>
    <t>Furniture which is not permanently installed in a space and can be relocated by simply carrying it from one location to another.</t>
  </si>
  <si>
    <t>Name of Country</t>
  </si>
  <si>
    <t>The name of the country in which an address is located.</t>
  </si>
  <si>
    <t>Name of Country of Birth</t>
  </si>
  <si>
    <t>The name of the country in which an individual was born.</t>
  </si>
  <si>
    <t>Name of Country of Citizenship</t>
  </si>
  <si>
    <t>The name of the country to which an individual acknowledges citizenship.</t>
  </si>
  <si>
    <t>Name of Language</t>
  </si>
  <si>
    <t>The name of the specific language or dialect that an individual uses to communicate.</t>
  </si>
  <si>
    <t>Name of Response Agency</t>
  </si>
  <si>
    <t>The local, state, or federal agency other than the LEA that has primary responsibility for responding to an emergency situation.</t>
  </si>
  <si>
    <t>Name of State of Birth</t>
  </si>
  <si>
    <t>The name of the state (within the United States) or extra-state jurisdiction in which an individual was born.</t>
  </si>
  <si>
    <t>National/Ethnic Origin Subgroup</t>
  </si>
  <si>
    <t>The national or ethnic subgroup of a person other than "American." Examples for Asian include: Chinese, Japanese, Korean, Filipino, Vietnamese, or Asian Indian. For Native Hawaiian or Other Pacific Islander, examples include: Samoan, Hawaiian, or Guamanian. For Hispanics, examples include: Puerto Rican, Mexican-American, Cuban, Argentinean, Dominican, Colombian, Nicaraguan, Salvadoran, or Spaniard. Tribal registration could be listed for Alaska Natives or American Indians (e.g., Navajo).</t>
  </si>
  <si>
    <t>Naturally Occuring Hazard Type</t>
  </si>
  <si>
    <t>Type of natural hazard that can affect the health, safety and operation of school facilities and their occupants.</t>
  </si>
  <si>
    <t xml:space="preserve">Naturally Occuring Hazard Type
   13678 - Arsenic
   13679 - Earthquake prone area
   13680 - Floodplain
   13681 - Liquifaction, landslide areas
   13682 - Naturally Occurring Abestos (NOA)
   13683 - Sinkholes, Karst terrain
</t>
  </si>
  <si>
    <t>Nature of Complaint</t>
  </si>
  <si>
    <t>The nature of any statement or official expression submitted by another individual against the employee about his or her employment.</t>
  </si>
  <si>
    <t>Nature of Prior Employment</t>
  </si>
  <si>
    <t>The descriptive name (e.g., teaching, office/clerical, custodial) of the occupation or job duties performed by an individual.</t>
  </si>
  <si>
    <t>Neglected or Delinquent Participation Total Day Count</t>
  </si>
  <si>
    <t>The total number of instructional days the student was enrolled in this neglected or delinquent program during this reporting period.</t>
  </si>
  <si>
    <t>Net Area of Instructional Space</t>
  </si>
  <si>
    <t>The area of space directly used for instruction excluding circulation, administration, student services, and building support.</t>
  </si>
  <si>
    <t>Network Connection Type</t>
  </si>
  <si>
    <t>The type of link between a computer and an external network.</t>
  </si>
  <si>
    <t xml:space="preserve">Connection Type
   03193 - Dial-up via modem
   03194 - Wired LAN and router
   03195 - Wireless LAN and router
   03196 - Cable modem
   03197 - Satellite/modem hybrid link
   03198 - Full satellite/two-way link
</t>
  </si>
  <si>
    <t>Next Service Date</t>
  </si>
  <si>
    <t>The month, day, and year a major component, system, equipment, or fixture is scheduled to be serviced for preventive or routine maintenance.</t>
  </si>
  <si>
    <t>Nickname</t>
  </si>
  <si>
    <t>A familiar form of a proper name, a descriptive name, or other colloquial name given instead of or in addition to an individual's formal name.</t>
  </si>
  <si>
    <t>Non Traditional Program Enrollee Status</t>
  </si>
  <si>
    <t>An indication that the student who is enrolled in a non-traditional program is a members of the underrepresented gender group.</t>
  </si>
  <si>
    <t>Non-course Graduation Requirement Date Met</t>
  </si>
  <si>
    <t>The month, day, and year on which the student met the non-course graduation requirement.</t>
  </si>
  <si>
    <t>Non-course Graduation Requirement Scores/Results</t>
  </si>
  <si>
    <t>The results from the student's completion of the non-course graduation requirement (e.g., pass/fail, letter grade, percentage scale, and rank).</t>
  </si>
  <si>
    <t>Non-course Graduation Requirement Type</t>
  </si>
  <si>
    <t>The type of non-course graduation requirement that the student must meet in order to graduate.</t>
  </si>
  <si>
    <t xml:space="preserve">Non-Course Graduation Requirement Code
   02010 - State graduation test
   02011 - Service learning/community service
   02012 - Thesis/dissertation
   02013 - Special skill test
   02014 - Career-related work experience
   09999 - Other
</t>
  </si>
  <si>
    <t>Non-educator Credential Type</t>
  </si>
  <si>
    <t>An indication of the type of non-educator certificate, license, or permit that is issued by a government agency, professional association, or other organization to perform services other than teaching or other educator responsibilities (e.g., school board member, school nurse, registrar, database administrator, computer support personnel, psychologist). (Note: The Council of Licensure, Enforcement, and Regulation provides links to regulatory boards and colleges and listings of regulatory entities of each state at www.clearhq.org.)</t>
  </si>
  <si>
    <t>Non-parental Caregiver/Early Childhood Program Provider</t>
  </si>
  <si>
    <t>A description of the individual or institution which provides care, education, and/or services to the child.</t>
  </si>
  <si>
    <t xml:space="preserve">Non-Parental Caregiver/Early Childhood Program Provider
   02351 - Relative care, education, and/or services
   02352 - Non-relative care, education, and/or services
   09998 - None
</t>
  </si>
  <si>
    <t>Non-resident Attendance Rationale</t>
  </si>
  <si>
    <t>The reason that the student attends a school outside of his or her usual attendance area.</t>
  </si>
  <si>
    <t xml:space="preserve">Non-Resident Attendance Rationale
   01657 - Attending an area alternative school
   01658 - Attending an area magnet program 
   01659 - Attending an area special education school
   01660 - Attending an area vocational/technical school
   01661 - Attending a private school
   01662 - Court-mandated juvenile system assignment
   01663 - Home schooling
   01664 - Local education agency (LEA) assignment
   01665 - Migrant education program participation
   01666 - Open school enrollment
   01667 - Voucher
   01668 - Charter school
</t>
  </si>
  <si>
    <t>Non-school Activity Beginning Date</t>
  </si>
  <si>
    <t>The month, day, and year on which a student begins participating in a non-school activity.</t>
  </si>
  <si>
    <t>Non-school Activity Description</t>
  </si>
  <si>
    <t>A description or title of the non-school activity in which a student participates on a regular basis.</t>
  </si>
  <si>
    <t>Non-school Activity Ending Date</t>
  </si>
  <si>
    <t>The month, day, and year on which a student ceases participating in the non-school activity.</t>
  </si>
  <si>
    <t>Non-school Activity Sponsor</t>
  </si>
  <si>
    <t>The name of the person or organization sponsoring the activity.</t>
  </si>
  <si>
    <t>Non-school Activity Type</t>
  </si>
  <si>
    <t>An indication of the type of non-school activity in which the student is participating.</t>
  </si>
  <si>
    <t xml:space="preserve">Non-School Activity Code
   02015 - Full-time employment
   02016 - Part-time employment
   02017 - Internship employment/experience
   02018 - Co-curricular experience
   02019 - Teaching assistantship
   02020 - Research assistantship
   02021 - Other employment
   02022 - Professional or scholarly article
   02025 - Published writing
   02026 - Professional presentation
   02027 - Other publication
   02028 - Professional organization membership
   02029 - Patents and inventions
   09999 - Other
</t>
  </si>
  <si>
    <t>Non-teaching Educator Credential Type</t>
  </si>
  <si>
    <t>An indication of the type of non-teaching educator certificate, license, or permit that is issued by a government agency, professional association, or other organization to hold certain administrative or education support positions. This credential often also requires the possession of a valid teaching credential (e.g., superintendents, principals, assistant principals, supervisors). (Note: The Council of Licensure, Enforcement, and Regulation provides links to regulatory boards and colleges and listings of regulatory entities of each state at www.clearhq.org.)</t>
  </si>
  <si>
    <t>Nontax Revenue Type</t>
  </si>
  <si>
    <t>The source of revenue for capital projects that are voluntarily contributed.</t>
  </si>
  <si>
    <t xml:space="preserve">Nontax Revenue Type
   02969 - Individual contributions
   02970 - Corporate contributions
   02971 - Foundation contributions
   02972 - Payments in lieu of tax contributions
   13744 - Capital lease proceeds
   13745 - Cash
   13746 - Gains or losses on the sale of capital assets
   13747 - Loan proceeds
   13748 - Loans
   13749 - Miscellaneous revenues from other local governmental units
   13750 - Miscellaneous revenues from other school districts
   13751 - Other long-term debt proceeds
   13752 - Proceeds from the disposal of real or personal property
   13753 - Rentals
   13754 - Revenue for/on behalf of the school district from an intermediate governmental jurisdiction
   13755 - Revenue for/on behalf of the school district from the federal government
   13756 - Revenue for/on behalf of the school district from the state
   09999 - Other
</t>
  </si>
  <si>
    <t>Norming Period</t>
  </si>
  <si>
    <t>The time of year when the assessment was given to a sample of students for the purpose of establishing a standard of performance for that group of students (e.g., fall, mid-year, or spring).</t>
  </si>
  <si>
    <t>Notice of Recommended Educational Placement Date</t>
  </si>
  <si>
    <t>Date the Notice of Recommended Educational Placement was signed and approved by the parent/guardian of the student.</t>
  </si>
  <si>
    <t>Number of Days of Membership</t>
  </si>
  <si>
    <t>The number of days a student is present plus the number of days absent when school is in session during a given reporting period.</t>
  </si>
  <si>
    <t>Number of Field Test Items</t>
  </si>
  <si>
    <t>The number of field test items on the assessment form. Field test items are those that are not included when deriving a student's score.</t>
  </si>
  <si>
    <t>Number of Forms Used in Assessment</t>
  </si>
  <si>
    <t>The number of different test forms that were in the assessment.</t>
  </si>
  <si>
    <t>Number of Hours in School Day</t>
  </si>
  <si>
    <t>The number of hours (or portion of hours) in the day in which the school is normally in session.</t>
  </si>
  <si>
    <t>Number of Hours Worked per Weekend</t>
  </si>
  <si>
    <t>An estimated average number of hours an individual works or expects to work for an employer over a Saturday and Sunday.</t>
  </si>
  <si>
    <t>Number of Hours Worked per Work Week</t>
  </si>
  <si>
    <t>An estimated average number of hours an individual works or expects to work for an employer between Monday and Friday.</t>
  </si>
  <si>
    <t>Number of Items Revised</t>
  </si>
  <si>
    <t>The number of test items that were changed since the previous or original version.</t>
  </si>
  <si>
    <t>Number of Marking Periods</t>
  </si>
  <si>
    <t>The number of marking period(s) during the school year.</t>
  </si>
  <si>
    <t>Number of Periods per Day</t>
  </si>
  <si>
    <t>The number of class periods in a normal school day for the specific classes/grades covered by the school calendar.</t>
  </si>
  <si>
    <t>Number of Stories</t>
  </si>
  <si>
    <t>The number of stories in a building, excluding the basement if its ceiling is less than three feet above ground level.</t>
  </si>
  <si>
    <t>Number of Students in Class</t>
  </si>
  <si>
    <t>The number of students for the classroom for which the individual is responsible for providing learning experiences and care during a particular time period or in a given discipline.</t>
  </si>
  <si>
    <t>Number of Tardies</t>
  </si>
  <si>
    <t>The number of instances an individual is late during a given reporting period.</t>
  </si>
  <si>
    <t>Number of Teaching Stations</t>
  </si>
  <si>
    <t>The number of teaching stations, as defined by how many spaces have, or could have, a teacher assigned to them for classroom instruction.</t>
  </si>
  <si>
    <t>Number of Tracks</t>
  </si>
  <si>
    <t>The number of tracks in a year-round school.</t>
  </si>
  <si>
    <t>Number of Units Required for Credential Renewal</t>
  </si>
  <si>
    <t>The number of professional development or re-certification units required to renew a credential.</t>
  </si>
  <si>
    <t>Obscene Behavior Violation</t>
  </si>
  <si>
    <t>Language or actions, written, oral, physical, or electronic, in violation of community or school standards.4662 Displays of affection in violation of school policy.</t>
  </si>
  <si>
    <t xml:space="preserve">Obscene Behavior Violation
   04663 - Obscene written messages
   04664 - Drawing obscene pictures
   04665 - Obscene electronic communication
   04666 - Obscene gestures
   04667 - Obscene language/profanity
   09999 - Other
</t>
  </si>
  <si>
    <t>Office Held</t>
  </si>
  <si>
    <t>The title of a position of trust and leadership held by an individual in an organization, association, or public political office.</t>
  </si>
  <si>
    <t>Office Term Beginning Date</t>
  </si>
  <si>
    <t>The month, day, and year on which an individual's term of office (for a leadership position) in an organization, association, or political office began.</t>
  </si>
  <si>
    <t>Office Term Ending Date</t>
  </si>
  <si>
    <t>The month, day, and year on which an individual's term of office (for a leadership position) in an organization, association, or political office ended.</t>
  </si>
  <si>
    <t>Office/Clerical/Administrative Support Job Classification</t>
  </si>
  <si>
    <t>A general job classification that describes staff that performs the activities of preparing, transferring, transcribing, systematizing, or preserving communications, records, and transactions.</t>
  </si>
  <si>
    <t xml:space="preserve">Technical Job Classification
   04817 - Audiometrist
   04818 - Computer technician
   04819 - Drafter
   04820 - Engineering aide
   04821 - Graphic artist
   04822 - Inspector
   04823 - Licensed practical nurse
   04824 - Media technologist
   04825 - Photographer
   04826 - Psychometrist
   04827 - Purchasing agent
   04828 - Speech language technician
   04829 - Supervisor
   09999 - Other
</t>
  </si>
  <si>
    <t xml:space="preserve">Office/Clerical/Administrative Support Job Classification
   04831 - Bookkeeping/accounting/auditing clerk
   04832 - Cashier
   04833 - Computer operator
   04834 - Data entry clerk
   04835 - Dispatcher
   04836 - Duplicating/photocopying assistant
   04837 - Electrical and electronic repairers
   04838 - File clerk
   04839 - General office clerk
   04840 - Mail clerk
   04841 - Messenger
   04842 - Office manager
   04843 - Receptionist
   04844 - Records clerk
   04845 - Secretary
   04846 - Stenographer
   04847 - Stores/supplies handler
   04848 - Switchboard/PBX operator
   04849 - Typist and wordprocessor
   09999 - Other
</t>
  </si>
  <si>
    <t>Official-Administrative Job Classification</t>
  </si>
  <si>
    <t>A general job classification that describes staff that performs management activities that require developing broad policies and executing those policies through direction of individuals at all levels. This includes high-level administrative activities performed directly for policy makers.</t>
  </si>
  <si>
    <t xml:space="preserve">Official-Administrative Job Classification
   04707 - Administrative/supervisory/ancillary services officer
   04708 - Board of education/school board/board of trustees member
   04709 - Commandant of cadets
   04710 - Dean/dean of instructions/dean of students/dean of boys/dean of girls/dean of student activities
   04711 - Deputy/associate/vice /assistant principal
   04712 - Deputy/associate/assistant superintendent/ commissioner
   04713 - Executive assistant
   04714 - Instructional program director/coordinator/consultant
   04715 - Manager
   04716 - Non instructional program director/coordinator/consultant
   04717 - Ombudsperson
   04718 - Principal/headmaster/headmistress/head of school
   04719 - School president
   04720 - School site council member
   04721 - Superintendent/commissioner
   09999 - Other
</t>
  </si>
  <si>
    <t>Operations/Maintenance Space Type</t>
  </si>
  <si>
    <t>The area designed primarily for conducting activities concerned with maintaining the grounds, buildings, and equipment.</t>
  </si>
  <si>
    <t xml:space="preserve">Operations/Maintenance Space Type
   02777 - Custodian office
   02778 - Custodial closet
   02779 - Mechanical room
   02780 - Boiler room
   02781 - Fan room
   02782 - Systems control room
   02783 - Electrical closet
   02784 - Communications closet
   02785 - Server room
   02786 - Storage - flammable materials
   02787 - Storage - maintenance equipment
   02788 - Storage - hazardous materials
   02789 - Student toilet
   02790 - Public toilet
   02791 - Staff toilet
   09999 - Other
</t>
  </si>
  <si>
    <t>Operative Job Classification</t>
  </si>
  <si>
    <t>A general job classification that describes staff that performs tasks requiring an intermediate level of manual skills which can be mastered in a few weeks through limited training to operate machines. This includes bus drivers and vehicle operators.</t>
  </si>
  <si>
    <t xml:space="preserve">Operative Job Classification
   04864 - Bus driver
   04865 - Other vehicle operator
   09999 - Other
</t>
  </si>
  <si>
    <t>Optimum Number of Seats</t>
  </si>
  <si>
    <t>Originating Location of Instruction/Service</t>
  </si>
  <si>
    <t>The type of location from which the instruction or service originates.</t>
  </si>
  <si>
    <t xml:space="preserve">Location of Instruction/Service
   00675 - School
   00341 - Other K-12 educational institution
   00342 - Postsecondary facility
   03018 - Library/media center
   00752 - Community facility
   00997 - Business
   00754 - Hospital
   00753 - Home of student
   03506 - Mobile
   09999 - Other
</t>
  </si>
  <si>
    <t>Originating Location of Instruction/Service Description</t>
  </si>
  <si>
    <t>A description of the location at which instruction or service originates (e.g., room number, building site, campus designation, or address).</t>
  </si>
  <si>
    <t>Other Debt Type</t>
  </si>
  <si>
    <t>Other types of borrowing instruments.</t>
  </si>
  <si>
    <t xml:space="preserve">Other Debt Type
   13757 - Bridge financing or bridge loan
   13758 - Installment Debt
</t>
  </si>
  <si>
    <t>Other equipment</t>
  </si>
  <si>
    <t>Equipment that is installed for special safety reasons, such as fume hoods in the science rooms.</t>
  </si>
  <si>
    <t>Other Site Systems and Equipment</t>
  </si>
  <si>
    <t>Description of additional site systems and equipment necessary for site development.</t>
  </si>
  <si>
    <t>Outdoor Athletic/Physical Education Space Type</t>
  </si>
  <si>
    <t>The outdoor space designed, located, furnished, and equipped for instruction and support of a physical education curriculum and athletic program.</t>
  </si>
  <si>
    <t xml:space="preserve">Outdoor Athletic/Physical Education Space Type
   02721 - Multipurpose grassy play field
   02722 - Concessions/restrooms
   02985 - Field house
   02723 - Track/fields
   02724 - Bleacher seating
   02725 - Tennis courts
   02726 - Paved outdoor basketball courts
   02727 - Fitness trail
   02728 - Baseball field
   02729 - Softball field
   02730 - Football field
   02731 - Soccer field
   02732 - Other sports field
   09999 - Other
</t>
  </si>
  <si>
    <t>Outdoor/Non-athletic Space Type</t>
  </si>
  <si>
    <t>The outdoor space located, designed, furnished, and equipped primarily for recreation,play and outdoor environmental education.</t>
  </si>
  <si>
    <t xml:space="preserve">Outdoor/Non-Athletic Space Type
   03407 - Schoolyard Garden
   02433 - Playground
   03409 - Sandbox
   13633 - Outdoor classroom
   13634 - Outdoor seating
   13635 - Natural habitat area
   13636 - Splash play area
   13629 - Kitchen garden
</t>
  </si>
  <si>
    <t>Overall Diagnosis/Interpretation of Hearing</t>
  </si>
  <si>
    <t>An appraisal of an individual's hearing, including consideration of both test results and other factors.</t>
  </si>
  <si>
    <t xml:space="preserve">Overall Diagnosis/Interpretation of Hearing
   02108 - No significant hearing impairment
   02109 - Mild hearing impairment
   02110 - Moderate hearing impairment
   02111 - Moderate severe hearing impairment
   02112 - Severe hearing impairment
   02113 - Profound hearing impairment
</t>
  </si>
  <si>
    <t>Overall Diagnosis/Interpretation of Speech and Language</t>
  </si>
  <si>
    <t>An appraisal of an individual's speech and language, including consideration of both test results and other factors.</t>
  </si>
  <si>
    <t xml:space="preserve">Overall Diagnosis/Interpretation of Speech
   02114 - No significant speech impairment
   02115 - Articulation disorder
   02116 - Fluency disorder
   02117 - Voice disorder
   02118 - Language disorder
   09999 - Other
</t>
  </si>
  <si>
    <t>Overall Diagnosis/Interpretation of Vision</t>
  </si>
  <si>
    <t>An appraisal of an individual's vision, including consideration of both test results and other factors.</t>
  </si>
  <si>
    <t xml:space="preserve">Overall Diagnosis/Interpretation of Vision
   02104 - No significant visual impairment
   02105 - Slight or mild visual impairment
   02106 - Partially seeing
   02107 - Blind
</t>
  </si>
  <si>
    <t>Overall Health Status</t>
  </si>
  <si>
    <t>The state of a child''s physical, mental, and social well-being and not merely the absence of disease or infirmity.</t>
  </si>
  <si>
    <t xml:space="preserve">Overall Health Status
   06007 - Excellent
   06005 - Very good
   06066 - Good
   06034 - Fair
   06050 - Poor
</t>
  </si>
  <si>
    <t>Overtime Identifier</t>
  </si>
  <si>
    <t>The amount of time at which an individual begins to earn overtime pay rather than base pay.</t>
  </si>
  <si>
    <t>Ownership Entity Name</t>
  </si>
  <si>
    <t>The name of the public or private entity that holds legal title to the building and/or site.</t>
  </si>
  <si>
    <t>Ownership Entity Type</t>
  </si>
  <si>
    <t>The public or private entity that holds legal title to the building and/or site.</t>
  </si>
  <si>
    <t>Paraprofessionals Job Classification</t>
  </si>
  <si>
    <t>A general job classification that describes staff that staff work alongside and assists professional individuals.</t>
  </si>
  <si>
    <t xml:space="preserve">Paraprofessionals Job Classification
   04801 - Assistant counselor
   04802 - Bilingual aide
   04803 - Bilingual special education aide
   04804 - Career aide
   04805 - Child care giver
   04806 - Computer aide
   04807 - Extra curricular activity aide
   04808 - Financial aid specialist
   04809 - Monitor/prefect
   04810 - Library aide
   04811 - Media center aide
   04812 - Psychologist assistant
   04813 - Teaching/classroom aide
   04814 - Teaching assistant
   04815 - Tutor
   09999 - Other
</t>
  </si>
  <si>
    <t>Parent Legal Guardian Indicator</t>
  </si>
  <si>
    <t>An indication as to whether the individual has parental or legal guardianship responsibility for the student</t>
  </si>
  <si>
    <t>Part-day Instructional Time</t>
  </si>
  <si>
    <t>The number of minutes that students were given instruction during the part-day being reported (e.g., student early dismissal, student late arrival day, emergency day).</t>
  </si>
  <si>
    <t>Participant Role</t>
  </si>
  <si>
    <t>The individual''s role in the co-curricular or extra-curricular activity in which the individual is involved (e.g., first chair, trumpet, coach''s assistant, etc.).</t>
  </si>
  <si>
    <t>Participation Status</t>
  </si>
  <si>
    <t>An indication as to whether an individual is participating in an educational course or program or is involved in a staff development activity.</t>
  </si>
  <si>
    <t xml:space="preserve">Participation Status
   01119 - Currently enrolled/involved
   01120 - Previously enrolled/involved
   01121 - Program completed
</t>
  </si>
  <si>
    <t>Partitions</t>
  </si>
  <si>
    <t>Something that divides or separates, as a wall dividing one room or cubicle from another.</t>
  </si>
  <si>
    <t>Pay Grade</t>
  </si>
  <si>
    <t>Identification of the class of an individual's position grouped by salary range.</t>
  </si>
  <si>
    <t>Pay Range</t>
  </si>
  <si>
    <t>The pay rates assigned to a class or group of positions which define the appropriate compensation options.</t>
  </si>
  <si>
    <t>Pay Step</t>
  </si>
  <si>
    <t>An identification of the class of an individual's position within a grade, which is grouped by a salary range.</t>
  </si>
  <si>
    <t>Payment Required per Pay Period</t>
  </si>
  <si>
    <t>The monetary amount that must be paid each pay period in order for an individual to be covered by or participate in an employee benefit program.</t>
  </si>
  <si>
    <t>Payment Source(s)</t>
  </si>
  <si>
    <t>The individual or organization responsible for paying the expenses for the student's education.</t>
  </si>
  <si>
    <t>Payroll Calculation Cycle</t>
  </si>
  <si>
    <t>The time element that governs the amount calculated in payroll to an employee.</t>
  </si>
  <si>
    <t>Payroll Deduction Type</t>
  </si>
  <si>
    <t>The type of deduction to be withheld from the employee's paycheck.</t>
  </si>
  <si>
    <t xml:space="preserve">Payroll Deduction Type
   01561 - Federal income tax
   01562 - State income tax
   01563 - Local income tax
   01564 - Social Security FICA
   01565 - Medicare
   01566 - State teacher retirement system
   01567 - State public employee retirement system
   01568 - Industrial/professional insurance
   01569 - Group medical insurance
   01570 - Group dental insurance
   01571 - Term life insurance
   01572 - Permanent life insurance
   01573 - Profit sharing plan
   01574 - Retirement plan - 401(k) or 403(b)
   01575 - Charity
   01576 - Annuity
   01577 - Child/dependent care benefits reimbursement
   01578 - Child support disbursement unit
   01579 - Alimony payment
   01580 - Credit union
   01581 - Recreation fee
   01582 - Parking fee
   01583 - Uninsured medical expenses
   01584 - Section 457
   01585 - Loan repayment
   09999 - Other
</t>
  </si>
  <si>
    <t>Payroll Tax Treatment Status</t>
  </si>
  <si>
    <t>An indication of whether a payroll deduction is made prior to or after taxes have been withheld, according to rules of the taxing authorities.</t>
  </si>
  <si>
    <t xml:space="preserve">Payroll Tax Treatment Status
   01586 - Pre-tax
   01587 - After tax
   01588 - Non-taxed
</t>
  </si>
  <si>
    <t>Percent of Total Time</t>
  </si>
  <si>
    <t>A derived number expressing the time spent fulfilling an assignment as a percentage of the total work time possible for an individual.</t>
  </si>
  <si>
    <t>Percent Voters Against Bond Question</t>
  </si>
  <si>
    <t>The percent of voters who voted against the most current bond referendum question(s).</t>
  </si>
  <si>
    <t>Percent Voters for Bond Question</t>
  </si>
  <si>
    <t>The percent of voters who voted in favor of the most current bond referendum question(s).</t>
  </si>
  <si>
    <t>Percentage of Time by Medium of Instruction</t>
  </si>
  <si>
    <t>The percentage of time that the medium of instruction is utilized by the teacher to instruct and by which the student receives instructional communication from his or her teacher(s).</t>
  </si>
  <si>
    <t>Percentage Ranking</t>
  </si>
  <si>
    <t>Performance Benchmark</t>
  </si>
  <si>
    <t>A description of the performance levels that are used to track progress and performance.</t>
  </si>
  <si>
    <t>Performance Rating</t>
  </si>
  <si>
    <t>Indicator of performance status in relation to benchmarks (e.g., score, grade).</t>
  </si>
  <si>
    <t>Performing Arts Specialty Space Type</t>
  </si>
  <si>
    <t>The space designed, located, furnished, and equipped for instruction and support of music and drama curricula and productions.</t>
  </si>
  <si>
    <t xml:space="preserve">Performing Arts Specialty Space Type
   02768 - Auditorium (fixed seats)
   02772 - Backstage room/green room
   02650 - Band room
   02651 - Practice room
   02652 - Choral room
   02653 - Drama classroom
   02654 - Blackbox theater
   02655 - Instrument storage
   02656 - Keyboard laboratory
   02657 - Television studio
   02658 - Multipurpose music room
   02659 - Multimedia production center
   02660 - Radio/television broadcast studios
   02769 - Control room
   02770 - Costume storage area
   02771 - Set storage area
   13637 - Balcony
   09999 - Other
</t>
  </si>
  <si>
    <t>Period Use in Attendance Calculations</t>
  </si>
  <si>
    <t>An indicator of whether the bell period should be included in attendance calculations.</t>
  </si>
  <si>
    <t>Perpetrator ID</t>
  </si>
  <si>
    <t>Identifies the perpetrator of the incident, when a student or staff member, by use of a pre-existing school or district unique identifier.</t>
  </si>
  <si>
    <t>Person Employed in Multiple Jobs</t>
  </si>
  <si>
    <t>The number of jobs held by a person.</t>
  </si>
  <si>
    <t>Person Relationship to Learner Qualifier Type</t>
  </si>
  <si>
    <t>A qualifier used with the element Person Relationship to Learner Type to further define the nature of the person''s relationship to a learner.</t>
  </si>
  <si>
    <t xml:space="preserve">Person Relationship to Learner Qualifier Type
   14761 - Adoptive
   14762 - Biological
   14763 - Foster
   14764 - Half
   14765 - Step
   09998 - None
</t>
  </si>
  <si>
    <t>Physician Diagnosing Injury</t>
  </si>
  <si>
    <t>The medical specialist who identifies or determines the nature and cause of the injury or disease suffered by an individual, through an evaluation of the patient's history, a medical examination, or a review of laboratory results.</t>
  </si>
  <si>
    <t>Pick Up Rights Status</t>
  </si>
  <si>
    <t>An indicator as to whether or not the contact has pickup rights.</t>
  </si>
  <si>
    <t>Placement Parental Consent Date</t>
  </si>
  <si>
    <t>Date the parent(s) consented to the proposed placement.</t>
  </si>
  <si>
    <t>Planned Assessment Participation</t>
  </si>
  <si>
    <t>The student''s planned level of participation in statewide assessments.</t>
  </si>
  <si>
    <t xml:space="preserve">Planned Assessment Participation Code
   13466 - Accommodations - Students with Disabilities
   13467 - Accommodations - Students with temporary or long-term disabilities and Section 504 students
   13468 - Accommodations - English Language Learners
   13469 - Exempted Students - Transfer
   13470 - Excused - Prior to Test
   13471 - Excused - During Testing
</t>
  </si>
  <si>
    <t>Plumbing System</t>
  </si>
  <si>
    <t>The component of an on-site system for supplying, eliminating, and treating water.</t>
  </si>
  <si>
    <t xml:space="preserve">Plumbing System
   02462 - Water supply
   02463 - Drains
   02464 - Vents
   02465 - Sewage treatment
   02466 - Water source
   02467 - Parcel drainage
   02468 - Piping
   02469 - Water softeners
   02470 - Detention ponds
   02471 - Filtration system
   09999 - Other
   13596 - Domestic water distribution
   13597 - Plumbing fixtures
   13598 - Rain water drainage
   13599 - Sanitary waste
</t>
  </si>
  <si>
    <t>Points/Mark Assistance</t>
  </si>
  <si>
    <t>An indication of the points/mark were earned with assistance.</t>
  </si>
  <si>
    <t>Points/Mark Value</t>
  </si>
  <si>
    <t>The number of points received. The results can be expressed as a number, percentile, range, level, etc.</t>
  </si>
  <si>
    <t>Points/Mark Value Description</t>
  </si>
  <si>
    <t>The description of the number of points/mark received. Points could be based on the entire assignment or are a certain part of the assignment (i.e., penmanship).</t>
  </si>
  <si>
    <t>Position Assessment Date</t>
  </si>
  <si>
    <t>The month, day, and year on which an assessment was administered for skills that are required for the position.</t>
  </si>
  <si>
    <t>Position Assessment Results</t>
  </si>
  <si>
    <t>An indication of the results of the assessment for skills that are required for the position.</t>
  </si>
  <si>
    <t>Position or Classification Number</t>
  </si>
  <si>
    <t>An indication of the level or category of an individual's position as assigned by the employer.</t>
  </si>
  <si>
    <t>Position Skills Assessed</t>
  </si>
  <si>
    <t>An indication of the type of an assessment administered to an individual for skills that are required for the position (e.g. keyboarding, spelling, grammar, editing, data entry, and driving).</t>
  </si>
  <si>
    <t>Post-school Recognition</t>
  </si>
  <si>
    <t>The description of honors and recognitions awarded to a former student when he or she pursued an academic or occupational goal.</t>
  </si>
  <si>
    <t>Post-school Training or Education Subject Matter</t>
  </si>
  <si>
    <t>The nature of the training or education that a student is planning on, interested in, or will be actively pursuing after graduating from or leaving his or her current school of enrollment.</t>
  </si>
  <si>
    <t xml:space="preserve">Post-School Training or Education Subject Matter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02051 - Consumer and homemaking education
   01155 - Personal and miscellaneous services
   01156 - Education
   01157 - Engineering
   01158 - Engineering-related technologies
   02371 - Foreign language and literature
   00551 - Home economics
   01159 - Vocational home economics
   01161 - Law and legal studies
   01162 - English language and literature/letters
   01163 - Liberal arts and sciences, general studies and humanities
   01164 - Library science
   01165 - Biological sciences/life sciences
   01166 - Mathematics
   01168 - Military technologies
   00558 - Multi/Interdisciplinary studies
   01176 - Parks, recreation, leisure and fitness studies
   01177 - Philosophy and religion
   01178 - Theological studies and religious vocations
   01179 - Physical sciences
   01180 - Science technologies
   01181 - Psychology
   01182 - Protective services
   01183 - Public administration and services
   01167 - Reserve Officers' Training Corp (ROTC)
   01184 - Social sciences and history
   01185 - Construction trades
   01186 - Mechanics and repairers
   01187 - Precision production trades
   01160 - Technology education/industrial arts
   01188 - Transportation and materials moving workers
   01189 - Visual and performing arts
   01369 - Health professions and occupations
   01191 - Business management and administrative services
   09999 - Other
</t>
  </si>
  <si>
    <t>Postsecondary Subject Matter Area</t>
  </si>
  <si>
    <t>The descriptive name of an academic or vocational discipline studied by an individual in an educational program or staff development activity. (Note: Refer to the NCES Classification of Instructional Programs).</t>
  </si>
  <si>
    <t xml:space="preserve">Postsecondary Subject Matter Area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01155 - Personal and miscellaneous services
   01156 - Education
   01157 - Engineering
   01158 - Engineering-related technologies
   02371 - Foreign language and literature
   00551 - Home economics
   01159 - Vocational home economics
   01160 - Technology education/industrial arts
   01161 - Law and legal studies
   01162 - English language and literature/letters
   01163 - Liberal arts and sciences, general studies and humanities
   01164 - Library science
   01165 - Biological sciences/life sciences
   01166 - Mathematics
   01167 - Reserve Officers' Training Corp (ROTC)
   01168 - Military technologies
   00558 - Multi/Interdisciplinary studies
   01170 - Basic skills
   01171 - Citizenship activities
   01172 - Health-related knowledge and skills
   01173 - Interpersonal and social skills
   01174 - Leisure and recreational activities
   01175 - Personal awareness and self-improvement
   01176 - Parks, recreation, leisure and fitness studies
   01177 - Philosophy and religion
   01178 - Theological studies and religious vocations
   01179 - Physical sciences
   01180 - Science technologies
   01181 - Psychology
   01182 - Protective services
   01183 - Public administration and services
   01184 - Social sciences and history
   01185 - Construction trades
   01186 - Mechanics and repairers
   01187 - Precision production trades
   01188 - Transportation and materials moving workers
   01189 - Visual and performing arts
   01190 - Health professions and related sciences
   01191 - Business management and administrative services
   09999 - Other
</t>
  </si>
  <si>
    <t>Preparation Description</t>
  </si>
  <si>
    <t>A description of the kind of formal training or coursework (e.g., courses, seminars, institutes) recommended for an individual''s development.</t>
  </si>
  <si>
    <t>Preparation Duration</t>
  </si>
  <si>
    <t>The approximate length of time in days, weeks, months, or years that the recommended training requires.</t>
  </si>
  <si>
    <t>Preparation Funding</t>
  </si>
  <si>
    <t>The source of funds used to pay for recommended training (e.g., an individual, an employer, or some other organization).</t>
  </si>
  <si>
    <t>Preparation Location</t>
  </si>
  <si>
    <t>The location where the recommended training takes place (e.g. within an organization, at an outside firm, or at an education institution).</t>
  </si>
  <si>
    <t>Previous Children Serviced</t>
  </si>
  <si>
    <t>An indication of the children an employee served prior to current employment.</t>
  </si>
  <si>
    <t>Previous Service Locations</t>
  </si>
  <si>
    <t>Locations in which an employee provided services prior to current employment.</t>
  </si>
  <si>
    <t>Previous Service Role</t>
  </si>
  <si>
    <t>An indication of the general role an individual performed in previous employment.</t>
  </si>
  <si>
    <t>Prior Year Status</t>
  </si>
  <si>
    <t>An indication of an individual's professional or personal experience during the year before an application for employment is filed.</t>
  </si>
  <si>
    <t xml:space="preserve">Prior Year Status
   01424 - Teaching in this school
   01425 - Teaching in another elementary or secondary school in this school system
   01426 - Teaching in a public elementary or secondary school in a different school system in this state
   01427 - Teaching in a public elementary or secondary school in another state
   01428 - Teaching in a private elementary or secondary school
   01429 - Student at a college or university
   01430 - Teaching in a preschool
   01431 - Teaching at a college or university
   01432 - Working in a position in the field of education, but not as a teacher
   01433 - Working in an occupation outside the field of education
   01434 - Caring for family members
   01435 - Military service
   01436 - Unemployed and seeking work
   01437 - Retired from another job
   09999 - Other
</t>
  </si>
  <si>
    <t>Process Customers</t>
  </si>
  <si>
    <t>The consumers of the Process Outputs.</t>
  </si>
  <si>
    <t>Process Description</t>
  </si>
  <si>
    <t>A brief statement of the reason the process exists and the results is it expected to accomplish.</t>
  </si>
  <si>
    <t>Process Inputs</t>
  </si>
  <si>
    <t>Those items that are used by the Process Team in carrying out the Process Steps. These may be tangible (e.g. paper, books, raw materials) or intangible (e.g. data, information).</t>
  </si>
  <si>
    <t>Process Measures</t>
  </si>
  <si>
    <t>Metrics that the Process Steward or Owner collects and uses to assess the functional health of the process.</t>
  </si>
  <si>
    <t>Process Name</t>
  </si>
  <si>
    <t>The Process Name is used to identify the process. Each process should have a unique, descriptive, and unambiguous name.</t>
  </si>
  <si>
    <t>Process Outputs</t>
  </si>
  <si>
    <t>Those items that are produced by the Process Team in carrying out the Process Steps and consumed by the Process Customers. These may be tangible (e.g. paper, books, raw materials) or intangible (e.g. data, information).</t>
  </si>
  <si>
    <t>Process Steps</t>
  </si>
  <si>
    <t>The individual tasks that make up the process. Each Process Step is assigned to a particular member of the Process Team.</t>
  </si>
  <si>
    <t>Process Steward or Owner</t>
  </si>
  <si>
    <t>The person who is primarily responsible for carrying out the work of the process.</t>
  </si>
  <si>
    <t>Process Team</t>
  </si>
  <si>
    <t>The individuals who are responsible for carrying out the Process Steps.</t>
  </si>
  <si>
    <t>Program Authorizing Date</t>
  </si>
  <si>
    <t>The month, day, and year on which the program is authorized to be conducted.</t>
  </si>
  <si>
    <t>Program Availability</t>
  </si>
  <si>
    <t>An indication as to when the program is provided to an individual or group of individuals.</t>
  </si>
  <si>
    <t xml:space="preserve">Program Availability
   00235 - Before school
   00231 - During school
   00236 - After school
   00234 - Weekend
   00237 - Summer
   00238 - In-school service day
   00239 - Evenings
   09999 - Other
</t>
  </si>
  <si>
    <t>Program Beginning Date</t>
  </si>
  <si>
    <t>The month, day, and year on which the program or activity begins.</t>
  </si>
  <si>
    <t>Program Beneficiary</t>
  </si>
  <si>
    <t>The audience(s) for which the program is intended.</t>
  </si>
  <si>
    <t xml:space="preserve">Program Beneficiary
   00868 - State Education Agency
   00890 - Intermediate Education Unit
   00213 - Local Education Agencies/Local Administrative Unit
   00015 - School boards
   00026 - Schools
   00039 - Administrators
   00049 - Teachers
   00059 - Paraprofessionals/teacher aides
   00069 - Non-instructional staff
   00080 - Student teachers
   00102 - Preschool children
   00091 - Students
   00114 - Families
   00125 - Communities
   09999 - Other
</t>
  </si>
  <si>
    <t>Program Benefit Targeting Type</t>
  </si>
  <si>
    <t>Degree and focus of the activities and services an individual, group of individuals, or organization receives as a result of a program.</t>
  </si>
  <si>
    <t xml:space="preserve">Program Benefit Targeting Type
   00147 - Direct
   00148 - Incidental
   00149 - Both direct and incidental
</t>
  </si>
  <si>
    <t>Program Characterization</t>
  </si>
  <si>
    <t>The description of the program of work, series of courses, individual course, or training program in which an individual is involved.</t>
  </si>
  <si>
    <t>Program Delivery Structure</t>
  </si>
  <si>
    <t>The regularity with which a program is provided.</t>
  </si>
  <si>
    <t xml:space="preserve">Program Delivery Structure
   00220 - Fixed schedule
   00221 - Variable schedule
   00874 - One-time
</t>
  </si>
  <si>
    <t>Program Description</t>
  </si>
  <si>
    <t>The description of instructional or non-instructional activities and procedures or services provided to the intended audience.</t>
  </si>
  <si>
    <t>Program Duration</t>
  </si>
  <si>
    <t>The actual (for fixed schedules) or average (for variable schedules) number of weeks per year that a program is provided to an individual or group of individuals.</t>
  </si>
  <si>
    <t>Program Eligibility Date</t>
  </si>
  <si>
    <t>Date student is eligible for beginning the support program(s).</t>
  </si>
  <si>
    <t>Program Eligibility Expiration Date</t>
  </si>
  <si>
    <t>The month, day, and year on which the program expires because of pre-set requirements.</t>
  </si>
  <si>
    <t>Program Eligibility Status</t>
  </si>
  <si>
    <t>An indication as to whether an individual is eligible to participate in a special program or receive support services, regardless of whether he or she is actually enrolled and participating. Eligibility is based upon the specific requirements of a given program.</t>
  </si>
  <si>
    <t xml:space="preserve">Program Eligibility Indicator
   02568 - Eligible to participate in program
   02569 - Not eligible to participate in program
</t>
  </si>
  <si>
    <t>Program Ending Date</t>
  </si>
  <si>
    <t>The month, day, and year on which the program or activity ends.</t>
  </si>
  <si>
    <t>Program Frequency</t>
  </si>
  <si>
    <t>The actual (fixed) or average (variable) number of days per week that a program is provided to an individual or group of individuals.</t>
  </si>
  <si>
    <t xml:space="preserve">Program Frequency
   00351 - Less than 1 day per week
   00001 - 1 day per week
   00223 - 2 days per week
   00224 - 3 days per week
   00225 - 4 days per week
   00226 - 5 days per week
   00227 - 6 days per week
   00228 - 7 days per week
   00230 - Not scheduled
   06020 - More than once a day
   06021 - 1 to 4 times per month
   06022 - Once a month
   02326 - As needed
   02322 - Quarterly
   02323 - Semi-annually
   02324 - Annually
   09999 - Other
</t>
  </si>
  <si>
    <t>Program Funding Beginning Date</t>
  </si>
  <si>
    <t>The month, day, and year on which the program funding begins.</t>
  </si>
  <si>
    <t>Program Funding Ending Date</t>
  </si>
  <si>
    <t>The month, day, and year on which the funding for a program ends.</t>
  </si>
  <si>
    <t>Program Funding Source</t>
  </si>
  <si>
    <t>Ultimate and intermediate providers of funds for a particular educational or service program or activity or for an individual's participation in the program or activity.</t>
  </si>
  <si>
    <t xml:space="preserve">Program Funding Source
   00797 - Federal government
   00617 - State government
   00622 - Local/community government
   00654 - College/University
   00675 - School
   00997 - Business
   00698 - Community
   00709 - Self in tuition and/or fees
   00720 - Parent/guardian in tuition and/or fees
   00731 - Parent/teacher organizations
   00739 - Individuals (endowments)
   00749 - Foundations and other charitable organizations
   00218 - Religious organization
   01899 - Parent/guardian's employer
   00772 - Unions
   00219 - Fraternal organization
   00786 - Insurance
   09999 - Other
</t>
  </si>
  <si>
    <t>Program Funding Source Name</t>
  </si>
  <si>
    <t>The name of the organization providing funds for the program.</t>
  </si>
  <si>
    <t>Program Funds Received</t>
  </si>
  <si>
    <t>The total amount of funds received for a particular education program or activity or for the individual's participation in the education program or activity.</t>
  </si>
  <si>
    <t>Program Goal(s) or Purpose</t>
  </si>
  <si>
    <t>A description of the goals or broad purpose for the program, including expected outcomes.</t>
  </si>
  <si>
    <t>Program Intensity</t>
  </si>
  <si>
    <t>The actual (for fixed schedules) or average (for variable schedules) number of hours or portion of hours per week that a program is provided to an individual or group of individuals.</t>
  </si>
  <si>
    <t>Program Objectives</t>
  </si>
  <si>
    <t>A description of the specific outcomes expected from the program for each intended audience.</t>
  </si>
  <si>
    <t>Program of Study Relevance</t>
  </si>
  <si>
    <t>An indication as to whether the type of work is relevant to a student's current program of study or occupational goal.</t>
  </si>
  <si>
    <t xml:space="preserve">Program of Study Relevance
   02040 - Relevant
   02041 - Peripheral
</t>
  </si>
  <si>
    <t>Program Participation Reason</t>
  </si>
  <si>
    <t>Identified status or reason that a student needs special or supplemental services.</t>
  </si>
  <si>
    <t xml:space="preserve">Program Participation Reason
   02154 - Academic difficulty
   02155 - Academic excellence/enrichment
   02156 - College admission preparation
   02157 - Family background
   02158 - Language barrier difficulty
   02159 - Health reason
   02160 - Psychological reason
   02161 - Socioeconomic reason
   02162 - Legal/court-specified
   03169 - Disability
   09999 - Other
</t>
  </si>
  <si>
    <t>Program Placement Date</t>
  </si>
  <si>
    <t>Date student began the support program.</t>
  </si>
  <si>
    <t>Program Plan Date</t>
  </si>
  <si>
    <t>Date the most recent program plan was completed and approved by the team responsible for developing it.</t>
  </si>
  <si>
    <t>Program Plan Effective Date</t>
  </si>
  <si>
    <t>Date by which the plan must be implemented for the student.</t>
  </si>
  <si>
    <t>Progress Toward IFSP Goals and Objectives</t>
  </si>
  <si>
    <t>Number of IFSP goals for which a child has demonstrated progress.</t>
  </si>
  <si>
    <t>Promotion Testing Status</t>
  </si>
  <si>
    <t>An indication of the status of the student with regard to test requirements for promotion decisions.</t>
  </si>
  <si>
    <t>Provider Authority</t>
  </si>
  <si>
    <t>An indication of the relationship of the health care provider to the patient.</t>
  </si>
  <si>
    <t xml:space="preserve">Provider Authority
   02138 - School provider
   02139 - Personal/family provider
   02140 - Public agency provider
   09999 - Other
</t>
  </si>
  <si>
    <t>Provider Occupation</t>
  </si>
  <si>
    <t>A designation of the occupation of an individual who is responsible for providing a student with health care (e.g., physician, surgeon, nurse, psychiatrist, pharmacist, or midwife).</t>
  </si>
  <si>
    <t>Provider Specialty</t>
  </si>
  <si>
    <t>A designation of the particular professional discipline in which a health care provider's training and experience is focused (e.g., orthopedic surgery, urology, or psychiatry).</t>
  </si>
  <si>
    <t>Public Education Mill Rate</t>
  </si>
  <si>
    <t>The millage rate used to calculate property tax revenue for K-12 public education.</t>
  </si>
  <si>
    <t>Public Use Policy</t>
  </si>
  <si>
    <t>A description of the policy that enables the community or other organizations to use all or part of a building for purposes other than general education.</t>
  </si>
  <si>
    <t>Publication Description</t>
  </si>
  <si>
    <t>A description of the title, location/appearance, date, and/or other information related to an individual's publication.</t>
  </si>
  <si>
    <t>Publication Type</t>
  </si>
  <si>
    <t>An indication of the nature of an individual's professional public communication and/or performance.</t>
  </si>
  <si>
    <t xml:space="preserve">Publication Type
   01372 - Book
   01373 - Peer journal article
   01374 - Non-peer journal article
   01375 - Fine arts performance 
   01376 - Presentation/paper at a conference or professional association meeting
   01377 - Newspaper article
   09999 - Other
</t>
  </si>
  <si>
    <t>Purchase Date</t>
  </si>
  <si>
    <t>The date the equipment was purchased.</t>
  </si>
  <si>
    <t>Purpose of Assessment Special Accommodation</t>
  </si>
  <si>
    <t>The primary reason the special accommodation for the assessment was offered to a student.</t>
  </si>
  <si>
    <t xml:space="preserve">Purpose of Assessment Special Accommodation
   03574 - Student's IEP status
   03575 - Student's LEP status
   03576 - Student's 504 status
   03577 - Student's IEP and LEP status
   09999 - Other
</t>
  </si>
  <si>
    <t>Qualified Individual with Disabilities Status</t>
  </si>
  <si>
    <t>The qualified individual is an individual with a disability who, with or without reasonable modifications to rules, policies, or practices, the removal of architectural, communication, or transportation barriers, or the provision of auxiliary aids and services, meets the essential eligibility requirements for the receipt of services or the participation in programs or activities provided by a public entity.</t>
  </si>
  <si>
    <t>Qualitative Assessment IFSP Results</t>
  </si>
  <si>
    <t>Results of the qualitative assessment of a child''s improvement and progress toward IFSP goals and objectives, based on observation, service provider and parent report, etc.</t>
  </si>
  <si>
    <t>Quarterly Employment Record Earnings</t>
  </si>
  <si>
    <t>The quarterly amount paid to individuals found employed.</t>
  </si>
  <si>
    <t>Quarterly Employment Record Reference Quarter End Date</t>
  </si>
  <si>
    <t>The year, month, and day of the last day of the reference quarter.</t>
  </si>
  <si>
    <t>Quarterly Employment Record Reference Quarter Start Date</t>
  </si>
  <si>
    <t>The year, month, and day of the first day of the reference quarter.</t>
  </si>
  <si>
    <t>Race for Federal Reporting</t>
  </si>
  <si>
    <t>The general racial and ethnic group which most clearly reflects the individual''s recognition of his or her community or with which the individual most identifies.</t>
  </si>
  <si>
    <t xml:space="preserve">Race for Federal Reporting
   00998 - American Indian or Alaska Native
   00999 - Asian
   01000 - Black or African American
   01001 - Native Hawaiian or Other Pacific Islander
   01002 - White
   02304 - Hispanic or Latino Ethnicity
   14559 - Two or more races
</t>
  </si>
  <si>
    <t>Readiness for Assignment of Greater Responsibility</t>
  </si>
  <si>
    <t>The degree to which an individual's capabilities would permit successful performance in an assignment of greater responsibility if and when such a position becomes available.</t>
  </si>
  <si>
    <t xml:space="preserve">Readiness for Assignment of Greater Responsibility
   02343 - Immediately eligible
   02344 - In the future
   02345 - Not ready
   09999 - Other
</t>
  </si>
  <si>
    <t>Reason for Closure</t>
  </si>
  <si>
    <t>A description of the reason or reasons for temporary or permanent closure.</t>
  </si>
  <si>
    <t xml:space="preserve">Reason for Closure
   00008 - Low enrollment
   00009 - Inadequate facilities
   00010 - Financial difficulties
   00011 - Achievement requirements unmet
   00012 - Loss of accreditation
   00112 - Planned construction
   00115 - Re-organization by merging, splitting, or changes in authoritative agency
   00116 - Legislative mandates
   00117 - Emergency event
   09999 - Other
</t>
  </si>
  <si>
    <t>Reason for Meeting</t>
  </si>
  <si>
    <t>The purpose of the meeting.</t>
  </si>
  <si>
    <t>Reason for Non-entrance in School</t>
  </si>
  <si>
    <t>The explanation as to why an individual of compulsory school attendance age or of school census age: 1) has never entered school; 2) has not completed his or her high school work in an approved manner at the close of the preceding regular school term; or 3) was not, for some other reason, in school membership at the close of the preceding term or did not enter any local elementary or secondary school for the current regular term.</t>
  </si>
  <si>
    <t xml:space="preserve">Reason for Non-Entrance
   01960 - Chose not to accept services
   01961 - Distance from residence to school
   01663 - Home schooling
   01963 - Receiving instruction elsewhere
   01964 - Religious reason
   01965 - Not eligible for services
   09999 - Other
</t>
  </si>
  <si>
    <t>Reason for Variation</t>
  </si>
  <si>
    <t>Information that describes and explains aspects of service delivery that varied from recommendations.</t>
  </si>
  <si>
    <t xml:space="preserve">Reason for Variation
   06023 - Parent request
   06024 - New assessment information
   06025 - Consensus among team members
</t>
  </si>
  <si>
    <t>Reason Not Eligible for Reemployment</t>
  </si>
  <si>
    <t>A description of the rationale for determining that an individual is not eligible for reemployment by the organization.</t>
  </si>
  <si>
    <t>Receiving Location of Instruction/Service Description</t>
  </si>
  <si>
    <t>A description of the location at which an individual receives instruction or service (e.g., room number, building site, campus designation, or address).</t>
  </si>
  <si>
    <t>Reemployment Eligibility</t>
  </si>
  <si>
    <t>The degree of satisfaction with an individual's past performance as it relates to future consideration of his or her possible rehiring in the organization.</t>
  </si>
  <si>
    <t xml:space="preserve">Reemployment Eligibility
   01627 - Eligible for reemployment
   01628 - Not eligible for reemployment
   01629 - Eligible on a conditional basis
</t>
  </si>
  <si>
    <t>Reevaluation Date</t>
  </si>
  <si>
    <t>Date students will be reevaluated for continued placement in a support program(s).</t>
  </si>
  <si>
    <t>Referral Cause</t>
  </si>
  <si>
    <t>The specific condition or reason indicating that a referral is necessary or advisable (e.g., emotional problems, retarded reading skill development, difficulty with oral communication).</t>
  </si>
  <si>
    <t>Referral Completion Date</t>
  </si>
  <si>
    <t>The month, day, and year on which an individual is received, evaluated, and examined as a consequence of a referral.</t>
  </si>
  <si>
    <t>Referral Completion Report</t>
  </si>
  <si>
    <t>The description of the referral.</t>
  </si>
  <si>
    <t>Referral Provider Indicator</t>
  </si>
  <si>
    <t>An indication as to whether the health care provider is acting as a referring provider or a receiving provider.</t>
  </si>
  <si>
    <t xml:space="preserve">Referral Status
   02141 - Referring provider
   02142 - Receiving provider
</t>
  </si>
  <si>
    <t>Referral Purpose</t>
  </si>
  <si>
    <t>The general reason an individual was referred for examination and assistance.</t>
  </si>
  <si>
    <t xml:space="preserve">Referral Purpose
   02136 - Physical, health, sensory, and related conditions
   02137 - School work or for intellectual, social, or emotional reasons
</t>
  </si>
  <si>
    <t>Region Represented</t>
  </si>
  <si>
    <t>The identifier or description that indicates which geographic/jurisdictional area within the governance council’s purview is represented by the council member.</t>
  </si>
  <si>
    <t>Regional Funding Type</t>
  </si>
  <si>
    <t>The type of funding from regional entities that serves public health, education, social services, developmental disabilities, or other.</t>
  </si>
  <si>
    <t xml:space="preserve">Regional Funding Type
   06075 - Regional public health entity
   00214 - Regional or intermediate educational agency
   06076 - Regional social services entity
   06077 - Regional developmental disabilities entity
   09999 - Other
</t>
  </si>
  <si>
    <t>Regular School</t>
  </si>
  <si>
    <t>A school providing instruction and educational services that do not focus primarily on special education, vocational/technical education, or alternative education.</t>
  </si>
  <si>
    <t>Regular School Period</t>
  </si>
  <si>
    <t>Indicator of whether the bell period is part of the regular school day (i.e. is not a before or after school or break period).</t>
  </si>
  <si>
    <t>Regulation Compliance Date</t>
  </si>
  <si>
    <t>The month, day, and year by which the regulation is to be met or implemented.</t>
  </si>
  <si>
    <t>Regulation Description</t>
  </si>
  <si>
    <t>A description of the regulation.</t>
  </si>
  <si>
    <t>Regulation Issue Date</t>
  </si>
  <si>
    <t>The month, day, and year that the statute is issued.</t>
  </si>
  <si>
    <t>Regulation Non-compliance Reason</t>
  </si>
  <si>
    <t>A description of the reason that the regulation requirements were not fulfilled.</t>
  </si>
  <si>
    <t>Regulation Promulgation Requirements</t>
  </si>
  <si>
    <t>An indication of the promulgation actions and the associated requirements for the regulation.</t>
  </si>
  <si>
    <t xml:space="preserve">Regulation Promulation Requirement
   00866 - Public hearing
   00867 - Notify parents/public
   00869 - Waiting period
   00870 - Authority body vote
   00871 - Endorsements
   00872 - Signature
   09999 - Other
</t>
  </si>
  <si>
    <t>Regulation Title</t>
  </si>
  <si>
    <t>The full, legally accepted or popularly accepted name or title of a regulation, including non-regulatory guidance.</t>
  </si>
  <si>
    <t>Related Emergency Needs</t>
  </si>
  <si>
    <t>Specification of possible or actual emergency care an individual may require.</t>
  </si>
  <si>
    <t>Related to Special Education Manifestation Hearing</t>
  </si>
  <si>
    <t>An indication of whether or not any of the disciplinary actions taken against a student were imposed as a consequence of the incident being related to a special education manifestation hearing.</t>
  </si>
  <si>
    <t>Relationship to Staff Member</t>
  </si>
  <si>
    <t>An indication of an employee's relationship with an individual or organization (e.g., a charity to which benefits are designated).</t>
  </si>
  <si>
    <t>Released Time</t>
  </si>
  <si>
    <t>The amount of time a school officially and regularly excuses a full-time student for part of a session. This may be for reasons such as need at home, work on special activity, approved employment, high school students taking college courses, religious instruction, and reduced schedule because of physical or emotional condition or doctor's appointments.</t>
  </si>
  <si>
    <t>Religious Affiliation</t>
  </si>
  <si>
    <t>The religion or religious group (e.g., the specific unified system of religious expression) with which the individual or institution most identifies.</t>
  </si>
  <si>
    <t xml:space="preserve">Religious Affiliation/Religious Background
   00019 - Amish
   00020 - Assembly of God
   00021 - Baptist
   00022 - Buddhist
   00023 - Calvinist
   00024 - Catholic
   00025 - Eastern Orthodox
   00027 - Episcopal
   00028 - Friends
   00029 - Greek Orthodox
   00030 - Hindu
   00031 - Islamic
   00032 - Jehovah's Witnesses
   00033 - Jewish
   00034 - Latter Day Saints
   00036 - Lutheran
   00038 - Mennonite
   00040 - Methodist
   00041 - Pentecostal
   00042 - Presbyterian
   02405 - Christian (no specific denomination)
   00043 - Other Christian denomination
   00044 - Seventh Day Adventist
   00045 - Tao
   00046 - Unitarian Universalist
   00047 - Christian Scientist
   00048 - Nazarene
   09998 - None
   09999 - Other
</t>
  </si>
  <si>
    <t>Religious Consideration</t>
  </si>
  <si>
    <t>A restriction or other considerations for medical treatment because of the doctrines of an individual's religion.</t>
  </si>
  <si>
    <t>Remarks about Specific Program Participation and Student Support</t>
  </si>
  <si>
    <t>Further information or comments about the student's participation and/or progress in early childhood, student support, and/or special assistance programs. This section may include information from submitted reports used to monitor the student.</t>
  </si>
  <si>
    <t>Report Date</t>
  </si>
  <si>
    <t>The month, day, and year on which a report is submitted.</t>
  </si>
  <si>
    <t>Report Title</t>
  </si>
  <si>
    <t>The description of the name or contents of the report.</t>
  </si>
  <si>
    <t>Report Type</t>
  </si>
  <si>
    <t>The type of report expected to be completed.</t>
  </si>
  <si>
    <t xml:space="preserve">Report Type
   00150 - Application
   00151 - Management report
   00152 - Regularly scheduled update report 
   00153 - Funding report
   00155 - Final report
   09999 - Other
</t>
  </si>
  <si>
    <t>Reported to Law Enforcement</t>
  </si>
  <si>
    <t>An indication of whether the school resource officer or any other law enforcement official was notified about the incident, regardless of whether official action is taken.</t>
  </si>
  <si>
    <t>Reporting and Documentation</t>
  </si>
  <si>
    <t>The description of results of a qualitative assessment of a student's performance, progress, or development. Such observations and/or evaluations are often documented in the form of a parent or teacher report, or a student's performance portfolio, and may be used when planning education and care for the student.</t>
  </si>
  <si>
    <t>Reporting Means</t>
  </si>
  <si>
    <t>The means by which routine information about a student's achievement or progress is communicated to the student and his or her parent/guardian for each grading period.</t>
  </si>
  <si>
    <t xml:space="preserve">Reporting Means
   00624 - Letter or note
   00625 - Parent/guardian conference
   00626 - Report card/evaluation
   03485 - Progress report
   09999 - Other
</t>
  </si>
  <si>
    <t>Reporting Method</t>
  </si>
  <si>
    <t>The method that the instructor of the class uses to report the performance and achievement of all students. It may be a qualitative method such as individualized teacher comments or a quantitative method such as a letter or numerical grade. In some cases, more than one type of reporting method may be used.</t>
  </si>
  <si>
    <t xml:space="preserve">Reporting Method
   00925 - Number grade
   00926 - Percentage
   00927 - Standard words or phrases
   00144 - Letter grade/mark
   00928 - Teacher's comments
   00929 - Two-word scale
   00930 - Developmental scale
   00931 - Mastery/non mastery of standards
   03412 - Rubric
   09999 - Other
</t>
  </si>
  <si>
    <t>Repository Date</t>
  </si>
  <si>
    <t>Date document data was added to the repository</t>
  </si>
  <si>
    <t>Requested Date of Completion</t>
  </si>
  <si>
    <t>The month, day, and year that the school-based personnel initiating the work order request would like to have it completed.</t>
  </si>
  <si>
    <t>Required Application Experience Level</t>
  </si>
  <si>
    <t>An indication of the individual's level of skill or experience using the software application (e.g., expert, intermediate, novice or years of experience).</t>
  </si>
  <si>
    <t>Required Software Application Category</t>
  </si>
  <si>
    <t>An indication of the type of software application that is required for the position in question (e.g., spreadsheet, word processing, database, Internet use, web development, statistical analysis).</t>
  </si>
  <si>
    <t>Required Software Application Title</t>
  </si>
  <si>
    <t>An indication of the title of a software application required for the position in question.</t>
  </si>
  <si>
    <t>Residence after Exiting/Withdrawing from School</t>
  </si>
  <si>
    <t>The residence of the student immediately after exiting/withdrawing from school for an exit reason other than graduation.</t>
  </si>
  <si>
    <t xml:space="preserve">Residence after Exiting/Withdrawing from School
   01953 - Armed services
   01954 - New residence of family
   01955 - New residence of student
   01956 - No record of residence
   01957 - Non-educational institution
   01958 - Same residence
   01959 - Other educational institution
   09999 - Other
</t>
  </si>
  <si>
    <t>Residence Block Number</t>
  </si>
  <si>
    <t>A number assigned to a particular block of residences.</t>
  </si>
  <si>
    <t>Resident</t>
  </si>
  <si>
    <t>An indication as to whether or not the student''s legal residence was within the boundaries of the school during the time between the Start Date and End Date, inclusive.</t>
  </si>
  <si>
    <t>Resolution of Complaint</t>
  </si>
  <si>
    <t>Any action taken by the employer to resolve the complaint filed by another individual against the employee about his or her employment.</t>
  </si>
  <si>
    <t>Resource Author</t>
  </si>
  <si>
    <t>The name of the author of the resource.</t>
  </si>
  <si>
    <t>Resource Check Out Date</t>
  </si>
  <si>
    <t>The month, day, and year that the resource was taken out of the classroom.</t>
  </si>
  <si>
    <t>Resource Cost</t>
  </si>
  <si>
    <t>An indication of the cost of the resource.</t>
  </si>
  <si>
    <t>Resource Description</t>
  </si>
  <si>
    <t>The description of the resource.</t>
  </si>
  <si>
    <t>Resource Due Date</t>
  </si>
  <si>
    <t>The month, day, and year that the resource is due to be returned to the classroom.</t>
  </si>
  <si>
    <t>Resource Location</t>
  </si>
  <si>
    <t>A description of the location of a resource issued to student (e.g., location in library or URL, community resource, outside resource supplier).</t>
  </si>
  <si>
    <t>Resource Media</t>
  </si>
  <si>
    <t>The media type through which the resource is delivered.</t>
  </si>
  <si>
    <t xml:space="preserve">Resource Media
   00916 - Audiotape
   00917 - CD
   00918 - Diskette
   00919 - DVD
   00920 - Intranet/internet
   00921 - Print
   00923 - Television
   00924 - Videotape
   00146 - Film/filmstrip
   09999 - Other
</t>
  </si>
  <si>
    <t>Resource Publisher</t>
  </si>
  <si>
    <t>The name of the organization that publishes the resource material.</t>
  </si>
  <si>
    <t>Resource Status</t>
  </si>
  <si>
    <t>A description of the availability or status of the resource (e.g., "checked out").</t>
  </si>
  <si>
    <t>Resource Title</t>
  </si>
  <si>
    <t>The title of the resource used for instruction (e.g., textbook, Internet source, media, software).</t>
  </si>
  <si>
    <t>Resource Title Checked Out</t>
  </si>
  <si>
    <t>The title of the resource the student took out of the classroom.</t>
  </si>
  <si>
    <t>Response Form Design</t>
  </si>
  <si>
    <t>Information about how the nature of a student's response is captured.</t>
  </si>
  <si>
    <t xml:space="preserve">Response Form Design
   00442 - Collaborative/group activity
   00443 - Computer response
   03465 - Direct coding
   00444 - Constructed-response
   00445 - Laboratory experiment
   00446 - Selected response
   00447 - Performance
   01281 - Portfolio 
   09999 - Other
</t>
  </si>
  <si>
    <t>Revenue from Community Service Activities Type</t>
  </si>
  <si>
    <t>Revenue from community service activities operated by a school district. For example, revenue received from a skating facility by a school district as a community service would be recorded in account code 1800. Multiple accounts may be established within the 1800 series to differentiate various activities.</t>
  </si>
  <si>
    <t xml:space="preserve">Revenue from Community Service Activities Type
   13759 - Event fees
   13760 - Lease revenue
</t>
  </si>
  <si>
    <t>Roof Construction</t>
  </si>
  <si>
    <t>The uppermost exterior plane of a building structure.</t>
  </si>
  <si>
    <t>Roof Covering</t>
  </si>
  <si>
    <t>The design or structure of roof. The material used as the exposed surface of the roof.</t>
  </si>
  <si>
    <t xml:space="preserve">Roof Type
   02530 - Metal
   02531 - Slate
   02532 - Asphalt shingle
   02533 - Built-up
   02534 - Single-ply
   02535 - Terra cotta tile
   02536 - Membrane
   09999 - Other
   13600 - Green roof
</t>
  </si>
  <si>
    <t>Routine Health Care Procedure Required at School</t>
  </si>
  <si>
    <t>A non-emergency health care procedure (e.g., scoliosis test) or medication administered by a qualified school staff member during the hours of school attendance or while he or she is under the guidance and care of school staff members.</t>
  </si>
  <si>
    <t>Rule/Regulation Violated</t>
  </si>
  <si>
    <t>A description of the rule, regulation, or standard that was violated when an incident occurred (e.g., the identification of a relevant law, conduct standard, or acceptable use policy).</t>
  </si>
  <si>
    <t>Safe Harbor Application for AYP</t>
  </si>
  <si>
    <t>An indication of whether the district or school met Adequate Yearly Progress (AYP) because of the state''s implementation of the Safe Harbor Provision.</t>
  </si>
  <si>
    <t xml:space="preserve">Safe Harbor Application for AYP
   14929 - AYP was met because Safe Harbor was applied
   14930 - AYP was not met even though Safe Harbor was applied
   14931 - Safe Harbor was not applied
</t>
  </si>
  <si>
    <t>Salary for Overtime</t>
  </si>
  <si>
    <t>The amount paid to an individual in either a temporary or permanent position for services rendered that are additional to those performed in the normal work period for which he or she is compensated under regular or temporary salary or wage rate.</t>
  </si>
  <si>
    <t>Same Physical Location of Instruction</t>
  </si>
  <si>
    <t>An indication as to whether the originating and receiving locations of instruction are in the same physical location.</t>
  </si>
  <si>
    <t>Scale Score 25th Percentile</t>
  </si>
  <si>
    <t>Scale score at the 25th percentile.</t>
  </si>
  <si>
    <t>Scale Score 50th Percentile</t>
  </si>
  <si>
    <t>Scale score at the 50th percentile.</t>
  </si>
  <si>
    <t>Scale Score 75th Percentile</t>
  </si>
  <si>
    <t>Scale score at the 75th percentile.</t>
  </si>
  <si>
    <t>Scheduled Work Days Weekly</t>
  </si>
  <si>
    <t>The specific day(s) of a week that an individual is scheduled to perform for an employer (e.g., Monday, Wednesday, and Friday; Monday to Friday).</t>
  </si>
  <si>
    <t>Scheduled Work Months Annually</t>
  </si>
  <si>
    <t>The specific month(s) of a year that an individual is scheduled to perform for an employer (e.g., September to May; June, and August to December).</t>
  </si>
  <si>
    <t>Scheduled Work Time Daily</t>
  </si>
  <si>
    <t>The specific hours during a day that an individual is scheduled to work for an employer, including a starting and ending work time (e.g., 9:00 A.M. to 6:00 P.M., 1:00 P.M. to 5:00 P.M.).</t>
  </si>
  <si>
    <t>School Attendance Area</t>
  </si>
  <si>
    <t>A description of the geographic area that is encompassed by the enrollment boundaries of the school.</t>
  </si>
  <si>
    <t>School Design Type</t>
  </si>
  <si>
    <t>The physical layout and character of a school facility, as determined by age groups served and educational programs provided.</t>
  </si>
  <si>
    <t xml:space="preserve">School Design Type
   02599 - Early childhood center
   02600 - Elementary school
   02601 - Middle school
   02602 - Junior high school
   02603 - Senior high school
   02604 - Career-technology education center
   02605 - Adult education school
   02606 - Special education school
   02607 - K-8 school
   02608 - 6-12 school
   02609 - Alternative school
   13638 - Performing arts school
   13639 - Science, technology, engineering and math (STEM) school
   09999 - Other
</t>
  </si>
  <si>
    <t>School District of Residence Code</t>
  </si>
  <si>
    <t>A unique number or alphanumeric code assigned to the school district of residence.</t>
  </si>
  <si>
    <t>School District Subdivision</t>
  </si>
  <si>
    <t>The number, letter, or name that describes an organizational subdivision of a school district.</t>
  </si>
  <si>
    <t>School Food Services Eligibility Beginning Date</t>
  </si>
  <si>
    <t>The month, day, and year on which the student''s current food services eligibility status went into effect.</t>
  </si>
  <si>
    <t>School Food Services Eligibility Determination Indicator</t>
  </si>
  <si>
    <t>The means by which a student''s eligibility for free or reduced price school food services is determined.</t>
  </si>
  <si>
    <t xml:space="preserve">School Food Services Eligibility Status Determination
   03130 - Household size and income application
   03131 - Categorical eligibility application 
   03132 - Direct certification
   09999 - Other
</t>
  </si>
  <si>
    <t>School Food Services Eligibility Ending Date</t>
  </si>
  <si>
    <t>The month, day, and year on which the student''s current food services eligibility status will no longer be in effect.</t>
  </si>
  <si>
    <t>School Food Services Participation Basis</t>
  </si>
  <si>
    <t>The basis on which eligibility for participation in a free or reduced price school food service program is established.</t>
  </si>
  <si>
    <t xml:space="preserve">School Food Services Participation Basis 
   03133 - Individual student eligibility
   03134 - Food services site eligibility
   09999 - Other
</t>
  </si>
  <si>
    <t>School Food Services Type</t>
  </si>
  <si>
    <t>The type of school food service program(s) offered to students.</t>
  </si>
  <si>
    <t xml:space="preserve">School Food Services Type
   03122 - National School Lunch Program
   03123 - School Breakfast Program
   03124 - Afterschool snacks
   03125 - Special Milk Program
   03126 - Child and Adult Care Food Program
   03127 - Summer Food Service Program
   03128 - Other federally funded school food service program
   03129 - Non-federal school food services
</t>
  </si>
  <si>
    <t>School Health Emergency Action</t>
  </si>
  <si>
    <t>An emergency administration of medication, provision of medical procedures, or care for serious injuries (those requiring immediate attention from a health care provider and causing a student to miss more than one-half day of school) a student receives during the hours of school attendance or while he or she is under the guidance and care of school staff members.</t>
  </si>
  <si>
    <t>School Honor or Award</t>
  </si>
  <si>
    <t>A description of educational or professional honors or awards earned by the school.</t>
  </si>
  <si>
    <t xml:space="preserve">School Honor or Award
   00414 - National school of excellence
   00415 - State school of excellence
   01559 - Monetary
   00406 - Accreditation
   09999 - Other
</t>
  </si>
  <si>
    <t>School Threat Violation</t>
  </si>
  <si>
    <t>Any threat (verbal, written, or electronic) by a person to bomb or use other substances or devices for the purpose of exploding, burning, causing damage to a school building or school property, or to harm students or staff.</t>
  </si>
  <si>
    <t xml:space="preserve">School Threat Violation
   04672 - Bomb threat
   04673 - Fire alarm
   04674 - Chemical/biological threat
   04675 - Terroristic threat
   09999 - Other
</t>
  </si>
  <si>
    <t>School Use Type</t>
  </si>
  <si>
    <t>How a building is used for education, regardless of its intent or original design.</t>
  </si>
  <si>
    <t xml:space="preserve">School Use Type
   02599 - Early childhood center
   02600 - Elementary school
   02601 - Middle school
   02602 - Junior high school
   02603 - Senior high school
   02807 - Combination grades
   02043 - Special education
   02808 - Career-technical education
   02809 - Adult education
   02609 - Alternative school
   02810 - Upper elementary school
   13701 - Early childhood education
   13702 - Middle school education
   13703 - High school education
   09999 - Other
</t>
  </si>
  <si>
    <t>School/Local Education Agency Enrollment Status</t>
  </si>
  <si>
    <t>An indication as to whether an individual (e.g., a sibling) is enrolled in the same school or local education agency.</t>
  </si>
  <si>
    <t xml:space="preserve">School/Local Education Agency Status
   01786 - Enrolled in the same school or local education agency
   01787 - Enrolled in a different school or local education agency
   01788 - Not enrolled in any school or local education agency
</t>
  </si>
  <si>
    <t>Science Specialty Space Type</t>
  </si>
  <si>
    <t>The space designed, located, furnished, and equipped for instruction and experimentation in science.</t>
  </si>
  <si>
    <t xml:space="preserve">Science Specialty Space Type
   02661 - Biology laboratory
   02662 - Chemistry laboratory
   02663 - Environmental science laboratory
   02664 - Physics laboratory
   02665 - Planetarium
   02666 - Prep room
   02667 - Science lecture room
   02668 - Chemical storage room
   02669 - Miscellaneous storage room
   02435 - Outdoor classroom
   02670 - General science laboratory
   09999 - Other
</t>
  </si>
  <si>
    <t>Scope of Assignment</t>
  </si>
  <si>
    <t>The range or extent of an individual's current assignment.</t>
  </si>
  <si>
    <t xml:space="preserve">Scope of Assignment
   01613 - Statewide
   01614 - More-than-agency wide
   01615 - Agency wide
   01616 - Multi-operational unit but less-than-agency wide
   01617 - Single operational unit
</t>
  </si>
  <si>
    <t>Score Interpretation Information</t>
  </si>
  <si>
    <t>The type of unusual testing conditions that must be known to properly interpret an individual's test score.</t>
  </si>
  <si>
    <t xml:space="preserve">Score Interpretation Information
   02054 - Special circumstances 
   02055 - Nonstandard administration procedure/special accommodations made
   02056 - Experience only
   02057 - Diagnostic only
   02058 - Experience and diagnostic
   02059 - Alternative assessment for children with disabilities
   09999 - Other
</t>
  </si>
  <si>
    <t>Score Range</t>
  </si>
  <si>
    <t>The lowest and highest individual scale scores obtained by a group of students who are in the reference group.</t>
  </si>
  <si>
    <t>Screening Administration Date</t>
  </si>
  <si>
    <t>The month, day, and year on which a child participates in screening activities.</t>
  </si>
  <si>
    <t>Screening Instrument Description/Title</t>
  </si>
  <si>
    <t>The description or title of a screening instrument that has been used to identify or evaluate an individual''s need for an evaluation.</t>
  </si>
  <si>
    <t>Screening Location</t>
  </si>
  <si>
    <t>The place where the child''s screening activities were administered, such as home, hospital, etc.</t>
  </si>
  <si>
    <t>Seating Capacity</t>
  </si>
  <si>
    <t>The number of individuals who can ride on the vehicle at the same time.</t>
  </si>
  <si>
    <t>Secondary Disability Type</t>
  </si>
  <si>
    <t>A secondary disability condition that is identified with an individual, as distinguished from a primary disability.</t>
  </si>
  <si>
    <t xml:space="preserve">Disability Type
   02121 - Autism
   02122 - Deaf-blindness
   02123 - Hearing Impairment
   02124 - Intellectual Disability
   02125 - Multiple disabilities
   02126 - Orthopedic impairment
   02128 - Specific learning disability
   02129 - Speech or language impairment
   02130 - Traumatic brain injury
   02131 - Visual impairment
   02132 - Other health impairment
   02134 - Developmental delay
   02127 - Emotional disturbance
</t>
  </si>
  <si>
    <t>Section Count for Attendance</t>
  </si>
  <si>
    <t>An indicator of whether attendance in this section is collected and used in attendance calculations.</t>
  </si>
  <si>
    <t>Security System</t>
  </si>
  <si>
    <t>The type of system that protects the facility from intrusion.</t>
  </si>
  <si>
    <t xml:space="preserve">Security System
   02499 - Video
   02507 - Intrusion detection system
   02508 - Card access control system
   02509 - Keypad access control system
   02510 - Metal detector
   09999 - Other
</t>
  </si>
  <si>
    <t>Seniority Date</t>
  </si>
  <si>
    <t>The month, day, and year on which an individual's seniority in a position was established.</t>
  </si>
  <si>
    <t>Served Facilities Identification Code</t>
  </si>
  <si>
    <t>A unique number or alphanumeric code assigned to a kitchen by a school, school system, state, or other agency or entity to identify facilities served by a central or production kitchen.</t>
  </si>
  <si>
    <t>Service Alternatives</t>
  </si>
  <si>
    <t>A professional opinion of an evaluator as to whether corrective or rehabilitative services are required for an individual (e.g., speech therapy) because of his or her condition or impairment.</t>
  </si>
  <si>
    <t xml:space="preserve">Service Alternatives
   02120 - Special assistance needed
</t>
  </si>
  <si>
    <t>Service and Pedestrian Tunnels</t>
  </si>
  <si>
    <t>A description of passageways above- and below-ground that must be completed during site development.</t>
  </si>
  <si>
    <t>Service Category</t>
  </si>
  <si>
    <t>The type of service, typically designated by a state.</t>
  </si>
  <si>
    <t xml:space="preserve">Service Category Code
   13472 - Instructional service
   13473 - Related service (e.g. speech / language, vision)
   13474 - Transitional service
   13475 - Itinerant service
   09999 - Other
</t>
  </si>
  <si>
    <t>Service Description</t>
  </si>
  <si>
    <t>The title (or description) which identifies a particular service that a student receives.</t>
  </si>
  <si>
    <t>Service Plan Date</t>
  </si>
  <si>
    <t>The month, day, and year on which the status of the service plan for a child is established or significantly altered.</t>
  </si>
  <si>
    <t>Service Plan Meeting Location</t>
  </si>
  <si>
    <t>The place in which a child''s service plan meeting is held.</t>
  </si>
  <si>
    <t>Service Plan Signature Date</t>
  </si>
  <si>
    <t>The month, day, and year on which the service plan document is signed.</t>
  </si>
  <si>
    <t>Service Population</t>
  </si>
  <si>
    <t>The number of school-age children who reside within a school attendance area and are thus eligible for education and services by a school.</t>
  </si>
  <si>
    <t>Service Role</t>
  </si>
  <si>
    <t>An indication of the general role an individual performs in current employment.</t>
  </si>
  <si>
    <t>Service Setting</t>
  </si>
  <si>
    <t>The setting and circumstance in which a student is served. (e.g., the educational placement of the student).</t>
  </si>
  <si>
    <t xml:space="preserve">Service Setting
   00127 - Early intervention classroom/center
   00128 - Homebound placement instruction
   00129 - Hospital placement instruction
   00130 - Regular school campus/regular class placement
   00356 - Outpatient service facility
   00132 - Private residential placement
   00358 - Private separate day school placement
   00134 - Public residential placement
   00135 - Public separate day school placement
   00136 - Resource room placement (pullout program)
   00137 - Separate class placement
   00364 - Detention facility
   00365 - Regular nursery school/child care center
   00140 - Itinerant services outside the home
   00367 - Respite care
   00756 - Residential facility
   00143 - Reverse mainstream setting
   02192 - Home
   07697 - Service Provider Location
</t>
  </si>
  <si>
    <t>Service work Job Classification</t>
  </si>
  <si>
    <t>A general job classification that describes staff that performs tasks regardless of level of difficulty which relates to both protective and nonprotective supportive services.</t>
  </si>
  <si>
    <t xml:space="preserve">Service work Job Classification
   04875 - Bus monitor/crossing guard
   04876 - Child care worker
   04877 - Cook/food preparer (food service staff)
   04878 - Custodian
   04879 - Dietary technician
   04880 - Elevator operator
   04881 - Facilities maintenance worker
   04882 - Food service assistant
   04883 - Police officer
   04884 - Resident/dormitory supervisor
   04885 - Security guard
   04886 - Extended day-care provider
   09999 - Other
</t>
  </si>
  <si>
    <t>Services Covered by Insurance</t>
  </si>
  <si>
    <t>The title (or description) that identifies a service that a family''s insurance covers.</t>
  </si>
  <si>
    <t>Services Not Covered</t>
  </si>
  <si>
    <t>The title (or description) that identifies a service that a family''s insurance does not cover.</t>
  </si>
  <si>
    <t>Services Partially Covered</t>
  </si>
  <si>
    <t>The title, or description, that identifies a service that a family''s insurance only partially covers.</t>
  </si>
  <si>
    <t>Session Name</t>
  </si>
  <si>
    <t>The name of the session during the school year in which coursework was completed (e.g., Fall Semester).</t>
  </si>
  <si>
    <t>Severance Pay</t>
  </si>
  <si>
    <t>The amount of money, based on last salary, length of service and age, which an employee may be paid when separated involuntarily from an agency, such as during a reduction-in-force. In most cases, an employee is ineligible for severance pay if the separation results from misconduct or if he or she is eligible to retire on an immediate annuity.</t>
  </si>
  <si>
    <t>Site Area</t>
  </si>
  <si>
    <t>The total number of acres in a continuous piece of land, to the nearest tenth, including undeveloped areas as well as areas occupied by buildings, walks, drives, parking facilities, and other improvements.</t>
  </si>
  <si>
    <t>Site Area Type</t>
  </si>
  <si>
    <t>The designated constructed outdoor area on a public school site.</t>
  </si>
  <si>
    <t xml:space="preserve">Site Area Type
   02433 - Playground
   02434 - Athletic field - Natural
   02436 - Hardscape play area
   02437 - Hardscape game area
   02524 - Parking area
   02438 - Drop-off/driveway
   02439 - Septic fields
   02440 - Retaining walls
   02526 - Fencing enclosures
   02441 - Sidewalks
   02442 - Stairs and ramps
   02443 - Landscaping
   02444 - Water filtration system
   13566 - Athletic field - Artificial
   13567 - Semi-permeable game area
   13568 - Softscape game area
   13569 - Softscape play area
</t>
  </si>
  <si>
    <t>Site Electrical Utilities</t>
  </si>
  <si>
    <t>The exterior site related eletrical systems and components.</t>
  </si>
  <si>
    <t xml:space="preserve">Site Electrical Utilities
   02473 - Electrical distribution
   13601 - Exterior communications and security
   13602 - Exterior lighting
   13603 - Other electrical utilities
</t>
  </si>
  <si>
    <t>Site Identifier</t>
  </si>
  <si>
    <t>The lot and square number, or equivalent unique municipal number identification, of a parcel of land.</t>
  </si>
  <si>
    <t>Site Improvement Description</t>
  </si>
  <si>
    <t>A description of the designed and constructed improvements made to a site.</t>
  </si>
  <si>
    <t>Site Improvement Location</t>
  </si>
  <si>
    <t>The location of the designed and constructed improvements made to a site.</t>
  </si>
  <si>
    <t xml:space="preserve">Site Improvement Location
   02433 - Playground
   02434 - Athletic field - Natural
   02435 - Outdoor classroom
   02436 - Hardscape play area
   02437 - Hardscape game area
   02524 - Parking area
   02438 - Drop-off/driveway
   02439 - Septic fields
   02440 - Retaining walls
   02526 - Fencing enclosures
   02441 - Sidewalks
   02442 - Stairs and ramps
   02443 - Landscaping
   02444 - Water filtration system
   09999 - Other
</t>
  </si>
  <si>
    <t>Site Improvements</t>
  </si>
  <si>
    <t>Designed and constructed modifications to a site.</t>
  </si>
  <si>
    <t>!D</t>
  </si>
  <si>
    <t xml:space="preserve">Site Improvements
   02443 - Landscaping
   13604 - Parking lots
   13605 - Pedestrian paving
   13606 - Roadways
   13607 - Site development
</t>
  </si>
  <si>
    <t>Site Preparation</t>
  </si>
  <si>
    <t>Activities required to physically prepare a site for construction.</t>
  </si>
  <si>
    <t xml:space="preserve">Site Preparation
   13608 - Hazardous waste remediation
   13609 - Site clearing
   13610 - Site demolition and relocations
   13611 - Site earthwork
</t>
  </si>
  <si>
    <t>Site Use Restrictions</t>
  </si>
  <si>
    <t>A characterization of a site that would define restrictions or opportunities.</t>
  </si>
  <si>
    <t xml:space="preserve">Site Descriptors
   02445 - Land use
   02446 - Enterprise zone
   02447 - Historic district
   02448 - Environmental protection
   02449 - Environmental contamination
   02450 - Site easements
   09999 - Other
</t>
  </si>
  <si>
    <t>Software Application License Number</t>
  </si>
  <si>
    <t>The number assigned to a piece of software that serves as proof of purchase and evidence of the legal right to use application.</t>
  </si>
  <si>
    <t>Software Application Type</t>
  </si>
  <si>
    <t>A computer program used to accomplish specific tasks not related to the computer itself.</t>
  </si>
  <si>
    <t xml:space="preserve">Technology Application Type
   03199 - Word processing software
   03200 - Spreadsheet software
   03201 - Database software
   03202 - Desktop publishing software
   03203 - Process writing software
   03204 - Keyboarding training software
   03205 - Telecommunication software
   03206 - Web browsers and search engines
   03207 - Web authoring software
   03208 - Presentation development software
   03209 - Reference software
   03210 - Simulation/gaming software
   03211 - Mathematical/computational software
   03212 - Art/photo software
   03213 - Instructional software
   03214 - Programming tools, including compilers and interpreters
   03215 - Adaptive technologies
</t>
  </si>
  <si>
    <t>Software Application Version and Release Number</t>
  </si>
  <si>
    <t>A major edition of a computer program. The version number changes when a software developer makes major alterations to the software (e.g., significant new features are added). The version number is a whole number following the name of the software, in contrast to the release number, which is the decimal number after the version number. For example, when Software 2.0 undergoes minor changes, it could be re-released as Software 2.1 (i.e., it has been given a new release number in the decimal spot). When it later undergoes significant revamping, the new version would be Software 3.0.</t>
  </si>
  <si>
    <t>Source of Complaint</t>
  </si>
  <si>
    <t>The origin of any statement or official expression submitted by another individual against the employee about his or her employment.</t>
  </si>
  <si>
    <t>Space Design Type</t>
  </si>
  <si>
    <t>The primary design or purpose of a space, as determined by its physical layout and built-in systems and equipment, regardless of its current use.</t>
  </si>
  <si>
    <t xml:space="preserve">Space Design/Use Type
   02628 - Basic classroom
   02629 - Specialty classroom
   02630 - Library/media
   02631 - Athletic
   02632 - Student support
   02633 - Administration
   02634 - Assembly
   02635 - Corridors
   02636 - Operational support
   02637 - Storage
   02638 - Food service
   02639 - Dormitory room
   02788 - Storage - hazardous materials
   02773 - Multi-purpose Room
   03017 - Restroom
   09999 - Other
</t>
  </si>
  <si>
    <t>Space Utilization Area</t>
  </si>
  <si>
    <t>The area in square feet measured between the principal wall that faces at or near floor level, including alcove spaces, and the outer limits of space designed to serve the activity. Structural space is excluded.</t>
  </si>
  <si>
    <t>Special Accommodation Requirements</t>
  </si>
  <si>
    <t>Specific requirements needed to accommodate a student's physical needs, which may include special equipment installed in a vehicle or a special arrangement for transportation.</t>
  </si>
  <si>
    <t>Special Adaptation Requirements</t>
  </si>
  <si>
    <t>The description of special adaptation due to health or religious reasons that an individual needs to perform his or her duties.</t>
  </si>
  <si>
    <t>Special Assistance Program Name</t>
  </si>
  <si>
    <t>The name of the services that result specifically from the receipt of federal, state, and local funds or other assistance by the school, the school district, the student, or his or her family, as designated by a grant, act, or public program. Such assistance (e.g., Title 1 funds) is used explicitly for purposes specified by the appropriator. The allocation of funds is usually dependent upon the status or condition of the student and/or his or her family. Eligibility requirements may be based upon such diverse factors as income level, educational achievement, veteran''s status, obsolescent occupation, and/or disabilities of individuals within an identifiable population or carefully drawn geographic or political subdivision.</t>
  </si>
  <si>
    <t>Special Construction</t>
  </si>
  <si>
    <t>Building or component construction that is based on a non-standard design or the result of special conditions--such as excess noise, or seismic conditions.</t>
  </si>
  <si>
    <t xml:space="preserve">Special Construction
   13612 - Integrated construction
   13613 - Special construction systems
   13614 - Special controls and instrumentation
   13615 - Special facilities
   13616 - Special structures
</t>
  </si>
  <si>
    <t>Special Contact Group Empathies</t>
  </si>
  <si>
    <t>Notation of an individual's interest and ability to work with special contact groups, based on factors such as bilingualism, racial or ethnic background, or religion.</t>
  </si>
  <si>
    <t>Special Diet Considerations</t>
  </si>
  <si>
    <t>Any regimen of special or limited food and drink intake chosen voluntarily for medical, religious, or personal reasons, or prescribed for health reasons.</t>
  </si>
  <si>
    <t>Calculated ratio of time the student is in a special ed setting. Values range from 0.00 to 1.00. If the student is in a special ed setting 25% of the time, the value is .25; if 100% of the time, the value is 1.00.</t>
  </si>
  <si>
    <t>Special Education School</t>
  </si>
  <si>
    <t>A school that adapts the curriculum, materials, or instruction for students identified as needing special education. This may include instruction for students with any of the following: autism, deaf-blindness, hearing impairment, mental retardation, multiple disabilities, orthopedic impairment, serious emotional disturbance, specific learning disability, speech or language impairment, traumatic brain injury, visual impairment, and other health impairments.</t>
  </si>
  <si>
    <t>Special Education Services Program Type</t>
  </si>
  <si>
    <t>The types of service, specially designed and at no cost to the parent/guardian, that adapts the curriculum, materials, or instruction for students identified as needing special education because of a disabling condition. This may include specially designed instruction for students with any of the following: autism, deaf-blindness, developmental delay (to age 9), hearing impairment, mental retardation, multiple disabilities, orthopedic impairment, serious emotional disturbance, specific learning disability, speech or language impairment, traumatic brain injury, visual impairment, and other health information.</t>
  </si>
  <si>
    <t xml:space="preserve">Special Education Services Program
   04889 - Early identification
   04890 - Early intervention
   04891 - Service for individuals with autism
   04892 - Service for individuals with deaf blindness
   04893 - Service for individuals with mental retardation
   04894 - Service for individuals with hearing impairment
   04895 - Service for individuals with visual impairment
   04896 - Service for individuals with orthopedic impairment
   04897 - Service for individuals with speech or language impairment
   04898 - Service for individuals with serious emotional disturbance
   04899 - Service for individuals with specific learning disabilities
   04900 - Service for individuals with multiple disabilities
   04901 - Service for individuals with traumatic brain injury
   04902 - Psychological service
   04903 - Cross categorical
   04904 - Service for individuals with developmental delay
   04905 - Other Special Education Service
   09999 - Other
</t>
  </si>
  <si>
    <t>Special Education Specialty Space Type</t>
  </si>
  <si>
    <t>The space designed, located, furnished, and equipped to support instruction of children with special physical, emotional, and/or educational needs.</t>
  </si>
  <si>
    <t xml:space="preserve">Special Education Specialty Space Type
   02671 - Occupational therapy room
   02672 - Speech and hearing room
   02673 - Physical therapy room
   02674 - IEP conference room
   02675 - Itinerant staff room
   02676 - Self-contained classroom
   03107 - Resource room
   09999 - Other
</t>
  </si>
  <si>
    <t>Special Terms</t>
  </si>
  <si>
    <t>A description of any special benefits of an individual's coverage (e.g., double indemnity benefits).</t>
  </si>
  <si>
    <t>Staff Advisor for Credential Renewal</t>
  </si>
  <si>
    <t>The individual in charge of advising the individual on the requirements for renewal of credentials.</t>
  </si>
  <si>
    <t>Staff Program Name</t>
  </si>
  <si>
    <t>The name of the program of work, series of courses, individual course, or training program in which an individual is involved.</t>
  </si>
  <si>
    <t>Stair Construction</t>
  </si>
  <si>
    <t>The design or structure of stairs.</t>
  </si>
  <si>
    <t>Stair Finishes</t>
  </si>
  <si>
    <t>The type of covering, structural or not, of stairs.</t>
  </si>
  <si>
    <t>Staircases</t>
  </si>
  <si>
    <t>Construction designed to bridge a large vertical distance by dividing it into smaller vertical distances, called steps.</t>
  </si>
  <si>
    <t xml:space="preserve">Staircases
   13617 - Stair construction
   13618 - Stair finishes
</t>
  </si>
  <si>
    <t>Standardization Group</t>
  </si>
  <si>
    <t>The group for which the scores of an assessment have been standardized for use in interpreting the results.</t>
  </si>
  <si>
    <t xml:space="preserve">Standardization Group
   00938 - International
   00939 - National
   00005 - Regional
   00391 - State
   00862 - Local (e.g., school board, city council, municipal board)
   00675 - School
   00006 - Categorical type 
   09999 - Other
</t>
  </si>
  <si>
    <t>Standardization Year</t>
  </si>
  <si>
    <t>The year when the assessment was given to a sample of students for the purpose of establishing a standard of performance for that group of students.</t>
  </si>
  <si>
    <t>Start Date</t>
  </si>
  <si>
    <t>The starting date on which information in an instance, school year, or reporting period is applicable.</t>
  </si>
  <si>
    <t>Start Day</t>
  </si>
  <si>
    <t>Number of the first school day to which an instance, school year, or reporting period applies.</t>
  </si>
  <si>
    <t>State FIPS (Federal Information Processing Standards) Code</t>
  </si>
  <si>
    <t>The Federal Information Processing Standards (FIPS) numeric code for the state.</t>
  </si>
  <si>
    <t xml:space="preserve">State FIPS Code
   03289 - 01
   03290 - 02
   03291 - 04
   03292 - 05
   03293 - 06
   03294 - 08
   03295 - 09
   03296 - 10
   03297 - 11
   03298 - 12
   03299 - 13
   03300 - 15
   03301 - 16 
   03302 - 17
   03303 - 18
   03304 - 19
   03305 - 20
   03306 - 21
   03307 - 22
   03308 - 23
   03309 - 24
   03310 - 25
   03311 - 26
   03312 - 27
   03313 - 28
   03314 - 29
   03315 - 30
   03316 - 31
   03317 - 32
   03318 - 33
   03319 - 34
   03320 - 35
   03321 - 36
   03322 - 37
   03323 - 38
   03324 - 39
   03325 - 40
   03326 - 41
   03327 - 42
   03328 - 44
   03329 - 45
   03330 - 46
   03331 - 47
   03332 - 48
   03333 - 49
   03334 - 50
   03335 - 51
   03336 - 53
   03337 - 54
   03338 - 55
   03339 - 56
   03340 - 58
   03341 - 59
   03342 - 60
   03343 - 61
   03344 - 66
   03345 - 69
   03346 - 72
   03347 - 78
</t>
  </si>
  <si>
    <t>State Funding Type</t>
  </si>
  <si>
    <t>The type of funding state agencies such as public health, education, social services, developmental disabilities, or other.</t>
  </si>
  <si>
    <t xml:space="preserve">State Funding Type
   06072 - Part C lead agency
   03460 - State department of health
   00868 - State Education Agency
   06073 - State social services agency
   06074 - State developmental disabilities agency
   09999 - Other
</t>
  </si>
  <si>
    <t>State Higher Education Course Requirement</t>
  </si>
  <si>
    <t>Code indicating that the course meets the state university admissions requirements for a particular subject area.</t>
  </si>
  <si>
    <t>State or Local Mandate Interest</t>
  </si>
  <si>
    <t>The area of interest controlled by a law, rule, regulation, or standard of state and local governments that pertains to public school facilities.</t>
  </si>
  <si>
    <t xml:space="preserve">State or Local Mandate Interest
   02589 - Building code
   02590 - Fire code
   02591 - Health code
   02592 - Flood control
   02593 - Design standards
   02594 - Acreage standards
   02595 - Standard educational specifications
   02596 - Historic preservation requirements
   02597 - Occupational health and safety code
   02598 - Earthquake standards
   03265 - Food safety standards
   09999 - Other
</t>
  </si>
  <si>
    <t>State or Local Mandate Name</t>
  </si>
  <si>
    <t>The specific law, rule, regulation, or standard of a state or local government that pertains to public school facilities.</t>
  </si>
  <si>
    <t>State Transportation Aid Qualification</t>
  </si>
  <si>
    <t>The qualification status of a student entitling the local education agency to receive state transportation aid.</t>
  </si>
  <si>
    <t xml:space="preserve">State Transportation Aid Qualification
   02065 - Qualifies for regular aid
   02066 - Qualifies for special education aid
   02067 - Does not qualify
   09999 - Other
</t>
  </si>
  <si>
    <t>State-assigned Code for Organization</t>
  </si>
  <si>
    <t>A unique number or alphanumeric code assigned by the state for the institution.</t>
  </si>
  <si>
    <t>State-assigned County Code</t>
  </si>
  <si>
    <t>A unique number of alphanumeric code assigned for the county by the state.</t>
  </si>
  <si>
    <t>Status of Work Order Request</t>
  </si>
  <si>
    <t>The status of the work order request.</t>
  </si>
  <si>
    <t xml:space="preserve">Status of Work Order Request
   02874 - Open
   02875 - Assigned
   02876 - Completed
   02877 - Reopened Work Order
   13684 - In Progress
</t>
  </si>
  <si>
    <t>Statute Title</t>
  </si>
  <si>
    <t>The full, legally accepted or popularly accepted name or title of a statute. (e.g., Individuals with Disabilities Act, Elementary and Secondary Education Act, School-to-Work Opportunities Act).</t>
  </si>
  <si>
    <t>Student Ability Grouped Status</t>
  </si>
  <si>
    <t>An indication that the student is ability grouped for instruction in mathematics or English-reading-language arts.</t>
  </si>
  <si>
    <t>Student Full-time Status</t>
  </si>
  <si>
    <t>The status given to a student in relation to the course load that he or she is carrying.</t>
  </si>
  <si>
    <t xml:space="preserve">Full-Time/Part-Time status
   01854 - Full-time student
   01855 - Part-time student
</t>
  </si>
  <si>
    <t>Student Growth</t>
  </si>
  <si>
    <t>The difference between scores across two or more assessments that is used to indicate the student''s progress over time in achieving the content measured by the examination.</t>
  </si>
  <si>
    <t>Student Level of Tuition Status</t>
  </si>
  <si>
    <t>Information indicating the extent of tuition payment required of a student.</t>
  </si>
  <si>
    <t xml:space="preserve">Tuition Status
   01878 - Full-tuition student
   01879 - Non-tuition student
   01880 - Partial-tuition student
</t>
  </si>
  <si>
    <t>Student Progress</t>
  </si>
  <si>
    <t>Progress for a student on given learning standards or objectives. This can be represented in a percentage, narrative or any measure.</t>
  </si>
  <si>
    <t>Student Support Space Type</t>
  </si>
  <si>
    <t>The space designed to provide student support services such as administrative, technical (e.g., guidance and health), and logistical support to facilitate and enhance instruction.</t>
  </si>
  <si>
    <t xml:space="preserve">Student Support Space Type
   02733 - In-school suspension room
   02734 - Nurse's station
   02735 - Health suite
   02736 - Health room lavatory
   02737 - Guidance/counseling room
   02738 - Career center
   02739 - College center
   02740 - Internship center 
   02741 - Student club space
   09999 - Other
</t>
  </si>
  <si>
    <t>Student Transportation Services</t>
  </si>
  <si>
    <t>Information about whether or not a student is transported to and/or from school or receives services, aid, or payment in lieu of transportation.</t>
  </si>
  <si>
    <t xml:space="preserve">Transportation Status
   02060 - Transported at public expense
   02061 - Transported at reduced public expense
   02062 - Transported, but not at public expense
   02063 - Provided room, board, or payment in lieu of transportation
   02064 - Not transported
   09999 - Other
</t>
  </si>
  <si>
    <t>Substance Abuse Description</t>
  </si>
  <si>
    <t>A description of an instance during which an individual is known to have used licit or illicit drugs (e.g., heroin, amphetamines, barbiturates, prescription drugs, or alcohol) in an amount, frequency, and/or pattern of use that interfered with his or her psychological, physiological, social, and/or academic functioning.</t>
  </si>
  <si>
    <t>Substitute Status</t>
  </si>
  <si>
    <t>An indication of an individual's willingness to perform services for an employer on an as-needed basis.</t>
  </si>
  <si>
    <t xml:space="preserve">Substitute Status
   01444 - Willing
   01445 - Not willing
   01446 - Currently substituting
</t>
  </si>
  <si>
    <t>Suicide Violation</t>
  </si>
  <si>
    <t>Act or instance of taking one''s own life voluntarily and intentionally.</t>
  </si>
  <si>
    <t xml:space="preserve">Suicide Violation
   04679 - Suicide
   04680 - Attempted suicide
   09999 - Other
</t>
  </si>
  <si>
    <t>Supplemental Pay Type</t>
  </si>
  <si>
    <t>An indication of the type of additional monetary compensation to an individual for his or her performance, position, additional duties or responsibilities, professional development or qualification, or extended time of work.</t>
  </si>
  <si>
    <t xml:space="preserve">Supplemental Pay Type
   01470 - Bonus for student performance of school
   01471 - Bonus for student performance of class
   01472 - Merit bonus
   01473 - Hazard pay
   01474 - Locality supplement
   01475 - Position bonus
   01476 - Shortage position supplement
   01477 - Saving bonus
   01478 - Voluntary transfer
   01479 - Bilingual work
   01480 - Co-curricular activities
   01481 - Coaching supplement
   01482 - Curriculum work
   01483 - Department chair
   01484 - Extra-curricular activities
   01485 - General additional duties
   01486 - Longevity
   01487 - Mentoring
   02043 - Special education
   01488 - Technology responsibilities
   01489 - Training
   00715 - Tutoring
   01490 - Advance skill supplement
   01491 - Assessment
   01492 - Certification supplement
   01493 - Credit/course completion supplement
   01494 - Degree supplement
   01495 - Education time
   01496 - Professional affiliation supplement
   01497 - Extended salary
   01498 - Overtime
   00138 - Summer salary
   01499 - Sabbatical
   09999 - Other
</t>
  </si>
  <si>
    <t>Surplus Date</t>
  </si>
  <si>
    <t>The date the equipment was put into surplus.</t>
  </si>
  <si>
    <t>System Identification Code</t>
  </si>
  <si>
    <t>A unique number or alphanumeric code assigned to a building system or site system by a school, school system, state, or other agency or entity.</t>
  </si>
  <si>
    <t>System Type</t>
  </si>
  <si>
    <t>The type of system that is installed in the building or site.</t>
  </si>
  <si>
    <t xml:space="preserve">System Type
   02451 - Plumbing system
   02452 - Electrical system
   02453 - Heating generation system
   02454 - Cooling generation system
   02455 - Air distribution system
   02456 - Communications system
   02457 - Technology wiring
   02458 - Security system
   02459 - Fire protection system
   02460 - Mechanical system
   02461 - Vertical transportation
</t>
  </si>
  <si>
    <t>Tax Revenue Type</t>
  </si>
  <si>
    <t>The tax revenue designated for repaying school construction bonds.</t>
  </si>
  <si>
    <t xml:space="preserve">Tax Revenue Type
   02957 - Local property tax
   02958 - City commuter income tax
   02959 - County or city sales tax
   02960 - State property tax
   02961 - State sales tax
   02962 - State personal income tax
   02963 - State corporate income tax
   02964 - State lottery proceeds
   02965 - State alcohol tax
   02966 - State cigarette tax
   02967 - Tobacco settlement revenue
   01561 - Federal income tax
   02968 - Developer impact fees
   09999 - Other
</t>
  </si>
  <si>
    <t>Teacher Involvement in Assessment Development</t>
  </si>
  <si>
    <t>The way in which teachers were involved in the development and/or scoring of the assessment.</t>
  </si>
  <si>
    <t xml:space="preserve">Teacher Involvement in Assessment Development
   00453 - Developed items
   00454 - Edited items
   00455 - Piloted items
   00456 - Helped to select items
   00458 - Scored items
   00459 - Instrument selection
   03466 - Test form review
   09998 - None
   09999 - Other
</t>
  </si>
  <si>
    <t>Teaching Assignment</t>
  </si>
  <si>
    <t>The teaching field taught by an individual.</t>
  </si>
  <si>
    <t xml:space="preserve">Teaching Field or Area Authorized
   01981 - Preschool/early childhood
   00805 - Kindergarten
   02397 - Primary
   01304 - Elementary
   02400 - Middle
   02403 - Secondary
   00068 - Curriculum and instruction
   00097 - Educational administration
   01183 - Public administration and services
   00302 - School counseling
   00120 - Educational psychology
   01164 - Library science
   01305 - Accounting
   01306 - Business and management
   01307 - Other business
   01163 - Liberal arts and sciences, general studies and humanities
   01308 - English or language arts
   01162 - English language and literature/letters
   01309 - Journalism/communications
   00560 - Reading
   01310 - Speech
   01311 - Architecture or environmental design
   00684 - Dance
   01312 - Drama/Theater
   01313 - Music
   01314 - Visual arts
   02371 - Foreign language and literature
   01315 - Chinese
   01316 - French
   01317 - German
   01318 - Italian
   01319 - Japanese
   01320 - Latin
   01321 - Russian
   01322 - Spanish
   01323 - Other languages
   01324 - Computer science
   01157 - Engineering
   01166 - Mathematics
   01325 - Biology or life science
   01326 - Chemistry
   01327 - Earth/space science/geology
   01328 - General science
   01329 - Health education
   01330 - Physical science
   01331 - Physics
   01332 - Other natural sciences
   01150 - Area, ethnic and cultural studies
   01333 - American Indian/Native American studies
   01334 - Anthropology
   01335 - Civics
   01336 - Economics
   00547 - Geography
   00550 - History
   01337 - Humanities
   01338 - Law
   00558 - Multi/Interdisciplinary studies
   01339 - Philosophy
   01340 - Political science and government
   01181 - Psychology
   01342 - Religion
   00563 - Social studies
   01343 - Sociology
   01344 - Other area or ethnic studies
   01345 - Other social studies/social sciences
   01346 - Basic skills or remedial education
   00251 - Bilingual education
   00256 - English as a second language (ESL)
   00557 - Military science
   00559 - Physical education
   02381 - Gifted and talented
   02043 - Special education
   01348 - Autism
   01349 - Deaf and hard-of-hearing
   01350 - Developmentally delayed
   01351 - Early childhood special education
   01352 - Emotionally disturbed or behavior disorders
   01353 - Learning disabilities
   01354 - Mentally disabled
   01355 - Mildly/moderately disabled
   01357 - Severely/profoundly disabled
   01356 - Orthopedically impaired
   01358 - Speech/language impaired
   01359 - Traumatically brain-injured
   01360 - Visually impaired
   01361 - Other special education
   01362 - Agriculture or natural resources
   01363 - Business/office
   01364 - Career education
   01153 - Communications technologies
   01366 - Cosmetology
   01367 - Family and consumer science (home economics)
   01368 - Food/restaurant skills and services
   01369 - Health professions and occupations
   01370 - Trades and industry (e.g., CADD, electronics repair, mechanics, precision production)
   01371 - Other vocational/technical education
   09999 - Other
</t>
  </si>
  <si>
    <t>Teaching Field or Area Authorized</t>
  </si>
  <si>
    <t>An indication of a teaching field within which an individual is authorized to teach by an active teaching credential. In a departmentalized organization, a teaching field is a major subdivision of the educational program such as language arts, mathematics, music, distributive education, or physical education. In a non-departmentalized situation or in a self-contained classroom, a general teaching level such as elementary or secondary may be the most accurate designation of a teaching field.</t>
  </si>
  <si>
    <t>Technical Job Classification</t>
  </si>
  <si>
    <t>A general job classification that describes staff that performs tasks requiring a combination of basic scientific knowledge and manual skills which can be obtained through approximately two years of postsecondary education such as that which is offered in community/junior colleges and technical institutes, or through equivalent special study and/or on-the-job training.</t>
  </si>
  <si>
    <t>Technology Equipment</t>
  </si>
  <si>
    <t>The type of technology equipment.</t>
  </si>
  <si>
    <t xml:space="preserve">Technology Equipment
   01279 - Computer
   03172 - Computer projector
   03173 - Digital video disk
   03174 - Electronic whiteboard
   03175 - Graphing calculator
   03176 - Laptop/notebook computer
   03177 - Monitor
   03178 - Multimedia computer
   03179 - Overhead opaque projector
   03180 - Overhead transparency projector
   03181 - Personal computer
   03182 - Printer
   03183 - Scanner
   03184 - Server
   03185 - Videoconferencing/distance education equipment
   03186 - Videocassette recorder
</t>
  </si>
  <si>
    <t>Technology Equipment Networking</t>
  </si>
  <si>
    <t>The networks to which the technology equipment is connected.</t>
  </si>
  <si>
    <t xml:space="preserve">Technology Equipment Networking
   03190 - Connected to a local-area network (building-level LAN)
   03191 - Connected to a wide-area network (district-level WAN)
   03192 - Directly connected to the Internet
</t>
  </si>
  <si>
    <t>Technology Equipment Use Purpose</t>
  </si>
  <si>
    <t>An indication whether a piece of technology equipment is for one specific use purpose.</t>
  </si>
  <si>
    <t xml:space="preserve">Technology Equipment Use/Purpose
   04732 - Teacher
   00126 - Student
   03187 - Administrative staff
   03188 - Support staff
   03189 - General reference
   09999 - Other
</t>
  </si>
  <si>
    <t>Technology Skills Assessed</t>
  </si>
  <si>
    <t>An indication that the individual was assessed against the standards-based performance profiles of technology user skills as defined by the state.</t>
  </si>
  <si>
    <t>Technology Wiring System Type</t>
  </si>
  <si>
    <t>The means through which voice, video, audio, and data information are conveyed.</t>
  </si>
  <si>
    <t xml:space="preserve">Technology Wiring System
   02502 - Wire cable
   02503 - Fiber optic cable
   02504 - Coaxial cable
   02505 - Wireless
   02506 - Twisted pair
   09999 - Other
</t>
  </si>
  <si>
    <t>Telephone Status</t>
  </si>
  <si>
    <t>A description of preferred communication type or special circumstances which affect communication to an individual, organization, or institution via telephone (e.g., no telephone connection, TTY used, no one available to answer the telephone during certain hours).</t>
  </si>
  <si>
    <t>Tenure Date</t>
  </si>
  <si>
    <t>The month, day, and year on which an individual obtained tenure.</t>
  </si>
  <si>
    <t>Tertiary Disability Type</t>
  </si>
  <si>
    <t>A tertiary disability condition that is identified with an individual, as distinguished from a primary disability.</t>
  </si>
  <si>
    <t>Test Score Status</t>
  </si>
  <si>
    <t>The validity and use of the test score.</t>
  </si>
  <si>
    <t xml:space="preserve">Test Score Status
   03446 - Not tested
   03447 - Valid score, used in AYP
   03448 - Valid score, not used in AYP
   03449 - Invalid score, used in AYP
   03450 - Invalid score, not used in AYP
</t>
  </si>
  <si>
    <t>Theft Violation</t>
  </si>
  <si>
    <t>The unlawful taking of property belonging to another person or entity (e.g., school) without threat, violence or bodily harm. Electronic theft of data should be coded here. Do not include dealing in stolen goods in this category.</t>
  </si>
  <si>
    <t xml:space="preserve">Theft Violation
   04683 - General theft, Person
   04684 - General theft, Other entity
   09999 - Other
</t>
  </si>
  <si>
    <t>Threat/Intimidation Violation</t>
  </si>
  <si>
    <t>Physical, verbal, written, or electronic action which immediately creates fear of harm, without displaying a weapon and without subjecting the victim to actual physical attack.</t>
  </si>
  <si>
    <t xml:space="preserve">Threat/Intimidation Violation
   04687 - Physical threat
   04688 - Verbal threat
   04689 - Written threat
   04690 - Electronic threat
   09999 - Other
</t>
  </si>
  <si>
    <t>Time Expended</t>
  </si>
  <si>
    <t>The amount of time relevant to measuring the unit of work in which the individual is engaged. Units of work may be measured in hours, days, weeks, months, or sessions. A painter employed by the hour might be measured by the number of squares (e.g., 10 feet by 10 feet) painted per hour, while a pscyhometrist's efforts would be measured by the number of students assessed per week or per session.</t>
  </si>
  <si>
    <t>Time Inside a Regular Classroom</t>
  </si>
  <si>
    <t>TIRC - The percentage of time a student spends inside a regular classroom. To calculate the percentage of time inside the regular classroom, divide the number of hours the student spends inside the regular classroom by the total number of hours in the school day (including lunch, recess and study periods). Time spent outside the regular classroom receiving services unrelated to the youth''s disability (e.g., time receiving LEP services) should be considered time inside the regular classroom. Educational time spent in age-appropriate community-based settings that include individuals with and without disabilities, such as college campuses or vocational sites, should be counted as time spent inside the regular classroom.</t>
  </si>
  <si>
    <t>Time Outside a Regular Classroom</t>
  </si>
  <si>
    <t>TORC - The percentage of time a student spends outside a regular classroom. To calculate the percentage of time outside the regular classroom, divide the number of hours the student spends inside the regular classroom by the total number of hours in the school day (including lunch, recess and study periods).</t>
  </si>
  <si>
    <t>Time Period</t>
  </si>
  <si>
    <t>A specific fiscal or calendar year.</t>
  </si>
  <si>
    <t>Time Period Classification</t>
  </si>
  <si>
    <t>An indication of the manner in which yearly time periods are accounted for.</t>
  </si>
  <si>
    <t xml:space="preserve">Time Period Classification
   01620 - Calendar year
   01621 - Fiscal year
</t>
  </si>
  <si>
    <t>Timetable Day Name</t>
  </si>
  <si>
    <t>The name of the timetable day.</t>
  </si>
  <si>
    <t>Timetable Period Identifier</t>
  </si>
  <si>
    <t>The unique identifier for the timetable period for this school calendar.</t>
  </si>
  <si>
    <t>Timetable Period Name</t>
  </si>
  <si>
    <t>The name of the timetable period.</t>
  </si>
  <si>
    <t>Title I District Status</t>
  </si>
  <si>
    <t>An indication that a district is designated under State and Federal regulations as being a Title I district.</t>
  </si>
  <si>
    <t>Title III LEP Instructors Needed in Next 5 Years</t>
  </si>
  <si>
    <t>The estimated number of additional certified/licensed teachers that will be needed for Title III language instruction educational programs in the next 5 years.</t>
  </si>
  <si>
    <t>Title III/LEP Instructor Credential Type</t>
  </si>
  <si>
    <t>An indication of the category of credential a LEP instructor holds.</t>
  </si>
  <si>
    <t xml:space="preserve">LEP Instructor Credential Type
   00251 - Bilingual education
   13405 - Both ESL and BE
   13406 - Certified in content areas only
   13407 - Certified in content with ESL/BE professional development training
   00256 - English as a second language (ESL)
   13408 - Not Certified, Licensed, or endorsed in any area
</t>
  </si>
  <si>
    <t>Tobacco Violation</t>
  </si>
  <si>
    <t>Possession, use, distribution, or sale of tobacco products.</t>
  </si>
  <si>
    <t xml:space="preserve">Tobacco Violation
   04693 - Sale of tobacco
   04694 - Distribution of tobacco
   04695 - Use of tobacco
   04696 - Possession of tobacco
   04697 - Suspicion of use of tobacco
   09999 - Other
</t>
  </si>
  <si>
    <t>Total Assessed Value</t>
  </si>
  <si>
    <t>The total assessed value of property that constitutes the basis for public borrowing.</t>
  </si>
  <si>
    <t>Total Capital Expenditure</t>
  </si>
  <si>
    <t>The total expenditures related to the acquisition and disposition of property.</t>
  </si>
  <si>
    <t>Total Caseload</t>
  </si>
  <si>
    <t>The total number of children, or children and families, for whom an employee provides services.</t>
  </si>
  <si>
    <t>Total Cost of Education to Student</t>
  </si>
  <si>
    <t>The total amount of expenditures required of a student to receive instructional services from an educational institution.</t>
  </si>
  <si>
    <t>Total Days in Grading Period</t>
  </si>
  <si>
    <t>The total number of days in a given grading period. Also included are days on which the education institution facility is closed and the student body as a whole is engaged in planned activities off-campus under the guidance and direction of staff members.</t>
  </si>
  <si>
    <t>Total Distance Transported</t>
  </si>
  <si>
    <t>The total round-trip distance the student travels between his or her transfer point or bus stop and school (including the subsequent return trip).</t>
  </si>
  <si>
    <t>Total Number of Years of Prior Experience</t>
  </si>
  <si>
    <t>The cumulative total number of years (e.g., 3 years, 2.5 years) an individual has previously held employment.</t>
  </si>
  <si>
    <t>Track Identifier</t>
  </si>
  <si>
    <t>The name or description of the track in a year-round school.</t>
  </si>
  <si>
    <t>Track In Date</t>
  </si>
  <si>
    <t>The first month, day, and year of the track that instruction is provided to the individual in a year-round school.</t>
  </si>
  <si>
    <t>Track Out Date</t>
  </si>
  <si>
    <t>The last month, day, and year of the track that the individual receives instruction in a year-round school.</t>
  </si>
  <si>
    <t>Track System</t>
  </si>
  <si>
    <t>An indication of the type of schedule of instruction and vacation periods that are in a year-round school.</t>
  </si>
  <si>
    <t xml:space="preserve">Track System
   02369 - Single-track
   02370 - Multi-track
</t>
  </si>
  <si>
    <t>Transcript Course</t>
  </si>
  <si>
    <t>Course is included in student’s transcript.</t>
  </si>
  <si>
    <t>Transition Meeting Date</t>
  </si>
  <si>
    <t>The month, day, and year on which a transition meeting is held.</t>
  </si>
  <si>
    <t>Transition Meeting Location</t>
  </si>
  <si>
    <t>The place where a transition meeting is held.</t>
  </si>
  <si>
    <t>Transition Meeting Participants</t>
  </si>
  <si>
    <t>The position titles of individuals who attend the transition meeting.</t>
  </si>
  <si>
    <t>Transition Plan Signature</t>
  </si>
  <si>
    <t>The position titles of individuals who sign a written transition plan.</t>
  </si>
  <si>
    <t>Transition Plan Signature Date</t>
  </si>
  <si>
    <t>The month, day, and year on which a written transition plan is signed.</t>
  </si>
  <si>
    <t>Transition Service Description</t>
  </si>
  <si>
    <t>The title (or description) that identifies a particular transition service a child will receive, as listed on the transition plan.</t>
  </si>
  <si>
    <t>Transportation at Public Expense Eligibility</t>
  </si>
  <si>
    <t>The eligibility of a student for transportation between home and school at local public expense because of distance, disability, or other reasons.</t>
  </si>
  <si>
    <t xml:space="preserve">Transportation at Public Expense Eligibility
   02068 - Eligible because of distance
   02069 - Eligible because of disability
   02070 - Eligible because of disability and distance
   02071 - Eligible because of hazardous conditions
   02072 - Eligible because of program for desegregation or integration
   02073 - Eligible because of special instruction
   02074 - Not eligible
   09999 - Other
</t>
  </si>
  <si>
    <t>Travel Beginning Date</t>
  </si>
  <si>
    <t>The month, day, and year on which an individual embarked on a trip.</t>
  </si>
  <si>
    <t>Travel Ending Date</t>
  </si>
  <si>
    <t>The month, day, and year on which an individual returned from a trip.</t>
  </si>
  <si>
    <t>Travel Location</t>
  </si>
  <si>
    <t>The city, state and/or country of the destination of a trip taken by an individual.</t>
  </si>
  <si>
    <t>Travel Purpose</t>
  </si>
  <si>
    <t>The purpose of a trip taken by an individual.</t>
  </si>
  <si>
    <t>Tribal or Clan Name</t>
  </si>
  <si>
    <t>A name borne in common by members of a tribe or clan (e.g., the Matai name in Samoa).</t>
  </si>
  <si>
    <t>Tuberculosis Test Procedure</t>
  </si>
  <si>
    <t>An instance in which a controlled amount of tuberculin is applied to an individual to determine the presence or absence of a tuberculosis infection. Examples of specific procedures include the Mantoux test, the patch test, the tine test, and the Von Pirquet test.</t>
  </si>
  <si>
    <t>Tuition Payment Amount</t>
  </si>
  <si>
    <t>Payments, charged on a per-term or annual basis, required of a student for instructional services in a program of study.</t>
  </si>
  <si>
    <t>Type of Vending Item</t>
  </si>
  <si>
    <t>The type of food or beverage offered in a vending machine.</t>
  </si>
  <si>
    <t xml:space="preserve">Type of Vending Item
   02843 - Water
   03277 - Juice with 50 percent or more fruit or vegetable juice
   03278 - Juice with less than 50 percent fruit or vegetable juice
   03279 - Low-fat or fat free milk
   03280 - Carbonated drinks
   03281 - Sports drink
   03282 - Iced tea
   03283 - Salty snack
   03284 - Sweet snack
   03285 - Coffee or tea
   03286 - Non-milk dairy products
   03287 - Reimbursable meals
   03288 - Non-food items
   09999 - Other
</t>
  </si>
  <si>
    <t>Unassigned Space</t>
  </si>
  <si>
    <t>An indication that the space in a school, including circulation, administration offices, support spaces, and common areas, is not part of the calculation for capacity.</t>
  </si>
  <si>
    <t>Uncorrected Score/Results</t>
  </si>
  <si>
    <t>A qualitative or quantitative description or indicator of an individual's health status, condition, performance, or assessed ability without the assistance of corrective equipment. This is recorded after a medical examination is performed.</t>
  </si>
  <si>
    <t>Uniform Resource Identifier</t>
  </si>
  <si>
    <t>A Uniform Resource Identifier (URI) consists of a string of characters used to identify or name a resource on the Internet. Such identification enables interaction with representations of the resource over a network (typically the World Wide Web) using specific protocols. URIs are defined in schemes specifying a specific syntax and associated protocols.</t>
  </si>
  <si>
    <t>Unique Course Code</t>
  </si>
  <si>
    <t>A unique number that identifies the classroom, the subjects taught, and the instructors that are assigned.</t>
  </si>
  <si>
    <t>Unique Position Number</t>
  </si>
  <si>
    <t>A unique number that is used for identifying a position within an organization.</t>
  </si>
  <si>
    <t>Unit Duration</t>
  </si>
  <si>
    <t>An estimate of the duration of time for the lesson unit.</t>
  </si>
  <si>
    <t>Unit Name</t>
  </si>
  <si>
    <t>The name of the lesson unit.</t>
  </si>
  <si>
    <t>Unit of Basis for Measurement</t>
  </si>
  <si>
    <t>The cycle of time elements or other basis based on which an amount is calculated.</t>
  </si>
  <si>
    <t xml:space="preserve">Unit of Basis for Measurement
   02310 - Hour
   02354 - Days
   01452 - Half-week
   01453 - Week
   01454 - Two weeks
   01455 - Half-month
   01456 - Month
   01457 - Two months
   02355 - Quarters
   02356 - Summer terms
   01458 - Half-year
   01459 - Year
   01460 - Current pay period
   01461 - Quarter-to-date
   01462 - Year-to-date
   01463 - Inception-to-date
   01464 - Per occasion or job completion
   01465 - Unit
   01466 - Visit
   09999 - Other
</t>
  </si>
  <si>
    <t>Unit of Work</t>
  </si>
  <si>
    <t>The number of objects serviced or recipients served by an individual's efforts. Examples of units of work, which form the basis for establishing the measure of an individual's efforts, include students, groups of students, square feet (for cleaners or painters), drops or outlets (for electricians).</t>
  </si>
  <si>
    <t>Unlisted Phone Number Status</t>
  </si>
  <si>
    <t>An indication that the telephone number is unlisted.</t>
  </si>
  <si>
    <t>Unsafe School Choice Offered Status</t>
  </si>
  <si>
    <t>An indication of whether the student was offered the opportunity to transfer to another school after they were a victim of violence in accordance with Title IX, Part E, Subpart 2, Section 9532.</t>
  </si>
  <si>
    <t>Unsafe School Choice Status</t>
  </si>
  <si>
    <t>An indication of whether the student transferred to another school after they were a victim of violence in accordance with Title IX, Part E, Subpart 2, Section 9532.</t>
  </si>
  <si>
    <t>Use of Manipulatives</t>
  </si>
  <si>
    <t>A description of the manipulates that are utilized during the assessment (e.g., math tiles, protractors, calculators).</t>
  </si>
  <si>
    <t>Use of Reference Materials</t>
  </si>
  <si>
    <t>A description of the reference materials that are utilized during the assessment (e.g., reference sheets, dictionaries, word lists).</t>
  </si>
  <si>
    <t>Useful Life</t>
  </si>
  <si>
    <t>The anticipated time (in years) from the time of installation or service that a properly maintained system, component, equipment, or fixture is expected to operate effectively and efficiently.</t>
  </si>
  <si>
    <t>Utility Provider Type</t>
  </si>
  <si>
    <t>An indication of how utilities are supplied to a site or a building by a company or provider.</t>
  </si>
  <si>
    <t xml:space="preserve">Utility Provider Type
   02851 - Self-generated
   02852 - Purchased
</t>
  </si>
  <si>
    <t>Utility Type</t>
  </si>
  <si>
    <t>The type of utility used in the operation of a facility.</t>
  </si>
  <si>
    <t xml:space="preserve">Baseline Utility Type
   02840 - Electricity
   02841 - Natural gas
   02842 - Oil
   02843 - Water
   02844 - Sewer
   02845 - Telephone
   02990 - Internet service
   13685 - Recycling
   13686 - Waste
   09999 - Other
</t>
  </si>
  <si>
    <t>Vandalism Violation</t>
  </si>
  <si>
    <t>Willful destruction or defacement of school or personal property.</t>
  </si>
  <si>
    <t xml:space="preserve">Vandalism Violation
   04701 - Vandalism of school property
   04702 - Vandalism of personal property
   09999 - Other
</t>
  </si>
  <si>
    <t>Vehicle Contractor</t>
  </si>
  <si>
    <t>The name of the contractor for the vehicle.</t>
  </si>
  <si>
    <t>Vehicle Driver's License Expiration Date</t>
  </si>
  <si>
    <t>The month, day, and year on which the individual's vehicle driver's license expires.</t>
  </si>
  <si>
    <t>Vehicle Driver's License Type</t>
  </si>
  <si>
    <t>An indication of the type of operator license an individual is required to have in order to operate that type of vehicle/machinery.</t>
  </si>
  <si>
    <t xml:space="preserve">Vehicle Driver's License Type
   01447 - Automobile license
   01448 - School bus license
   01449 - Heavy equipment license
   01450 - Commercial vehicle license
   01451 - Motorcycle license
   09999 - Other
</t>
  </si>
  <si>
    <t>Vehicle Equipment List</t>
  </si>
  <si>
    <t>The list and description of any special equipment that is on this vehicle.</t>
  </si>
  <si>
    <t>Vehicle Identification Number</t>
  </si>
  <si>
    <t>The unique Vehicle Identification Number (VIN) of the vehicle. The National Highway Traffic Safety Administration requires that all road vehicles must contain a 17 character VIN.</t>
  </si>
  <si>
    <t>Vehicle Inspection Date</t>
  </si>
  <si>
    <t>The month, day, and year on which vehicle was last inspected.</t>
  </si>
  <si>
    <t>Vehicle Manufacture Year</t>
  </si>
  <si>
    <t>The year the vehicle was manufactured.</t>
  </si>
  <si>
    <t>Vehicle Number</t>
  </si>
  <si>
    <t>A unique number or alphanumeric code assigned to the vehicle.</t>
  </si>
  <si>
    <t>Vending Machine Identification Code</t>
  </si>
  <si>
    <t>A unique number or alphanumeric code assigned to a vending machine by a school, school system, state, or other agency or entity.</t>
  </si>
  <si>
    <t>Vertical Transportation System</t>
  </si>
  <si>
    <t>The type of system used to convey persons or freight between floors.</t>
  </si>
  <si>
    <t xml:space="preserve">Vertical Transportation System
   02515 - Stairs
   02516 - Elevator
   02517 - Escalator
   09999 - Other
</t>
  </si>
  <si>
    <t>Vesting Percentage</t>
  </si>
  <si>
    <t>The current percentage of a benefit plan to which a plan participant has earned a vested interest.</t>
  </si>
  <si>
    <t>Victim ID</t>
  </si>
  <si>
    <t>Identifies the victim of the incident, when a student or staff member, by use of a pre-existing school or district unique identifier.</t>
  </si>
  <si>
    <t>Virtual District</t>
  </si>
  <si>
    <t>An administrative unit which exists primarily to operate virtual schools or to contract for virtual educational services.</t>
  </si>
  <si>
    <t>Vocational education</t>
  </si>
  <si>
    <t>A program of instruction offering a sequence of courses that are directly related to the preparation of individuals for paid or unpaid employment in current or emerging occupations requiring other than a baccalaureate or advanced degree.</t>
  </si>
  <si>
    <t xml:space="preserve">Vocational Education
   04907 - Agriculture
   04908 - Consumer and home making
   04909 - Marketing
   04910 - Health
   04911 - Technology/industrial arts
   04912 - Occupational home economics
   04913 - Business
   04914 - Technical/Vocational
   04915 - Trade and industrial
   04916 - Other vocational education
   09999 - Other
</t>
  </si>
  <si>
    <t>Vocational/Technical School</t>
  </si>
  <si>
    <t>A school that focuses primarily on providing formal preparation for semi-skilled, skilled, technical or professional occupations for high school-aged students who have opted to develop or expand their employment opportunities.</t>
  </si>
  <si>
    <t>Voting Status</t>
  </si>
  <si>
    <t>An indication as to whether an individual is registered to vote in public elections.</t>
  </si>
  <si>
    <t xml:space="preserve">Voting Status
   02052 - Registered
   02053 - Not registered
   02358 - Not eligible to vote
</t>
  </si>
  <si>
    <t>Waiver Beginning Date</t>
  </si>
  <si>
    <t>The beginning month, day, and year on which the waiver becomes effective.</t>
  </si>
  <si>
    <t>Waiver Description</t>
  </si>
  <si>
    <t>A description of the reason that the waiver was requested.</t>
  </si>
  <si>
    <t>Waiver Ending Date</t>
  </si>
  <si>
    <t>The last month, day, and year on which the waiver is no longer effective.</t>
  </si>
  <si>
    <t>Waiver Name</t>
  </si>
  <si>
    <t>The name or title of a waiver that either temporarily or permanently exempts the education institution from full compliance with a regulation.</t>
  </si>
  <si>
    <t>Waiver Request Date</t>
  </si>
  <si>
    <t>The month, day, and year that the waiver was requested.</t>
  </si>
  <si>
    <t>Waiver Requirements</t>
  </si>
  <si>
    <t>A description of any requirements of the waiver.</t>
  </si>
  <si>
    <t>WAN Bandwidth to the Building</t>
  </si>
  <si>
    <t>The speed of the wide area network, the interconnected system of computers and networks that surpasses local area networks in scope.</t>
  </si>
  <si>
    <t xml:space="preserve">WAN Bandwidth to the Building
   03438 - 128K
   03439 - 256K
   03440 - 720K
   03441 - 1.5Mbps
   03435 - 10Mbps
   03436 - 100Mbps
   03437 - 1Gbps
   09999 - Other
</t>
  </si>
  <si>
    <t>Ward of the State</t>
  </si>
  <si>
    <t>An individual who is legally the responsibility of the state.</t>
  </si>
  <si>
    <t>Withdrawal Date</t>
  </si>
  <si>
    <t>The month, day, and year that an individual ceased participating in an educational experience without completing the course, educational program, or staff development activity.</t>
  </si>
  <si>
    <t>Witness ID</t>
  </si>
  <si>
    <t>Identifies the witness of the incident by use of a pre-existing unique identifier assigned to a student or staff member by a school or district.</t>
  </si>
  <si>
    <t>Witness to Injury</t>
  </si>
  <si>
    <t>The individual or group of individuals that can give a firsthand account of the injury suffered by an individual.</t>
  </si>
  <si>
    <t>Work Description</t>
  </si>
  <si>
    <t>A description of the work or occupation in which an individual is currently engaged.</t>
  </si>
  <si>
    <t>Work Experience Paid</t>
  </si>
  <si>
    <t>An indication of whether the individual received a salary for work completed.</t>
  </si>
  <si>
    <t xml:space="preserve">Work Experience Paid
   02042 - Yes, a salary was received
   02043 - No, a salary was not received
   09997 - Unknown
</t>
  </si>
  <si>
    <t>Work Experience Required</t>
  </si>
  <si>
    <t>An indication of whether the individual's work experience is required for the completion of a program of study or occupational goal.</t>
  </si>
  <si>
    <t xml:space="preserve">Work Experience Required
   01102 - Required
   01103 - Not required
   09997 - Unknown
</t>
  </si>
  <si>
    <t>Work Order Date of Completion</t>
  </si>
  <si>
    <t>The month, day, and year that the work order was completed.</t>
  </si>
  <si>
    <t>Work Order Date Scheduled</t>
  </si>
  <si>
    <t>The month, day, and year that work is scheduled to take place (not necessarily the date requested).</t>
  </si>
  <si>
    <t>Work Order Priority</t>
  </si>
  <si>
    <t>A determination of the urgency of a work order.</t>
  </si>
  <si>
    <t xml:space="preserve">Work Order Priority
   02991 - Emergency priority
   02872 - Regular priority
   02873 - Low priority
</t>
  </si>
  <si>
    <t>Work Order Time Scheduled</t>
  </si>
  <si>
    <t>The time that work is scheduled to take place.</t>
  </si>
  <si>
    <t>Worker's Compensation Claim Filed</t>
  </si>
  <si>
    <t>An indication as to whether a claim was filed in a system of no-fault insurance that pays benefits to employees for accidental injuries or diseases related to the employee's work.</t>
  </si>
  <si>
    <t>Worker's Compensation Claim Filing Date</t>
  </si>
  <si>
    <t>The month, day, and year on which an individual filed an insurance claim for his or her injury.</t>
  </si>
  <si>
    <t>Workforce Program Participation After Exit</t>
  </si>
  <si>
    <t>The type of workforce and employment development program that an individual is participating in after exiting an education program.</t>
  </si>
  <si>
    <t xml:space="preserve">Workforce and Employment Development Program Type
   15180 - Labor Exchange Services
   15181 - Adult Workforce Investment Act Program
   15182 - Dislocated Worker Workforce Investment Act Program
   15183 - Youth Workforce Investment Act Program
   15184 - Job Corps
   15185 - Adult Education and Literacy
   15186 - National Farmworker Jobs Program
   15187 - Indian and Native American Programs
   15188 - Veteran''s Programs
   15189 - Trade Adjustment Assistance Program
   15190 - YouthBuild Program
   15191 - Title V Older Worker Program
   15192 - Registered Apprenticeship
   15193 - Non-traditional Apprenticeship
   15194 - Vocational Rehabilitation
   15195 - Food Stamp Employment and Training Program
   15196 - TANF Employment and Training Program
   15197 - Other On-The-Job training Program
   15198 - Other Workforce Related Employment and Training Program
   15199 - No identified services
</t>
  </si>
  <si>
    <t>Year Built</t>
  </si>
  <si>
    <t>The year a building was constructed, as indicated by cornerstone or official government records.</t>
  </si>
  <si>
    <t>Year of Last Modernization</t>
  </si>
  <si>
    <t>The most recent year in which a full school modernization was completed.</t>
  </si>
  <si>
    <t>Years of Participation</t>
  </si>
  <si>
    <t>The number of years that an individual belonged to an organization or association or served as an elected public official.</t>
  </si>
  <si>
    <t>Years of Prior Education Experience</t>
  </si>
  <si>
    <t>The total number of years that an individual has previously held an education position (including positions as a teacher and administrator).</t>
  </si>
  <si>
    <t>Years of Prior Related Experience</t>
  </si>
  <si>
    <t>The total number of years of employment in a non-education area related to the field in which an individual is currently employed (e.g. 10 years of employment as an automotive mechanic for an individual teaching automotive in a vocational education program).</t>
  </si>
  <si>
    <t>Years of Virtual Teaching Experience</t>
  </si>
  <si>
    <t>The total number of years that an individual has previously held a teaching position in a virtual school or class in one or more education institutions.</t>
  </si>
  <si>
    <t>Zip Code Plus-four</t>
  </si>
  <si>
    <t>Four additional digits added to the Zip Code to identify a geographic segment within the five-digit delivery area.</t>
  </si>
  <si>
    <t>Zone Number</t>
  </si>
  <si>
    <t>The number assigned to a geographical area for purposes of census enumeration. For a public school census, this number is generally assigned by the local education agency (LEA).</t>
  </si>
  <si>
    <t>PESC</t>
  </si>
  <si>
    <t>AcademicAwardEarnedPriorToAdmission</t>
  </si>
  <si>
    <t>Other achievements and accomplishments submitted by the applicant.</t>
  </si>
  <si>
    <t>VARCHAR</t>
  </si>
  <si>
    <t xml:space="preserve">AcademicAwardEarnedPriorToAdmission
   AssociateDegree
   BaccalaureateDegree
   Doctorate
   MastersDegree
   ProfessionalDegree
   TwoYearCollegeDiploma
</t>
  </si>
  <si>
    <t>AcademicAwardLevel</t>
  </si>
  <si>
    <t>The level of the degree, certificate, or award granted for the successful completion of requirements of an academic program. Secondary Awards: B17 Did not complete secondary school B18 Standard High School Diploma which may or may not include an exit test B19 Advanced or honors diploma B20 Vocational diploma B21 Special Education Diploma normally for students with a disability B22 Certificate of completion or attendance B23 Special certificate of completion or attendance B24 General Education Development (GED) Diploma B25 Other high school equivalency diploma B26 International diploma or certificate such as International Baccalaureate B27 Standard High School Diploma with only 3 year curriculum B28 Met all graduation requirements except for required exit test Postsecondary Awards: 1.1 Certificate of completion 1.2 Certificate of proficiency 2.0 Certificate 2.1 Postsecondary Certificate or Diploma (less than one year) 2.2 Postsecondary Certificate or Diploma (one year or more, but less than four years) 2.3 Associate Degree (e.g., Associate in Arts, Associate in Science 2.4 Baccalaureate Degree 2.5 Baccalaureate (Honors) Degree 2.6 Postsecondary Certificate or Diploma (one year or more, but less than two years) 2.7 Postsecondary Certificate or Diploma (two years or more, but less than four years) 3.1 First Professional Degree 3.2 Post-Professional Degree 4.1 Graduate Certificate 4.2 Master?s Degree 4.3 Intermediate Graduate Degree 4.4 Doctoral Degree 4.5 Post-Doctoral Award Awards Used in Canada: FrenchBaccalaureate CEGEP (Collège d?enseignement general et professionnel.</t>
  </si>
  <si>
    <t xml:space="preserve">AcademicAwardLevel
   B17 - Did not complete secondary school
   B18 - Standard High School Diploma which may or may not include an exit test
   B19 - Advanced or honors diploma B20 Vocational diploma
   B21 - Special Education Diploma normally for students with a disability
   B22 - Certificate of completion or attendance
   B23 - Special certificate of completion or attendance
   B24 - General Education Development (GED) Diploma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FrenchBaccalaureate
   CEGEP - Collège d'enseignement general et professionnel
</t>
  </si>
  <si>
    <t>AcademicCompletionIndicator</t>
  </si>
  <si>
    <t>An indication that the degree-seeking student completed all of the requirements for his or her academic program. Not used for Non-Degree programs.</t>
  </si>
  <si>
    <t xml:space="preserve">AcademicCompletionIndicator
   true
   false
</t>
  </si>
  <si>
    <t>AcademicProgramCampus</t>
  </si>
  <si>
    <t>The preferred campus specified by the applicant for this particular program.</t>
  </si>
  <si>
    <t>AcademicProgramDegreeLevel</t>
  </si>
  <si>
    <t>The level of the degree for which the applicant is applying.</t>
  </si>
  <si>
    <t xml:space="preserve">AcademicProgramDegreeLevel
   AssociateDegree
   BaccalaureateDegree
   Certificate
   Doctorate
   GraduateDegree
   HighSchool
   MastersDegree
   NonDegree
   PostsecondaryDiploma
   ProfessionalDegree
</t>
  </si>
  <si>
    <t>AcademicProgramName</t>
  </si>
  <si>
    <t>The specific name of the academic program for which the person is applying.</t>
  </si>
  <si>
    <t>AcademicProgramPriority</t>
  </si>
  <si>
    <t>The priority ranking for this program with relation to other programs requested in the application for admission (First, second, etc.).</t>
  </si>
  <si>
    <t>INTEGER</t>
  </si>
  <si>
    <t>AcademicProgramType</t>
  </si>
  <si>
    <t>The specific category of the academic program for which the person is applying.</t>
  </si>
  <si>
    <t xml:space="preserve">AcademicProgramType
   Concentration
   Focus
   Major
   Minor
   SecondMajor
   Specialization
</t>
  </si>
  <si>
    <t>AcademicTrainingLevelCode</t>
  </si>
  <si>
    <t>This is the level of training approved for this Academic Training for international students on a J Visitors visa.</t>
  </si>
  <si>
    <t xml:space="preserve">AcademicTrainingLevelCode
   Associate
   Bachelors
   Doctorate
   Graduate
   HighSchool
   Professional
</t>
  </si>
  <si>
    <t>AcademicTrainingStatusCode</t>
  </si>
  <si>
    <t>The code used by SEVIS to identify the current status of the Academic Training.</t>
  </si>
  <si>
    <t xml:space="preserve">FullTimePartTime
   FullTime
   PartTime
</t>
  </si>
  <si>
    <t>AccreditingBodyCode</t>
  </si>
  <si>
    <t>This is the acronym for the regional or other accrediting body that has given accreditation to the school sending the high school transcript.</t>
  </si>
  <si>
    <t xml:space="preserve">AccreditingBodyCode
   MSA - Middle States Association of Colleges and Schools, Commission on Higher Education
   NCA-HLC - North Central Association of Colleges and Schools, Higher Learning Commission
   NCA-CASI - North Central Association of Colleges and Schools, Commission on Accreditation and School Improvement, Board of Trustees
   NEASC-CIHE - New England Association of Schools and Colleges, Inc., Commission on Institutions of Higher Education
   NEASC-CTCI - New England Association of Schools and Colleges, Inc., Commission on Technical and Career Institutions
   NWCCU - Northwest Commission on Colleges and Universities
   SACS - Southern Association of Colleges and Schools, Commission on Colleges
   WASC-ACCJC - Western Association of Schools and Colleges, Accrediting Commission for Community and Junior Colleges
   WASC-ACSCU - Western Association of Schools and Colleges, Accrediting Commission for Senior Colleges and Universities
   Other - Other accrediting bodies not shown above
</t>
  </si>
  <si>
    <t>AccreditingBodyName</t>
  </si>
  <si>
    <t>The name of the accrediting body.</t>
  </si>
  <si>
    <t>AchievementAwardYear</t>
  </si>
  <si>
    <t>The year in which the award was earned.</t>
  </si>
  <si>
    <t>CCYY</t>
  </si>
  <si>
    <t>AchievementAwardYearMonth</t>
  </si>
  <si>
    <t>The month and year in which the award was earned.</t>
  </si>
  <si>
    <t>CCYY-MM</t>
  </si>
  <si>
    <t>AchievementCategoryCode</t>
  </si>
  <si>
    <t>The category of the area in which achievement was earned.</t>
  </si>
  <si>
    <t xml:space="preserve">AchievementCategoryCode
   Academic
   Arts
   Athletic
   BusinessEmployment
   CommunityService
   Leadership
   Other
</t>
  </si>
  <si>
    <t>The name of the achievement or award.</t>
  </si>
  <si>
    <t>ActivityScopeCode</t>
  </si>
  <si>
    <t>The scope of the activity in which the applicant participated.</t>
  </si>
  <si>
    <t xml:space="preserve">ActivityScopeCode
   International
   Local
   National
   Regional
</t>
  </si>
  <si>
    <t>ActivitySponsorOrganizationName</t>
  </si>
  <si>
    <t>The sponsoring organization of the activity.</t>
  </si>
  <si>
    <t>AddressUpdateDate</t>
  </si>
  <si>
    <t>Date the student’s address became effective.</t>
  </si>
  <si>
    <t>ccyy-mm-dd</t>
  </si>
  <si>
    <t>AddressValidIndicator</t>
  </si>
  <si>
    <t>Flag to inidicate that the student’s address is valid.</t>
  </si>
  <si>
    <t>AgencyCode</t>
  </si>
  <si>
    <t>A code that describes the type of agency that assigned the student’s identification number.</t>
  </si>
  <si>
    <t xml:space="preserve">AgencyCode
   State
   Regional
   National
   MutuallyDefined
   Migrant
   District
</t>
  </si>
  <si>
    <t>AlienRegistrationNumber</t>
  </si>
  <si>
    <t>Alien Registration Number.</t>
  </si>
  <si>
    <t>AllowedAnswerText</t>
  </si>
  <si>
    <t>An answer that the applicant was provided and allowed to select.</t>
  </si>
  <si>
    <t>AnswerSelectedCode</t>
  </si>
  <si>
    <t>An indication that the student did or did not select this answer.</t>
  </si>
  <si>
    <t xml:space="preserve">AnswerSelectedCode
   NotSelected
   Selected
</t>
  </si>
  <si>
    <t>AnswerText</t>
  </si>
  <si>
    <t>This would indicate the actual text of the question that the applicant was asked.</t>
  </si>
  <si>
    <t>ApplicationFeeAmount</t>
  </si>
  <si>
    <t>Amount of the application fee being paid or waived for the applicant.</t>
  </si>
  <si>
    <t>DECIMAL</t>
  </si>
  <si>
    <t>ApplicationPriority</t>
  </si>
  <si>
    <t>The priority to be given to processing this particular application for this campus, term and program.</t>
  </si>
  <si>
    <t>ApplicationProcessingGroupCode</t>
  </si>
  <si>
    <t>Type of matriculation that the applicant is seeking which determines the process by which the application is handled.</t>
  </si>
  <si>
    <t xml:space="preserve">ApplicationProcessingGroupCode
   ContinuingEducation
   FirstTimeStudent
   GraduateLevel
   HighSchool
   HighSchoolDual
   International
   MatureStudent
   NonDegree
   Other
   PostBaccalaureate
   PostDoctoral
   PostGraduate
   Professional
   Readmit
   Special
   Transfer
   Transient
   Undergraduate
   VisitingExchangeStudent
</t>
  </si>
  <si>
    <t>ApplicationStatement</t>
  </si>
  <si>
    <t>A statement submitted by the applicant.</t>
  </si>
  <si>
    <t>ApplicationWithdrawalIndicator</t>
  </si>
  <si>
    <t>An indication that the student is requesting the application is to be withdrawn.</t>
  </si>
  <si>
    <t>AppliedCode</t>
  </si>
  <si>
    <t>An indication that the applicant has applied for asylee or refugee status.</t>
  </si>
  <si>
    <t xml:space="preserve">YesNo
   Yes
   No
</t>
  </si>
  <si>
    <t>AppliedDate</t>
  </si>
  <si>
    <t>The date on which the applicant stated that the application was submitted to apply for this status.</t>
  </si>
  <si>
    <t>ATP</t>
  </si>
  <si>
    <t>The unique identifier for the Admissions Testing Program assigned by the College Board for each data exchange partner.</t>
  </si>
  <si>
    <t>AttendedCollegeCode</t>
  </si>
  <si>
    <t>An indication of which family members attended college.</t>
  </si>
  <si>
    <t xml:space="preserve">AttendedCollegeCode
   EitherParent
   GrandParent
   Siblings
   Spouse
</t>
  </si>
  <si>
    <t>AttentionLine</t>
  </si>
  <si>
    <t>The individual or office name at the postal address where inquiries should be directed.</t>
  </si>
  <si>
    <t>BeginDate</t>
  </si>
  <si>
    <t>The date the Academic Training is or was scheduled to begin.</t>
  </si>
  <si>
    <t>CampusName</t>
  </si>
  <si>
    <t>The campus that the applicant indicates is the preferred campus for this application.</t>
  </si>
  <si>
    <t>CanadianEthnicityCode</t>
  </si>
  <si>
    <t>This is the ethnicity code as determined by Canadian schools.</t>
  </si>
  <si>
    <t xml:space="preserve">CanadianEthnicityCode
   BillC31
   FirstNations
   FrenchAncestry
   Inuit
   Metis
</t>
  </si>
  <si>
    <t>CardExpirationDate</t>
  </si>
  <si>
    <t>The month and year when the credit or debit card is scheduled to expire.</t>
  </si>
  <si>
    <t>CardIssuerCode</t>
  </si>
  <si>
    <t>The bank or agency that issued the credit or debit card.</t>
  </si>
  <si>
    <t xml:space="preserve">CardIssuerCode
   AmericanExpress
   Discover
   MasterCard
   Other
   Visa
</t>
  </si>
  <si>
    <t>CardNumber</t>
  </si>
  <si>
    <t>The number of the credit or debit card.</t>
  </si>
  <si>
    <t>CardNumberLast4</t>
  </si>
  <si>
    <t>The last four digits of the credit or debit card number.</t>
  </si>
  <si>
    <t>CCD</t>
  </si>
  <si>
    <t>The unique identifier assigned by National Center for Education Statistics as the Common Core of Data for each data exchange partner.</t>
  </si>
  <si>
    <t>CEEBACT</t>
  </si>
  <si>
    <t>The unique identifier assigned by the College Entrance Examining Board and ACT for each K-12 data exchange partner.</t>
  </si>
  <si>
    <t>CertificateOfEligibilityExpirationDate</t>
  </si>
  <si>
    <t>The date this Certificate of Eligibility Form (I20 form in the US) expires.</t>
  </si>
  <si>
    <t>CertificateOfEligibilityID</t>
  </si>
  <si>
    <t>The number that is assigned by the Immigration Service that identifies the international applicant.</t>
  </si>
  <si>
    <t>CertificateOfEligibilityIssueDate</t>
  </si>
  <si>
    <t>The date this Certificate of Eligibility (I20 form in the US) form was issued.</t>
  </si>
  <si>
    <t>CertificateOfEligibilityProgramName</t>
  </si>
  <si>
    <t>The name used by SEVIS in the US to identify the educational program for which the applicant is applying or has been approved.</t>
  </si>
  <si>
    <t>CertificateOfEligibilitySchoolCode</t>
  </si>
  <si>
    <t>The code assigned by SEVIS in the US to the school issuing the Certificate of Eligibility (I20 form in the US).</t>
  </si>
  <si>
    <t>CertificateOfEligibilitySchoolName</t>
  </si>
  <si>
    <t>The name of the school issuing the Certificate of Eligibility (I20 form in the US) form.</t>
  </si>
  <si>
    <t>CitizenshipCountryCode</t>
  </si>
  <si>
    <t>Code for the country of citizenship of the family member of the applicant.</t>
  </si>
  <si>
    <t>CitizenshipStatusCode</t>
  </si>
  <si>
    <t>Citizenship status of the family member of the applicant.</t>
  </si>
  <si>
    <t xml:space="preserve">CitizenshipStatusCode
   Asylee
   Citizen
   EligibleNonCitizen
   IllegalAlien
   LandedImmigrant
   MinistersPermit
   NonCitizen
   NonPermanentResidentAlien
   NonResidentAlien
   NonResidentCitizen
   NotEligible
   PermanentVisa
   Refugee
   ResidentAlien
   StudentAuthorization
   StudentVisa
   TemporaryVisa
   UndocumentedAlien
   VisitorVisa
   WorkVisa
</t>
  </si>
  <si>
    <t>ConditionsMetCode</t>
  </si>
  <si>
    <t>Indicates whether and how conditions for certification have been attained.</t>
  </si>
  <si>
    <t>ConditionsMetDate</t>
  </si>
  <si>
    <t>Date of attribute.</t>
  </si>
  <si>
    <t>ContactName</t>
  </si>
  <si>
    <t>This is the name of the contact at the referee organization.</t>
  </si>
  <si>
    <t>ContactPreferenceCode</t>
  </si>
  <si>
    <t>The preferred method by which the applicant would like to receive further communication from the postsecondary institution to which the applicant is applying.</t>
  </si>
  <si>
    <t xml:space="preserve">ContactPreferenceCode
   Email
   InstantMessage
   Phone
   PostalMail
   TextMessage
</t>
  </si>
  <si>
    <t>ContactTitle</t>
  </si>
  <si>
    <t>The position title of the contact.</t>
  </si>
  <si>
    <t>The final grade awarded for participation in the course if it is not included in the CourseAcademicGradeScaleCode.</t>
  </si>
  <si>
    <t xml:space="preserve">CourseAcademicGradeStatusCode
   AuditedCourse
   HonorsGrade
   Incomplete
   IncompleteNotResolvedFail
   InProgress
   NotYetReported
   OtherFail
   OtherPass
   PassFailFail
   PassFailPass
   TransferNoGrade
   Withdrew
   WithdrewFailing
   WithdrewNoPenalty
   WithdrewPassing
</t>
  </si>
  <si>
    <t>CourseAcademicSupplementalGrade</t>
  </si>
  <si>
    <t>The academic grade reported for this component or supplemental course.</t>
  </si>
  <si>
    <t>CourseAcademicSupplementalGradeScaleCode</t>
  </si>
  <si>
    <t>CourseAcademicSupplementalGradeStatusCode</t>
  </si>
  <si>
    <t>Special enrollment or completion status of this course.</t>
  </si>
  <si>
    <t xml:space="preserve">CourseAcademicSupplementalGradeStatusCode
   AuditedCourse
   HonorsGrade
   Incomplete
   IncompleteNotResolvedFai
   InProgress
   NotYetReported
   OtherFail
   OtherPass
   PassFailFail
   PassFailPass
   TransferNoGrade
   Withdrew
   WithdrewFailing
   WithdrewNoPenalty
   WithdrewPassing
</t>
  </si>
  <si>
    <t>CourseApplicability</t>
  </si>
  <si>
    <t>The academic program to which this academic course applies toward graduation.</t>
  </si>
  <si>
    <t xml:space="preserve">CourseApplicability
   BothPrograms
   FirstProgram
   SecondProgram
   NotApplicable
</t>
  </si>
  <si>
    <t>CourseCreditBasis</t>
  </si>
  <si>
    <t xml:space="preserve">CourseCreditBasis
   AcademicRenewal
   AdultBasic
   AdvancedPlacement
   AdvancedStanding
   ContinuingEducation
   CreditByExam
   Equivalence
   Exemption
   HighSchoolCreditOnly
   HighSchoolDualCredit
   HighSchoolTransferCredit
   InternationalBaccalaureate
   JuniorHighSchoolCredit
   Major
   Military
   Regular
   Remedial
</t>
  </si>
  <si>
    <t>CourseCreditLevel</t>
  </si>
  <si>
    <t xml:space="preserve">CourseCreditLevel
   Dual
   DualGraduateUndergraduate
   DualHighSchoolCollege
   EighthGrade
   EleventhGrade
   Graduate
   GraduateProfessional
   LowerDivision
   Professional
   NinthGrade
   Secondary
   SeventhGrade
   TechnicalPreparatory
   TenthGrade
   TwelfthGrade
   Undergraduate
   UpperDivision
   Vocational
</t>
  </si>
  <si>
    <t>CourseLevel</t>
  </si>
  <si>
    <t>The level of work which is reflected in the credits associated with the academic course being described or the level of the typical student taking the academic course.</t>
  </si>
  <si>
    <t xml:space="preserve">CourseLevel
   Accelerated
   AdultBasic
   AdvancedPlacement
   Basic
   CollegeLevel
   CollegePreparatory
   Dual
   GiftedTalented
   GraduateProfessional
   Honors
   InternationalBaccalaureate
   LowerDivision
   NonAcademic
   Regents
   Remedial
   SpecialEducation
   TechnicalPreparatory
   UpperDivision
   Vocational
</t>
  </si>
  <si>
    <t>CPTStatusCode</t>
  </si>
  <si>
    <t>The code used by SEVIS to identify the current status of the Curricular Practical Training.</t>
  </si>
  <si>
    <t>CPTTrainingLevelCode</t>
  </si>
  <si>
    <t>This is the level of training approved for this CPT.</t>
  </si>
  <si>
    <t xml:space="preserve">CPTTrainingLevelCode
   Associate
   Bachelors
   Doctorate
   Graduate
   HighSchool
   Professional
</t>
  </si>
  <si>
    <t>CreditUnit</t>
  </si>
  <si>
    <t xml:space="preserve">CreditUnit
   CarnegieUnits
   ClockHours
   ContinuingEducationUnits
   NoCredit
   Other
   Quarter
   Semester
   Units
   Unreported
</t>
  </si>
  <si>
    <t>CurrentlyInUSCode</t>
  </si>
  <si>
    <t>An indication that the applicant is currently located in the United States, or not.</t>
  </si>
  <si>
    <t>DecisionRank</t>
  </si>
  <si>
    <t>The ranking of importance that this factor had in applying to this school.</t>
  </si>
  <si>
    <t>DecisionToApplyCode</t>
  </si>
  <si>
    <t>Factors affecting the applicant?s decision to apply to this school.</t>
  </si>
  <si>
    <t xml:space="preserve">DecisionToApplyCode
   Alumni
   CampusEvent
   CampusVisit
   ClassmateCollege
   ClassmateHighSchool
   CollegeFair
   CollegeProfessor
   CoWorker
   Friend
   GuidanceCounselor
   HumanResourceDepartment
   IndependentCounselor
   InformationEvent
   InstitutionCorrespondence
   InstitutionReputation
   Internet
   Location
   MastersBusinessAdministrationForum
   Media
   MediaRanking
   OffCampusEvent
   Other
   PlacementDepartment
   Recruiter
   Relative
   Supervisor
   Tuition
   VisitToHighSchool
   WebSite
</t>
  </si>
  <si>
    <t>Delinquencies</t>
  </si>
  <si>
    <t>The academic standing of the student at the end of this session.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t>
  </si>
  <si>
    <t xml:space="preserve">Delinquencies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
</t>
  </si>
  <si>
    <t>DependencyStatusCode</t>
  </si>
  <si>
    <t>A code indicating if the applicant is a dependent or independent person concerning financial status.</t>
  </si>
  <si>
    <t xml:space="preserve">DependencyStatusCode
   Dependent
   Independent
</t>
  </si>
  <si>
    <t>DesignateCode</t>
  </si>
  <si>
    <t>An indication that this person has been designated with special authority by the applicant.</t>
  </si>
  <si>
    <t xml:space="preserve">DesignateCode
   AuthorizedDesignate
   EmergencyContact
</t>
  </si>
  <si>
    <t>DocumentExpirationDate</t>
  </si>
  <si>
    <t>The date that the asylee or refugee status is no longer valid.</t>
  </si>
  <si>
    <t>DriversLicenseNumber</t>
  </si>
  <si>
    <t>The number assigned by the issuing state or province to the claimant to operate a motor vehicle.</t>
  </si>
  <si>
    <t>EarlyIndicatorCode</t>
  </si>
  <si>
    <t>If this is an early application for admission, this can indicate the type of early action to be taken on the application.</t>
  </si>
  <si>
    <t xml:space="preserve">EarlyIndicatorCode
   EarlyAction
   EarlyAdmission
   EarlyDecision
   RestrictedEarlyAction
</t>
  </si>
  <si>
    <t>EducationLevel</t>
  </si>
  <si>
    <t>The highest level of education already attained by the family member of the applicant.</t>
  </si>
  <si>
    <t xml:space="preserve">EducationLevel
   AssociateDegree
   BaccalaureateDegree
   CollegeAttended
   CollegeCertificate
   CollegeDiploma
   DoctoralDegree
   Elementary
   FourYearCollegeGraduate
   HighSchoolAttended
   HighSchoolGraduate
   JuniorHighSchool
   MastersDegree
   MiddleSchool
   NoHighSchool
   None
   PostGraduateStudy
   ProfessionalAttended
   ProfessionalCertification
   ProfessionalDegree
   SecondarySchool
   TwoYearCollegeGraduate
   VocationalSchool
</t>
  </si>
  <si>
    <t>EmployerName</t>
  </si>
  <si>
    <t>The name of the claimant?s employer.</t>
  </si>
  <si>
    <t>EmploymentBeginDate</t>
  </si>
  <si>
    <t>The date that the claimant began employment.</t>
  </si>
  <si>
    <t>The date that the claimant ended employment.</t>
  </si>
  <si>
    <t>The location of the employment.</t>
  </si>
  <si>
    <t>EmploymentWeeklyHours</t>
  </si>
  <si>
    <t>The average or typical number of hours per week that the person worked.</t>
  </si>
  <si>
    <t>EndDate</t>
  </si>
  <si>
    <t>The date the AcademicTraining is or was scheduled to end.</t>
  </si>
  <si>
    <t>EndingYearMonth</t>
  </si>
  <si>
    <t>The ending date when funding from this source is anticipated.</t>
  </si>
  <si>
    <t>ccyy-mm</t>
  </si>
  <si>
    <t>ExchangeVisitorPositionCode</t>
  </si>
  <si>
    <t>The code assigned to the position held (or being applied for) by the international exchange visitor applicant.</t>
  </si>
  <si>
    <t>FamilyIncomeAmount</t>
  </si>
  <si>
    <t>Amount of income for the most recent year available for the applicant?s family.</t>
  </si>
  <si>
    <t>FeeWaiverBasisCode</t>
  </si>
  <si>
    <t>The source of the waiver used to satisfy the application fee assessment.</t>
  </si>
  <si>
    <t xml:space="preserve">FeeWaiverBasisCode
   AmeriCorps
   Employee
   EmployeeDependent
   GoverningBoard
   LowIncome
   Other
   PeaceCorps
   PreviouslyPaid
   School
   SeniorCitizen
   TestAgency
</t>
  </si>
  <si>
    <t>FinancialDependencyDate</t>
  </si>
  <si>
    <t>The date on which the applicant became either financially dependent or financially independent.</t>
  </si>
  <si>
    <t>FirstEntryIntoHostCountryDate</t>
  </si>
  <si>
    <t>The date the applicant first entered or plans to enter into the host country.</t>
  </si>
  <si>
    <t>FirstIssueDate</t>
  </si>
  <si>
    <t>The date the claimant was first issued a driver?s license in the state.</t>
  </si>
  <si>
    <t>FullTimeFlag</t>
  </si>
  <si>
    <t>A flag to indicate if the claimant is or was a full-time or part-time employee.</t>
  </si>
  <si>
    <t>FundingAmount</t>
  </si>
  <si>
    <t>The amount of funding being provided in the currency of the host country where the school is located.</t>
  </si>
  <si>
    <t>FundingSourceCode</t>
  </si>
  <si>
    <t>This is the coded type of the source of the funds for the International Applicant.</t>
  </si>
  <si>
    <t xml:space="preserve">FundingSourceCode
   BiNationalCommission
   Employment
   ExchangeVisitorGovernment
   InternationalOrganization
   Other
   Personal
   ProgramSponsorFunds
   School
   USGovernmentFundsl
</t>
  </si>
  <si>
    <t>FundingSourceCountry</t>
  </si>
  <si>
    <t>The Country where the funds are located.</t>
  </si>
  <si>
    <t>FundingSourceName</t>
  </si>
  <si>
    <t>This is the name of the funding source.</t>
  </si>
  <si>
    <t>GPARangeMaximum</t>
  </si>
  <si>
    <t>The highest possible grade point average that can be earned by the student.</t>
  </si>
  <si>
    <t>GPARangeMinimum</t>
  </si>
  <si>
    <t>The lowest possible grade point average that can be earned by the student.</t>
  </si>
  <si>
    <t>GradeLevel</t>
  </si>
  <si>
    <t>The grade level of the applicant when the participation in the activity occurred.</t>
  </si>
  <si>
    <t xml:space="preserve">GradeLevel
   Grade9
   Grade10
   Grade11
   Grade12
   PostSecondary
</t>
  </si>
  <si>
    <t>GraduationDate</t>
  </si>
  <si>
    <t>The student’s anticipated date of graduation or termination. Required when AttendanceStatusC ode is equal to ApprovedLeaveOfA bsence, FullTime, HalfTime, or LessThanHalfTime.</t>
  </si>
  <si>
    <t>HealthCondition</t>
  </si>
  <si>
    <t>Information about the health of the applicant.</t>
  </si>
  <si>
    <t>HomesteadExemptionClaimedCode</t>
  </si>
  <si>
    <t>An indication that the claimant has been granted a homestead exemption by the state for the owned property.</t>
  </si>
  <si>
    <t xml:space="preserve">HomesteadExemptionClaimedCode
   No
   Pending
   Yes
</t>
  </si>
  <si>
    <t>HonorsLevel</t>
  </si>
  <si>
    <t>A code value representing 1st highest honor, 2nd highest and 3rd highest.</t>
  </si>
  <si>
    <t xml:space="preserve">HonorsLevel
   FirstHighest
   SecondHighest
   ThirdHighest
</t>
  </si>
  <si>
    <t>HousingInformationCode</t>
  </si>
  <si>
    <t>Additional info being requested about student housing.</t>
  </si>
  <si>
    <t xml:space="preserve">HousingInformationCode
   Family
   General
   OffCampus
   OnCampus
</t>
  </si>
  <si>
    <t>I94AdmissionNumber</t>
  </si>
  <si>
    <t>The number on the I94 form issued when the non-citizen entered the US.</t>
  </si>
  <si>
    <t>I94DateOfEntry</t>
  </si>
  <si>
    <t>The date when the non-citizen entered the US.</t>
  </si>
  <si>
    <t>I94ExpirationDate</t>
  </si>
  <si>
    <t>The date on which the entry permit expires and the non-citizen is no longer in the US in a legal status. Duration of status is another condition and the non-citizen remains in a legal status as long as the conditions of the entry remain valid.</t>
  </si>
  <si>
    <t>I94PortOfEntryCode</t>
  </si>
  <si>
    <t>The port where the non-citizen entered the US.</t>
  </si>
  <si>
    <t>ImmigrationI20RequestIndicator</t>
  </si>
  <si>
    <t>An indicator as to whether or not the applicant has already requested a US Immigration Form I-20.</t>
  </si>
  <si>
    <t>ImmunizationCode</t>
  </si>
  <si>
    <t>Medical immunization or vaccine code from the Current Procedural Terminology (CPT) 2002 of the American Medical Association.</t>
  </si>
  <si>
    <t>ImmunizationStatusCode</t>
  </si>
  <si>
    <t>Information about the number of the innoculation or the type of exemption.</t>
  </si>
  <si>
    <t xml:space="preserve">ImmunizationStatusCode
   FirstInnoculation
   SecondInnoculation
   ThirdInnoculation
   FourthInnoculation
   FifthInnoculation
   SixthInnoculation
   SeventhInnoculation
   EighthInnoculation
   NinthInnoculation
   HadTheDisease
   MedicalExemption
   PersonalExemption
   ReligiousExemption
</t>
  </si>
  <si>
    <t>IncomeTaxState</t>
  </si>
  <si>
    <t>The state to which income taxes were paid.</t>
  </si>
  <si>
    <t xml:space="preserve">State
   AA - Military - Americas
   AB - Alberta
   AE - Military - Europe
   AK - Alaska
   AL - Alabama
   AP - Military - Pacific
   AR - Arkansas
   AS - American Samoa
   AZ - Arizona
   BC - British Columbia
   CA - California
   CO - Colorado
   CT - Connecticut
   CZ - Canal Zone
   DC - District of Columbia
   DE - Delaware
   FL - Florida
   FM - Federated States of Micronesia
   GA - Georgia
   GU - Guam
   HI - Hawaii
   IA - Iowa
   ID - Idaho
   IL - Illinois
   IN - Indiana
   KS - Kansas
   KY - Kentucky
   LA - Louisiana
   MA - Massachusetts
   MB - Manitoba
   MD - Maryland
   ME - Maine
   MH - Marshall Islands
   MI - Michigan
   MN - Minnesota
   MO - Missouri
   MP - Northern Mariana Islands
   MS - Mississippi
   MT - Montana
   NB - New Brunswick
   NC - North Carolina
   ND - North Dakota
   NE - Nebraska
   NF - Newfoundland
   NH - New Hampshire
   NJ - New Jersey
   NL - Newfoundland and Labrador
   NM - New Mexico
   NS - Nova Scotia
   NT - Northwest Territories
   NU - Nunavut
   NV - Nevada
   NY - New York
   OH - Ohio
   OK - Oklahoma
   ON - Ontario
   OR - Oregon
   PA - Pennsylvania
   PE - Prince Edward Island
   PR - Puerto Rico
   PW - Republic of Palau
   QC - Quebec
   RI - Rhode Island
   SC - South Carolina
   SD - South Dakota
   SK - Saskatchewan
   TN - Tennessee
   TX - Texas
   UT - Utah
   VA - Virginia
   VI - Virgin Islands
   VT - Vermont
   WA - Washington
   WI - Wisconsin
   WV - West Virginia
   WY - Wyoming
   YT - Yukon
</t>
  </si>
  <si>
    <t>IncomeTaxYear</t>
  </si>
  <si>
    <t>The year that the claimant paid state income taxes.</t>
  </si>
  <si>
    <t>InstantMessageAddress</t>
  </si>
  <si>
    <t>The address to which the applicant may be sent an Instant Message (IM).</t>
  </si>
  <si>
    <t>InstantMessageProviderName</t>
  </si>
  <si>
    <t>The name of the provider of the IM messaging service by which the applicant may be sent an Instant Message (IM).</t>
  </si>
  <si>
    <t>InstructionUsage</t>
  </si>
  <si>
    <t>The use of the language in the context of instruction. Examination - Language of examination Instruction - Language of instruction WrittenExam - Language in which examination is written.</t>
  </si>
  <si>
    <t xml:space="preserve">InstructionUsage
   Examination
   Instruction
   WrittenExam
</t>
  </si>
  <si>
    <t>InterestedInCode</t>
  </si>
  <si>
    <t>Other programs or activities in which the student is interested and about which the applicant would like additional information.</t>
  </si>
  <si>
    <t xml:space="preserve">InterestedInCode
   Art
   AthleticsIntramural
   AthleticsVarsity
   Band
   CadetCorps
   HonorsProgram
   IndependentStudy
   ROTCAirForce
   ROTCArmy
   ROTCGeneral
   ROTCNavyMarine
   SororityFraternityClub
</t>
  </si>
  <si>
    <t>IssueDate</t>
  </si>
  <si>
    <t>The date of issue of the asylee or refugee document that gave the applicant the asylee or refugee status.</t>
  </si>
  <si>
    <t>IssuingCountryCode</t>
  </si>
  <si>
    <t>The SEVIS code for the country that issued the applicant?s passport.</t>
  </si>
  <si>
    <t>JobDescription</t>
  </si>
  <si>
    <t>A description of the work performed.</t>
  </si>
  <si>
    <t>LanguageProficiency</t>
  </si>
  <si>
    <t>The proficiency level of the applicant in this language.</t>
  </si>
  <si>
    <t xml:space="preserve">LanguageProficiency
   Unknown
   Unacceptable
   RedesignatedFluentEnglishProficient
   Poor
   NonEnglishSpeaking
   LimitedEnglishProficiency
   Good
   FullyEnglishProficient
   Fair
   Excellent
   EnglishOnly
</t>
  </si>
  <si>
    <t>LanguageUsage</t>
  </si>
  <si>
    <t>The type of use of this language in which the student claims proficiency.</t>
  </si>
  <si>
    <t xml:space="preserve">LanguageUsage
   Native
   Reading
   Speaking
   SpokenAtHome
   Writing
</t>
  </si>
  <si>
    <t>LastIssueDate</t>
  </si>
  <si>
    <t>The date the claimant was most recently issued a driver?s license in the state.</t>
  </si>
  <si>
    <t>LastResidence</t>
  </si>
  <si>
    <t>Information about the last place of residence of the person claiming residence, immediately prior to the current claimed place of residence.</t>
  </si>
  <si>
    <t>LeadershipCharacteristicCode</t>
  </si>
  <si>
    <t>The characteristic of the leadership position held by the applicant.</t>
  </si>
  <si>
    <t xml:space="preserve">LeadershipCharacteristicCode
   Elected
   NonElected
</t>
  </si>
  <si>
    <t>LeadershipPosition</t>
  </si>
  <si>
    <t>A description of any leadership positions held by the applicant.</t>
  </si>
  <si>
    <t>LegacyAlumniCode</t>
  </si>
  <si>
    <t>An indication that a close family member previously attended the school to which the applicant is applying.</t>
  </si>
  <si>
    <t xml:space="preserve">LegacyAlumniCode
   Child
   Father
   Mother
   Sibling
   Spouse
</t>
  </si>
  <si>
    <t>LegacyGraduateCode</t>
  </si>
  <si>
    <t>An indication that a close family member previously graduated from the school to which the applicant is applying.</t>
  </si>
  <si>
    <t>LegalStatusCode</t>
  </si>
  <si>
    <t>A status code to determine legal status in Canada.</t>
  </si>
  <si>
    <t xml:space="preserve">LegalStatusCode
   NonStatus
   Status
</t>
  </si>
  <si>
    <t>MaritalStatusChangeCode</t>
  </si>
  <si>
    <t>Information related to the change in marital status of the family member of the applicant.</t>
  </si>
  <si>
    <t xml:space="preserve">MaritalStatusChangeCode
   Cohabitation
   Divorced
   DomesticPartnership
   LegallySeparated
   Married
   None
   Other
   Unknown
   Widowed
</t>
  </si>
  <si>
    <t>MaritalStatusCode</t>
  </si>
  <si>
    <t>A code identifying marital status of this family member.</t>
  </si>
  <si>
    <t xml:space="preserve">MaritalStatusCode
   CommonLaw
   Divorced
   LegallySeparated
   Married
   RegisteredPartnership
   Separated
   Single
   Unknown
   Unmarried
   Unreported
   Widowed
</t>
  </si>
  <si>
    <t>MaximumFamilyIncomeAmount</t>
  </si>
  <si>
    <t>The maximum of the range of income for the most recent year available for the applicant?s family.</t>
  </si>
  <si>
    <t>MemberOfIndianTribe</t>
  </si>
  <si>
    <t>Information about an Indian tribe to which the claimant belongs which might qualify the claimant for resident status.</t>
  </si>
  <si>
    <t>MilitaryDutyBeginDate</t>
  </si>
  <si>
    <t>The date the claimant began serving in the branch of the military on active duty.</t>
  </si>
  <si>
    <t>MilitaryDutyBranch</t>
  </si>
  <si>
    <t>The branch of the military in which the claimant is serving on active duty.</t>
  </si>
  <si>
    <t>MilitaryDutyEndDate</t>
  </si>
  <si>
    <t>The date the claimant ceased serving on active duty in this branch of the military.</t>
  </si>
  <si>
    <t>MilitaryDutyLocation</t>
  </si>
  <si>
    <t>The location where the claimant is serving on active duty.</t>
  </si>
  <si>
    <t>MilitaryRelationshipStatusCode</t>
  </si>
  <si>
    <t>This is a code to indicate the relationship of the applicant with the military (specific branch of the Military).</t>
  </si>
  <si>
    <t xml:space="preserve">MilitaryRelationshipStatusCode
   ActiveDutyMilitary
   AirForce
   AirForceNationalGuard
   AirForceReserve
   AirForceROTC
   ArmedForces
   ArmedForcesReserves
   Army
   ArmyReserve
   ArmyROTC
   CoastGuard
   Dependent
   InactiveMember
   MarineCorps
   MarineCorpsReserve
   MarineCorpsROTC
   MerchantMarines
   Navy
   NavyReserve
   NavyROTC
   None
   Other
   ReserveOfficersTrainingProgram
   Unknown
   Veteran
</t>
  </si>
  <si>
    <t>MinimumFamilyIncomeAmount</t>
  </si>
  <si>
    <t>The minimum of the range of income for the most recent year available for the applicant?s family.</t>
  </si>
  <si>
    <t>NameCode</t>
  </si>
  <si>
    <t>A code that indicates the type of name that is being described.</t>
  </si>
  <si>
    <t xml:space="preserve">NameCode
   Casual
   Formal
   Former
   LawSchoolApplicationSource
   Legal
   MedicalSchoolApplicationSource
   Nickname
   Other
</t>
  </si>
  <si>
    <t>NameOnCard</t>
  </si>
  <si>
    <t>The name as shown on the credit or debit card.</t>
  </si>
  <si>
    <t>NonImmigrantVisaAppliedFor</t>
  </si>
  <si>
    <t>The specific visa for which the applicant has applied.</t>
  </si>
  <si>
    <t>NonImmigrantVisaIssueDate</t>
  </si>
  <si>
    <t>The date the applicant?s current visa was issued.</t>
  </si>
  <si>
    <t>NonImmigrantVisaNumber</t>
  </si>
  <si>
    <t>The number assigned by the issuing post for this visa for this international applicant once the application is approved.</t>
  </si>
  <si>
    <t>NonImmigrantVisaType</t>
  </si>
  <si>
    <t>The type of visa currently held by the international applicant.</t>
  </si>
  <si>
    <t xml:space="preserve">NonImmigrantVisaType
   A-1 - Ambassador, Diplomat or Conoff and Immediate Family
   A-2 - Other Foreign Government Official and Immediate Family
   A-3 - Personal Employee of A1/A2 Visa Holder and Immediate Family
   B-1 - Visitor for Business
   B-1/B-2 - Visitor for Business and Pleasure
   B-2 - Visitor for Pleasure
   BBBCC - B-1/B-2/BCC Combination Visa Mexican
   C-1 - Alien in Transit
   C-1D - Alien Crewmember in Transit
   C-2 - Alien in Transit – United Nations
   C-3 - Alien in Transit – Foreign Official and Immediate Family
   C-4 - Transit without visa
   D-- - Crew Member (Ship or Aircraft Crew)
   D-1 - Crewmember departing on same vesselof arrival
   D-2 - Crewmember departing by means other than vessel of arrival
   E-1 - Treaty Trader, Spouse, Children
   E-2 - Treaty Investor, Spouse, Children
   F-1 - Student (full time) for Academic or Language Training
   F-2 - Spouse or Dependent Child of F-1 Visa Holder
   F-3 - Border Commuter Student
   G-1 - Permanent Representative to an International Organization and Immediate Family
   G-2 - Temporary Representative to International Organization and Immediate Family
   G-3 - Representative NonRec/Member Government to International Organization and Immediate Family
   G-4 - Employee of International Organization and Immediate Family
   G-5 - Personal Employee of G-1, G-2, G-3 or G-4 Visa Holder and Immediate Family
   H-1B - Temporary Worker Distinguished Merit (Other than Nurse)
   H-1B1 - Free Trade Agreement NonImmigrant Professionals
   H-1C - Nurses going to work for up to three years in health professional shortage areas
   H-2A - Temporary Agricultural Worker
   H-2B - Non-Agricultural Temporary Worker
   H-3 - Trainee
   H-4 - Spouse or Child of H-1, B-1, C-2, A-2, or B-3 Visa Holder
   I-- - Foreign Information Media and Spouse and Child
   J-1 - Exchange Visitor
   J-2 - Spouse or Dependent Child of J-1
   K-1 - Fiancé or Fiancée of US Citizen
   K-2 - Child of K-1 Visa Holder
   K-3 - Spouse of a US Citizen (LIFE Act)
   K-4 - Child of K-3 Visa Holder (LIFE Act)
   L-1 - Intra-Company Transferee (Executive, Manager)
   L-1A - Executive, managerial
   L-1B - Specialized knowledge
   L-2 - Spouse or Child of L-1 Visa Holder
   M-1 - Student (full time) admitted for educational vocational or technical training
   M-2 - Spouse or Dependent Child of M-1 visa Holder
   M-3 - Border Commuter Vocational Student
   N-8 - Parent of SK3 International Organization Special Immigrant
   N-9 - Child of N-8 or of SK-1, SK-2, or SK-4 Special Immigrant
   NATO-1 - NATO-1
   NATO-2 - NATO-2
   NATO-3 - NATO-3
   NATO-4 - NATO-4
   NATO-5 - NATO-5
   NATO-6 - NATO-6
   NATO-7 - Personal Employee of a NATO-1, NATO-2, NATO-3, NATO-4, NATO-5 or NATO-6 Visa Holder
   O-1 - Alien of Extraordinary Ability
   O-2 - Alien Accompanying O-1 Alien
   O-3 - Spouse or Child of O-1 or O-2 Visa Holder
   P-1 - Athlete or Entertainment Group for Specific Event
   P-2 - Artist – Reciprocal Exchange
   P-3 - Culturally Unique Artist
   P-4 - Spouse or Child of P-1, P-2, or P-3 Visa Holder
   Q-1 - International cultural exchange visitors
   Q-2 - Irish Peace Process Cultural and Training Program (Walsh Visas) from Dublin and Belfast only
   Q-3 - Spouse or child of Q-2 (Dublin or Belfast Only)
   R-1 - Religious workers
   R-2 - Spouse or child of R-1 Visa Holder
   S-5 - Informant of criminal organization information
   S-6 - Informant of terrorism information
   S-7 - Spouse, Son, Daughter or Parent of S-5 or S-6 Visa Holder
   T-1 - Victim of a severe form of trafficking in persons
   T-2 - Spouse of a victim of a severe form of trafficking in persons
   T-3 - Child of a victim of a severe form of trafficking in persons
   T-4 - Parent of a victim of a severe form of trafficking persons (if T-1 victim is under 21 years of age)
   TN- - NAFTA Professional
   TD- - NAFTA Derivative (Spouse or child accompanying TN Visa Holder)
   TWOV - Passenger or crew
   U-1 - Victim of certain criminal activity
   U-2 - Spouse of U-1
   U-3 - Child of U-1
   U-4 - Parent of U-1, if U-1 is under 21 years of age
   V-2 - Child of V-1 (LPR Child Principal – LIFE Act)
   V-3 - The derivative child of a V-1 or V-2 Visa Holder
   TPS - Temporary Protected Status
</t>
  </si>
  <si>
    <t>NSNID</t>
  </si>
  <si>
    <t>Canadian National Student Number.</t>
  </si>
  <si>
    <t>Occupation</t>
  </si>
  <si>
    <t>The name of the occupation of the family member.</t>
  </si>
  <si>
    <t>OkToContact</t>
  </si>
  <si>
    <t>An indication that the person has given permission to be contacted for the reference.</t>
  </si>
  <si>
    <t>OPTStatusCode</t>
  </si>
  <si>
    <t>The code used by SEVIS to identify the current status of the Optional Practical Training.</t>
  </si>
  <si>
    <t>OPTTrainingLevelCode</t>
  </si>
  <si>
    <t>This is the level of training approved for this OPT.</t>
  </si>
  <si>
    <t>OtherCollegeLocation</t>
  </si>
  <si>
    <t>Information about the location of the college to which the applicant has applied, or intends to apply.</t>
  </si>
  <si>
    <t>OtherCollegeName</t>
  </si>
  <si>
    <t>The name of the other college to which the applicant has applied, or intends to apply.</t>
  </si>
  <si>
    <t>OtherCollegeState</t>
  </si>
  <si>
    <t>The state or province in which the other college to which the student has applied, or intends to apply, is located.</t>
  </si>
  <si>
    <t>OwnerName</t>
  </si>
  <si>
    <t>The name of the owner (or lessee) of the vehicle that was registered.</t>
  </si>
  <si>
    <t>ParentsMaritalStatusCode</t>
  </si>
  <si>
    <t>Information about the marital status of the applicant?s family.</t>
  </si>
  <si>
    <t xml:space="preserve">ParentsMaritalStatusCode
   CommonLaw
   Divorced
   LegallySeparated
   Married
   NeverMarried
   RegisteredDomesticPartners
   Separated
   Single
   Unknown
   Unmarried
   Unreported
   Widowed
</t>
  </si>
  <si>
    <t>PassportInformationAvailableCode</t>
  </si>
  <si>
    <t>Information provided if the detailed information about the applicant?s passport is not available.</t>
  </si>
  <si>
    <t xml:space="preserve">PassportInformationAvailableCode
   InformationNotAvailable
   NotYetIssued
</t>
  </si>
  <si>
    <t>PassportNumber</t>
  </si>
  <si>
    <t>The number assigned by the issuing country.</t>
  </si>
  <si>
    <t>PaymentMethodCode</t>
  </si>
  <si>
    <t>The method of payment or waiver being used to satisfy the assessment of the application fee.</t>
  </si>
  <si>
    <t xml:space="preserve">PaymentMethodCode
   BankWire
   Cash
   Check
   CreditCard
   DebitCard
   FeeWaiver
   GuaranteedFunds
   MoneyOrder
   Other
   OtherAgency
</t>
  </si>
  <si>
    <t>PlannedEnrollmentStatus</t>
  </si>
  <si>
    <t>The anticipated enrollment level of the applicant.</t>
  </si>
  <si>
    <t>PlanToApplyForCode</t>
  </si>
  <si>
    <t>Specific programs or aid for which the applicant is applying.</t>
  </si>
  <si>
    <t xml:space="preserve">PlanToApplyForCode
   CampusEmployment
   CoOp
   Fellowship
   FinancialAid
   HonorsProgram
   Housing
   Internship
   NationalStudentExchange
   ResearchAssistantship
   Scholarship
   StudyAbroad
   TeachingAssistantship
</t>
  </si>
  <si>
    <t>Title of this employment position.</t>
  </si>
  <si>
    <t>PostsecondarySchoolCategory</t>
  </si>
  <si>
    <t>The type of postsecondary school and the control for the school.</t>
  </si>
  <si>
    <t xml:space="preserve">PostsecondarySchoolCategory
   PrivateFourYear
   PrivateGraduateProfessional
   PrivateTwoYear
   PublicFourYear
   PublicGraduateProfessional
   PublicTwoYear
</t>
  </si>
  <si>
    <t>PrivacyRestrictionDate</t>
  </si>
  <si>
    <t>The date upon which the requested restriction to the allowable release of FERPA directory information takes effect after the applicant has become a student.</t>
  </si>
  <si>
    <t>PrivacyRestrictionLevel</t>
  </si>
  <si>
    <t>The type of restriction placed on the release of information. 00 No restrictions have been placed on the release of information 01 Student has requested that no directory information be released without prior consent 02 Student has requested nonrelease of specific information items 03 Student has requested nonrelease of information in specific formats (book, electronic, etc.) 04 Student has requested nonrelease of information to specific people, entities 99 Other (to be specified in the NoteMessage).</t>
  </si>
  <si>
    <t xml:space="preserve">PrivacyRestrictionLevel
   00 - No restrictions have been placed on the release of information
   01 - Student has requested that no directory information be released without prior consent
   02 - Student has requested nonrelease of specific information items
   03 - Student has requested nonrelease of information in specific formats (book, electronic, etc.)
   04 - Student has requested nonrelease of information to specific people, entities
   99 - Other (to be specified in the NoteMessage).
</t>
  </si>
  <si>
    <t>ProgramLocalCode</t>
  </si>
  <si>
    <t>Code indicating a the specific program (with options, if any) that the student selects from a list of available programs.</t>
  </si>
  <si>
    <t>ProgramSecondarySchoolCode</t>
  </si>
  <si>
    <t>Code indicating a discipline or field of study pursued by a secondary school student.</t>
  </si>
  <si>
    <t xml:space="preserve">ProgramSecondarySchoolCode
   CareerPrep
   CollegePrep
   CollegePrepOrCollegeTechhPrep
   CollegeTechPrep
   General
   Occupational
   Vocational
</t>
  </si>
  <si>
    <t>PropertyCounty</t>
  </si>
  <si>
    <t>The county in which the real property owned by the claimant is located.</t>
  </si>
  <si>
    <t>PropertyPurchaseDate</t>
  </si>
  <si>
    <t>The date that the claimant purchased real property in the state.</t>
  </si>
  <si>
    <t>PropertyState</t>
  </si>
  <si>
    <t>The state in which the real property owned by the claimant is located.</t>
  </si>
  <si>
    <t>PSIS</t>
  </si>
  <si>
    <t>The unique identifier assigned by the Statistics Canada Postsecondary Student Information System for each data postsecondary exchange partner.</t>
  </si>
  <si>
    <t>PSS</t>
  </si>
  <si>
    <t>The unique identifier assigned by National Center for Education Statistics for private secondary schools in the US.</t>
  </si>
  <si>
    <t>PublicAssistanceCity</t>
  </si>
  <si>
    <t>The city in which the claimant receives public financial assistance.</t>
  </si>
  <si>
    <t>PublicAssistanceCounty</t>
  </si>
  <si>
    <t>The county in which the claimant receives public financial assistance.</t>
  </si>
  <si>
    <t>PublicAssistanceDistrict</t>
  </si>
  <si>
    <t>The district in which the claimant receives public financial assistance.</t>
  </si>
  <si>
    <t>PublicAssistanceState</t>
  </si>
  <si>
    <t>The state or province in which the claimant receives public financial assistance.</t>
  </si>
  <si>
    <t>QuestionAreaCode</t>
  </si>
  <si>
    <t>This would identify the subject area of the question.</t>
  </si>
  <si>
    <t xml:space="preserve">QuestionAreaCode
   AcademicRecord
   Admissions
   Biographical
   Education
   Employment
   Essay
   ExtraCurricularActivities
   Family
   FinancialAid
   General
   Health
   HonorsAwards
   Housing
   Immigration
   Other
   Personal
   References
   Residency
   Scholarship
   Tests
</t>
  </si>
  <si>
    <t>QuestionFormatCode</t>
  </si>
  <si>
    <t>This would indicate the format of the question asked.</t>
  </si>
  <si>
    <t xml:space="preserve">QuestionFormatCode
   CheckBox
   DropDownMenu
   NoInput
   OneLineText
   RadioButton
   TextArea
</t>
  </si>
  <si>
    <t>QuestionID</t>
  </si>
  <si>
    <t>An identifier that distinguishes this question from all other questions that might be asked.</t>
  </si>
  <si>
    <t>QuestionRequiredCode</t>
  </si>
  <si>
    <t>This would indicate whether or not this was a question that the applicant was required to answer.</t>
  </si>
  <si>
    <t xml:space="preserve">QuestionRequiredCode
   Optional
   Required
</t>
  </si>
  <si>
    <t>QuestionText</t>
  </si>
  <si>
    <t>QuestionTitle</t>
  </si>
  <si>
    <t>A short title of the specific question asked of the applicant.</t>
  </si>
  <si>
    <t>RAPCode</t>
  </si>
  <si>
    <t>Attribute demonstrated or earned.</t>
  </si>
  <si>
    <t>RAPName</t>
  </si>
  <si>
    <t>Literal name of attribute.</t>
  </si>
  <si>
    <t>RAPSubName</t>
  </si>
  <si>
    <t>Literal name of subsection of attribute.</t>
  </si>
  <si>
    <t>RefereePositionInOrganization</t>
  </si>
  <si>
    <t>The position in the organization of the person who is expected to provide a reference for the applicant.</t>
  </si>
  <si>
    <t>ReligiousAffiliationCode</t>
  </si>
  <si>
    <t>This is the primary religious affiliation declared by the applicant.</t>
  </si>
  <si>
    <t xml:space="preserve">ReligiousAffiliationCode
   Agnostic
   Anglican
   ApostolicChristian
   AssembliesOfGod
   Atheist
   BahaiFaith
   Baptist
   BaptistConservative
   BaptistOther
   BaptistSouthern
   Buddhist
   Catholic
   CatholicGreek
   CatholicOther
   CatholicRoman
   Christian
   ChristianBrethren
   ChristianOther
   ChristianReformed
   ChristianScience
   ChurchOfChrist
   ChurchOfGod
   ChurchOfTheNazarene
   Congregational
   Coptic
   CrusadeForChristCampus
   DisciplesOfChrist
   EasternChristianOrthodox
   Episcopal
   Evangelist
   FirstChristian
   GraceReformed
   GreatCommission
   Hindu
   Interdenominational
   IntervarsityChristianFellowship
   Jain
   JehovahsWitnesses
   Jewish
   JewishConservative
   JewishOrthodox
   JewishOther
   JewishReform
   LatterDaySaintMormon
   LutheranMissouriSynod
   LutheranNationalConference
   LutheranUnspecified
   LutheranWisconsin
   Mennonite
   Methodist
   MethodistAfricanEpiscopal
   Muslim
   Navigators
   None
   NotFoundSeeNoteMessage
   OtherNonChristian
   OtherReligion
   Pentecostal
   PlymouthBrethren
   Presbyterian
   PresbyterianReformed
   Protestant
   ProtestantOther
   ReorganizedLatterDaySaint
   SeventhDayAdventist
   Sikh
   SocietyOfFriends
   TrinityChurch
   Unification
   UnifiedFamily
   UnitarianUniversalists
   UnitedChurch
   Wesleyan
   WorldWideDiscipleship
</t>
  </si>
  <si>
    <t>ResidencyEstablishedDate</t>
  </si>
  <si>
    <t>The date on which the applicant or other claimant became a resident of the state, province, or county.</t>
  </si>
  <si>
    <t>ResidencyStatusCode</t>
  </si>
  <si>
    <t>The declaration made by the claimant as to his or her permanent residency.</t>
  </si>
  <si>
    <t xml:space="preserve">ResidencyStatusCode
   InCity
   InCounty
   InDistrict
   InState
   NonResident
   NotReported
   OtherResident
   Resident
</t>
  </si>
  <si>
    <t>SchoolAppliedEmployedCode</t>
  </si>
  <si>
    <t>An indication of current or previous employment at the school to which the applicant is applying, by the applicant or a family member.</t>
  </si>
  <si>
    <t xml:space="preserve">SchoolAppliedEmployedCode
   Applicant
   FamilyMember
   Father
   Mother
</t>
  </si>
  <si>
    <t>SchoolBeganYear</t>
  </si>
  <si>
    <t>The year the family member began attending the school to which the applicant is applying.</t>
  </si>
  <si>
    <t>ccyy</t>
  </si>
  <si>
    <t>SchoolEndedYear</t>
  </si>
  <si>
    <t>The year the family member stopped attending the school to which the applicant is applying.</t>
  </si>
  <si>
    <t>SchoolName</t>
  </si>
  <si>
    <t>The name of the school the family member attended.</t>
  </si>
  <si>
    <t>SchoolOverrideCode</t>
  </si>
  <si>
    <t>Information about why the student took courses at this school.</t>
  </si>
  <si>
    <t xml:space="preserve">SchoolOverrideCode
   Coop
   Institutional
   Internship
   MultiCampus
   Reciprocal
   StudyAbroad
   Transfer
</t>
  </si>
  <si>
    <t>ScoreInvalidatedIndicator</t>
  </si>
  <si>
    <t>Indicates if the score has been invalidated. If true, score previously reported for this test and test date is not valid.</t>
  </si>
  <si>
    <t>ScoreRevisedIndicator</t>
  </si>
  <si>
    <t>Indicates if the score report has been revised. If true, score may differ from score previously reported for this test and test date.</t>
  </si>
  <si>
    <t>ScoreSelfreportedIndicator</t>
  </si>
  <si>
    <t>Indicates if the score has been self- reported by the student.</t>
  </si>
  <si>
    <t>SecondarySchoolCategoryCode</t>
  </si>
  <si>
    <t>The type of secondary school and the type of control for the school.</t>
  </si>
  <si>
    <t xml:space="preserve">SecondarySchoolCategoryCode
   Charter
   HomeSchool
   Independent
   Parochial
   Private
   Public
</t>
  </si>
  <si>
    <t>SelectiveServiceIndicator</t>
  </si>
  <si>
    <t>This is used to indicate if the applicant is required to register in the US for the draft. If so, use True.</t>
  </si>
  <si>
    <t>SelectiveServiceNumber</t>
  </si>
  <si>
    <t>This is the Selective Service Number issued by the US government.</t>
  </si>
  <si>
    <t>SponsorCode</t>
  </si>
  <si>
    <t>The type of sponsor being described.</t>
  </si>
  <si>
    <t xml:space="preserve">SponsorCode
   ForeignCompany
   ForeignGovernment
   Institution
   Organization
   Other
   Parent
   Relative
   Self
   Spouse
   Unknown
   USCompany
   USGovernment
</t>
  </si>
  <si>
    <t>SponsorName</t>
  </si>
  <si>
    <t>The sponsoring organization that made the award.</t>
  </si>
  <si>
    <t>StartingYearMonth</t>
  </si>
  <si>
    <t>The starting date when funding from this source is anticipated.</t>
  </si>
  <si>
    <t>StateIdentificationNumber</t>
  </si>
  <si>
    <t>The number assigned by the issuing state or province to the claimant for identification purposes.</t>
  </si>
  <si>
    <t>StateProvinceEmployedCode</t>
  </si>
  <si>
    <t>An indication of current or previous employment by the applicant or a family member in the state or province ,where the school to which the applicant is applying, is located,.</t>
  </si>
  <si>
    <t>StudentReleaseCode</t>
  </si>
  <si>
    <t>Type of certification made by the applicant about the application being submitted and permission given by the student to obtain or release information about the applicant.</t>
  </si>
  <si>
    <t xml:space="preserve">StudentReleaseCode
   AllValuesIncluded - Have you listed all previous schools in which you were ever enrolled? 
   AllTrue - Is all the information you have provided on this application both accurate and complete? 
   HonorCode - If admitted as a student to this school, do you agree to abide by all the rules of the school’s Honor Code? 
   ObtainTestScores - Do you agree to allow the school to request test scores from all the national testing agencies? 
   ObtainTranscripts - Do you agree to allow the school to request transcripts from all schools in which you previously enrolled? 
   ReleaseTestScores - Do you give this school permission to release test scores when requested by other accredited colleges? 
   ReleaseTranscripts - Do you give this school permission to release your academic record (transcript) when requested from other accredited schools to which you may later apply?
</t>
  </si>
  <si>
    <t>SupplementalGradeCode</t>
  </si>
  <si>
    <t>The type of component grade that is being included for an education course.</t>
  </si>
  <si>
    <t xml:space="preserve">SupplementalGradeCode
   BiCourseGrade
   BlendedFinalGrade
   ExamGrade
   InstructorAssignedGrade
   SubSessionGrade
   TriCourseGrade
</t>
  </si>
  <si>
    <t>TextMessageAddress</t>
  </si>
  <si>
    <t>The address to which a text message may be sent to the applicant.</t>
  </si>
  <si>
    <t>TreatyCode</t>
  </si>
  <si>
    <t>The applicant?s declaration of determination of treaty status.</t>
  </si>
  <si>
    <t xml:space="preserve">TreatyCode
   NonTreaty
   Treaty
</t>
  </si>
  <si>
    <t>VehicleRegistrationNumber</t>
  </si>
  <si>
    <t>The vehicle registration number assigned to the claimant for the vehicle registered.</t>
  </si>
  <si>
    <t>VisaControlNumber</t>
  </si>
  <si>
    <t>The number assigned by the issuing post for this visa application during the processing for this international applicant.</t>
  </si>
  <si>
    <t>VisaExpirationDate</t>
  </si>
  <si>
    <t>The date the applicant?s current visa will expire.</t>
  </si>
  <si>
    <t>VisaIssuingPostCode</t>
  </si>
  <si>
    <t>The SEVIS code for the country that issued the international applicant?s visa.</t>
  </si>
  <si>
    <t>VisaReasonForUSBornCode</t>
  </si>
  <si>
    <t>The reason that the international applicant holds a visa from another country if the applicant was born in the US.</t>
  </si>
  <si>
    <t xml:space="preserve">VisaReasonForUSBornCode
   BornInUSToForeignDiplomat
   Expatriated
</t>
  </si>
  <si>
    <t>VoterRegistrationDistrict</t>
  </si>
  <si>
    <t>The district (or precinct, or ward, etc.) in which the claimant is registered to vote.</t>
  </si>
  <si>
    <t>VoterRegistrationNumber</t>
  </si>
  <si>
    <t>The voter registration number assigned to the claimant.</t>
  </si>
  <si>
    <t>WeeklyHours</t>
  </si>
  <si>
    <t>The average number of hours that the applicant spent in this activity per week.</t>
  </si>
  <si>
    <t>YearlyWeeks</t>
  </si>
  <si>
    <t>The average number of weeks that the applicant spent in this activity per year.</t>
  </si>
  <si>
    <t>Years</t>
  </si>
  <si>
    <t>The number of years that the applicant spent in this activity.</t>
  </si>
  <si>
    <t>SIF</t>
  </si>
  <si>
    <t>assessmentAssetType/assetGradeLevelList/assetGradeLevel</t>
  </si>
  <si>
    <t>Year group or Grade Level (US).</t>
  </si>
  <si>
    <t>gYearGroupType</t>
  </si>
  <si>
    <t>assessmentAssetType/assetSubjectList/assetSubject</t>
  </si>
  <si>
    <t>gSubjectAreaType</t>
  </si>
  <si>
    <t>assessmentFormType/formIdentifierList/formIdentifier</t>
  </si>
  <si>
    <t>gLocalIdType</t>
  </si>
  <si>
    <t>assessmentFormType/gradeLevelList/gradeLevel</t>
  </si>
  <si>
    <t>assessmentFormType/level</t>
  </si>
  <si>
    <t>Indicates the level of the form.</t>
  </si>
  <si>
    <t>xs:token</t>
  </si>
  <si>
    <t>assessmentItemAssociationType/associationType</t>
  </si>
  <si>
    <t>Indicates the type of the association. For example: enemy - Indicates that the two items are enemies and should not appear on the same test together; derivative - Indicates that the first item was derived from the associated item (such as language translation).</t>
  </si>
  <si>
    <t>assessmentItemType/assessmentItemPlatformList/assessmentItemPlatform</t>
  </si>
  <si>
    <t>The specific delivery platform that this item will support.</t>
  </si>
  <si>
    <t>assessmentItemType/itemFeedbackHint</t>
  </si>
  <si>
    <t>A hint is provided to the test taker during testing, either on request or upon an incorrect response as determined by the test design.</t>
  </si>
  <si>
    <t>xs:string</t>
  </si>
  <si>
    <t>assessmentItemType/itemPublishDate</t>
  </si>
  <si>
    <t>The date that this version of the item was published (published means made available for use). If the ItemVersion is provided, then this date should also be provided.</t>
  </si>
  <si>
    <t>xs:date</t>
  </si>
  <si>
    <t>assessmentItemType/itemVersion</t>
  </si>
  <si>
    <t>This will identify the version of the item that this object represents. New versions of the item will generate new RefIds and therefore new instances of the object. The format of the version number is defined by the assessment provider.</t>
  </si>
  <si>
    <t>assessmentRegistrationType/assessmentGradeLevel</t>
  </si>
  <si>
    <t>The grade or level at which the student is to be tested. This element should be omitted unless the student is being tested out-of-level.</t>
  </si>
  <si>
    <t>assessmentRegistrationType/assessmentPlatform</t>
  </si>
  <si>
    <t>Indicates if the registration is for a specific assessment delivery platform. Should be updated post-test with the actual platform used.</t>
  </si>
  <si>
    <t>assessmentRegistrationType/assessmentStudentSnapshot/age</t>
  </si>
  <si>
    <t>The age (in years) of the student on the date of the registration.</t>
  </si>
  <si>
    <t>xs:unsignedShort</t>
  </si>
  <si>
    <t>assessmentRegistrationType/assessmentStudentSnapshot/ell</t>
  </si>
  <si>
    <t>gYesNoUnknownType</t>
  </si>
  <si>
    <t>assessmentRegistrationType/assessmentStudentSnapshot/projectedGraduationYear</t>
  </si>
  <si>
    <t>Currently projected graduation year.</t>
  </si>
  <si>
    <t>gPartialDateType</t>
  </si>
  <si>
    <t>assessmentRegistrationType/studentSpecialEventList/studentSpecialEvent/@eventType</t>
  </si>
  <si>
    <t>A code indicating the type of special event. Code values are determined by the assessment program..</t>
  </si>
  <si>
    <t>assessmentResponseSetType/itemList/item/commentList/comment/commentCode</t>
  </si>
  <si>
    <t>For each comment provided, this will identify the specific code for the comment. These codes will be program specific (no standardized values).</t>
  </si>
  <si>
    <t>assessmentResponseSetType/itemList/item/commentList/comment/commentDescription</t>
  </si>
  <si>
    <t>Allows for the description of the comment code to be provided by the scoring system.</t>
  </si>
  <si>
    <t>assessmentResponseSetType/itemList/item/feedbackItemList/feedbackItem/feedbackCode</t>
  </si>
  <si>
    <t>If there is a coding system associated with the feedback concerning the score, then this will identify that code. The format and content of the code is determined by the assessment program.</t>
  </si>
  <si>
    <t>assessmentResponseSetType/itemList/item/feedbackItemList/feedbackItem/feedbackSource</t>
  </si>
  <si>
    <t>This indicates the source for this feedback. May indicate if this is teacher, scorer, or system generated feedback. Values for this attribute would be determined by the assessment program.</t>
  </si>
  <si>
    <t>assessmentResponseSetType/itemList/item/itemScoreCode</t>
  </si>
  <si>
    <t>This is the score code the student received for the specific item. Generally only applies to open ended items. Values are program specific, but example values might be 'BL = blank', 'OT = off topic', 'FL = foreign language'.</t>
  </si>
  <si>
    <t>assessmentResponseSetType/itemList/item/numberOfAttempts</t>
  </si>
  <si>
    <t>The number of times a student changes their answer or attempts a response. For online tests, this would represent each time an item was changed after the original (complete) response was provided and the student navigated away from the item. For paper-bas</t>
  </si>
  <si>
    <t>assessmentResponseSetType/itemList/item/responseLocation</t>
  </si>
  <si>
    <t>An optional element that contains a URL pointing to the location of the response or additional response.</t>
  </si>
  <si>
    <t>xs:anyURI</t>
  </si>
  <si>
    <t>assessmentResponseSetType/itemList/item/traitScoreList/traitScore/traitScoreCode</t>
  </si>
  <si>
    <t>If there is a code associated with the trait score, then this will allow for identifying the code.</t>
  </si>
  <si>
    <t>assessmentResponseSetType/itemList/item/traitScoreList/traitScore/traitScoreType</t>
  </si>
  <si>
    <t>If trait scores are provided, then this identifies the specific trait score that is provided. This value will be program specific (i.e. no standardized list of values available).</t>
  </si>
  <si>
    <t>assessmentResponseSetType/itemList/item/traitScoreList/traitScore/traitScoreValue</t>
  </si>
  <si>
    <t>This will be the numeric trait score value.</t>
  </si>
  <si>
    <t>xs:decimal</t>
  </si>
  <si>
    <t>assessmentRubricType/rubricPublishDate</t>
  </si>
  <si>
    <t>Identifies the date that this version of the Rubric was published (published means made available for use). If a RubricVersion is provided, then this element should also be provided.</t>
  </si>
  <si>
    <t>assessmentRubricType/rubricVersion</t>
  </si>
  <si>
    <t>Identifies the version of the Rubric that this object represents. Note that new versions of the Rubric must generate new RefIds and therefore a new Rubric object. The format of the numbering system is determined by the assessment provider.</t>
  </si>
  <si>
    <t>assessmentRubricType/scoreList/score/scoreCode</t>
  </si>
  <si>
    <t>Non-numeric score code value. Examples might be: 'BL' = blank 'OT' = off-topic The values for this field are determined by the assessment program.</t>
  </si>
  <si>
    <t>assessmentRubricType/scoreList/score/scoreCodeDefinition</t>
  </si>
  <si>
    <t>This provides the definition of the score code or value. For example, if the score code is OT, then this can provide the definition of 'Off Topic'.</t>
  </si>
  <si>
    <t>assessmentRubricType/scoreList/score/scoreCommentList/scoreComment/comment</t>
  </si>
  <si>
    <t>A description of the comment code. This can be used to provide additional feedback to the student for the score they received.</t>
  </si>
  <si>
    <t>assessmentRubricType/scoreList/score/scoreCommentList/scoreComment/commentCode</t>
  </si>
  <si>
    <t>This is the comment code that is likely entered or selected by the scorer and is provided in data files or reports.</t>
  </si>
  <si>
    <t>assessmentScoreSetType/feedbackItemList/feedbackItem/feedbackSource</t>
  </si>
  <si>
    <t>assessmentScoreSetType/scoreList/score/numberOfResponses</t>
  </si>
  <si>
    <t>This is the number of responses that are included with the StudentScoreSet. Responses are those items that were attempted (partially or fully answered) by the student and not necessarily the number of items in the sub test (which can be determined from th</t>
  </si>
  <si>
    <t>assessmentScoreSetType/scoreList/score/passFailIndicator</t>
  </si>
  <si>
    <t>If the score value also determines a pass/fail level, then this indicator will specify the value.</t>
  </si>
  <si>
    <t>assessmentScoreTableType/scoreTablePublishDate</t>
  </si>
  <si>
    <t>The date that this version of the score table was published (published means made available for use). If a ScoreTableVersion is provided, then this element should also be provided.</t>
  </si>
  <si>
    <t>xs:dateTime</t>
  </si>
  <si>
    <t>assessmentScoreTableType/scoreTableVersion</t>
  </si>
  <si>
    <t>The version of the score table that this object represents. Note that new versions of score tables must generate new RefIds and therefore a new score table object. The format of the numbering system is determined by the assessment provider.</t>
  </si>
  <si>
    <t>assessmentScoreTableType/scoreValueList/scoreValue/feedbackList/feedback/description</t>
  </si>
  <si>
    <t>A brief additional information concerning the derived score can be provided here.</t>
  </si>
  <si>
    <t>assessmentScoreTableType/scoreValueList/scoreValue/feedbackList/feedback/source</t>
  </si>
  <si>
    <t>Indicates the source of this feedback. Values will be determined by the assessment program.</t>
  </si>
  <si>
    <t>assessmentScoreTableType/scoreValueList/scoreValue/passFailIndicator</t>
  </si>
  <si>
    <t>If Pass/Fail indicators are used, then this will indicate if this derived score value represents a Passing or Failing level.</t>
  </si>
  <si>
    <t>assessmentSectionType/itemSelectionAlgorithm</t>
  </si>
  <si>
    <t>If this section is a Random or an Adaptive section, then this will specify the location of the Algorithm.</t>
  </si>
  <si>
    <t>assessmentSectionType/itemSelectionAlgorithmName</t>
  </si>
  <si>
    <t>If the section is a Random or an Adaptive section, then this will identify the name of the algorithm used to select items.</t>
  </si>
  <si>
    <t>assessmentSectionType/sectionItemList/sectionItem/itemSequence</t>
  </si>
  <si>
    <t>If the section is a sequential section, then this will specify the sequence that this item will appear within the section. Should start at 1 and increment by 1.</t>
  </si>
  <si>
    <t>assessmentSessionType/sessionName</t>
  </si>
  <si>
    <t>Name of the Administration Session.</t>
  </si>
  <si>
    <t>xs:normalizedString</t>
  </si>
  <si>
    <t>assessmentSubTestType/numberOfItems</t>
  </si>
  <si>
    <t>This element records the number of items included on the assessment. This number may be different than the possible score.</t>
  </si>
  <si>
    <t>xs:int</t>
  </si>
  <si>
    <t>assessmentSubTestType/subTestGradeLevelList/subTestGradeLevel</t>
  </si>
  <si>
    <t>courseType/courseFrequency</t>
  </si>
  <si>
    <t>An indication of how often the course is offered, e.g., term, 1 year, 2 years, 3 years.</t>
  </si>
  <si>
    <t>disciplineIncidentType/incidentActionList/incidentAction/arrest</t>
  </si>
  <si>
    <t>Identifies whether there were any arrests.</t>
  </si>
  <si>
    <t>disciplineIncidentType/incidentLocationId</t>
  </si>
  <si>
    <t>The locally-defined identifier or description of the location where the incident occurred.</t>
  </si>
  <si>
    <t>disciplineIncidentType/offenderList/offender/actionList/action/alternativeEducation</t>
  </si>
  <si>
    <t>Identifies whether or not the offender was assigned to an Alternative Education facility.</t>
  </si>
  <si>
    <t>disciplineIncidentType/offenderList/offender/actionList/action/arrest</t>
  </si>
  <si>
    <t>Identifies whether or not the offender was arrested.</t>
  </si>
  <si>
    <t>disciplineIncidentType/offenderList/offender/manifestationDetermination/meetingDate</t>
  </si>
  <si>
    <t>Date of the manifestation determination meeting, if applicable.</t>
  </si>
  <si>
    <t>disciplineIncidentType/offenderList/offender/manifestationDetermination/meetingHeld</t>
  </si>
  <si>
    <t>Was a manifestation determination meeting held for this student regarding this offense?</t>
  </si>
  <si>
    <t>disciplineIncidentType/offenderList/offender/manifestationDetermination/meetingOutcome</t>
  </si>
  <si>
    <t>Text description of the outcome of the meeting: for example, hearing completed, pending, or refused by student's parents.</t>
  </si>
  <si>
    <t>disciplineIncidentType/reportingAgency/agencyName</t>
  </si>
  <si>
    <t>gAddressType/subregion</t>
  </si>
  <si>
    <t>A second-order subdivision of the country, e.g. county, shire.</t>
  </si>
  <si>
    <t>gBaseNameType/familyNameFirst</t>
  </si>
  <si>
    <t>gBaseNameType/fullName</t>
  </si>
  <si>
    <t>gBaseNameType/preferredFamilyName</t>
  </si>
  <si>
    <t>gBaseNameType/preferredFamilyNameFirst</t>
  </si>
  <si>
    <t>gBaseNameType/preferredGivenName</t>
  </si>
  <si>
    <t>gBaseNameType/sortName</t>
  </si>
  <si>
    <t>The name to be used for sorting in lists of names</t>
  </si>
  <si>
    <t>gBellPeriodType/regularSchoolPeriod</t>
  </si>
  <si>
    <t>gBellPeriodType/timetablePeriodIdentifier</t>
  </si>
  <si>
    <t>gContactPersonAssociationType/contactSequenceSource</t>
  </si>
  <si>
    <t>The source used to determine the contact sequence or priority, e.g., court order, transportation system, etc.</t>
  </si>
  <si>
    <t>gContactPersonType/employerType</t>
  </si>
  <si>
    <t>gLaxCodedElementType</t>
  </si>
  <si>
    <t>gContactPersonType/positionTitle</t>
  </si>
  <si>
    <t>gContactPersonType/publishIndicator</t>
  </si>
  <si>
    <t>Indicates if the contact information can be published in directories and other lists</t>
  </si>
  <si>
    <t>gContactPersonType/role</t>
  </si>
  <si>
    <t>gCourseType/yearOffered</t>
  </si>
  <si>
    <t>xs:gYear</t>
  </si>
  <si>
    <t>gDemographicsType/countryArrivalDate</t>
  </si>
  <si>
    <t>gDemographicsType/countryOfCitizenshipList/countryOfCitizenship</t>
  </si>
  <si>
    <t>gCountryType</t>
  </si>
  <si>
    <t>gDemographicsType/countryOfResidency</t>
  </si>
  <si>
    <t>gDemographicsType/dwellingArrangement</t>
  </si>
  <si>
    <t>Setting/environment in which the person resides.</t>
  </si>
  <si>
    <t>gDwellingArrangementType</t>
  </si>
  <si>
    <t>gDemographicsType/languageProficiency</t>
  </si>
  <si>
    <t>The persons proficiency in the primary language of education in the school. In the existing SIF locales, the language is English.</t>
  </si>
  <si>
    <t>gLanguageProficiencyType</t>
  </si>
  <si>
    <t>gDemographicsType/maritalStatus</t>
  </si>
  <si>
    <t>The persons marital status.</t>
  </si>
  <si>
    <t>gMaritalStatusType</t>
  </si>
  <si>
    <t>gDemographicsType/subregionOfBirth</t>
  </si>
  <si>
    <t>gEducationGroupingType/localId</t>
  </si>
  <si>
    <t>The locally assigned identifier associated with an entity. This is in contrast to the external identifier.</t>
  </si>
  <si>
    <t>gEventCollectionType/duration</t>
  </si>
  <si>
    <t>This element can be used when startDate and/or endDate are not present. The duration of the event using the form of xs:duration.</t>
  </si>
  <si>
    <t>xs:duration</t>
  </si>
  <si>
    <t>gEventCollectionType/endDate</t>
  </si>
  <si>
    <t>The last calendar date, whether or not instruction was provided. EndDate must be the last chronological instance of SchoolCalendarItem for the school's calendar.</t>
  </si>
  <si>
    <t>gEventCollectionType/startDate</t>
  </si>
  <si>
    <t>The first calendar date, whether or not instruction was provided. If both SchoolCalendar and SchoolCalendar Item objects are supported, StartDate must be the date of the first chronological instance of SchoolCalendar Item for the school's calendar.</t>
  </si>
  <si>
    <t>gIntervalEventType/duration</t>
  </si>
  <si>
    <t>The length of the term in days, months, etc.</t>
  </si>
  <si>
    <t>gIntervalEventType/endDate</t>
  </si>
  <si>
    <t>gIntervalEventType/startDate</t>
  </si>
  <si>
    <t>gLanguageDescriptionType/dialect</t>
  </si>
  <si>
    <t>gLearningStandardDocumentType/authorList/author</t>
  </si>
  <si>
    <t>gLearningStandardDocumentType/copyrightDate</t>
  </si>
  <si>
    <t>gLearningStandardDocumentType/localAdoptionDate</t>
  </si>
  <si>
    <t>gLearningStandardDocumentType/localArchiveDate</t>
  </si>
  <si>
    <t>gLearningStandardDocumentType/organizationContactPoint</t>
  </si>
  <si>
    <t>gLearningStandardDocumentType/organizationList/organization</t>
  </si>
  <si>
    <t>Name of organization represented by the document, i.e., "National Council of Teachers of Mathematics (NCTM)," "ACARA"," NSW DET".</t>
  </si>
  <si>
    <t>gLearningStandardDocumentType/source</t>
  </si>
  <si>
    <t>gLearningStandardsOrganizationType</t>
  </si>
  <si>
    <t>gLearningStandardItemType/alternativeIdCodeList</t>
  </si>
  <si>
    <t>gLearningStandardItemType/description</t>
  </si>
  <si>
    <t>gLearningStandardItemType/organizationList/organization</t>
  </si>
  <si>
    <t>Name of the organization</t>
  </si>
  <si>
    <t>gLearningStandardItemType/standardHierarchyLevelDescription</t>
  </si>
  <si>
    <t>gLearningStandardItemType/standardHierarchyLevelNumber</t>
  </si>
  <si>
    <t>gLearningStandardItemType/subjectAreaList/subjectArea</t>
  </si>
  <si>
    <t>gLEAType/electoralDistrict</t>
  </si>
  <si>
    <t>The electoral district.</t>
  </si>
  <si>
    <t>gElectoralDistrictType</t>
  </si>
  <si>
    <t>gMedicalAlertMessageType/@severity</t>
  </si>
  <si>
    <t>The level of severity of this medical alert.</t>
  </si>
  <si>
    <t>gMedicalAlertMessageSeverityType</t>
  </si>
  <si>
    <t>gNameOfRecordType/@nameRole</t>
  </si>
  <si>
    <t>Code that specifies what type of name this is. The type has a different codeset for different Locales, which is not represented at the global tier by a fixed codeset.</t>
  </si>
  <si>
    <t>gNameRoleType</t>
  </si>
  <si>
    <t>gOrganizationOrganizationAssociationType/childOrganizationRole</t>
  </si>
  <si>
    <t>The role of the child organization with respect to this association.</t>
  </si>
  <si>
    <t>gOrganizationOrganizationAssociationType/endDate</t>
  </si>
  <si>
    <t>gOrganizationOrganizationAssociationType/parentOrganizationRole</t>
  </si>
  <si>
    <t>The role of the parent organization with respect to this association.</t>
  </si>
  <si>
    <t>gOrganizationOrganizationAssociationType/startDate</t>
  </si>
  <si>
    <t>gOrganizationSubtypeType/entryDate</t>
  </si>
  <si>
    <t>gOrganizationSubtypeType/exitDate</t>
  </si>
  <si>
    <t>gOrganizationUserType/associatedRole</t>
  </si>
  <si>
    <t>gRoleTypeType</t>
  </si>
  <si>
    <t>gOrganizationUserType/associationType</t>
  </si>
  <si>
    <t>gOrganizationUserType/endDate</t>
  </si>
  <si>
    <t>gOrganizationUserType/startDate</t>
  </si>
  <si>
    <t>gOtherNameType/@nameRole</t>
  </si>
  <si>
    <t>gPartyAddressRelationType/addressType</t>
  </si>
  <si>
    <t>Code that defines the location of the address. Note: A subset of specific valid values for each instance in a data object may be listed in that object.</t>
  </si>
  <si>
    <t>gPartyOrganizationAssociationType/associationType</t>
  </si>
  <si>
    <t>The type of association. For example if the party is a person who is a member of the organizatinon then this field would contain the type of membership.</t>
  </si>
  <si>
    <t>gPersonGroupAssociationType/associationType</t>
  </si>
  <si>
    <t>The type of association. For example, if a person is a member of the group then this field would contain the type of membership the person has.</t>
  </si>
  <si>
    <t>gPersonGroupAssociationType/endDate</t>
  </si>
  <si>
    <t>End date of the association.</t>
  </si>
  <si>
    <t>gPersonGroupAssociationType/startDate</t>
  </si>
  <si>
    <t>Start date of the association.</t>
  </si>
  <si>
    <t>gPersonOrganizationAssociationType/associationType</t>
  </si>
  <si>
    <t>gPersonRoleAssociationType/entryDate</t>
  </si>
  <si>
    <t>gPersonRoleAssociationType/exitDate</t>
  </si>
  <si>
    <t>gPersonType/externalId</t>
  </si>
  <si>
    <t>An external (to the local system) agency identifier for the person. The identifier for this entity as assigned by a government authority (typically state or province in a federal system, national in a centralized system).</t>
  </si>
  <si>
    <t>gExternalIdType</t>
  </si>
  <si>
    <t>gPersonType/localId</t>
  </si>
  <si>
    <t>A local agency identifier for the person.</t>
  </si>
  <si>
    <t>gPhoneNumberType/listedStatus</t>
  </si>
  <si>
    <t>Indicates whether or not the phone number is available to the public.</t>
  </si>
  <si>
    <t>gListedStatusType</t>
  </si>
  <si>
    <t>gRelatedLearningStandardItemList/relatedLearningStandardItem</t>
  </si>
  <si>
    <t>gRelatedLearningStandardItemType</t>
  </si>
  <si>
    <t>gRelatedLearningStandardItemType/relationshipType</t>
  </si>
  <si>
    <t>gLearningStandardsItemRelationshipType</t>
  </si>
  <si>
    <t>groupType/groupCategory</t>
  </si>
  <si>
    <t>The type of group. For example cohort, learning group, analysis group, etc.</t>
  </si>
  <si>
    <t>gSchoolCalendarType/graduationDate</t>
  </si>
  <si>
    <t>Date of graduation ceremony.</t>
  </si>
  <si>
    <t>gSchoolType/boardingSchoolStatus</t>
  </si>
  <si>
    <t>gSchoolType/electoralDistrict</t>
  </si>
  <si>
    <t>gSchoolType/genderOfEntry</t>
  </si>
  <si>
    <t>The gender for single-gender schools.</t>
  </si>
  <si>
    <t>gGenderOfEntryType</t>
  </si>
  <si>
    <t>gSchoolType/schoolSector</t>
  </si>
  <si>
    <t>School sector of school, e.g. Public/Private. CEDS Equivalent: Charter School Indicator 000039, Charter School Type 000710.</t>
  </si>
  <si>
    <t>gSchoolSectorType</t>
  </si>
  <si>
    <t>gSectionType/longName</t>
  </si>
  <si>
    <t>gStaffPersonAssignmentType/jobFunction</t>
  </si>
  <si>
    <t>gStaffPersonAssignmentType/teachingAssignment</t>
  </si>
  <si>
    <t>In SIF2.6: TeachingAssignment</t>
  </si>
  <si>
    <t>gStreetType/apartmentNumberPrefix</t>
  </si>
  <si>
    <t>gStreetType/apartmentNumberSuffix</t>
  </si>
  <si>
    <t>gStreetType/apartmentType</t>
  </si>
  <si>
    <t>gStreetType/complex</t>
  </si>
  <si>
    <t>gStreetType/line2</t>
  </si>
  <si>
    <t>gStreetType/line3</t>
  </si>
  <si>
    <t>gStreetType/streetName</t>
  </si>
  <si>
    <t>gStreetType/streetNumber</t>
  </si>
  <si>
    <t>gStreetType/streetPrefix</t>
  </si>
  <si>
    <t>gStreetType/streetSuffix</t>
  </si>
  <si>
    <t>gStreetType/streetType</t>
  </si>
  <si>
    <t>gStudentSchoolEnrollmentType/acceptableUsePolicy</t>
  </si>
  <si>
    <t>gStudentSchoolEnrollmentType/exitStatus</t>
  </si>
  <si>
    <t>Code indicating the closure status for this enrollment.</t>
  </si>
  <si>
    <t>gExitStatusType</t>
  </si>
  <si>
    <t>gStudentSchoolEnrollmentType/membershipType</t>
  </si>
  <si>
    <t>gStudentSchoolEnrollmentType/promotionStatus</t>
  </si>
  <si>
    <t>This value should be set if this enrollment instance is closed for an end-of-year closeout or a mid-year promotion or demotion. A value other than N/A should be specified when the enrollment instance represents an end-of-year closeout or mid-year promotion/demotion.</t>
  </si>
  <si>
    <t>gPromotionStatusType</t>
  </si>
  <si>
    <t>gStudentSchoolEnrollmentType/recordClosureReason</t>
  </si>
  <si>
    <t>The reason why this enrollment was closed. For example: SchoolExit. TimeDependentDataChange. EndOfYear.</t>
  </si>
  <si>
    <t>gRecordClosureReasonType</t>
  </si>
  <si>
    <t>gStudentSchoolEnrollmentType/residencyStatus</t>
  </si>
  <si>
    <t>Location of an individuals legal residence relative to (within or outside) the boundaries of the school for this enrollment.</t>
  </si>
  <si>
    <t>gResidencyStatusType</t>
  </si>
  <si>
    <t>gStudentType/alertMessageList/alertMessage</t>
  </si>
  <si>
    <t>An alert message associatied with the student.</t>
  </si>
  <si>
    <t>gAlertMessageType</t>
  </si>
  <si>
    <t>gStudentType/medicalAlertMessageList/medicalAlertMessage</t>
  </si>
  <si>
    <t>A medical alert message associatied with the student.</t>
  </si>
  <si>
    <t>gMedicalAlertMessageType</t>
  </si>
  <si>
    <t>gStudentType/projectedGraduationYear</t>
  </si>
  <si>
    <t>gTermType/track</t>
  </si>
  <si>
    <t>learningGoalCEDSType/learningGoalType</t>
  </si>
  <si>
    <t>learningResourceType/agreementDate</t>
  </si>
  <si>
    <t>A date that defines the date of agreement.</t>
  </si>
  <si>
    <t>learningResourceType/approvalList/approval/approvalDate</t>
  </si>
  <si>
    <t>Date resource was approved.</t>
  </si>
  <si>
    <t>learningResourceType/approvalList/approval/organization</t>
  </si>
  <si>
    <t>Name of agency that approved use of resource.</t>
  </si>
  <si>
    <t>learningResourceType/componentList/component/associatedObjectList/associatedObject</t>
  </si>
  <si>
    <t>gGenericRefIdPointerType</t>
  </si>
  <si>
    <t>learningResourceType/componentList/component/description</t>
  </si>
  <si>
    <t>Description of ResourceComponent, i.e. "Discover how changing the scale of a map can either increase or decrease the level of detail you see."</t>
  </si>
  <si>
    <t>learningResourceType/componentList/component/reference</t>
  </si>
  <si>
    <t>Description of where ResourceComponent is located within resource or in general, i.e. "Section 4, pages 32-38," or URL string, or whatever locator is appropriate for media.</t>
  </si>
  <si>
    <t>learningResourceType/componentList/component/resourceName</t>
  </si>
  <si>
    <t>Name of learning resource component within the resource, i.e. "Chapter 1, Section 4.</t>
  </si>
  <si>
    <t>learningResourceType/componentList/component/strategyList/strategy</t>
  </si>
  <si>
    <t>Teaching/learning strategy used in the learning resource. One per element.</t>
  </si>
  <si>
    <t>learningResourceType/evaluationList/evaluation/date</t>
  </si>
  <si>
    <t>Date evaluation was performed</t>
  </si>
  <si>
    <t>learningResourceType/evaluationList/evaluation/description</t>
  </si>
  <si>
    <t>Description of evaluation of resource.</t>
  </si>
  <si>
    <t>learningResourceType/evaluationList/evaluation/evaluatorName</t>
  </si>
  <si>
    <t>Name of individual who submitted evaluation.</t>
  </si>
  <si>
    <t>learningResourceType/location/locationReference</t>
  </si>
  <si>
    <t>Reference to the resource, i.e. location in library or URL, community resource, outside resource supplier.</t>
  </si>
  <si>
    <t>learningResourceType/status</t>
  </si>
  <si>
    <t>Describes availability status of resource, e.g. "checked out."</t>
  </si>
  <si>
    <t>schoolCalendarItemType/administratorAttendance/attendanceValue</t>
  </si>
  <si>
    <t>Amount of the school day in which the administrator should be in attendance (format is x.x; an administrator who should be in attendance a full day would be represented as 1.0).</t>
  </si>
  <si>
    <t>schoolCalendarItemType/administratorAttendance/countsTowardAttendance</t>
  </si>
  <si>
    <t>Designates whether this date should be counted toward administrator attendance.</t>
  </si>
  <si>
    <t>schoolCalendarItemType/dateNumber</t>
  </si>
  <si>
    <t>Order in which the calendar date falls within the school calendar.</t>
  </si>
  <si>
    <t>schoolCalendarItemType/dateTypeCode</t>
  </si>
  <si>
    <t>Code indicating the type of school day.</t>
  </si>
  <si>
    <t>gCodedElementType</t>
  </si>
  <si>
    <t>schoolCalendarItemType/studentAttendance/attendanceValue</t>
  </si>
  <si>
    <t>Amount of the school day in which the student should be in attendance (Format is x.x; a student who should be in attendance a full day would be represented as 1.0). If CountsTowardAttendance equals Yes then StudentAttendanceValue must be greater than zero.</t>
  </si>
  <si>
    <t>schoolCalendarItemType/studentAttendance/countsTowardAttendance</t>
  </si>
  <si>
    <t>Designates whether this date should be counted toward student attendance.</t>
  </si>
  <si>
    <t>schoolCalendarItemType/teacherAttendance/attendanceValue</t>
  </si>
  <si>
    <t>Amount of the school day in which the teacher should be in attendance (format is x.x; a teacher who should be in attendance a full day would be represented as 1.0).</t>
  </si>
  <si>
    <t>schoolCalendarItemType/teacherAttendance/countsTowardAttendance</t>
  </si>
  <si>
    <t>Designates whether this date should be counted toward teacher attendance.</t>
  </si>
  <si>
    <t>seaType/ccssoContact</t>
  </si>
  <si>
    <t>Chief State School Officer contact information.</t>
  </si>
  <si>
    <t>seaType/ncesId</t>
  </si>
  <si>
    <t>The NCES-assigned identifier for this SEA.</t>
  </si>
  <si>
    <t>sreType/assessmentList/assessment/schoolWhenTestTaken/schoolContactEmail</t>
  </si>
  <si>
    <t>Contact information for the school.</t>
  </si>
  <si>
    <t>gEmailType</t>
  </si>
  <si>
    <t>sreType/disciplineIncidents/disciplineIncident/actionList/action/reportingSchool/schoolContactEmail</t>
  </si>
  <si>
    <t>Contact information (related to the incident) for the school.</t>
  </si>
  <si>
    <t>sreType/graduationRequirementList/graduationRequirement/programOfFocus</t>
  </si>
  <si>
    <t>A course-of-study option the student has chosen to complete.</t>
  </si>
  <si>
    <t>sreType/indicators/healthTestList/healthTest/healthTestDate</t>
  </si>
  <si>
    <t>The year, month and day the person received the medical or health-related test.</t>
  </si>
  <si>
    <t>sreType/indicators/healthTestList/healthTest/healthTestType</t>
  </si>
  <si>
    <t>An indication of the type of medical or health-related test that a person received.</t>
  </si>
  <si>
    <t>sreType/indicators/healthTestList/healthTest/result</t>
  </si>
  <si>
    <t>The result of the medical or health-related test that a person received.</t>
  </si>
  <si>
    <t>sreType/programs/activityList/activity/activityDescription</t>
  </si>
  <si>
    <t>A description of the events and procedures that take place under the purview of the organized activity.</t>
  </si>
  <si>
    <t>sreType/programs/activityList/activity/activityType</t>
  </si>
  <si>
    <t>A clasification title that describes the activity at a high level.</t>
  </si>
  <si>
    <t>sreType/programs/activityList/activity/timeInvolved</t>
  </si>
  <si>
    <t>The number of hours, days, weeks, months, years, events, or seasons the student participated in the events and procedures that take place under the purview of the activity.</t>
  </si>
  <si>
    <t>sreType/specialEducation/eligibilityDate</t>
  </si>
  <si>
    <t>The date when a student is identified by a school or school district as being eligible for special education services.</t>
  </si>
  <si>
    <t>sreType/specialEducation/iepCompletionDate</t>
  </si>
  <si>
    <t>The date that the student, school, and school district fulfills the listed activities described within the IEP.</t>
  </si>
  <si>
    <t>sreType/specialEducation/placementDescription</t>
  </si>
  <si>
    <t>sreType/specialEducation/placementType</t>
  </si>
  <si>
    <t>sreType/specialEducation/serviceList/service/fundingSourceCode</t>
  </si>
  <si>
    <t>The organization that is supplying the money to provide the service to the student.</t>
  </si>
  <si>
    <t>sreType/specialEducation/serviceList/service/fundingSourceCodeDescription</t>
  </si>
  <si>
    <t>A representation or characterization of the organizaiton that is supplying the money to provide the service to the student and why it is being provided.</t>
  </si>
  <si>
    <t>sreType/transcriptTermList/transcriptTerm/courseList/course/gpaUnweightedMark</t>
  </si>
  <si>
    <t>The numeric unweighted GPA value of the final mark.</t>
  </si>
  <si>
    <t>sreType/transcriptTermList/transcriptTerm/courseList/course/gpaWeightedMark</t>
  </si>
  <si>
    <t>The numeric locally weighted GPA value of the final mark.</t>
  </si>
  <si>
    <t>sreType/transcriptTermList/transcriptTerm/courseList/course/progressGPA</t>
  </si>
  <si>
    <t>The numeric GPA value of the progress mark.</t>
  </si>
  <si>
    <t>sreType/transcriptTermList/transcriptTerm/termWeightedGpa</t>
  </si>
  <si>
    <t>A weighted measure of average performance in all courses taken by a person during a given term/session. This is obtained by dividing the total weighted grade points received by the number of credits attempted for the same session.</t>
  </si>
  <si>
    <t>staffPersonType/userName</t>
  </si>
  <si>
    <t>The string identifier used to log in to a computer system.</t>
  </si>
  <si>
    <t>studentCoreType/concurrentSchoolList/concurrentSchool/operation</t>
  </si>
  <si>
    <t>The enrollment action to take.</t>
  </si>
  <si>
    <t>studentCoreType/enrollmentOperation</t>
  </si>
  <si>
    <t>studentProgramAssociationType/exitStatus</t>
  </si>
  <si>
    <t>System</t>
  </si>
  <si>
    <t>Element Number</t>
  </si>
  <si>
    <t>Element Type</t>
  </si>
  <si>
    <t>Field Length</t>
  </si>
  <si>
    <t xml:space="preserve">List of Languages and Codes
   03823 - abk
   03824 - ace
   03825 - ach
   03826 - ada
   03827 - ady
   03828 - aar
   03829 - afh
   03830 - afr
   03831 - afa
   03832 - ain
   03833 - aka
   03834 - akk
   03835 - alb/sqi
   03836 - gsw
   03837 - ale
   03838 - alg
   03839 - tut
   03840 - amh
   03841 - anp
   03842 - apa
   03843 - ara
   03844 - arg
   03845 - arc
   03846 - arp
   03847 - arn
   03848 - arw
   03849 - arm/hye
   03850 - rup
   03851 - art
   03852 - asm
   03853 - ast
   03854 - ath
   03855 - aus
   03856 - map
   03857 - ava
   03858 - ave
   03859 - awa
   03860 - aym
   03861 - aze
   03862 - ban
   03863 - bat
   03864 - bal
   03865 - bam
   03866 - bai
   03867 - bad
   03868 - bnt
   03869 - bas
   03870 - bak
   03871 - baq/eus
   03872 - btk
   03873 - bej
   03874 - bel
   03875 - bem
   03876 - ben
   03877 - ber
   03878 - bho
   03879 - bih
   03880 - bik
   03881 - byn
   03882 - bin
   03883 - bis
   03884 - nob
   03885 - bos
   03886 - bra
   03887 - bre
   03888 - bug
   03889 - bul
   03890 - bua
   03891 - bur/mya
   03892 - cad
   03893 - car
   03894 - spa
   03895 - cat
   03896 - cau
   03897 - ceb
   03898 - cel
   03899 - cai
   03900 - khm
   03901 - chg
   03902 - cmc
   03903 - cha
   03904 - che
   03905 - chr
   03906 - nya
   03907 - chy
   03908 - chb
   03909 - chi/zho
   03910 - chn
   03911 - chp
   03912 - cho
   03913 - zha
   03914 - chu
   03915 - chk
   03916 - chv
   03917 - nwc
   03918 - rar
   03919 - cop
   03920 - cor
   03921 - cos
   03922 - cre
   03923 - mus
   03924 - crp
   03925 - cpe
   03926 - cpf
   03927 - cpp
   03928 - crh
   03929 - scr/hrv
   03930 - cus
   03931 - cze/ces
   03932 - dak
   03933 - dan
   03934 - dar
   03935 - day
   03936 - del
   03937 - div
   03938 - zza
   03939 - din
   03940 - doi
   03941 - dgr
   03942 - dra
   03943 - dua
   03944 - dut/nld
   03945 - dum
   03946 - dyu
   03947 - dzo
   03948 - frs
   03949 - efi
   03950 - egy
   03951 - eka
   03952 - elx
   03953 - eng
   03954 - enm
   03955 - ang
   03956 - myv
   03957 - epo
   03958 - est
   03959 - ewe
   03960 - ewo
   03961 - fan
   03962 - fat
   03963 - fao
   03964 - fij
   03965 - fil
   03966 - fin
   03967 - fiu
   03968 - fon
   03969 - fre/fra
   03970 - frm
   03971 - fro
   03972 - fry
   03973 - fur
   03974 - ful
   03975 - gaa
   03976 - gla
   03977 - glg
   03978 - lug
   03979 - gay
   03980 - gba
   03981 - gez
   03982 - gwo/kat
   03983 - ger/deu
   03984 - nds
   03985 - gmh
   03986 - goh
   03987 - gem
   03988 - kik
   03989 - gil
   03990 - gon
   03991 - gor
   03992 - got
   03993 - grb
   03994 - grc
   03995 - gre/ell
   03996 - kal
   03997 - grn
   03998 - guj
   03999 - gwi
   04000 - hai
   04001 - hat
   04002 - hau
   04003 - haw
   04004 - heb
   04005 - her
   04006 - hil
   04007 - him
   04008 - hin
   04009 - hmo
   04010 - hit
   04011 - hmn
   04012 - hun
   04013 - hup
   04014 - iba
   04015 - ice/isl
   04016 - ido
   04017 - ibo
   04018 - ijo
   04019 - ilo
   04020 - smn
   04021 - inc
   04022 - ine
   04023 - ind
   04024 - inh
   04025 - ina
   04026 - ile
   04027 - iku
   04028 - ipk
</t>
  </si>
  <si>
    <t xml:space="preserve">   04029 - ira
   04030 - gle
   04031 - mga
   04032 - sga
   04033 - iro
   04034 - ita
   04035 - jpn
   04036 - jav
   04037 - kac
   04038 - jrb
   04039 - jpr
   04040 - kbd
   04041 - kab
   04042 - xal
   04043 - kam
   04044 - kan
   04045 - kau
   04046 - kaa
   04047 - krc
   04048 - krl
   04049 - kar
   04050 - kas
   04051 - csb
   04052 - kaw
   04053 - kaz
   04054 - kha
   04055 - khi
   04056 - kho
   04057 - kmb
   04058 - kin
   04059 - kir
   04060 - tlh
   04061 - kom
   04062 - kon
   04063 - kok
   04064 - kor
   04065 - kos
   04066 - kpe
   04067 - kro
   04068 - kua
   04069 - kum
   04070 - kur
   04071 - kru
   04072 - kut
   04073 - lad
   04074 - lah
   04075 - lam
   04076 - lao
   04077 - lat
   04078 - lav
   04079 - ltz
   04080 - lez
   04081 - lim
   04082 - lin
   04083 - lit
   04084 - jbo
   04085 - dsb
   04086 - loz
   04087 - lub
   04088 - lua
   04089 - lui
   04090 - smj
   04091 - lun
   04092 - luo
   04093 - lus
   04094 - mac/mkd
   04095 - mad
   04096 - mag
   04097 - mai
   04098 - mak
   04099 - mlg
   04100 - may/msa
   04101 - mal
   04103 - mlt
   04104 - mnc
   04105 - mdr
   04106 - man
   04107 - mni
   04108 - mno
   04109 - glv
   04110 - mao/mri
   04111 - mar
   04112 - chm
   04113 - mah
   04114 - mwr
   04115 - mas
   04116 - myn
   04117 - men
   04118 - mic
   04119 - min
   04120 - mwl
   04121 - mis
   04122 - moh
   04123 - mdf
   04124 - mol
   04125 - mkh
   04126 - lol
   04127 - mon
   04128 - mos
   04129 - mul
   04130 - mun
   04131 - nqo
   04132 - nah
   04133 - nau
   04134 - nav
   04135 - nde
   04136 - nbl
   04137 - ndo
   04138 - nap
   04139 - new
   04140 - nep
   04141 - nia
   04142 - nic
   04143 - ssa
   04144 - niu
   04145 - zxx
   04146 - nog
   04147 - non
   04148 - nai
   04149 - frr
   04150 - sme
   04151 - nso
   04152 - nor
   04153 - nno
   04154 - nub
   04155 - nym
   04156 - nyn
   04157 - nyo
   04158 - nzi
   04159 - oci
   04160 - oji
   04161 - ori
   04162 - orm
   04163 - osa
   04164 - oss
   04165 - oto
   04166 - pal
   04167 - pau
   04168 - pli
   04169 - pam
   04170 - pag
   04171 - pan
   04172 - pap
   04173 - paa
   04174 - per/fas
   04175 - peo
   04176 - phi
   04177 - phn
   04178 - pon
   04179 - pol
   04180 - por
   04181 - pra
   04182 - pro
   04183 - pus
   04184 - que
   04185 - roh
   04186 - raj
   04187 - rap
   04188 - qaa-qtz
   04189 - roa
   04190 - rum/ron
   04191 - rom
   04192 - run
   04193 - rus
   04194 - sal
   04195 - sam
   04196 - smi
   04197 - smo
   04198 - sad
   04199 - sag
   04200 - san
   04201 - sat
   04202 - srd
   04203 - sas
   04204 - sco
   04205 - sel
   04206 - sem
   04207 - scc/srp
   04208 - srr
   04209 - shn
   04210 - sna
   04211 - iii
   04212 - scn
   04213 - sid
   04214 - sgn
   04215 - bla
   04216 - snd
   04217 - sin
   04218 - sit
   04219 - sio
   04220 - sms
   04221 - den
   04222 - sla
   04223 - slo/slk
   04224 - slv
   04225 - sog
   04226 - som
   04227 - son
   04228 - snk
   04229 - wen
   04230 - sot
   04231 - sai
   04232 - alt
   04233 - sma
   04234 - srn
   04235 - suk
   04236 - sux
   04237 - sun
   04238 - sus
</t>
  </si>
  <si>
    <t xml:space="preserve">   04239 - swa
   04240 - ssw
   04241 - swe
   04242 - syr
   04243 - tgl
   04244 - tah
   04245 - tai
   04246 - tgk
   04247 - tmh
   04248 - tam
   04249 - tat
   04250 - tel
   04251 - ter
   04252 - tet
   04253 - tha
   04254 - tib/bod
   04255 - tig
   04256 - tir
   04257 - tem
   04258 - tiv
   04259 - tli
   04260 - tpi
   04261 - tkl
   04262 - tog
   04263 - ton
   04264 - tsi
   04265 - tso
   04266 - tsn
   04267 - tum
   04268 - tup
   04269 - tur
   04270 - ota
   04271 - tuk
   04272 - tvl
   04273 - tyv
   04274 - twi
   04275 - udm
   04276 - uga
   04277 - uig
   04278 - ukr
   04279 - umb
   04280 - und
   04281 - hsb
   04282 - urd
   04283 - uzb
   04284 - vai
   04285 - ven
   04286 - vie
   04287 - vol
   04288 - vot
   04289 - wak
   04290 - wal
   04291 - wln
   04292 - war
   04293 - was
   04294 - wel/cym
   04295 - wol
   04296 - xho
   04297 - sah
   04298 - yao
   04299 - yap
   04300 - yid
   04301 - yor
   04302 - ypk
   04303 - znd
   04304 - zap
   04305 - zen
   04306 - zul
   04307 - zun
   09999 - Other
</t>
  </si>
  <si>
    <t xml:space="preserve">List of Countries and Codes
   03580 - AF
   03581 - AX
   03582 - AL
   03583 - DZ
   03402 - AS
   03585 - AD
   03586 - AO
   03587 - AI
   03588 - AQ
   03589 - AG
   03590 - AR
   03591 - AM
   03592 - AW
   03593 - AU
   03594 - AT
   03595 - AZ
   03596 - BS
   03597 - BH
   03598 - BD
   03599 - BB
   03600 - BY
   03601 - BE
   03602 - BZ
   03603 - BJ
   03604 - BM
   03605 - BT
   03606 - BO
   03607 - BA
   03608 - BW
   03609 - BV
   03610 - BR
   03611 - IO
   03612 - BN
   03613 - BG
   03614 - BF
   03615 - BI
   03616 - KH
   03617 - CM
   03618 - CA
   03619 - CV
   03620 - KY
   03621 - CF
   03622 - TD
   03623 - CL
   03624 - CN
   03625 - CX
   03626 - CC
   03627 - CO
   03628 - KM
   03629 - CG
   03630 - CD
   03631 - CK
   03632 - CR
   03633 - CI
   03634 - HR
   03635 - CU
   03636 - CY
   03637 - CZ
   03638 - DK
   03639 - DJ
   03640 - DM
   03641 - DO
   03642 - EC
   03643 - EG
   03644 - SV
   03645 - GQ
   03646 - ER
   03647 - EE
   03648 - ET
   03649 - FK
   03650 - FO
   03651 - FJ
   03652 - FI
   03653 - FR
   03654 - GF
   03655 - PF
   03656 - TF
   03657 - GA
   03658 - GM
   03659 - GE
   03660 - DE
   03661 - GH
   03662 - GI
   03663 - GR
   03664 - GL
   03665 - GD
   03666 - GP
   03403 - GU
   03668 - GT
   03669 - GG
   03670 - GN
   03671 - GW
   03672 - GY
   03673 - HT
   03674 - HM
   03675 - VA
   03676 - HN
   03677 - HK
   03678 - HU
   03679 - IS
   03680 - IN
   03681 - ID
   03682 - IR
   03683 - IQ
   03684 - IE
   03685 - IM
   03686 - IL
   03687 - IT
   03688 - JM
   03689 - JP
   03690 - JE
   03691 - JO
   03692 - KZ
   03693 - KE
   03694 - KI
   03695 - KP
   03696 - KR
   03697 - KW
   03698 - KG
   03699 - LA
   03700 - LV
   03701 - LB
   03702 - LS
   03703 - LR
   03704 - LY
   03705 - LI
   03706 - LT
   03707 - LU
   03708 - MO
   03709 - MK
   03710 - MG
   03711 - MW
   03712 - MY
   03713 - MV
   03714 - ML
   03715 - MT
   03716 - MH
   03717 - MQ
   03718 - MR
   03719 - MU
   03720 - YT
   03721 - MX
   03722 - FM
   03723 - MD
   03724 - MC
   03725 - MN
   03726 - ME
   03727 - MS
   03728 - MA
   03729 - MZ
   03730 - MM
   03731 - NA
   03732 - NR
   03733 - NP
   03734 - NL
   03735 - AN
   03736 - NC
   03737 - NZ
   03738 - NI
   03739 - NE
   03740 - NG
   03741 - NU
   03742 - NF
   03743 - MP
   03744 - NO
   03745 - OM
   03746 - PK
   03747 - PW
   03748 - PS
   03749 - PA
   03750 - PG
   03751 - PY
   03752 - PE
   03753 - PH
   03754 - PN
   03755 - PL
   03756 - PT
   03405 - PR
   03758 - QA
   03759 - RE
   03760 - RO
   03761 - RU
   03762 - RW
   03763 - SH
   03764 - KN
   03765 - LC
   03766 - PM
   03767 - VC
   03768 - WS
   03769 - SM
   03770 - ST
   03771 - SA
   03772 - SN
   03773 - RS
   03774 - SC
   03775 - SL
   03776 - SG
   03777 - SK
   03778 - SI
   03779 - SB
   03780 - SO
   03781 - ZA
   03782 - GS
   03783 - ES
   03784 - LK
   03785 - SD
   03786 - SR
   03787 - SJ
   03788 - SZ
   03789 - SE
   03790 - CH
   03791 - SY
   03792 - TW
   03793 - TJ
   03794 - TZ
   03795 - TH
   03796 - TL
   03797 - TG
   03798 - TK
   03799 - TO
   03800 - TT
   03801 - TN
   03802 - TR
   03803 - TM
   03804 - TC
   03805 - TV
   03806 - UG
   03807 - UA
   03808 - AE
   03809 - GB
   03810 - US
   03811 - UM
   03812 - UY
   03813 - UZ
   03814 - VU
   03815 - VE
   03816 - VN
   03817 - VI
   03818 - WF
   03819 - EH
   03820 - YE
   03821 - ZM
   03822 - ZW
</t>
  </si>
  <si>
    <t xml:space="preserve">FIPS County Code
   10000 - 01001
   10001 - 01003
   10002 - 01005
   10003 - 01007
   10004 - 01009
   10005 - 01011
   10006 - 01013
   10007 - 01015
   10008 - 01017
   10009 - 01019
   10010 - 01021
   10011 - 01023
   10012 - 01025
   10013 - 01027
   10014 - 01029
   10015 - 01031
   10016 - 01033
   10017 - 01035
   10018 - 01037
   10019 - 01039
   10020 - 01041
   10021 - 01043
   10022 - 01045
   10023 - 01047
   10024 - 01049
   10025 - 01051
   10026 - 01053
   10027 - 01055
   10028 - 01057
   10029 - 01059
   10030 - 01061
   10031 - 01063
   10032 - 01065
   10033 - 01067
   10034 - 01069
   10035 - 01071
   10036 - 01073
   10037 - 01075
   10038 - 01077
   10039 - 01079
   10040 - 01081
   10041 - 01083
   10042 - 01085
   10043 - 01087
   10044 - 01089
   10045 - 01091
   10046 - 01093
   10047 - 01095
   10048 - 01097
   10049 - 01099
   10050 - 01101
   10051 - 01103
   10052 - 01105
   10053 - 01107
   10054 - 01109
   10055 - 01111
   10056 - 01113
   10057 - 01115
   10058 - 01117
   10059 - 01119
   10060 - 01121
   10061 - 01123
   10062 - 01125
   10063 - 01127
   10064 - 01129
   10065 - 01131
   10066 - 01133
   10067 - 02013
   10068 - 02016
   10069 - 02020
   10070 - 02050
   10071 - 02060
   10072 - 02068
   10073 - 02070
   10074 - 02090
   10075 - 02100
   10076 - 02110
   10077 - 02122
   10078 - 02130
   10079 - 02150
   10080 - 02164
   10081 - 02170
   10082 - 02180
   10083 - 02185
   10084 - 02188
   10085 - 02201
   10086 - 02220
   10087 - 02231
   10088 - 02240
   10089 - 02261
   10090 - 02270
   10091 - 02280
   10092 - 02290
   10093 - 04001
   10094 - 04003
   10095 - 04005
   10096 - 04007
   10097 - 04009
   10098 - 04011
   10099 - 04012
   10100 - 04013
   10101 - 04015
   10102 - 04017
   10103 - 04019
   10104 - 04021
   10105 - 04023
   10106 - 04025
   10107 - 04027
   10108 - 05001
   10109 - 05003
   10110 - 05005
   10111 - 05007
   10112 - 05009
   10113 - 05011
   10114 - 05013
   10115 - 05015
   10116 - 05017
   10117 - 05019
   10118 - 05021
   10119 - 05023
   10120 - 05025
   10121 - 05027
   10122 - 05029
   10123 - 05031
   10124 - 05033
   10125 - 05035
   10126 - 05037
   10127 - 05039
   10128 - 05041
   10129 - 05043
   10130 - 05045
   10131 - 05047
   10132 - 05049
   10133 - 05051
   10134 - 05053
   10135 - 05055
   10136 - 05057
   10137 - 05059
   10138 - 05061
   10139 - 05063
   10140 - 05065
   10141 - 05067
   10142 - 05069
   10143 - 05071
   10144 - 05073
   10145 - 05075
   10146 - 05077
   10147 - 05079
   10148 - 05081
   10149 - 05083
   10150 - 05085
   10151 - 05087
   10152 - 05089
   10153 - 05091
   10154 - 05093
   10155 - 05095
   10156 - 05097
   10157 - 05099
   10158 - 05101
   10159 - 05103
   10160 - 05105
   10161 - 05107
   10162 - 05109
   10163 - 05111
   10164 - 05113
   10165 - 05115
   10166 - 05117
   10167 - 05119
   10168 - 05121
   10169 - 05123
   10170 - 05125
   10171 - 05127
   10172 - 05129
   10173 - 05131
   10174 - 05133
   10175 - 05135
   10176 - 05137
   10177 - 05139
   10178 - 05141
   10179 - 05143
   10180 - 05145
   10181 - 05147
   10182 - 05149
   10183 - 06001
   10184 - 06003
   10185 - 06005
   10186 - 06007
   10187 - 06009
   10188 - 06011
   10189 - 06013
   10190 - 06015
   10191 - 06017
   10192 - 06019
   10193 - 06021
   10194 - 06023
   10195 - 06025
   10196 - 06027
   10197 - 06029
</t>
  </si>
  <si>
    <t xml:space="preserve">   10198 - 06031
   10199 - 06033
   10200 - 06035
   10201 - 06037
   10202 - 06039
   10203 - 06041
   10204 - 06043
   10205 - 06045
   10206 - 06047
   10207 - 06049
   10208 - 06051
   10209 - 06053
   10210 - 06055
   10211 - 06057
   10212 - 06059
   10213 - 06061
   10214 - 06063
   10215 - 06065
   10216 - 06067
   10217 - 06069
   10218 - 06071
   10219 - 06073
   10220 - 06075
   10221 - 06077
   10222 - 06079
   10223 - 06081
   10224 - 06083
   10225 - 06085
   10226 - 06087
   10227 - 06089
   10228 - 06091
   10229 - 06093
   10230 - 06095
   10231 - 06097
   10232 - 06099
   10233 - 06101
   10234 - 06103
   10235 - 06105
   10236 - 06107
   10237 - 06109
   10238 - 06111
   10239 - 06113
   10240 - 06115
   10241 - 08001
   10242 - 08003
   10243 - 08005
   10244 - 08007
   10245 - 08009
   10246 - 08011
   10247 - 08013
   10248 - 08015
   10249 - 08017
   10250 - 08019
   10251 - 08021
   10252 - 08023
   10253 - 08025
   10254 - 08027
   10255 - 08029
   10256 - 08031
   10257 - 08033
   10258 - 08035
   10259 - 08037
   10260 - 08039
   10261 - 08041
   10262 - 08043
   10263 - 08045
   10264 - 08047
   10265 - 08049
   10266 - 08051
   10267 - 08053
   10268 - 08055
   10269 - 08057
   10270 - 08059
   10271 - 08061
   10272 - 08063
   10273 - 08065
   10274 - 08067
   10275 - 08069
   10276 - 08071
   10277 - 08073
   10278 - 08075
   10279 - 08077
   10280 - 08079
   10281 - 08081
   10282 - 08083
   10283 - 08085
   10284 - 08087
   10285 - 08089
   10286 - 08091
   10287 - 08093
   10288 - 08095
   10289 - 08097
   10290 - 08099
   10291 - 08101
   10292 - 08103
   10293 - 08105
   10294 - 08107
   10295 - 08109
   10296 - 08111
   10297 - 08113
   10298 - 08115
   10299 - 08117
   10300 - 08119
   10301 - 08121
   10302 - 08123
   10303 - 08125
   10304 - 09001
   10305 - 09003
   10306 - 09005
   10307 - 09007
   10308 - 09009
   10309 - 09011
   10310 - 09013
   10311 - 09015
   10312 - 10001
   10313 - 10003
   10314 - 10005
   10315 - 11001
   10316 - 12001
   10317 - 12003
   10318 - 12005
   10319 - 12007
   10320 - 12009
   10321 - 12011
   10322 - 12013
   10323 - 12015
   10324 - 12017
   10325 - 12019
   10326 - 12021
   10327 - 12023
   10328 - 12027
   10329 - 12029
   10330 - 12031
   10331 - 12033
   10332 - 12035
   10333 - 12037
   10334 - 12039
   10335 - 12041
   10336 - 12043
   10337 - 12045
   10338 - 12047
   10339 - 12049
   10340 - 12051
   10341 - 12053
   10342 - 12055
   10343 - 12057
   10344 - 12059
   10345 - 12061
   10346 - 12063
   10347 - 12065
   10348 - 12067
   10349 - 12069
   10350 - 12071
   10351 - 12073
   10352 - 12075
   10353 - 12077
   10354 - 12079
   10355 - 12081
   10356 - 12083
   10357 - 12085
   10358 - 12086
   10359 - 12087
   10360 - 12089
   10361 - 12091
   10362 - 12093
   10363 - 12095
   10364 - 12097
   10365 - 12099
   10366 - 12101
   10367 - 12103
   10368 - 12105
   10369 - 12107
   10370 - 12109
   10371 - 12111
   10372 - 12113
   10373 - 12115
   10374 - 12117
   10375 - 12119
   10376 - 12121
   10377 - 12123
   10378 - 12125
   10379 - 12127
   10380 - 12129
   10381 - 12131
   10382 - 12133
   10383 - 13001
   10384 - 13003
   10385 - 13005
   10386 - 13007
   10387 - 13009
   10388 - 13011
   10389 - 13013
   10390 - 13015
   10391 - 13017
   10392 - 13019
   10393 - 13021
   10394 - 13023
   10395 - 13025
   10396 - 13027
   10397 - 13029
</t>
  </si>
  <si>
    <t xml:space="preserve">   10398 - 13031
   10399 - 13033
   10400 - 13035
   10401 - 13037
   10402 - 13039
   10403 - 13043
   10404 - 13045
   10405 - 13047
   10406 - 13049
   10407 - 13051
   10408 - 13053
   10409 - 13055
   10410 - 13057
   10411 - 13059
   10412 - 13061
   10413 - 13063
   10414 - 13065
   10415 - 13067
   10416 - 13069
   10417 - 13071
   10418 - 13073
   10419 - 13075
   10420 - 13077
   10421 - 13079
   10422 - 13081
   10423 - 13083
   10424 - 13085
   10425 - 13087
   10426 - 13089
   10427 - 13091
   10428 - 13093
   10429 - 13095
   10430 - 13097
   10431 - 13099
   10432 - 13101
   10433 - 13103
   10434 - 13105
   10435 - 13107
   10436 - 13109
   10437 - 13111
   10438 - 13113
   10439 - 13115
   10440 - 13117
   10441 - 13119
   10442 - 13121
   10443 - 13123
   10444 - 13125
   10445 - 13127
   10446 - 13129
   10447 - 13131
   10448 - 13133
   10449 - 13135
   10450 - 13137
   10451 - 13139
   10452 - 13141
   10453 - 13143
   10454 - 13145
   10455 - 13147
   10456 - 13149
   10457 - 13151
   10458 - 13153
   10459 - 13155
   10460 - 13157
   10461 - 13159
   10462 - 13161
   10463 - 13163
   10464 - 13165
   10465 - 13167
   10466 - 13169
   10467 - 13171
   10468 - 13173
   10469 - 13175
   10470 - 13177
   10471 - 13179
   10472 - 13181
   10473 - 13183
   10474 - 13185
   10475 - 13187
   10476 - 13189
   10477 - 13191
   10478 - 13193
   10479 - 13195
   10480 - 13197
   10481 - 13199
   10482 - 13201
   10483 - 13205
   10484 - 13207
   10485 - 13209
   10486 - 13211
   10487 - 13213
   10488 - 13215
   10489 - 13217
   10490 - 13219
   10491 - 13221
   10492 - 13223
   10493 - 13225
   10494 - 13227
   10495 - 13229
   10496 - 13231
   10497 - 13233
   10498 - 13235
   10499 - 13237
   10500 - 13239
   10501 - 13241
   10502 - 13243
   10503 - 13245
   10504 - 13247
   10505 - 13249
   10506 - 13251
   10507 - 13253
   10508 - 13255
   10509 - 13257
   10510 - 13259
   10511 - 13261
   10512 - 13263
   10513 - 13265
   10514 - 13267
   10515 - 13269
   10516 - 13271
   10517 - 13273
   10518 - 13275
   10519 - 13277
   10520 - 13279
   10521 - 13281
   10522 - 13283
   10523 - 13285
   10524 - 13287
   10525 - 13289
   10526 - 13291
   10527 - 13293
   10528 - 13295
   10529 - 13297
   10530 - 13299
   10531 - 13301
   10532 - 13303
   10533 - 13305
   10534 - 13307
   10535 - 13309
   10536 - 13311
   10537 - 13313
   10538 - 13315
   10539 - 13317
   10540 - 13319
   10541 - 13321
   10542 - 15001
   10543 - 15003
   10544 - 15005
   10545 - 15007
   10546 - 15009
   10547 - 16001
   10548 - 16003
   10549 - 16005
   10550 - 16007
   10551 - 16009
   10552 - 16011
   10553 - 16013
   10554 - 16015
   10555 - 16017
   10556 - 16019
   10557 - 16021
   10558 - 16023
   10559 - 16025
   10560 - 16027
   10561 - 16029
   10562 - 16031
   10563 - 16033
   10564 - 16035
   10565 - 16037
   10566 - 16039
   10567 - 16041
   10568 - 16043
   10569 - 16045
   10570 - 16047
   10571 - 16049
   10572 - 16051
   10573 - 16053
   10574 - 16055
   10575 - 16057
   10576 - 16059
   10577 - 16061
   10578 - 16063
   10579 - 16065
   10580 - 16067
   10581 - 16069
   10582 - 16071
   10583 - 16073
   10584 - 16075
   10585 - 16077
   10586 - 16079
   10587 - 16081
   10588 - 16083
   10589 - 16085
   10590 - 16087
   10591 - 17001
   10592 - 17003
   10593 - 17005
   10594 - 17007
   10595 - 17009
   10596 - 17011
   10597 - 17013
</t>
  </si>
  <si>
    <t xml:space="preserve">   10598 - 17015
   10599 - 17017
   10600 - 17019
   10601 - 17021
   10602 - 17023
   10603 - 17025
   10604 - 17027
   10605 - 17029
   10606 - 17031
   10607 - 17033
   10608 - 17035
   10609 - 17037
   10610 - 17039
   10611 - 17041
   10612 - 17043
   10613 - 17045
   10614 - 17047
   10615 - 17049
   10616 - 17051
   10617 - 17053
   10618 - 17055
   10619 - 17057
   10620 - 17059
   10621 - 17061
   10622 - 17063
   10623 - 17065
   10624 - 17067
   10625 - 17069
   10626 - 17071
   10627 - 17073
   10628 - 17075
   10629 - 17077
   10630 - 17079
   10631 - 17081
   10632 - 17083
   10633 - 17085
   10634 - 17087
   10635 - 17089
   10636 - 17091
   10637 - 17093
   10638 - 17095
   10639 - 17097
   10640 - 17099
   10641 - 17101
   10642 - 17103
   10643 - 17105
   10644 - 17107
   10645 - 17109
   10646 - 17111
   10647 - 17113
   10648 - 17115
   10649 - 17117
   10650 - 17119
   10651 - 17121
   10652 - 17123
   10653 - 17125
   10654 - 17127
   10655 - 17129
   10656 - 17131
   10657 - 17133
   10658 - 17135
   10659 - 17137
   10660 - 17139
   10661 - 17141
   10662 - 17143
   10663 - 17145
   10664 - 17147
   10665 - 17149
   10666 - 17151
   10667 - 17153
   10668 - 17155
   10669 - 17157
   10670 - 17159
   10671 - 17161
   10672 - 17163
   10673 - 17165
   10674 - 17167
   10675 - 17169
   10676 - 17171
   10677 - 17173
   10678 - 17175
   10679 - 17177
   10680 - 17179
   10681 - 17181
   10682 - 17183
   10683 - 17185
   10684 - 17187
   10685 - 17189
   10686 - 17191
   10687 - 17193
   10688 - 17195
   10689 - 17197
   10690 - 17199
   10691 - 17201
   10692 - 17203
   10693 - 18001
   10694 - 18003
   10695 - 18005
   10696 - 18007
   10697 - 18009
   10698 - 18011
   10699 - 18013
   10700 - 18015
   10701 - 18017
   10702 - 18019
   10703 - 18021
   10704 - 18023
   10705 - 18025
   10706 - 18027
   10707 - 18029
   10708 - 18031
   10709 - 18033
   10710 - 18035
   10711 - 18037
   10712 - 18039
   10713 - 18041
   10714 - 18043
   10715 - 18045
   10716 - 18047
   10717 - 18049
   10718 - 18051
   10719 - 18053
   10720 - 18055
   10721 - 18057
   10722 - 18059
   10723 - 18061
   10724 - 18063
   10725 - 18065
   10726 - 18067
   10727 - 18069
   10728 - 18071
   10729 - 18073
   10730 - 18075
   10731 - 18077
   10732 - 18079
   10733 - 18081
   10734 - 18083
   10735 - 18085
   10736 - 18087
   10737 - 18089
   10738 - 18091
   10739 - 18093
   10740 - 18095
   10741 - 18097
   10742 - 18099
   10743 - 18101
   10744 - 18103
   10745 - 18105
   10746 - 18107
   10747 - 18109
   10748 - 18111
   10749 - 18113
   10750 - 18115
   10751 - 18117
   10752 - 18119
   10753 - 18121
   10754 - 18123
   10755 - 18125
   10756 - 18127
   10757 - 18129
   10758 - 18131
   10759 - 18133
   10760 - 18135
   10761 - 18137
   10762 - 18139
   10763 - 18141
   10764 - 18143
   10765 - 18145
   10766 - 18147
   10767 - 18149
   10768 - 18151
   10769 - 18153
   10770 - 18155
   10771 - 18157
   10772 - 18159
   10773 - 18161
   10774 - 18163
   10775 - 18165
   10776 - 18167
   10777 - 18169
   10778 - 18171
   10779 - 18173
   10780 - 18175
   10781 - 18177
   10782 - 18179
   10783 - 18181
   10784 - 18183
   10785 - 19001
   10786 - 19003
   10787 - 19005
   10788 - 19007
   10789 - 19009
   10790 - 19011
   10791 - 19013
   10792 - 19015
   10793 - 19017
   10794 - 19019
   10795 - 19021
   10796 - 19023
   10797 - 19025
</t>
  </si>
  <si>
    <t xml:space="preserve">   10798 - 19027
   10799 - 19029
   10800 - 19031
   10801 - 19033
   10802 - 19035
   10803 - 19037
   10804 - 19039
   10805 - 19041
   10806 - 19043
   10807 - 19045
   10808 - 19047
   10809 - 19049
   10810 - 19051
   10811 - 19053
   10812 - 19055
   10813 - 19057
   10814 - 19059
   10815 - 19061
   10816 - 19063
   10817 - 19065
   10818 - 19067
   10819 - 19069
   10820 - 19071
   10821 - 19073
   10822 - 19075
   10823 - 19077
   10824 - 19079
   10825 - 19081
   10826 - 19083
   10827 - 19085
   10828 - 19087
   10829 - 19089
   10830 - 19091
   10831 - 19093
   10832 - 19095
   10833 - 19097
   10834 - 19099
   10835 - 19101
   10836 - 19103
   10837 - 19105
   10838 - 19107
   10839 - 19109
   10840 - 19111
   10841 - 19113
   10842 - 19115
   10843 - 19117
   10844 - 19119
   10845 - 19121
   10846 - 19123
   10847 - 19125
   10848 - 19127
   10849 - 19129
   10850 - 19131
   10851 - 19133
   10852 - 19135
   10853 - 19137
   10854 - 19139
   10855 - 19141
   10856 - 19143
   10857 - 19145
   10858 - 19147
   10859 - 19149
   10860 - 19151
   10861 - 19153
   10862 - 19155
   10863 - 19157
   10864 - 19159
   10865 - 19161
   10866 - 19163
   10867 - 19165
   10868 - 19167
   10869 - 19169
   10870 - 19171
   10871 - 19173
   10872 - 19175
   10873 - 19177
   10874 - 19179
   10875 - 19181
   10876 - 19183
   10877 - 19185
   10878 - 19187
   10879 - 19189
   10880 - 19191
   10881 - 19193
   10882 - 19195
   10883 - 19197
   10884 - 20001
   10885 - 20003
   10886 - 20005
   10887 - 20007
   10888 - 20009
   10889 - 20011
   10890 - 20013
   10891 - 20015
   10892 - 20017
   10893 - 20019
   10894 - 20021
   10895 - 20023
   10896 - 20025
   10897 - 20027
   10898 - 20029
   10899 - 20031
   10900 - 20033
   10901 - 20035
   10902 - 20037
   10903 - 20039
   10904 - 20041
   10905 - 20043
   10906 - 20045
   10907 - 20047
   10908 - 20049
   10909 - 20051
   10910 - 20053
   10911 - 20055
   10912 - 20057
   10913 - 20059
   10914 - 20061
   10915 - 20063
   10916 - 20065
   10917 - 20067
   10918 - 20069
   10919 - 20071
   10920 - 20073
   10921 - 20075
   10922 - 20077
   10923 - 20079
   10924 - 20081
   10925 - 20083
   10926 - 20085
   10927 - 20087
   10928 - 20089
   10929 - 20091
   10930 - 20093
   10931 - 20095
   10932 - 20097
   10933 - 20099
   10934 - 20101
   10935 - 20103
   10936 - 20105
   10937 - 20107
   10938 - 20109
   10939 - 20111
   10940 - 20113
   10941 - 20115
   10942 - 20117
   10943 - 20119
   10944 - 20121
   10945 - 20123
   10946 - 20125
   10947 - 20127
   10948 - 20129
   10949 - 20131
   10950 - 20133
   10951 - 20135
   10952 - 20137
   10953 - 20139
   10954 - 20141
   10955 - 20143
   10956 - 20145
   10957 - 20147
   10958 - 20149
   10959 - 20151
   10960 - 20153
   10961 - 20155
   10962 - 20157
   10963 - 20159
   10964 - 20161
   10965 - 20163
   10966 - 20165
   10967 - 20167
   10968 - 20169
   10969 - 20171
   10970 - 20173
   10971 - 20175
   10972 - 20177
   10973 - 20179
   10974 - 20181
   10975 - 20183
   10976 - 20185
   10977 - 20187
   10978 - 20189
   10979 - 20191
   10980 - 20193
   10981 - 20195
   10982 - 20197
   10983 - 20199
   10984 - 20201
   10985 - 20203
   10986 - 20205
   10987 - 20207
   10988 - 20209
   10990 - 21003
   10991 - 21005
   10992 - 21007
   10993 - 21009
   10994 - 21011
   10995 - 21013
   10996 - 21015
   10997 - 21017
   10998 - 21019
</t>
  </si>
  <si>
    <t xml:space="preserve">   10989 - 21001
   10999 - 21021
   11000 - 21023
   11001 - 21025
   11002 - 21027
   11003 - 21029
   11004 - 21031
   11005 - 21033
   11006 - 21035
   11007 - 21037
   11008 - 21039
   11009 - 21041
   11010 - 21043 
   11011 - 21045
   11012 - 21047
   11013 - 21049
   11014 - 21051
   11015 - 21053
   11016 - 21055
   11017 - 21057
   11018 - 21059
   11019 - 21061
   11020 - 21063
   11021 - 21065
   11022 - 21067
   11023 - 21069
   11024 - 21071
   11025 - 21073
   11026 - 21075
   11027 - 21077
   11028 - 21079
   11029 - 21081
   11030 - 21083
   11031 - 21085
   11032 - 21087
   11033 - 21089
   11034 - 21091
   11035 - 21093
   11036 - 21095
   11037 - 21097
   11038 - 21099
   11039 - 21101
   11040 - 21103
   11041 - 21105
   11042 - 21107
   11043 - 21109
   11044 - 21111
   11045 - 21113
   11046 - 21115
   11047 - 21117
   11048 - 21119
   11049 - 21121
   11050 - 21123
   11051 - 21125
   11052 - 21127
   11053 - 21129
   11054 - 21131
   11055 - 21133
   11056 - 21135
   11057 - 21137
   11058 - 21139
   11059 - 21141
   11060 - 21143
   11061 - 21145
   11062 - 21147
   11063 - 21149
   11064 - 21151
   11065 - 21153
   11066 - 21155
   11067 - 21157
   11068 - 21159
   11069 - 21161
   11070 - 21163
   11071 - 21165
   11072 - 21167
   11073 - 21169
   11074 - 21171
   11075 - 21173
   11076 - 21175
   11077 - 21177
   11078 - 21179
   11079 - 21181
   11080 - 21183
   11081 - 21185
   11082 - 21187
   11083 - 21189
   11084 - 21191
   11085 - 21193
   11086 - 21195
   11087 - 21197
   11088 - 21199
   11089 - 21201
   11090 - 21203
   11091 - 21205
   11092 - 21207
   11093 - 21209
   11094 - 21211
   11095 - 21213
   11096 - 21215
   11097 - 21217
   11098 - 21219
   11099 - 21221
   11100 - 21223
   11101 - 21225
   11102 - 21227
   11103 - 21229
   11104 - 21231
   11105 - 21233
   11106 - 21235
   11107 - 21237
   11108 - 21239
   11109 - 22001
   11110 - 22003
   11111 - 22005
   11112 - 22007
   11113 - 22009
   11114 - 22011
   11115 - 22013
   11116 - 22015
   11117 - 22017
   11118 - 22019
   11119 - 22021
   11120 - 22023
   11121 - 22025
   11122 - 22027
   11123 - 22029
   11124 - 22031
   11125 - 22033
   11126 - 22035
   11127 - 22037
   11128 - 22039
   11129 - 22041
   11130 - 22043
   11131 - 22045 
   11132 - 22047
   11133 - 22049
   11134 - 22051
   11135 - 22053
   11136 - 22055
   11137 - 22057
   11138 - 22059
   11139 - 22061
   11140 - 22063
   11141 - 22065
   11142 - 22067
   11143 - 22069
   11144 - 22071
   11145 - 22073
   11146 - 22075
   11147 - 22077
   11148 - 22079
   11149 - 02281
   11150 - 22083
   11151 - 22085 
   11152 - 22087 
   11153 - 22089
   11154 - 22091
   11155 - 22093 
   11156 - 22095
   11157 - 22097
   11158 - 22099 
   11159 - 22101 
   11160 - 22103 
   11161 - 22105
   11162 - 22107
   11163 - 22109
   11164 - 22111
   11165 - 22113
   11166 - 22115
   11167 - 22117
   11168 - 22119
   11169 - 22121 
   11170 - 22123
   11171 - 22125 
   11172 - 22127
   11173 - 23001 
   11174 - 23003
   11175 - 23005
   11176 - 23007
   11177 - 23009
   11178 - 23011
   11179 - 23013
   11180 - 23015
   11181 - 23017
   11182 - 23019 
   11183 - 23021 
   11184 - 23023 
   11185 - 23025
   11186 - 23027
   11187 - 23029
   11188 - 23031
   11189 - 24001
   11190 - 24003
   11191 - 24005
   11192 - 24009
   11193 - 24011
   11194 - 24013
   11195 - 24015
   11196 - 24017
</t>
  </si>
  <si>
    <t xml:space="preserve">   11197 - 24019
   11198 - 24021 
   11199 - 24023
   11200 - 24025
   11201 - 24027
   11202 - 24029
   11203 - 24031
   11204 - 24033 
   11205 - 24035
   11206 - 24037
   11207 - 24039
   11208 - 24041
   11209 - 25001
   11210 - 25003
   11211 - 25005
   11212 - 25007
   11213 - 25009
   11214 - 25011
   11215 - 25013
   11216 - 25015
   11217 - 25017
   11218 - 25019
   11219 - 25021
   11220 - 25023
   11221 - 25025
   11222 - 25027
   11223 - 26001
   11224 - 26003
   11225 - 26005
   11226 - 26007
   11227 - 26009
   11228 - 26011
   11229 - 26013
   11230 - 26015
   11231 - 26017
   11232 - 26019
   11233 - 26021
   11234 - 26023
   11235 - 26025
   11236 - 26027
   11237 - 26029
   11238 - 26031 
   11239 - 26033
   11240 - 26035
   11241 - 26037
   11242 - 26039
   11243 - 26041
   11244 - 26043
   11245 - 26045
   11246 - 26047
   11247 - 26049
   11248 - 26051
   11249 - 26053
   11250 - 26055
   11251 - 26057
   11252 - 26059
   11253 - 26061
   11254 - 26063
   11255 - 26065
   11256 - 26067
   11257 - 26069
   11258 - 26071
   11259 - 26073
   11260 - 26075
   11261 - 26077
   11262 - 26079
   11263 - 26081
   11264 - 26083
   11265 - 26085
   11266 - 26087
   11267 - 26089
   11268 - 26091
   11269 - 26093
   11270 - 26095
   11271 - 26097
   11272 - 26099
   11273 - 26101
   11274 - 26103
   11275 - 26105
   11276 - 26107
   11277 - 26109
   11278 - 26111
   11279 - 26113 
   11280 - 26115
   11281 - 26117 
   11282 - 26119
   11283 - 26121 
   11284 - 26123
   11285 - 26125 
   11286 - 26127 
   11287 - 26129
   11288 - 26131
   11289 - 26133
   11290 - 26135
   11291 - 26137
   11292 - 26139
   11293 - 26141
   11294 - 26143
   11295 - 26145 
   11296 - 26147
   11297 - 26149
   11298 - 26151
   11299 - 26153
   11300 - 26155
   11301 - 26157
   11302 - 26159
   11303 - 26161
   11304 - 26163 
   11305 - 26165
   11306 - 27001
   11307 - 27003
   11308 - 27005
   11309 - 27007
   11310 - 27009
   11311 - 27011
   11312 - 27013
   11313 - 27015
   11314 - 27017
   11315 - 27019
   11316 - 27021
   11317 - 27023
   11318 - 27025
   11319 - 27027
   11320 - 27029 
   11321 - 27031
   11322 - 27033
   11323 - 27035
   11324 - 27037
   11325 - 27039
   11326 - 27041
   11327 - 27043
   11328 - 27045
   11329 - 27047
   11330 - 27049
   11331 - 27051
   11332 - 27053
   11333 - 27055
   11334 - 27057
   11335 - 27059
   11336 - 27061
   11337 - 27063
   11338 - 27065
   11339 - 27067
   11340 - 27069
   11341 - 27071
   11342 - 27073
   11343 - 27075
   11344 - 27077
   11345 - 27079
   11346 - 27081
   11347 - 27083
   11348 - 27085
   11349 - 27087
   11350 - 27089
   11351 - 27091
   11352 - 27093 
   11353 - 27095
   11354 - 27097 
   11355 - 27099
   11356 - 27101
   11357 - 27103
   11358 - 27105
   11359 - 27107
   11360 - 27109
   11361 - 27111
   11362 - 27113
   11363 - 27115
   11364 - 27117
   11365 - 27119
   11366 - 27121
   11367 - 27123
   11368 - 27125
   11369 - 27127
   11370 - 27129
   11371 - 27131
   11372 - 27133
   11373 - 27135
   11374 - 27137
   11375 - 27139
   11376 - 27141
   11377 - 27143 
   11378 - 27145
   11379 - 27147
   11380 - 27149 
   11381 - 27151
   11382 - 27153
   11383 - 27155
   11384 - 27157
   11385 - 27159
   11386 - 27161
   11387 - 27163 
   11388 - 27165
   11389 - 27167
   11390 - 27169
   11391 - 27171
   11392 - 27173
   11393 - 28001
   11394 - 28003
   11395 - 28005
</t>
  </si>
  <si>
    <t xml:space="preserve">   11396 - 28007
   11397 - 28009
   11398 - 28011
   11399 - 28013
   11400 - 28015
   11401 - 28017
   11402 - 28019
   11403 - 28021
   11404 - 28023
   11405 - 28025
   11406 - 28027
   11407 - 28029
   11408 - 28031
   11409 - 28033
   11410 - 28035
   11411 - 28037
   11412 - 28039
   11413 - 28041
   11414 - 28043
   11415 - 28045
   11416 - 28047
   11417 - 28049
   11418 - 28051
   11419 - 28053
   11420 - 28055
   11421 - 28057
   11422 - 28059
   11423 - 28061
   11424 - 28063
   11425 - 28065
   11426 - 28067
   11427 - 28069
   11428 - 28071
   11429 - 28073
   11430 - 28075
   11431 - 28077
   11432 - 28079
   11433 - 28081
   11434 - 28083
   11435 - 28085
   11436 - 28087
   11437 - 28089
   11438 - 28091
   11439 - 28093
   11440 - 28095
   11441 - 28097
   11442 - 28099
   11443 - 28101
   11444 - 28103
   11445 - 28105
   11446 - 28107
   11447 - 28109
   11448 - 28111
   11449 - 28113
   11450 - 28115
   11451 - 28117
   11452 - 28119
   11453 - 28121
   11454 - 28123
   11455 - 28125
   11456 - 28127
   11457 - 28129
   11458 - 28131
   11459 - 28133
   11460 - 28135
   11461 - 28137
   11462 - 28139
   11463 - 28141
   11464 - 28143
   11465 - 28145
   11466 - 28147
   11467 - 28149
   11468 - 28151
   11469 - 28153
   11470 - 28155
   11471 - 28157
   11472 - 28159
   11473 - 28161
   11474 - 28163
   11475 - 29001
   11476 - 29003
   11477 - 29005
   11478 - 29007
   11479 - 29009
   11480 - 29011
   11481 - 29013
   11482 - 29015
   11483 - 29017
   11484 - 29019
   11485 - 29021
   11486 - 29023
   11487 - 29025
   11488 - 29027
   11489 - 29029
   11490 - 29031
   11491 - 29033
   11492 - 29035
   11493 - 29037
   11494 - 29039
   11495 - 29041
   11496 - 29043
   11497 - 29045
   11498 - 29047
   11499 - 29049
   11500 - 29051
   11501 - 29053
   11502 - 29055
   11503 - 29057
   11504 - 29059
   11505 - 29061
   11506 - 29063 
   11507 - 29065
   11508 - 29067
   11509 - 29069
   11510 - 29071
   11511 - 29073
   11512 - 29075
   11513 - 29077
   11514 - 29079
   11515 - 29081
   11516 - 29083
   11517 - 29085
   11518 - 29087 
   11519 - 29089
   11520 - 29091
   11521 - 29093
   11522 - 29095
   11523 - 29097
   11524 - 29099
   11525 - 29101
   11526 - 29103
   11527 - 29105
   11528 - 29107
   11529 - 29109
   11530 - 29111
   11531 - 29113
   11532 - 29115
   11533 - 29117 
   11534 - 29119
   11535 - 29121
   11536 - 29123
   11537 - 29125
   11538 - 29127
   11539 - 29129
   11540 - 29131 
   11541 - 29133
   11542 - 29135
   11543 - 29137
   11544 - 29139
   11545 - 29141
   11546 - 29143
   11547 - 29145
   11548 - 29147
   11549 - 29149
   11550 - 29151
   11551 - 29153
   11552 - 29155
   11553 - 29157
   11554 - 29159
   11555 - 29161
   11556 - 29163
   11557 - 29165
   11558 - 29167
   11559 - 29169
   11560 - 29171
   11561 - 29173
   11562 - 29175
   11563 - 29177
   11564 - 29179
   11565 - 29181
   11566 - 29183
   11567 - 29185
   11568 - 29186
   11569 - 29187
   11570 - 29189
   11571 - 29195
   11572 - 29197
   11573 - 29199
   11574 - 29201
   11575 - 29203
   11576 - 29205
   11577 - 29207
   11578 - 29209
   11579 - 29211
   11580 - 29213
   11581 - 29215
   11582 - 29217
   11583 - 29219
   11584 - 29221
   11585 - 29223
   11586 - 29225
   11587 - 29227
   11588 - 29229
   11589 - 30001
   11590 - 30003
   11591 - 30005
   11592 - 30007
   11593 - 30009
   11594 - 30011
   11595 - 30013
</t>
  </si>
  <si>
    <t xml:space="preserve">   11596 - 30015
   11597 - 30017
   11598 - 30019
   11599 - 30021
   11600 - 30023
   11601 - 30025
   11602 - 30027
   11603 - 30029
   11604 - 30031
   11605 - 30033
   11606 - 30035
   11607 - 30037
   11608 - 30039
   11609 - 30041
   11610 - 30043
   11611 - 30045
   11612 - 30047
   11613 - 30049
   11614 - 30051
   11615 - 30053
   11616 - 30055
   11617 - 30057
   11618 - 30059
   11619 - 30061
   11620 - 30063
   11621 - 30065
   11622 - 30067
   11623 - 30069
   11624 - 30071
   11625 - 30073
   11626 - 30075
   11627 - 30077 
   11628 - 30079
   11629 - 30081
   11630 - 30083
   11631 - 30085
   11632 - 30087
   11633 - 30089
   11634 - 30091
   11635 - 30093
   11636 - 30095
   11637 - 30097
   11638 - 30099
   11639 - 30101
   11640 - 30103
   11641 - 30105
   11642 - 30107
   11643 - 30109
   11644 - 30111
   11645 - 31001
   11646 - 31003
   11647 - 31005
   11648 - 31007
   11649 - 31009
   11650 - 31011
   11651 - 31013
   11652 - 31015
   11653 - 31017
   11654 - 31019
   11655 - 31021
   11656 - 31023
   11657 - 31025
   11658 - 31027
   11659 - 31029
   11660 - 31031
   11661 - 31033
   11662 - 31035
   11663 - 31037
   11664 - 31039
   11665 - 31041
   11666 - 31043
   11667 - 31045
   11668 - 31047
   11669 - 31049
   11670 - 31051
   11671 - 31053
   11672 - 31055
   11673 - 31057
   11674 - 31059
   11675 - 31061
   11676 - 31063
   11677 - 31065
   11678 - 31067
   11679 - 31069
   11680 - 31071
   11681 - 31073
   11682 - 31075
   11683 - 31077
   11684 - 31079
   11685 - 31081
   11686 - 31083
   11687 - 31085
   11688 - 31087
   11689 - 31089
   11690 - 31091
   11691 - 31093
   11692 - 31095
   11693 - 31097
   11694 - 31099
   11695 - 31101
   11696 - 31103
   11697 - 31105
   11698 - 31107
   11699 - 31109
   11700 - 31111
   11701 - 31113
   11702 - 31115
   11703 - 31117
   11704 - 31119
   11705 - 31121
   11706 - 31123
   11707 - 31125
   11708 - 31127
   11709 - 31129
   11710 - 31131 
   11711 - 31133 
   11712 - 31135
   11713 - 31137
   11714 - 31139
   11715 - 31141
   11716 - 31143 
   11717 - 31145
   11718 - 31147
   11719 - 31149
   11720 - 31151
   11721 - 31153
   11723 - 31157
   11722 - 31155
   11724 - 31159 
   11725 - 31161
   11726 - 31163
   11727 - 31165
   11728 - 31167
   11729 - 31169
   11730 - 31171
   11731 - 31173 
   11732 - 31175
   11733 - 31177
   11734 - 31179
   11735 - 31181
   11736 - 31183
   11737 - 31185
   11738 - 32001
   11739 - 32003
   11740 - 32005
   11741 - 32007
   11742 - 32009
   11743 - 32011
   11744 - 32013
   11745 - 32015
   11746 - 32017
   11747 - 32019
   11748 - 32021
   11749 - 32023
   11750 - 32027
   11751 - 32029
   11752 - 32031
   11753 - 32033
   11754 - 33001
   11755 - 33003
   11756 - 33005
   11757 - 33007
   11758 - 33009
   11759 - 33011
   11760 - 33013
   11761 - 33015
   11762 - 33017
   11763 - 33019
   11764 - 34001
   11765 - 34003
   11766 - 34005
   11767 - 34007
   11768 - 34009
   11769 - 34011
   11770 - 34013
   11771 - 34015
   11772 - 34017
   11773 - 34019
   11774 - 34021
   11775 - 34023
   11776 - 34025
   11777 - 34027
   11778 - 34029
   11779 - 34031
   11780 - 34033
   11781 - 34035
   11782 - 34037
   11783 - 34039
   11784 - 34041
   11785 - 35001
   11786 - 35003
   11787 - 35005
   11788 - 35006
   11789 - 35007
   11790 - 35009
   11791 - 35011
   11792 - 35013
   11793 - 35015
   11794 - 35017
</t>
  </si>
  <si>
    <t xml:space="preserve">   11795 - 35019
   11796 - 35021
   11797 - 35023
   11798 - 35025
   11799 - 35027
   11800 - 35028
   11801 - 35029
   11802 - 35031
   11803 - 35033
   11804 - 35035
   11805 - 35037
   11806 - 35039
   11807 - 35041
   11808 - 35043
   11809 - 35045
   11810 - 35047
   11811 - 35049
   11812 - 35051
   11813 - 35053
   11814 - 35055
   11815 - 35057
   11816 - 35059
   11817 - 35061
   11818 - 36001
   11819 - 36003
   11820 - 36005
   11821 - 36007
   11822 - 36009
   11823 - 36011
   11824 - 36013
   11825 - 36015
   11826 - 36017
   11827 - 36019
   11828 - 36021
   11829 - 36023
   11830 - 36025
   11831 - 36027
   11832 - 36029
   11833 - 36031
   11834 - 36033
   11835 - 36035
   11836 - 36037
   11837 - 36039
   11838 - 36041
   11839 - 36043
   11840 - 36045
   11841 - 36047
   11842 - 36049
   11843 - 36051
   11844 - 36053
   11845 - 36055
   11846 - 36057
   11847 - 36059
   11848 - 36061
   11849 - 36063
   11850 - 36065
   11851 - 36067
   11852 - 36069
   11853 - 36071
   11854 - 36073
   11855 - 36075
   11856 - 36077
   11857 - 36079
   11858 - 36081
   11859 - 36083
   11860 - 36085
   11861 - 36087
   11862 - 36089
   11863 - 36091
   11864 - 36093
   11865 - 36095
   11866 - 36097
   11867 - 36099
   11868 - 36101
   11869 - 36103
   11870 - 36105
   11871 - 36107
   11872 - 36109
   11873 - 36111
   11874 - 36113
   11875 - 36115
   11876 - 36117
   11877 - 36119
   11878 - 36121
   11879 - 36123
   11880 - 37001
   11881 - 37003
   11882 - 37005
   11883 - 37007
   11884 - 37009
   11885 - 37011
   11886 - 37013
   11887 - 37015
   11888 - 37017
   11889 - 37019
   11890 - 37021
   11891 - 37023
   11892 - 37025
   11893 - 37027
   11894 - 37029
   11895 - 37031
   11896 - 37033
   11897 - 37035
   11898 - 37037
   11899 - 37039
   11900 - 37041
   11901 - 37043
   11902 - 37045
   11903 - 37047
   11904 - 37049
   11905 - 37051
   11906 - 37053
   11907 - 37055
   11908 - 37057
   11909 - 37059
   11910 - 37061
   11911 - 37063
   11912 - 37065
   11913 - 37067
   11914 - 37069
   11915 - 37071
   11916 - 37073
   11917 - 37075
   11918 - 37077
   11919 - 37079
   11920 - 37081
   11921 - 37083
   11922 - 37085
   11923 - 37087
   11924 - 37089
   11925 - 37091
   11926 - 37093
   11927 - 37095
   11928 - 37097
   11929 - 37099
   11930 - 37101
   11931 - 37103
   11932 - 37105
   11933 - 37107
   11934 - 37109
   11935 - 37111
   11936 - 37113
   11937 - 37115
   11938 - 37117
   11939 - 37119
   11940 - 37121
   11941 - 37123
   11942 - 37125
   11943 - 37127
   11944 - 37129
   11945 - 37131
   11946 - 37133
   11947 - 37135
   11948 - 37137
   11949 - 37139
   11950 - 37141
   11951 - 37143
   11952 - 37145
   11953 - 37147
   11954 - 37149
   11955 - 37151
   11956 - 37153
   11957 - 37155
   11958 - 37157
   11959 - 37159
   11960 - 37161
   11961 - 37163
   11962 - 37165
   11963 - 37167
   11964 - 37169
   11965 - 37171
   11966 - 37173
   11967 - 37175
   11968 - 37177
   11969 - 37179
   11970 - 37181
   11971 - 37183
   11972 - 37185
   11973 - 37187
   11974 - 37189
   11975 - 37191
   11976 - 37193
   11977 - 37195
   11978 - 37197
   11979 - 37199
   11980 - 38001
   11981 - 38003
   11982 - 38005
   11983 - 38007
   11984 - 38009
   11985 - 38011
   11986 - 38013
   11987 - 38015
   11988 - 38017
   11989 - 38019
   11990 - 38021
   11991 - 38023
   11992 - 38025
   11993 - 38027
   11994 - 38029
</t>
  </si>
  <si>
    <t xml:space="preserve">   11995 - 38031
   11996 - 38033
   11997 - 38035
   11998 - 38037
   11999 - 38039
   12000 - 38041
   12001 - 38043
   12002 - 38045
   12003 - 38047
   12004 - 38049
   12005 - 38051
   12006 - 38053
   12007 - 38055
   12008 - 38057
   12009 - 38059
   12010 - 38061
   12011 - 38063
   12012 - 38065
   12013 - 38067
   12014 - 38069
   12015 - 38071
   12016 - 38073
   12017 - 38075
   12018 - 38077
   12019 - 38079
   12020 - 38081
   12021 - 38083
   12022 - 38085
   12023 - 38087
   12024 - 38089
   12025 - 38091
   12026 - 38093
   12027 - 38095
   12028 - 38097
   12029 - 38099
   12030 - 38101
   12031 - 38103
   12032 - 38105
   12033 - 39001
   12034 - 39003
   12035 - 39005
   12036 - 39007
   12037 - 39009
   12038 - 39011
   12039 - 39013
   12040 - 39015
   12041 - 39017
   12042 - 39019
   12043 - 39021
   12044 - 39023
   12045 - 39025
   12046 - 39027
   12047 - 39029
   12048 - 39031
   12049 - 39033
   12050 - 39035
   12051 - 39037
   12052 - 39039
   12053 - 39041
   12054 - 39043
   12055 - 39045
   12056 - 39047
   12057 - 39049
   12058 - 39051
   12059 - 39053
   12060 - 39055
   12061 - 39057
   12062 - 39059
   12063 - 39061
   12064 - 39063
   12065 - 39065
   12066 - 39067
   12067 - 39069
   12068 - 39071
   12069 - 39073
   12070 - 39075
   12071 - 39077
   12072 - 39079
   12073 - 39081
   12074 - 39083
   12075 - 39085
   12076 - 39087
   12077 - 39089
   12078 - 39091
   12079 - 39093
   12080 - 39095
   12081 - 39097
   12082 - 39099
   12083 - 39101
   12084 - 39103
   12085 - 39105
   12086 - 39107
   12087 - 39109
   12088 - 39111
   12089 - 39113
   12090 - 39115
   12091 - 39117
   12092 - 39119
   12093 - 39121
   12094 - 39123
   12095 - 39125
   12096 - 39127
   12097 - 39129
   12098 - 39131
   12099 - 39133
   12100 - 39135
   12101 - 39137
   12102 - 39139
   12103 - 39141
   12104 - 39143
   12105 - 39145
   12106 - 39147
   12107 - 39149
   12108 - 39151
   12109 - 39153
   12110 - 39155
   12111 - 39157
   12112 - 39159
   12113 - 39161
   12114 - 39163
   12115 - 39165
   12116 - 39167
   12117 - 39169
   12118 - 39171
   12119 - 39173
   12120 - 39175
   12121 - 40001
   12122 - 40003
   12123 - 40005
   12124 - 40007
   12125 - 40009
   12126 - 40011
   12127 - 40013
   12128 - 40015
   12129 - 40017
   12130 - 40019
   12131 - 40021
   12132 - 40023
   12133 - 40025
   12134 - 40027
   12135 - 40029
   12136 - 40031
   12137 - 40033
   12138 - 40035
   12139 - 40037
   12140 - 40039
   12141 - 40041
   12142 - 40043
   12143 - 40045
   12144 - 40047
   12145 - 40049
   12146 - 40051
   12147 - 40053
   12148 - 40055
   12149 - 40057
   12150 - 40059
   12151 - 40061
   12152 - 40063
   12153 - 40065
   12154 - 40067
   12155 - 40069
   12156 - 40071
   12157 - 40073
   12158 - 40075
   12159 - 40077
   12160 - 40079
   12161 - 40081
   12162 - 40083
   12163 - 40085
   12164 - 40087
   12165 - 40089
   12166 - 40091
   12167 - 40093
   12168 - 40095
   12169 - 40097
   12170 - 40099
   12171 - 40101
   12172 - 40103
   12173 - 40105
   12174 - 40107
   12175 - 40109
   12176 - 40111
   12177 - 40113
   12178 - 40115
   12179 - 40117
   12180 - 40119
   12181 - 40121
   12182 - 40123
   12183 - 40125
   12184 - 40127
   12185 - 40129
   12186 - 40131
   12187 - 40133
   12188 - 40135
   12189 - 40137
   12190 - 40139
   12191 - 40141
   12192 - 40143
   12193 - 40145
   12194 - 40147
</t>
  </si>
  <si>
    <t xml:space="preserve">   12195 - 40149
   12196 - 40151
   12197 - 40153
   12198 - 412001
   12199 - 41003
   12200 - 41005
   12201 - 41007
   12202 - 41009
   12203 - 41011
   12204 - 41013
   12205 - 41015
   12206 - 41017
   12207 - 41019
   12208 - 41021
   12209 - 41023
   12210 - 41025
   12211 - 41027
   12212 - 41029
   12213 - 41031
   12214 - 41033
   12215 - 41035
   12216 - 41037
   12217 - 41039
   12218 - 41041
   12219 - 41043
   12220 - 41045
   12221 - 41047
   12222 - 41049
   12223 - 41051
   12224 - 41053
   12225 - 41055
   12226 - 41057
   12227 - 41059
   12228 - 41061
   12229 - 41063
   12230 - 41065
   12231 - 41067
   12232 - 41069
   12233 - 41071
   12234 - 42001
   12235 - 42003
   12236 - 42005
   12237 - 42007
   12238 - 42009
   12239 - 42011
   12240 - 42013
   12241 - 42015
   12242 - 42017
   12243 - 42019
   12244 - 42021
   12245 - 42023
   12246 - 42025
   12247 - 42027
   12248 - 42029
   12249 - 42031
   12250 - 42033
   12251 - 42035
   12252 - 42037
   12253 - 42039
   12254 - 42041
   12255 - 42043
   12256 - 42045
   12257 - 42047
   12258 - 42049
   12259 - 42051
   12260 - 42053
   12261 - 42055
   12262 - 42057
   12263 - 42059
   12264 - 42061
   12265 - 42063
   12266 - 42065
   12267 - 42067
   12268 - 42069
   12269 - 42071
   12270 - 42073
   12271 - 42075
   12272 - 42077
   12273 - 42079
   12274 - 42081
   12275 - 42083
   12276 - 42085
   12277 - 42087
   12278 - 42089
   12279 - 42091
   12280 - 42093
   12281 - 42095
   12282 - 42097
   12283 - 42099
   12284 - 42101
   12285 - 42103
   12286 - 42105
   12287 - 42107
   12288 - 42109
   12289 - 42111
   12290 - 42113
   12291 - 42115
   12292 - 42117
   12293 - 42119
   12294 - 42121
   12295 - 42123
   12296 - 42125
   12297 - 42127
   12298 - 42129
   12299 - 42131
   12300 - 42133
   12301 - 44001
   12302 - 44003
   12303 - 44005
   12304 - 44007
   12305 - 44009
   12306 - 45001
   12307 - 45003
   12308 - 45005
   12309 - 45007
   12310 - 45009
   12311 - 45011
   12312 - 45013
   12313 - 45015
   12314 - 45017
   12315 - 45019
   12316 - 45021
   12317 - 45023
   12318 - 45025
   12319 - 45027
   12320 - 45029
   12321 - 45031
   12322 - 45033
   12323 - 45035
   12324 - 45037
   12325 - 45039
   12326 - 45041
   12327 - 45043
   12328 - 45045
   12329 - 45047
   12330 - 45049
   12331 - 45051
   12332 - 45053
   12333 - 45055
   12334 - 45057
   12335 - 45059
   12336 - 45061
   12337 - 45063
   12338 - 45065
   12339 - 45067
   12340 - 45069
   12341 - 45071
   12342 - 45073
   12343 - 45075
   12344 - 45077
   12345 - 45079
   12346 - 45081
   12347 - 45083
   12348 - 45085
   12349 - 45087
   12350 - 45089
   12351 - 45091
   12352 - 46003
   12353 - 46005
   12354 - 46007
   12355 - 46009
   12356 - 46011
   12357 - 46013
   12358 - 46015
   12359 - 46017
   12360 - 46019
   12361 - 46021
   12362 - 46023
   12363 - 46025
   12364 - 46027
   12365 - 46029
   12366 - 46031
   12367 - 46033
   12368 - 46035
   12369 - 46037
   12370 - 46039
   12371 - 46041
   12372 - 46043
   12373 - 46045
   12374 - 46047
   12375 - 46049
   12376 - 46051
   12377 - 46053
   12378 - 46055
   12379 - 46057
   12380 - 46059
   12381 - 46061
   12382 - 46063
   12383 - 46065
   12384 - 46067
   12385 - 46069
   12386 - 46071
   12387 - 46073
   12388 - 46075
   12389 - 46077
   12390 - 46079
   12391 - 46081
   12392 - 46083
   12393 - 46085
   12394 - 46087
</t>
  </si>
  <si>
    <t xml:space="preserve">   12395 - 46089
   12396 - 46091
   12397 - 46093
   12398 - 46095
   12399 - 46097
   12400 - 46099
   12401 - 46101
   12402 - 46103
   12403 - 46105
   12404 - 46107
   12405 - 46109
   12406 - 46111
   12407 - 46113
   12408 - 46115
   12409 - 46117
   12410 - 46119
   12411 - 46121
   12412 - 46123
   12413 - 46125
   12414 - 46127
   12415 - 46129
   12416 - 46135
   12417 - 46137
   12418 - 47001
   12419 - 47003
   12420 - 47005
   12421 - 47007
   12422 - 47009
   12423 - 47011
   12424 - 47013
   12425 - 47015
   12426 - 47017
   12427 - 47019
   12428 - 47021
   12429 - 47023
   12430 - 47025
   12431 - 47027
   12432 - 47029
   12433 - 47031
   12434 - 47033
   12435 - 47035
   12436 - 47037
   12437 - 47039
   12438 - 47041
   12439 - 47043
   12440 - 47045
   12441 - 47047
   12442 - 47049
   12443 - 47051
   12444 - 47053
   12445 - 47055
   12446 - 47057
   12447 - 47059
   12448 - 47061
   12449 - 47063
   12450 - 47065
   12451 - 47067
   12452 - 47069
   12453 - 47071
   12454 - 47073
   12455 - 47075
   12456 - 47077
   12457 - 47079
   12458 - 47081
   12459 - 47083
   12460 - 47085
   12461 - 47087
   12462 - 47089
   12463 - 47091
   12464 - 47093
   12465 - 47095
   12466 - 47097
   12467 - 47099
   12468 - 47101
   12469 - 47103
   12470 - 47105
   12471 - 47107
   12472 - 47109
   12473 - 47111
   12474 - 47113
   12475 - 47115
   12476 - 47117
   12477 - 47119
   12478 - 47121
   12479 - 47123
   12480 - 47125
   12481 - 47127
   12482 - 47129
   12483 - 47131
   12484 - 47133
   12485 - 47135
   12486 - 47137
   12487 - 47139
   12488 - 47141
   12489 - 47143
   12490 - 47145
   12491 - 47147
   12492 - 47149
   12493 - 47151
   12494 - 47153
   12495 - 47155
   12496 - 47157
   12497 - 47159
   12498 - 47161
   12499 - 47163
   12500 - 47165
   12501 - 47167
   12502 - 47169
   12503 - 47171
   12504 - 47173
   12505 - 47175
   12506 - 47177
   12507 - 47179
   12508 - 47181
   12509 - 47183
   12510 - 47185
   12511 - 47187
   12512 - 47189
   12513 - 48001
   12514 - 48003
   12515 - 48005
   12516 - 48007
   12517 - 48009
   12518 - 48011
   12519 - 48013
   12520 - 48015
   12521 - 48017
   12522 - 48019
   12523 - 48021
   12524 - 48023
   12525 - 48025
   12526 - 48027
   12527 - 48029
   12528 - 48031
   12529 - 48033
   12530 - 48035
   12531 - 48037
   12532 - 48039
   12533 - 48041
   12534 - 48043
   12535 - 48045
   12536 - 48047
   12537 - 48049
   12538 - 48051
   12539 - 48053
   12540 - 48055
   12541 - 48057
   12542 - 48059
   12543 - 48061
   12544 - 48063
   12545 - 48065
   12546 - 48067
   12547 - 48069
   12548 - 48071
   12549 - 48073
   12550 - 48075
   12551 - 48077
   12552 - 48079
   12553 - 48081
   12554 - 48083
   12555 - 48085
   12556 - 48087
   12557 - 48089
   12558 - 48091
   12559 - 48093
   12560 - 48095
   12561 - 48097
   12562 - 48099
   12563 - 48101
   12564 - 48103
   12565 - 48105
   12566 - 48107
   12567 - 48109
   12568 - 48111
   12569 - 48113
   12570 - 48115
   12571 - 48117
   12572 - 48119
   12573 - 48121
   12574 - 48123
   12575 - 48125
   12576 - 48127
   12577 - 48129
   12578 - 48131
   12579 - 48133
   12580 - 48135
   12581 - 48137
   12582 - 48139
   12583 - 48141
   12584 - 48143
   12585 - 48145
   12586 - 48147
   12587 - 48149
   12588 - 48151
   12589 - 48153
   12590 - 48155
   12591 - 48157
   12592 - 48159
   12593 - 48161
   12594 - 48163
</t>
  </si>
  <si>
    <t xml:space="preserve">   12595 - 48165
   12596 - 48167
   12597 - 48169
   12598 - 48171
   12599 - 48173
   12600 - 48175
   12601 - 48177
   12602 - 48179
   12603 - 48181
   12604 - 48183
   12605 - 48185
   12606 - 48187
   12607 - 48189
   12608 - 48191
   12609 - 48193
   12610 - 48195
   12611 - 48197
   12612 - 48199
   12613 - 48201
   12614 - 48203
   12615 - 48205
   12616 - 48207
   12617 - 48209
   12618 - 48211
   12619 - 48213
   12620 - 48215
   12621 - 48217
   12622 - 48219
   12623 - 48221
   12624 - 48223
   12625 - 48225
   12626 - 48227
   12627 - 48229
   12628 - 48231
   12629 - 48233
   12630 - 48235
   12631 - 48237
   12632 - 48239
   12633 - 48241
   12634 - 48243
   12635 - 48245
   12636 - 48247
   12637 - 48249
   12638 - 48251
   12639 - 48253
   12640 - 48255
   12641 - 48257
   12642 - 48259
   12643 - 48261
   12644 - 48263
   12645 - 48265
   12646 - 48267
   12647 - 48269
   12648 - 48271
   12649 - 48273
   12650 - 48275
   12651 - 48277
   12652 - 48279
   12653 - 48281
   12654 - 48283
   12655 - 48285
   12656 - 48287
   12657 - 48289
   12658 - 48291
   12659 - 48293
   12660 - 48295
   12661 - 48297
   12662 - 48299
   12663 - 48301
   12664 - 48303
   12665 - 48305
   12666 - 48307
   12667 - 48309
   12668 - 48311
   12669 - 48313
   12670 - 48315
   12671 - 48317
   12672 - 48319
   12673 - 48321
   12674 - 48323
   12675 - 48325
   12676 - 48327
   12677 - 48329
   12678 - 48331
   12679 - 48333
   12680 - 48335
   12681 - 48337
   12682 - 48339
   12683 - 48341
   12684 - 48343
   12685 - 48345
   12686 - 48347
   12687 - 48349
   12688 - 48351
   12689 - 48353
   12690 - 48355
   12691 - 48357
   12692 - 48359
   12693 - 48361
   12694 - 48363
   12695 - 48365
   12696 - 48367
   12697 - 48369
   12698 - 48371
   12699 - 48373
   12700 - 48375
   12701 - 48377
   12702 - 48379
   12703 - 48381
   12704 - 48383
   12705 - 48385
   12706 - 48387
   12707 - 48389
   12708 - 48391
   12709 - 48393
   12710 - 48395
   12711 - 48397
   12712 - 48399
   12713 - 48401
   12714 - 48403
   12715 - 48405
   12716 - 48407
   12717 - 48409
   12718 - 48411
   12719 - 48413
   12720 - 48415
   12721 - 48417
   12722 - 48419
   12723 - 48421
   12724 - 48423
   12725 - 48425
   12726 - 48427
   12727 - 48429
   12728 - 48431
   12729 - 48433
   12730 - 48435
   12731 - 48437
   12732 - 48439
   12733 - 48441
   12734 - 48443
   12735 - 48445
   12736 - 48447
   12737 - 48449
   12738 - 48451
   12739 - 48453
   12740 - 48455
   12741 - 48457
   12742 - 48459
   12743 - 48461
   12744 - 48463
   12745 - 48465
   12746 - 48467
   12747 - 48469
   12748 - 48471
   12749 - 48473
   12750 - 48475
   12751 - 48477
   12752 - 48479
   12753 - 48481
   12754 - 48483
   12755 - 48485
   12756 - 48487
   12757 - 48489
   12758 - 48491
   12759 - 48493
   12760 - 48495
   12761 - 48497
   12762 - 48499
   12763 - 48501
   12764 - 48503
   12765 - 48505
   12766 - 48507
   12767 - 49001
   12768 - 49003
   12769 - 49005
   12770 - 49007
   12771 - 49009
   12772 - 49011
   12773 - 49013
   12774 - 49015
   12775 - 49017
   12776 - 49019
   12777 - 49021
   12778 - 49023
   12779 - 49025
   12780 - 49027
   12781 - 49029
   12782 - 49031
   12784 - 49035
   12785 - 49037
   12786 - 49039
   12787 - 49041
   12788 - 49043
   12789 - 49045
   12790 - 49047
   12791 - 49049
   12792 - 49051
   12793 - 49053
   12794 - 49055
   12795 - 49057
</t>
  </si>
  <si>
    <t xml:space="preserve">   12796 - 50001
   12797 - 50003
   12798 - 50005
   12799 - 50007
   12800 - 50009
   12801 - 50011
   12802 - 50013
   12803 - 50015
   12804 - 50017
   12805 - 50019
   12806 - 50021
   12807 - 50023
   12808 - 50025
   12809 - 50027
   12810 - 51001
   12811 - 51003
   12812 - 51005
   12813 - 51007
   12814 - 51009
   12815 - 51011
   12816 - 51013
   12817 - 51015
   12818 - 51017
   12819 - 51019
   12820 - 51021
   12821 - 51023
   12822 - 51025
   12823 - 51027
   12824 - 51029
   12825 - 51031
   12826 - 51033
   12827 - 51035
   12828 - 51036
   12829 - 51037
   12830 - 51041
   12831 - 51043
   12832 - 51045
   12833 - 51047
   12834 - 51049
   12835 - 51051
   12836 - 51053
   12837 - 51057
   12838 - 51059
   12839 - 51061
   12840 - 51063
   12841 - 51065
   12842 - 51067
   12843 - 51069
   12844 - 51071
   12845 - 51073
   12846 - 51075
   12847 - 51077
   12848 - 51079
   12849 - 51081
   12850 - 51083
   12851 - 51085
   12852 - 51087
   12853 - 51089
   12854 - 51091
   12855 - 51093
   12856 - 51095
   12857 - 51097
   12858 - 51099
   12859 - 51101
   12860 - 51103
   12861 - 51105
   12862 - 51107
   12863 - 51109
   12864 - 51111
   12865 - 51113
   12866 - 51115
   12867 - 51117
   12868 - 51119
   12869 - 51121
   12870 - 51125
   12871 - 51127
   12872 - 51131
   12873 - 51133
   12874 - 51135
   12875 - 51137
   12876 - 51139
   12877 - 51141
   12878 - 51143
   12879 - 51145
   12880 - 51147
   12881 - 51149
   12882 - 51153
   12883 - 51155
   12884 - 51157
   12885 - 51159
   12886 - 51161
   12887 - 51163
   12888 - 51165
   12889 - 51167
   12890 - 51169
   12891 - 51171
   12892 - 51173
   12893 - 51175
   12894 - 51177
   12895 - 51179
   12896 - 51181
   12897 - 51183
   12898 - 51185
   12899 - 51187
   12900 - 51191
   12901 - 51193
   12902 - 51195
   12903 - 51197
   12904 - 51199
   12905 - 51510
   12906 - 51515
   12907 - 51520
   12908 - 51530
   12909 - 51540
   12910 - 51550
   12911 - 51560
   12912 - 51570
   12913 - 51580
   12914 - 51590
   12915 - 51595
   12916 - 51600
   12917 - 51610
   12918 - 51620
   12919 - 51630
   12920 - 51640
   12921 - 51650
   12922 - 51660
   12923 - 51670
   12924 - 51678
   12925 - 51680
   12926 - 51683
   12927 - 51685
   12928 - 51690
   12929 - 51700
   12930 - 51710
   12931 - 51720
   12932 - 51730
   12933 - 51735
   12934 - 51740
   12935 - 51750
   12936 - 51760
   12937 - 51770
   12938 - 51775
   12939 - 51780
   12940 - 51790
   12941 - 51800
   12942 - 51810
   12943 - 51820
   12944 - 51830
   12945 - 51840
   12946 - 53001
   12947 - 53003
   12948 - 53005
   12949 - 53007
   12950 - 53009
   12951 - 53011
   12952 - 53013
   12953 - 53015
   12954 - 53017
   12955 - 53019
   12956 - 53021
   12957 - 53023
   12958 - 53025
   12959 - 53027
   12960 - 53029
   12961 - 53031
   12962 - 53033
   12963 - 53035
   12964 - 53037
   12965 - 53039
   12966 - 53041
   12967 - 53043
   12968 - 53045
   12969 - 53047
   12970 - 53049
   12971 - 53051
   12972 - 53053
   12973 - 53055
   12974 - 53057
   12975 - 53059
   12976 - 53061
   12977 - 53063
   12978 - 53065
   12979 - 53067
   12980 - 53069
   12981 - 53071
   12982 - 53073
   12983 - 53075
   12984 - 53077
   12985 - 54001
   12986 - 54003
   12987 - 54005
   12988 - 54007
   12989 - 54009
   12990 - 54011
   12991 - 54013
   12992 - 54015
   12993 - 54017
   12994 - 54019
   12995 - 54021
</t>
  </si>
  <si>
    <t xml:space="preserve">   12996 - 54023
   12997 - 54025
   12998 - 54027
   12999 - 54029
   13000 - 54031
   13001 - 54033
   13002 - 54035
   13003 - 54037
   13004 - 54039
   13005 - 54041
   13006 - 54043
   13007 - 54045
   13008 - 54047
   13009 - 54049
   13010 - 54051
   13011 - 54053
   13012 - 54055
   13013 - 54057
   13014 - 54059
   13015 - 54061
   13016 - 54063
   13017 - 54065
   13018 - 54067
   13019 - 54069
   13020 - 54071
   13021 - 54073
   13022 - 54075
   13023 - 54077
   13024 - 54079
   13025 - 54081
   13026 - 54083
   13027 - 54085
   13028 - 54087
   13029 - 54089
   13030 - 54091
   13031 - 54093
   13032 - 54095
   13033 - 54097
   13034 - 54099
   13035 - 54101
   13036 - 54103
   13037 - 54105
   13038 - 54107
   13039 - 54109
   13040 - 55001
   13041 - 55003
   13042 - 55005
   13043 - 55007
   13044 - 55009
   13045 - 55011
   13046 - 55013
   13047 - 55015
   13048 - 55017
   13049 - 55019
   13050 - 55021
   13051 - 55023
   13052 - 55025
   13053 - 55027
   13054 - 55029
   13055 - 55031
   13056 - 55033
   13057 - 55035
   13058 - 55037
   13059 - 55039
   13060 - 55041
   13061 - 55043
   13062 - 55045
   13063 - 55047
   13064 - 55049
   13065 - 55051
   13066 - 55053
   13067 - 55055
   13068 - 55057
   13069 - 55059
   13070 - 55061
   13071 - 55063
   13072 - 55065
   13073 - 55067
   13074 - 55069
   13075 - 55071
   13076 - 55073
   13077 - 55075
   13078 - 55077
   13079 - 55078
   13080 - 55079
   13081 - 55081
   13082 - 55083
   13083 - 55085
   13084 - 55087
   13085 - 55089
   13086 - 55091
   13087 - 55093
   13088 - 55095
   13089 - 55097
   13090 - 55099
   13091 - 55101
   13092 - 55103
   13093 - 55105
   13094 - 55107
   13095 - 55109
   13096 - 55111
   13097 - 55113
   13098 - 55115
   13099 - 55117
   13100 - 55119
   13101 - 55121
   13102 - 55123
   13103 - 55125
   13104 - 55127
   13105 - 55129
   13106 - 55131
   13107 - 55133
   13108 - 55135
   13109 - 55137
   13110 - 55139
   13111 - 55141
   13112 - 56001
   13113 - 56003
   13114 - 56005
   13115 - 56007
   13116 - 56009
   13117 - 56011
   13118 - 56013
   13119 - 56015
   13120 - 56017
   13121 - 56019
   13122 - 56021
   13123 - 56023
   13124 - 56025
   13125 - 56027
   13126 - 56029
   13127 - 56031
   13128 - 56033
   13129 - 56035
   13130 - 56037
   13131 - 56039
   13132 - 56041
   13133 - 56043
   13134 - 56045
   13135 - 60010
   13136 - 60020
   13137 - 60030
   13138 - 60040
   13139 - 60050
   13140 - 64002
   13141 - 64005
   13142 - 64040
   13143 - 64060
   13144 - 66010
   13145 - 67085
   13146 - 67100
   13147 - 67110
   13148 - 67120
   13149 - 68007
   13150 - 68010
   13151 - 68030
   13153 - 68050
   13154 - 68060
   13155 - 68070
   13156 - 68073
   13157 - 68080
   13158 - 68090
   13159 - 68100
   13160 - 68110
   13161 - 68120
   13162 - 68130
   13163 - 68140
   13164 - 68150
   13165 - 68160
   13166 - 68170
   13167 - 68180
   13168 - 68190
   13169 - 68300
   13170 - 68310
   13171 - 68320
   13172 - 68330
   13173 - 68340
   13174 - 68350
   13175 - 68360
   13176 - 68385
   13177 - 68390
   13178 - 68400
   13179 - 68410
   13180 - 68420
   13181 - 68430
   13182 - 70002
   13183 - 70004
   13184 - 70010
   13185 - 70050*
   13186 - 70100
   13187 - 70150
   13188 - 70212
   13189 - 70214
   13191 - 70222
   13192 - 70224
   13193 - 70226
   13194 - 70227*
   13195 - 70228
   13196 - 70350
   13197 - 70370
   13198 - 72001
   13199 - 72003
   13200 - 72005
   13201 - 72007
   13202 - 72009
   13203 - 72011
   13204 - 72013
   13205 - 72015
   13206 - 72017
   13207 - 72019
   13208 - 72021
   13209 - 72023
   13210 - 72025
   13211 - 72027
   13212 - 72029
   13213 - 72031
   13214 - 72033
   13215 - 72035
   13216 - 72037
   13217 - 72039
   13218 - 72041
   13219 - 72043
   13220 - 72045
   13221 - 72047
   13222 - 72049
   13223 - 72051
   13224 - 72053
   13225 - 72054
   13226 - 72055
   13227 - 72057
   13228 - 72059
   13229 - 72061
   13230 - 72063
   13231 - 72065
   13232 - 72067
   13233 - 72069
   13234 - 72071
   13235 - 72073
   13236 - 72075
   13237 - 72077
   13238 - 72079
   13239 - 72081
   13240 - 72083
   13241 - 72085
   13242 - 72087
   13243 - 72089
   13244 - 72091
   13245 - 72093
   13246 - 72095
   13247 - 72097
   13248 - 72099
   13249 - 72101
   13250 - 72103
   13251 - 72105
   13252 - 72107
   13253 - 72109
   13254 - 72111
   13255 - 72113
   13256 - 72115
   13257 - 72117
   13258 - 72119
   13259 - 72121
   13260 - 72123
   13261 - 72125
   13262 - 72127
   13263 - 72129
   13264 - 72131
   13265 - 72133
   13266 - 72135
   13267 - 72137
   13268 - 72139
   13269 - 72141
   13270 - 72143
   13271 - 72145
   13272 - 72147
   13273 - 72149
   13274 - 72151
   13275 - 72153
   13276 - 74050
   13277 - 74100
   13278 - 74150
   13279 - 74200
   13280 - 74250
   13281 - 74300
   13282 - 74350
   13283 - 74400
   13284 - 74450
   13285 - 78010
   13286 - 78020
   13287 - 78030
</t>
  </si>
  <si>
    <t xml:space="preserve">Medical Conditions and Codes
   04405 - Intestinal infectious diseases 
   04406 - Tuberculosis 
   04407 - Certain zoonotic bacterial diseases 
   04408 - Other bacterial diseases 
   04409 - Infections with a predominantly sexual mode of transmission 
   04410 - Other spirochaetal diseases 
   04411 - Other diseases caused by chlamydiae 
   04412 - Rickettsioses 
   04413 - Viral infections of the central nervous system 
   04414 - Arthropod-borne viral fevers and viral haemorrhagic fevers 
   04415 - Viral infections characterized by skin and mucous membrane lesions 
   04416 - Viral hepatitis 
   04417 - Human immunodeficiency virus [HIV] disease 
   04418 - Other viral diseases 
   04419 - Mycoses 
   04420 - Protozoal diseases 
   04421 - Helminthiases 
   04422 - Pediculosis, acariasis and other infestations 
   04423 - Sequelae of infectious and parasitic diseases 
   04424 - Bacterial, viral and other infectious agents 
   04425 - Other infectious diseases
   04426 - Malignant neoplasms
   04427 - In situ neoplasms 
   04428 - Benign neoplasms 
   04429 - Neoplasms of uncertain or unknown behaviour 
   04430 - Nutritional anaemias 
   04431 - Haemolytic anaemias 
   04432 - Aplastic and other anaemias 
   04433 - Coagulation defects, purpura and other haemorrhagic conditions 
   04434 - Other diseases of blood and blood-forming organs 
   04435 - Certain disorders involving the immune mechanism
   04436 - Disorders of thyroid gland 
   04437 - Diabetes mellitus 
   04438 - Other disorders of glucose regulation and pancreatic internal secretion 
   04439 - Disorders of other endocrine glands 
   04440 - Malnutrition 
   04441 - Other nutritional deficiencies 
   04442 - Obesity and other hyperalimentation 
   04443 - Metabolic disorders
   04444 - Organic, including symptomatic, mental disorders 
   04445 - Mental and behavioural disorders due to psychoactive substance use 
   04446 - Schizophrenia, schizotypal and delusional disorders 
   04447 - Mood [affective] disorders 
   04448 - Neurotic, stress-related and somatoform disorders 
   04449 - Behavioural syndromes associated with physiological disturbances and physical factors 
   04450 - Disorders of adult personality and behaviour 
   04451 - Disorders of psychological development 
   04452 - Behavioural and emotional disorders with onset usually occurring in childhood and adolescence 
   04453 - Unspecified mental disorder
   04454 - Inflammatory diseases of the central nervous system 
   04455 - Systemic atrophies primarily affecting the central nervous system 
   04456 - Extrapyramidal and movement disorders 
   04457 - Other degenerative diseases of the nervous system 
   04458 - Demyelinating diseases of the central nervous system 
   04459 - Episodic and paroxysmal disorders 
   04460 - Nerve, nerve root and plexus disorders 
   04461 - Polyneuropathies and other disorders of the peripheral nervous system 
   04462 - Diseases of myoneural junction and muscle 
   04463 - Cerebral palsy and other paralytic syndromes 
   04464 - Other disorders of the nervous system
   04465 - Disorders of eyelid, lacrimal system and orbit 
   04466 - Disorders of conjunctiva 
   04467 - Disorders of sclera, cornea, iris and ciliary body 
   04468 - Disorders of lens 
   04469 - Disorders of choroid and retina 
   04470 - Glaucoma 
   04471 - Disorders of vitreous body and globe 
   04472 - Disorders of optic nerve and visual pathways 
   04473 - Disorders of ocular muscles, binocular movement, accommodation and refraction 
   04474 - Visual disturbances and blindness 
   04475 - Other disorders of eye and adnexa
   04476 - Diseases of external ear 
   04477 - Diseases of middle ear and mastoid 
   04478 - Diseases of inner ear 
   04479 - Other disorders of ear
   04480 - Acute rheumatic fever 
   04481 - Chronic rheumatic heart diseases 
   04482 - Hypertensive diseases 
   04483 - Ischaemic heart diseases 
   04484 - Pulmonary heart disease and diseases of pulmonary circulation 
   04485 - Other forms of heart disease 
   04486 - Cerebrovascular diseases 
   04487 - Diseases of arteries, arterioles and capillaries 
   04488 - Diseases of veins, lymphatic vessels and lymph nodes, not elsewhere classified 
   04489 - Other and unspecified disorders of the circulatory system
   04490 - Diseases of oral cavity, salivary glands and jaws 
   04491 - Diseases of oesophagus, stomach and duodenum 
   04492 - Diseases of appendix 
   04493 - Hernia 
   04494 - Noninfective enteritis and colitis 
   04495 - Other diseases of intestines 
   04496 - Diseases of peritoneum 
   04497 - Diseases of liver 
   04498 - Disorders of gallbladder, biliary tract and pancreas 
   04499 - Other diseases of the digestive system 
   04500 - Infections of the skin and subcutaneous tissue 
   04501 - Bullous disorders 
   04502 - Dermatitis and eczema 
   04503 - Papulosquamous disorders 
   04504 - Urticaria and erythema 
   04505 - Radiation-related disorders of the skin and subcutaneous tissue 
   04506 - Disorders of skin appendages 
   04507 - Other disorders of the skin and subcutaneous tissue
   04508 - Arthropathies 
   04509 - Systemic connective tissue disorders 
   04510 - Dorsopathies 
   04511 - Soft tissue disorders 
   04512 - Osteopathies and chondropathies 
   04513 - Other disorders of the musculoskeletal system and connective tissue
   04514 - Glomerular diseases 
   04515 - Renal tubulo-interstitial diseases 
</t>
  </si>
  <si>
    <t xml:space="preserve">   04516 - Renal failure 
   04517 - Urolithiasis 
   04518 - Other disorders of kidney and ureter 
   04519 - Other diseases of urinary system 
   04520 - Diseases of male genital organs 
   04521 - Disorders of breast 
   04522 - Inflammatory diseases of female pelvic organs 
   04523 - Noninflammatory disorders of female genital tract 
   04524 - Other disorders of genitourinary tract 
   04525 - Pregnancy with abortive outcome 
   04526 - Oedema, proteinuria and hypertensive disorders in pregnancy, childbirth and the puerperium 
   04527 - Other maternal disorders predominantly related to pregnancy 
   04528 - Maternal care related to the fetus and amniotic cavity and possible delivery problems 
   04529 - Complications of labour and delivery 
   04530 - Delivery 
   04531 - Complications predominantly related to the puerperium 
   04532 - Other obstetric conditions, not elsewhere classified 
   04533 - Fetus and newborn affected by maternal factors and by complications of pregnancy, labour and deliver
   04534 - Disorders related to length of gestation and fetal growth 
   04535 - Birth trauma 
   04536 - Respiratory and cardiovascular disorders specific to the perinatal period 
   04537 - Infections specific to the perinatal period 
   04538 - Haemorrhagic and haematological disorders of fetus and newborn 
   04539 - Transitory endocrine and metabolic disorders specific to fetus and newborn 
   04540 - Digestive system disorders of fetus and newborn 
   04541 - Conditions involving the integument and temperature regulation of fetus and newborn 
   04542 - Other disorders originating in the perinatal period 
   04543 - Congenital malformations of the nervous system 
   04544 - Congenital malformations of eye, ear, face and neck 
   04545 - Congenital malformations of the circulatory system 
   04546 - Congenital malformations of the respiratory system 
   04547 - Cleft lip and cleft palate 
   04548 - Other congenital malformations of the digestive system 
   04549 - Congenital malformations of genital organs 
   04550 - Congenital malformations of the urinary system 
   04551 - Congenital malformations and deformations of the musculoskeletal system 
   04552 - Other congenital malformations 
   04553 - Chromosomal abnormalities, not elsewhere classified 
   04554 - Symptoms and signs involving the circulatory and respiratory systems 
   04555 - Symptoms and signs involving the digestive system and abdomen 
   04556 - Symptoms and signs involving the skin and subcutaneous tissue 
   04557 - Symptoms and signs involving the nervous and musculoskeletal systems 
   04558 - Symptoms and signs involving the urinary system 
   04559 - Symptoms and signs involving cognition, perception, emotional state and behaviour 
   04560 - Symptoms and signs involving speech and voice 
   04561 - General symptoms and signs 
   04562 - Abnormal findings on examination of blood, without diagnosis 
   04563 - Abnormal findings on examination of urine, without diagnosis 
   04564 - Abnormal findings on examination of other body fluids, substances and tissues, without diagnosis 
   04565 - Abnormal findings on diagnostic imaging and in function studies, without diagnosis 
   04566 - Ill-defined and unknown causes of mortality
   04567 - Injuries to the head 
   04568 - Injuries to the neck 
   04569 - Injuries to the thorax 
   04570 - Injuries to the abdomen, lower back, lumbar spine and pelvis 
   04571 - Injuries to the shoulder and upper arm 
   04572 - Injuries to the elbow and forearm 
   04573 - Injuries to the wrist and hand 
   04574 - Injuries to the hip and thigh 
   04575 - Injuries to the knee and lower leg 
   04576 - Injuries to the ankle and foot 
   04577 - Injuries involving multiple body regions 
   04578 - Injuries to unspecified part of trunk, limb or body region 
   04579 - Effects of foreign body entering through natural orifice 
   04580 - Burns and corrosions 
   04581 - Burns and corrosions of external body surface, specified by site 
   04582 - Burns and corrosions confined to eye and internal organs 
   04583 - Burns and corrosions of multiple and unspecified body regions 
   04584 - Frostbite 
   04585 - Poisoning by drugs, medicaments and biological substances 
   04586 - Toxic effects of substances chiefly nonmedicinal as to source 
   04587 - Other and unspecified effects of external causes 
   04588 - Certain early complications of trauma 
   04589 - Complications of surgical and medical care, not elsewhere classified 
   04590 - Sequelae of injuries, of poisoning and of other consequences of external causes
   04591 - Accidents
   04592 - Intentional self-harm 
   04593 - Assault 
   04594 - Event of undetermined intent 
   04595 - Legal intervention and operations of war 
   04596 - Complications of medical and surgical care
   04597 - Sequelae of external causes of morbidity and mortality 
   04598 - Supplementary factors related to causes of morbidity and mortality classified elsewhere 
   04599 - Persons encountering health services for examination and investigation 
   04600 - Persons with potential health hazards related to communicable diseases 
   04601 - Persons encountering health services in circumstances related to reproduction 
   04602 - Persons encountering health services for specific procedures and health care 
   04603 - Persons with potential health hazards related to socioeconomic and psychosocial circumstances 
   04604 - Persons encountering health services in other circumstances 
   04605 - Persons with potential health hazards related to family and personal history and certain conditions 
   04606 - Provisional assignment of new diseases of uncertain etiology 
   04607 - Bacterial agents resistant to antibiotics
   09999 - Other
</t>
  </si>
  <si>
    <t xml:space="preserve">Medical Conditions and Codes
   04405 - Intestinal infectious diseases 
   04406 - Tuberculosis 
   04407 - Certain zoonotic bacterial diseases 
   04408 - Other bacterial diseases 
   04409 - Infections with a predominantly sexual mode of transmission 
   04410 - Other spirochaetal diseases 
   04411 - Other diseases caused by chlamydiae 
   04412 - Rickettsioses 
   04413 - Viral infections of the central nervous system 
   04414 - Arthropod-borne viral fevers and viral haemorrhagic fevers 
   04415 - Viral infections characterized by skin and mucous membrane lesions 
   04416 - Viral hepatitis 
   04417 - Human immunodeficiency virus [HIV] disease 
   04418 - Other viral diseases 
   04419 - Mycoses 
   04420 - Protozoal diseases 
   04421 - Helminthiases 
   04422 - Pediculosis, acariasis and other infestations 
   04423 - Sequelae of infectious and parasitic diseases 
   04424 - Bacterial, viral and other infectious agents 
   04425 - Other infectious diseases
   04426 - Malignant neoplasms
   04427 - In situ neoplasms 
   04428 - Benign neoplasms 
   04429 - Neoplasms of uncertain or unknown behaviour 
   04430 - Nutritional anaemias 
   04431 - Haemolytic anaemias 
   04432 - Aplastic and other anaemias 
   04433 - Coagulation defects, purpura and other haemorrhagic conditions 
   04434 - Other diseases of blood and blood-forming organs 
   04435 - Certain disorders involving the immune mechanism
   04436 - Disorders of thyroid gland 
   04437 - Diabetes mellitus 
   04438 - Other disorders of glucose regulation and pancreatic internal secretion 
   04439 - Disorders of other endocrine glands 
   04440 - Malnutrition 
   04441 - Other nutritional deficiencies 
   04442 - Obesity and other hyperalimentation 
   04443 - Metabolic disorders
   04444 - Organic, including symptomatic, mental disorders 
   04445 - Mental and behavioural disorders due to psychoactive substance use 
   04446 - Schizophrenia, schizotypal and delusional disorders 
   04447 - Mood [affective] disorders 
   04448 - Neurotic, stress-related and somatoform disorders 
   04449 - Behavioural syndromes associated with physiological disturbances and physical factors 
   04450 - Disorders of adult personality and behaviour 
   04451 - Disorders of psychological development 
   04452 - Behavioural and emotional disorders with onset usually occurring in childhood and adolescence 
   04453 - Unspecified mental disorder
   04454 - Inflammatory diseases of the central nervous system 
   04455 - Systemic atrophies primarily affecting the central nervous system 
   04456 - Extrapyramidal and movement disorders 
   04457 - Other degenerative diseases of the nervous system 
   04458 - Demyelinating diseases of the central nervous system 
   04459 - Episodic and paroxysmal disorders 
   04460 - Nerve, nerve root and plexus disorders 
   04461 - Polyneuropathies and other disorders of the peripheral nervous system 
   04462 - Diseases of myoneural junction and muscle 
   04463 - Cerebral palsy and other paralytic syndromes 
   04464 - Other disorders of the nervous system
   04465 - Disorders of eyelid, lacrimal system and orbit 
   04466 - Disorders of conjunctiva 
   04467 - Disorders of sclera, cornea, iris and ciliary body 
   04468 - Disorders of lens 
   04469 - Disorders of choroid and retina 
   04470 - Glaucoma 
   04471 - Disorders of vitreous body and globe 
   04472 - Disorders of optic nerve and visual pathways 
   04473 - Disorders of ocular muscles, binocular movement, accommodation and refraction 
   04474 - Visual disturbances and blindness 
   04475 - Other disorders of eye and adnexa
   04476 - Diseases of external ear 
   04477 - Diseases of middle ear and mastoid 
   04478 - Diseases of inner ear 
   04479 - Other disorders of ear
   04480 - Acute rheumatic fever 
   04481 - Chronic rheumatic heart diseases 
   04482 - Hypertensive diseases 
   04483 - Ischaemic heart diseases 
   04484 - Pulmonary heart disease and diseases of pulmonary circulation 
   04485 - Other forms of heart disease 
   04486 - Cerebrovascular diseases 
   04487 - Diseases of arteries, arterioles and capillaries 
   04488 - Diseases of veins, lymphatic vessels and lymph nodes, not elsewhere classified 
   04489 - Other and unspecified disorders of the circulatory system
   04490 - Diseases of oral cavity, salivary glands and jaws 
   04491 - Diseases of oesophagus, stomach and duodenum 
   04492 - Diseases of appendix 
   04493 - Hernia 
   04494 - Noninfective enteritis and colitis 
   04495 - Other diseases of intestines 
   04496 - Diseases of peritoneum 
   04497 - Diseases of liver 
   04498 - Disorders of gallbladder, biliary tract and pancreas 
   04499 - Other diseases of the digestive system 
   04500 - Infections of the skin and subcutaneous tissue 
   04501 - Bullous disorders 
   04502 - Dermatitis and eczema 
   04503 - Papulosquamous disorders 
   04504 - Urticaria and erythema 
   04505 - Radiation-related disorders of the skin and subcutaneous tissue 
   04506 - Disorders of skin appendages 
   04507 - Other disorders of the skin and subcutaneous tissue
   04508 - Arthropathies 
   04509 - Systemic connective tissue disorders 
   04510 - Dorsopathies 
   04511 - Soft tissue disorders 
   04512 - Osteopathies and chondropathies 
   04513 - Other disorders of the musculoskeletal system and connective tissue
   04514 - Glomerular diseases 
   04515 - Renal tubulo-interstitial diseases 
   04516 - Renal failure 
</t>
  </si>
  <si>
    <t xml:space="preserve">   04517 - Urolithiasis 
   04518 - Other disorders of kidney and ureter 
   04519 - Other diseases of urinary system 
   04520 - Diseases of male genital organs 
   04521 - Disorders of breast 
   04522 - Inflammatory diseases of female pelvic organs 
   04523 - Noninflammatory disorders of female genital tract 
   04524 - Other disorders of genitourinary tract 
   04525 - Pregnancy with abortive outcome 
   04526 - Oedema, proteinuria and hypertensive disorders in pregnancy, childbirth and the puerperium 
   04527 - Other maternal disorders predominantly related to pregnancy 
   04528 - Maternal care related to the fetus and amniotic cavity and possible delivery problems 
   04529 - Complications of labour and delivery 
   04530 - Delivery 
   04531 - Complications predominantly related to the puerperium 
   04532 - Other obstetric conditions, not elsewhere classified 
   04533 - Fetus and newborn affected by maternal factors and by complications of pregnancy, labour and deliver
   04534 - Disorders related to length of gestation and fetal growth 
   04535 - Birth trauma 
   04536 - Respiratory and cardiovascular disorders specific to the perinatal period 
   04537 - Infections specific to the perinatal period 
   04538 - Haemorrhagic and haematological disorders of fetus and newborn 
   04539 - Transitory endocrine and metabolic disorders specific to fetus and newborn 
   04540 - Digestive system disorders of fetus and newborn 
   04541 - Conditions involving the integument and temperature regulation of fetus and newborn 
   04542 - Other disorders originating in the perinatal period 
   04543 - Congenital malformations of the nervous system 
   04544 - Congenital malformations of eye, ear, face and neck 
   04545 - Congenital malformations of the circulatory system 
   04546 - Congenital malformations of the respiratory system 
   04547 - Cleft lip and cleft palate 
   04548 - Other congenital malformations of the digestive system 
   04549 - Congenital malformations of genital organs 
   04550 - Congenital malformations of the urinary system 
   04551 - Congenital malformations and deformations of the musculoskeletal system 
   04552 - Other congenital malformations 
   04553 - Chromosomal abnormalities, not elsewhere classified 
   04554 - Symptoms and signs involving the circulatory and respiratory systems 
   04555 - Symptoms and signs involving the digestive system and abdomen 
   04556 - Symptoms and signs involving the skin and subcutaneous tissue 
   04557 - Symptoms and signs involving the nervous and musculoskeletal systems 
   04558 - Symptoms and signs involving the urinary system 
   04559 - Symptoms and signs involving cognition, perception, emotional state and behaviour 
   04560 - Symptoms and signs involving speech and voice 
   04561 - General symptoms and signs 
   04562 - Abnormal findings on examination of blood, without diagnosis 
   04563 - Abnormal findings on examination of urine, without diagnosis 
   04564 - Abnormal findings on examination of other body fluids, substances and tissues, without diagnosis 
   04565 - Abnormal findings on diagnostic imaging and in function studies, without diagnosis 
   04566 - Ill-defined and unknown causes of mortality
   04567 - Injuries to the head 
   04568 - Injuries to the neck 
   04569 - Injuries to the thorax 
   04570 - Injuries to the abdomen, lower back, lumbar spine and pelvis 
   04571 - Injuries to the shoulder and upper arm 
   04572 - Injuries to the elbow and forearm 
   04573 - Injuries to the wrist and hand 
   04574 - Injuries to the hip and thigh 
   04575 - Injuries to the knee and lower leg 
   04576 - Injuries to the ankle and foot 
   04577 - Injuries involving multiple body regions 
   04578 - Injuries to unspecified part of trunk, limb or body region 
   04579 - Effects of foreign body entering through natural orifice 
   04580 - Burns and corrosions 
   04581 - Burns and corrosions of external body surface, specified by site 
   04582 - Burns and corrosions confined to eye and internal organs 
   04583 - Burns and corrosions of multiple and unspecified body regions 
   04584 - Frostbite 
   04585 - Poisoning by drugs, medicaments and biological substances 
   04586 - Toxic effects of substances chiefly nonmedicinal as to source 
   04587 - Other and unspecified effects of external causes 
   04588 - Certain early complications of trauma 
   04589 - Complications of surgical and medical care, not elsewhere classified 
   04590 - Sequelae of injuries, of poisoning and of other consequences of external causes
   04591 - Accidents
   04592 - Intentional self-harm 
   04593 - Assault 
   04594 - Event of undetermined intent 
   04595 - Legal intervention and operations of war 
   04596 - Complications of medical and surgical care
   04597 - Sequelae of external causes of morbidity and mortality 
   04598 - Supplementary factors related to causes of morbidity and mortality classified elsewhere 
   04599 - Persons encountering health services for examination and investigation 
   04600 - Persons with potential health hazards related to communicable diseases 
   04601 - Persons encountering health services in circumstances related to reproduction 
   04602 - Persons encountering health services for specific procedures and health care 
   04603 - Persons with potential health hazards related to socioeconomic and psychosocial circumstances 
   04604 - Persons encountering health services in other circumstances 
   04605 - Persons with potential health hazards related to family and personal history and certain conditions 
   04606 - Provisional assignment of new diseases of uncertain etiology 
   04607 - Bacterial agents resistant to antibiotics
   09999 - Other
</t>
  </si>
  <si>
    <t xml:space="preserve">MSA Codes
   07702 - 10020
   07703 - 10100
   07704 - 10140
   07705 - 10180
   07706 - 10220
   07707 - 10260
   07708 - 10300
   07709 - 10380
   07710 - 10420
   07711 - 10460
   07712 - 10500
   07713 - 10540
   07714 - 10580
   07715 - 10620
   07716 - 10660
   07717 - 10700
   07718 - 10740
   07719 - 10760
   07720 - 10780
   07721 - 10820
   07722 - 10860
   07723 - 10880
   07724 - 10900
   07725 - 10940
   07726 - 10980
   07727 - 11020
   07728 - 11060
   07729 - 11100
   07730 - 11140
   07731 - 11180
   07732 - 11220
   07733 - 11260
   07734 - 11300
   07735 - 11340
   07736 - 11380
   07737 - 11420
   07738 - 11460
   07739 - 11500
   07740 - 11540
   07741 - 11580
   07742 - 11620
   07743 - 11660
   07744 - 11700
   07745 - 11740
   07746 - 11780
   07747 - 11820
   07748 - 11860
   07749 - 11900
   07750 - 11940
   07751 - 11980
   07752 - 12020
   07753 - 12060
   07754 - 12100
   07755 - 12140
   07756 - 12180
   07757 - 12220
   07758 - 12260
   07759 - 12300
   07760 - 12380
   07761 - 12420
   07762 - 12460
   07763 - 12540
   07764 - 12580
   07765 - 12620
   07766 - 12660
   07767 - 12700
   07768 - 12740
   07769 - 12780
   07770 - 12820
   07771 - 12860
   07772 - 12900
   07773 - 12940
   07774 - 12980
   07775 - 13020
   07776 - 13060
   07777 - 13100
   07778 - 13140
   07779 - 13180
   07780 - 13220
   07781 - 13260
   07782 - 13300
   07783 - 13340
   07784 - 13380
   07785 - 13420
   07786 - 13460
   07787 - 13500
   07788 - 13540
   07789 - 13620
   07790 - 13660
   07791 - 13700
   07792 - 13740
   07793 - 13780
   07794 - 13820
   07795 - 13860
   07796 - 13900
   07797 - 13940
   07798 - 13980
   07799 - 14020
   07800 - 14060
   07801 - 14100
   07802 - 14140
   07803 - 14180
   07804 - 14220
   07805 - 14260
   07806 - 14300
   07807 - 14340
   07808 - 14380
   07809 - 14420
   07810 - 14460
   07811 - 14500
   07812 - 14540
   07813 - 14580
   07814 - 14600
   07815 - 14620
   07816 - 14660
   07817 - 14700
   07818 - 14740
   07819 - 14780
   07820 - 14820
   07821 - 14860
   07822 - 14940
   07823 - 15020
   07824 - 15060
   07825 - 15100
   07826 - 15140
   07827 - 15180
   07828 - 15220
   07829 - 15260
   07830 - 15340
   07831 - 15380
   07832 - 15420
   07833 - 15460
   07834 - 15500
   07835 - 15540
   07836 - 15580
   07837 - 15620
   07838 - 15660
   07839 - 15700
   07840 - 15740
   07841 - 15780
   07842 - 15820
   07843 - 15860
   07844 - 15900
   07845 - 15940
   07846 - 15980
   07847 - 16020
   07848 - 16060
   07849 - 16100
   07850 - 16180
   07851 - 16220
   07852 - 16260
   07853 - 16300
   07854 - 16340
   07855 - 16380
   07856 - 16420
   07857 - 16460
   07858 - 16500
   07859 - 16540
   07860 - 16580
   07861 - 16620
   07862 - 16660
   07863 - 16700
   07864 - 16740
   07865 - 16820
   07866 - 16860
   07867 - 16900
   07868 - 16940
   07869 - 16980
   07870 - 17020
   07871 - 17060
   07872 - 17140
   07873 - 17180
   07874 - 17200
   07875 - 17220
   07876 - 17260
   07877 - 17300
   07878 - 17340
   07879 - 17380
   07880 - 17420
   07881 - 17460
   07882 - 17500
   07883 - 17540
   07884 - 17580
   07885 - 17620
   07886 - 17660
   07887 - 17700
   07888 - 17740
   07889 - 17780
   07890 - 17820
   07891 - 17860
   07892 - 17900
   07893 - 17940
   07894 - 17980
   07895 - 18020
   07896 - 18060
   07897 - 18100
   07898 - 18140
   07899 - 18180
</t>
  </si>
  <si>
    <t xml:space="preserve">   07900 - 18220
   07901 - 18260
   07902 - 18300
   07903 - 18340
   07904 - 18380
   07905 - 18420
   07906 - 18460
   07907 - 18500
   07908 - 18580
   07909 - 18620
   07910 - 18660
   07911 - 18700
   07912 - 18740
   07913 - 18820
   07914 - 18860
   07915 - 18900
   07916 - 18940
   07917 - 18980
   07918 - 19020
   07919 - 19060
   07920 - 19100
   07921 - 19140
   07922 - 19180
   07923 - 19220
   07924 - 19260
   07925 - 19300
   07926 - 19340
   07927 - 19380
   07928 - 19460
   07929 - 19500
   07930 - 19540
   07931 - 19580
   07932 - 19620
   07933 - 19660
   07934 - 19700
   07935 - 19740
   07936 - 19760
   07937 - 19780
   07938 - 19820
   07939 - 19860
   07940 - 19900
   07941 - 19940
   07942 - 19980
   07943 - 20020
   07944 - 20060
   07945 - 20100
   07946 - 20140
   07947 - 20180
   07948 - 20220
   07949 - 20260
   07950 - 20300
   07951 - 20340
   07952 - 20380
   07953 - 20420
   07954 - 20460
   07955 - 20500
   07956 - 20540
   07957 - 20580
   07958 - 20620
   07959 - 20660
   07960 - 20700
   07961 - 20740
   07962 - 20780
   07963 - 20820
   07964 - 20900
   07965 - 20940
   07966 - 20980
   07967 - 21020
   07968 - 21060
   07969 - 21120
   07970 - 21140
   07971 - 21220
   07972 - 21260
   07973 - 21300
   07974 - 21340
   07975 - 21380
   07976 - 21420
   07977 - 21460
   07978 - 21500
   07979 - 21540
   07980 - 21580
   07981 - 21640
   07982 - 21660
   07983 - 21700
   07984 - 21740
   07985 - 21780
   07986 - 21820
   07987 - 21860
   07988 - 21900
   07989 - 21940
   07990 - 21980
   07991 - 22020
   07992 - 22060
   07993 - 22100
   07994 - 22140
   07995 - 22180
   07996 - 22220
   07997 - 22260
   07998 - 22280
   07999 - 22300
   08000 - 22340
   08001 - 22380
   08002 - 22420
   08003 - 22500
   08004 - 22520
   08005 - 22540
   08006 - 22580
   08007 - 22620
   08008 - 22660
   08009 - 22700
   08010 - 22780
   08011 - 22800
   08012 - 22820
   08013 - 22840
   08014 - 22860
   08015 - 22900
   08016 - 22980
   08017 - 23020
   08018 - 23060
   08019 - 23140
   08020 - 23180
   08021 - 23240
   08022 - 23300
   08023 - 23340
   08024 - 23380
   08025 - 23420
   08026 - 23460
   08027 - 23500
   08028 - 23540
   08029 - 23580
   08030 - 23620
   08031 - 23660
   08032 - 23700
   08033 - 23780
   08034 - 23820
   08035 - 23860
   08036 - 23900
   08037 - 23940
   08038 - 23980
   08039 - 24020
   08040 - 24100
   08041 - 24140
   08042 - 24180
   08043 - 24220
   08044 - 24260
   08045 - 24300
   08046 - 24340
   08047 - 24380
   08048 - 24420
   08049 - 24460
   08050 - 24500
   08051 - 24540
   08052 - 24580
   08053 - 24620
   08054 - 24660
   08055 - 24700
   08056 - 24740
   08057 - 24780
   08058 - 24820
   08059 - 24860
   08060 - 24900
   08061 - 24940
   08062 - 24980
   08063 - 25020
   08064 - 25060
   08065 - 25100
   08066 - 25180
   08067 - 25220
   08068 - 25260
   08069 - 25300
   08070 - 25340
   08071 - 25380
   08072 - 25420
   08073 - 25460
   08074 - 25500
   08075 - 25540
   08076 - 25580
   08077 - 25620
   08078 - 25660
   08079 - 25700
   08080 - 25720
   08081 - 25740
   08082 - 25760
   08083 - 25780
   08084 - 25820
   08085 - 25860
   08086 - 25900
   08087 - 25940
   08088 - 25980
   08089 - 26020
   08090 - 26100
   08091 - 26140
   08092 - 26180
   08093 - 26220
   08094 - 26260
   08095 - 26300
   08096 - 26340
   08097 - 26380
   08098 - 26420
   08099 - 26460
</t>
  </si>
  <si>
    <t xml:space="preserve">   08100 - 26480
   08101 - 26500
   08102 - 26540
   08103 - 26580
   08104 - 26620
   08105 - 26660
   08106 - 26700
   08107 - 26740
   08108 - 26780
   08109 - 26820
   08110 - 26860
   08111 - 26900
   08112 - 26940
   08113 - 26980
   08114 - 27020
   08115 - 27060
   08116 - 27100
   08117 - 27140
   08118 - 27180
   08119 - 27220
   08120 - 27260
   08121 - 27300
   08122 - 27340
   08123 - 27380
   08124 - 27420
   08125 - 27460
   08126 - 27500
   08127 - 27540
   08128 - 27580
   08129 - 27620
   08130 - 27660
   08131 - 27700
   08132 - 27740
   08133 - 27780
   08134 - 27860
   08135 - 27900
   08136 - 27940
   08137 - 27980
   08138 - 28020
   08139 - 28060
   08140 - 28100
   08141 - 28140
   08142 - 28180
   08143 - 28260
   08144 - 28300
   08145 - 28340
   08146 - 28380
   08147 - 28420
   08148 - 28500
   08149 - 28540
   08150 - 28580
   08151 - 28620
   08152 - 28660
   08153 - 28700
   08154 - 28740
   08155 - 28780
   08156 - 28820
   08157 - 28860
   08158 - 28900
   08159 - 28940
   08160 - 28980
   08161 - 29020
   08162 - 29060
   08163 - 29100
   08164 - 29140
   08165 - 29180
   08166 - 29220
   08167 - 29260
   08168 - 29300
   08169 - 29340
   08170 - 29380
   08171 - 29420
   08172 - 29460
   08173 - 29500
   08174 - 29540
   08175 - 29580
   08176 - 29620
   08177 - 29660
   08178 - 29700
   08179 - 29740
   08180 - 29780
   08181 - 29820
   08182 - 29860
   08183 - 29900
   08184 - 29940
   08185 - 29980
   08186 - 30020
   08187 - 30060
   08188 - 30100
   08189 - 30140
   08190 - 30220
   08191 - 30260
   08192 - 30280
   08193 - 30300
   08194 - 30340
   08195 - 30380
   08196 - 30420
   08197 - 30460
   08198 - 30500
   08199 - 30580
   08200 - 30620
   08201 - 30660
   08202 - 30700
   08203 - 30740
   08204 - 30780
   08205 - 30820
   08206 - 30860
   08207 - 30900
   08208 - 30940
   08209 - 30980
   08210 - 31020
   08211 - 31060
   08212 - 31100
   08213 - 31140
   08214 - 31180
   08215 - 31260
   08216 - 31300
   08217 - 31340
   08218 - 31380
   08219 - 31420
   08220 - 31460
   08221 - 31500
   08222 - 31540
   08223 - 31580
   08224 - 31620
   08225 - 31660
   08226 - 31700
   08227 - 31740
   08228 - 31820
   08229 - 31860
   08230 - 31900
   08231 - 31940
   08232 - 31980
   08233 - 32020
   08234 - 32060
   08235 - 32100
   08236 - 32140
   08237 - 32180
   08238 - 32220
   08239 - 32260
   08240 - 32270
   08241 - 32280
   08242 - 32300
   08243 - 32340
   08244 - 32380
   08245 - 32420
   08246 - 32460
   08247 - 32500
   08248 - 32540
   08249 - 32580
   08250 - 32620
   08251 - 32660
   08252 - 32700
   08253 - 32740
   08254 - 32780
   08255 - 32820
   08256 - 32860
   08257 - 32900
   08258 - 32940
   08259 - 32980
   08260 - 33020
   08261 - 33060
   08262 - 33100
   08263 - 33140
   08264 - 33180
   08265 - 33220
   08266 - 33260
   08267 - 33300
   08268 - 33340
   08269 - 33380
   08270 - 33420
   08271 - 33460
   08272 - 33500
   08273 - 33540
   08274 - 33580
   08275 - 33620
   08276 - 33660
   08277 - 33700
   08278 - 33740
   08279 - 33780
   08280 - 33820
   08281 - 33860
   08282 - 33940
   08283 - 33980
   08284 - 34020
   08285 - 34060
   08286 - 34100
   08287 - 34140
   08288 - 34180
   08289 - 34220
   08290 - 34260
   08291 - 34300
   08292 - 34340
   08293 - 34380
   08294 - 34420
   08295 - 34460
   08296 - 34500
   08297 - 34540
   08298 - 34580
   08299 - 34620
</t>
  </si>
  <si>
    <t xml:space="preserve">   08300 - 34660
   08301 - 34700
   08302 - 34740
   08303 - 34780
   08304 - 34820
   08305 - 34860
   08306 - 34900
   08307 - 34940
   08308 - 34980
   08309 - 35020
   08310 - 35060
   08311 - 35100
   08312 - 35140
   08313 - 35220
   08314 - 35260
   08315 - 35300
   08316 - 35340
   08317 - 35380
   08318 - 35420
   08319 - 35460
   08320 - 35500
   08321 - 35580
   08322 - 35620
   08323 - 35660
   08324 - 35700
   08325 - 35740
   08326 - 35820
   08327 - 35860
   08328 - 35900
   08329 - 35940
   08330 - 35980
   08331 - 36020
   08332 - 36060
   08333 - 36100
   08334 - 36140
   08335 - 36180
   08336 - 36220
   08337 - 36260
   08338 - 36300
   08339 - 36340
   08340 - 36380
   08341 - 36420
   08342 - 36460
   08343 - 36500
   08344 - 36540
   08345 - 36580
   08346 - 36620
   08347 - 36660
   08348 - 36700
   08349 - 36740
   08350 - 36780
   08351 - 36820
   08352 - 36860
   08353 - 36900
   08354 - 36940
   08355 - 36980
   08356 - 37020
   08357 - 37060
   08358 - 37100
   08359 - 37140
   08360 - 37220
   08361 - 37260
   08362 - 37300
   08363 - 37340
   08364 - 37380
   08365 - 37420
   08366 - 37460
   08367 - 37500
   08368 - 37540
   08369 - 37580
   08370 - 37620
   08371 - 37660
   08372 - 37700
   08373 - 37740
   08374 - 37780
   08375 - 37800
   08376 - 37820
   08377 - 37860
   08378 - 37900
   08379 - 37940
   08380 - 37980
   08381 - 38020
   08382 - 38060
   08383 - 38100
   08384 - 38180
   08385 - 38200
   08386 - 38220
   08387 - 38260
   08388 - 38300
   08389 - 38340
   08390 - 38380
   08391 - 38420
   08392 - 38460
   08393 - 38500
   08394 - 38540
   08395 - 38580
   08396 - 38620
   08397 - 38660
   08398 - 38700
   08399 - 38740
   08400 - 38780
   08401 - 38820
   08402 - 38860
   08403 - 38900
   08404 - 38940
   08405 - 39020
   08406 - 39060
   08407 - 39100
   08408 - 39140
   08409 - 39220
   08410 - 39260
   08411 - 39300
   08412 - 39340
   08413 - 39380
   08414 - 39420
   08415 - 39460
   08416 - 39500
   08417 - 39540
   08418 - 39580
   08419 - 39660
   08420 - 39700
   08421 - 39740
   08422 - 39780
   08423 - 39820
   08424 - 39860
   08425 - 39900
   08426 - 39940
   08427 - 39980
   08428 - 40060
   08429 - 40080
   08430 - 40100
   08431 - 40140
   08432 - 40180
   08433 - 40220
   08434 - 40260
   08435 - 40300
   08436 - 40340
   08437 - 40380
   08438 - 40420
   08439 - 40460
   08440 - 40500
   08441 - 40540
   08442 - 40580
   08443 - 40620
   08444 - 40660
   08445 - 40700
   08446 - 40740
   08447 - 40760
   08448 - 40780
   08449 - 40820
   08450 - 40860
   08451 - 40900
   08452 - 40940
   08453 - 40980
   08454 - 41060
   08455 - 41100
   08456 - 41140
   08457 - 41180
   08458 - 41220
   08459 - 41260
   08460 - 41420
   08461 - 41460
   08462 - 41500
   08463 - 41540
   08464 - 41580
   08465 - 41620
   08466 - 41660
   08467 - 41700
   08468 - 41740
   08469 - 41780
   08470 - 41820
   08471 - 41860
   08472 - 41900
   08473 - 41940
   08474 - 41980
   08475 - 42020
   08476 - 42060
   08477 - 42100
   08478 - 42140
   08479 - 42180
   08480 - 42220
   08481 - 42300
   08482 - 42340
   08483 - 42380
   08484 - 42420
   08485 - 42460
   08486 - 42500
   08487 - 42540
   08488 - 42580
   08489 - 42620
   08490 - 42660
   08491 - 42680
   08492 - 42700
   08493 - 42740
   08494 - 42780
   08495 - 42820
   08496 - 42860
   08497 - 42900
   08498 - 42940
   08499 - 42980
</t>
  </si>
  <si>
    <t xml:space="preserve">   08500 - 43060
   08501 - 43100
   08502 - 43140
   08503 - 43180
   08504 - 43220
   08505 - 43260
   08506 - 43300
   08507 - 43320
   08508 - 43340
   08509 - 43380
   08510 - 43420
   08511 - 43460
   08512 - 43500
   08513 - 43540
   08514 - 43580
   08515 - 43620
   08516 - 43660
   08517 - 43700
   08518 - 43740
   08519 - 43780
   08520 - 43860
   08521 - 43900
   08522 - 43940
   08523 - 43980
   08524 - 44020
   08525 - 44060
   08526 - 44100
   08527 - 44140
   08528 - 44180
   08529 - 44220
   08530 - 44260
   08531 - 44300
   08532 - 44340
   08533 - 44380
   08534 - 44420
   08535 - 44500
   08536 - 44540
   08537 - 44580
   08538 - 44620
   08539 - 44660
   08540 - 44700
   08541 - 44740
   08542 - 44780
   08543 - 44860
   08544 - 44900
   08545 - 44940
   08546 - 44980
   08547 - 45000
   08548 - 45020
   08549 - 45060
   08550 - 45140
   08551 - 45180
   08552 - 45220
   08553 - 45260
   08554 - 45300
   08555 - 45340
   08556 - 45380
   08557 - 45460
   08558 - 45500
   08559 - 45540
   08560 - 45580
   08561 - 45620
   08562 - 45640
   08563 - 45660
   08564 - 45700
   08565 - 45740
   08566 - 45780
   08567 - 45820
   08568 - 45860
   08569 - 45900
   08570 - 45940
   08571 - 45980
   08572 - 46020
   08573 - 46060
   08574 - 46100
   08575 - 46140
   08576 - 46180
   08577 - 46220
   08578 - 46260
   08579 - 46300
   08580 - 46340
   08581 - 46380
   08582 - 46420
   08583 - 46460
   08584 - 46500
   08585 - 46540
   08586 - 46580
   08587 - 46620
   08588 - 46660
   08589 - 46700
   08590 - 46740
   08591 - 46780
   08592 - 46820
   08593 - 46860
   08594 - 46900
   08595 - 46980
   08596 - 47020
   08597 - 47080
   08598 - 47180
   08599 - 47220
   08600 - 47260
   08601 - 47300
   08602 - 47340
   08603 - 47380
   08604 - 47420
   08605 - 47460
   08606 - 47500
   08607 - 47540
   08608 - 47580
   08609 - 47620
   08610 - 47660
   08611 - 47700
   08612 - 47780
   08613 - 47820
   08614 - 47900
   08615 - 47920
   08616 - 47940
   08617 - 47980
   08618 - 48020
   08619 - 48060
   08620 - 48100
   08621 - 48140
   08622 - 48180
   08623 - 48260
   08624 - 48300
   08625 - 48460
   08626 - 48500
   08627 - 48540
   08628 - 48580
   08629 - 48620
   08630 - 48660
   08631 - 48700
   08632 - 48740
   08633 - 48780
   08634 - 48820
   08635 - 48900
   08636 - 48940
   08637 - 48980
   08638 - 49020
   08639 - 49060
   08640 - 49100
   08641 - 49180
   08642 - 49260
   08643 - 49300
   08644 - 49340
   08645 - 49380
   08646 - 49420
   08647 - 49460
   08648 - 49500
   08649 - 49540
   08650 - 49620
   08651 - 49660
   08652 - 49700
   08653 - 49740
   08654 - 49780
</t>
  </si>
  <si>
    <t xml:space="preserve">Non-educator Credential Type
   04969 - Abstractor
   04970 - Accountant, Certified Public
   04971 - Accountant, Chartered
   04972 - Accountant, General
   04973 - Accountant, Management
   04974 - Accountant, Public
   04975 - Accounting Practitioner
   04976 - Acupuncture Assistant
   04977 - Acupuncturist
   04978 - Adult Care Home, Manager
   04979 - Agrologist
   04980 - Alligator Parts Dealer
   04981 - Ambulance Attendant
   04982 - Ambulance Driver
   04983 - Applied Science Technician
   04984 - Applied Science Technologist
   04985 - Appraiser, Public
   04986 - Arborist
   04742 - Architect
   04988 - Architecture Student
   04989 - Armored Car Personnel
   04990 - Art Therapist
   04991 - Artificial Inseminator of Animals
   04992 - Asbestos Abatement Air Monitor 
   04993 - Asbestos Abatement Consultant
   04994 - Asbestos Abatement Field Technician
   04995 - Asbestos Abatement Inspector
   04996 - Asbestos Abatement Management Planner
   04997 - Asbestos Abatement Project Designer
   04998 - Asbestos Abatement Project Manager
   04999 - Asbestos Abatement Project Monitor
   05000 - Asbestos Abatement Supervisor
   05001 - Asbestos Abatement Training Provider
   05002 - Asbestos Abatement Worker
   05003 - Assayer
   05004 - Assessor
   05005 - Athlete Agent
   04743 - Athletic trainer
   05007 - Athletic Trainer, Apprentice
   05008 - Attorney
   05009 - Auction Clerk
   05010 - Auction House Operator
   05011 - Auctioneer
   05012 - Auctioneer Apprentice
   04745 - Audiologist
   05014 - Bail Bond Agent
   05015 - Bail Bond Runner
   05016 - Bail Bond Permittee
   05017 - Bail Solicitor
   05018 - Bait Dealer
   05019 - Barber
   05020 - Barber Apprentice
   05021 - Barber Instructor
   05022 - Barber Student
   05023 - Barber Technician
   05024 - Beekeeper
   05025 - Blaster
   05026 - Boiler Engineer
   05027 - Boiler Inspector
   05028 - Boiler Installer
   05029 - Boiler Maker
   05030 - Boiler Operator
   05031 - Boiler Repairer
   05032 - Boiler Welder
   05033 - Boxer
   05034 - Boxing Announcer
   05035 - Boxing Judge
   05036 - Boxing Manager
   05037 - Boxing Matchmaker
   05038 - Boxing Physician
   05039 - Boxing Promoter
   05040 - Boxing Referee
   05041 - Boxing Second
   05042 - Boxing Timekeeper
   05043 - Boxing Trainer
   05044 - Breath Analyzer Operator
   05045 - Breeder, Fur Bearing Animals
   05046 - Breeder, Game
   05047 - Breeder, Game Birds
   05048 - Breeder, Game Fish
   05049 - Breeder, Wild Animals &amp; Birds
   05050 - Building Code Officer
   05051 - Building Inspector
   05052 - Butter Grader
   05053 - Buttermaker
   05054 - Cemetery Real Estate Broker/Salesperson
   05055 - Cesspool Cleaner
   05056 - Cheese Grader
   05057 - Cheesemaker
   05058 - Chemist 
   05059 - Chick Dealer
   05060 - Child Care Center Administrator
   05061 - Child Care Provider
   05062 - Child Health Associate
   05063 - Chiropodist
   05064 - Chiropractic Assistant
   05065 - Chiropractic Trainee
   05066 - Chiropractor
   05067 - Clinical Laboratory Assistant
   05068 - Clinical Laboratory Director
   05069 - Clinical Laboratory Specialist
   05070 - Clinical Laboratory Supervisor
   05071 - Clinical Laboratory Technician
   05072 - Clinical Laboratory Technologist
   05073 - Clinical Laboratory Trainee
   05074 - Collection Agency Manager
   05075 - Collection Agency Solicitor
   05076 - Collection Agent
   05077 - Communications Pathologist
   05078 - Compost Operator
   05079 - Compressed Natural Gas Technician
   05080 - Concrete Technician
   05081 - Constable
   05082 - Construction Supervisor
   05083 - Contractor, Aerial Pesticide Applicator
   05084 - Contractor, Air Conditioning
   05085 - Contractor, Asbestos Abatement
   05086 - Contractor, Boiler
   05087 - Contractor, Building Moving/Demolition
   05088 - Contractor, Cabinet &amp; Mill Work
   05089 - Contractor, Carpentry
   05090 - Contractor, Chimney Cleaning
   05091 - Contractor, Communications
   05092 - Contractor, Concrete
   05093 - Contractor, Dewatering Well
   05094 - Contractor, Drywall
   05095 - Contractor, Earthwork &amp; Paving
   05096 - Contractor, Electrical
   05097 - Contractor, Elevator
   05098 - Contractor, Engineering
   05099 - Contractor, Excavation
   05100 - Contractor, Fencing
   05101 - Contractor, Fire Protection System
   05102 - Contractor, Flooring
   05103 - Contractor, General
   05104 - Contractor, Glass &amp; Glazing
   05105 - Contractor, Hazardous Materials
   05106 - Contractor, Heavy
   05107 - Contractor, Institutional
   05108 - Contractor, Insulation and Acoustical
   05109 - Contractor, Lathing
   05110 - Contractor, Lead Abatement
   05111 - Contractor, Limited Specialty
</t>
  </si>
  <si>
    <t xml:space="preserve">   05112 - Contractor, Liquefied Petroleum Gas
   05113 - Contractor, Low Voltage
   05114 - Contractor, Manufactured housing
   05115 - Contractor, Masonry
   05116 - Contractor, Mechanical
   05117 - Contractor, Metal Roofing
   05118 - Contractor, Oilburner
   05119 - Contractor, Ornamental Metal
   05120 - Contractor, Painting &amp; Decorating
   05121 - Contractor, Pest Control (Structural)
   05122 - Contractor, Pesticide
   05123 - Contractor, Pipefitter
   05124 - Contractor, Pipeline
   05125 - Contractor, Plastering
   05126 - Contractor, Plastering, Drywall &amp; Acoustical
   05127 - Contractor, Plumbing
   05128 - Contractor, Plumbing &amp; Heating
   05129 - Contractor, Plumbing, Heating &amp; AC
   05130 - Contractor, Pollutant Storage Systems
   05131 - Contractor, Public Works
   05132 - Contractor, Pump Installation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t>
  </si>
  <si>
    <t xml:space="preserve">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05299 - Fire Protection Systems Seller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t>
  </si>
  <si>
    <t xml:space="preserve">   05398 - Landfill Operator 
   05399 - Landscape Architect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05464 - Mine Surveyor
   05465 - Miner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t>
  </si>
  <si>
    <t xml:space="preserve">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05630 - Security Alarm Salesperson
   04885 - Security guard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Technologist 
</t>
  </si>
  <si>
    <t xml:space="preserve">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05630 - Security Alarm Salesperson
   04885 - Security guard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t>
  </si>
  <si>
    <t xml:space="preserve">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Technologist 
</t>
  </si>
  <si>
    <t xml:space="preserve">CountryCode
   AD - Andorra
   AE - United Arab Emirates
   AF - Afghanistan
   AG - Antigua And Barbuda
   AI - Anguilla
   AL - Albania
   AM - Armenia
   AN - Netherlands Antilles
   AO - Angola
   AQ - Antarctica
   AR - Argentina
   AS - American Samoa
   AT - Austria
   AU - Australia
   AW - Aruba
   AX - Åland Islands
   AZ - Azerbaijan
   BA - Bosnia And Herzegovina
   BB - Barbados
   BD - Bangladesh
   BE - Belgium
   BF - Burkina Faso
   BG - Bulgaria
   BH - Bahrain
   BI - Burundi
   BJ - Benin
   BL - Saint-Barthélemy
   BM - Bermuda
   BN - Brunei Darussalam
   BO - Bolivia
   BR - Brazil
   BS - Bahamas
   BT - Bhutan
   BV - Bouvet Island
   BW - Botswana
   BY - Belarus
   BZ - Belize
   CA - Canada
   CC - Cocos (Keeling) Islands
   CD - Congo, The Democratic Republic Of The
   CF - Central African Republic
   CG - Congo
   CH - Switzerland
   CI - Cote D'ivoire
   CK - Cook Islands
   CL - Chile
   CM - Cameroon
   CN - China
   CO - Colombia
   CR - Costa Rica
   CS - Serbia And Montenegro (Deleted as of April 2007 – see ME and RS) *
   CU - Cuba
   CV - Cape Verde
   CX - Christmas Island
   CY - Cyprus
   CZ - Czech Republic
   DE - Germany
   DJ - Djibouti
   DK - Denmark
   DM - Dominica
   DO - Dominican Republic
   DZ - Algeria
   EC - Ecuador
   EE - Estonia
   EG - Egypt
   EH - Western Sahara
   ER - Eritrea
   ES - Spain
   ET - Ethiopia
   FI - Finland
   FJ - Fiji
   FK - Falkland Islands (Malvinas)
   FM - Micronesia, Federated States Of
   FO - Faroe Islands
   FR - France
   GA - Gabon
   GB - United Kingdom
   GD - Grenada
   GE - Georgia
   GF - French Guiana
   GG - Guernsey
   GH - Ghana
   GI - Gibraltar
   GL - Greenland
   GM - Gambia
   GN - Guinea
   GP - Guadeloupe
   GQ - Equatorial Guinea
   GR - Greece
   GS - South Georgia And The South Sandwich Islands
   GT - Guatemala
   GU - Guam
</t>
  </si>
  <si>
    <t xml:space="preserve">   GW - Guinea Bissau
   GY - Guyana
   HK - Hong Kong
   HM - Heard Island And Mcdonald Islands
   HN - Honduras
   HR - Croatia
   HT - Haiti
   HU - Hungary
   ID - Indonesia
   IE - Ireland
   IL - Israel
   IM - Isle of Man
   IN - India
   IO - British Indian Ocean Territory
   IQ - Iraq
   IR - Iran, Islamic Republic Of
   IS - Iceland
   IT - Italy
   JE - Jersey
   JM - Jamaica
   JO - Jordan
   JP - Japan
   KE - Kenya
   KG - Kyrgyzstan
   KH - Cambodia
   KI - Kiribati
   KM - Comoros
   KN - Saint Kitts And Nevis
   KP - Korea, Democratic People's Republic Of
   KR - Korea, Republic Of
   KW - Kuwait
   KY - Cayman Islands
   KZ - Kazakhstan
   LA - Lao People's Democratic Republic
   LB - Lebanon
   LC - Saint Lucia
   LI - Liechtenstein
   LK - Sri Lanka
   LR - Liberia
   LS - Lesotho
   LT - Lithuania
   LU - Luxembourg
   LV - Latvia
   LY - Libyan Arab Jamahiriya
   MA - Morocco
   MC - Monaco
   MD - Moldova, Republic Of
   ME - Montenegro
   MF - Saint Martin (French Part)
   MG - Madagascar
   MH - Marshall Islands
   MK - Macedonia, The Former Yugoslav Republic Of
   ML - Mali
   MM - Myanmar
   MN - Mongolia
   MO - Macao
   MP - Northern Mariana Islands
   MQ - Martinique
   MR - Mauritania
   MS - Montserrat
   MT - Malta
   MU - Mauritius
   MV - Maldives
   MW - Malawi
   MX - Mexico
   MY - Malaysia
   MZ - Mozambique
   NA - Namibia
   NC - New Caledonia
   NE - Niger
   NF - Norfolk Island
   NG - Nigeria
   NI - Nicaragua
   NL - Netherlands
   NO - Norway
   NP - Nepal
   NR - Nauru
   NU - Niue
   NZ - New Zealand
   OM - Oman
   PA - Panama
   PE - Peru
   PF - French Polynesia
   PG - Papua New Guinea
   PH - Philippines
   PK - Pakistan
   PL - Poland
   PM - Saint Pierre And Miquelon
   PN - Pitcairn
   PR - Puerto Rico
   PS - Palestinian Territory, Occupied
   PT - Portugal
   PW - Palau
   PY - Paraguay
   QA - Qatar
   RE - Reunion
   RO - Romania
   RS - Serbia
   RU - Russian Federation
   RW - Rwanda
   SA - Saudi Arabia
   SB - Solomon Islands
   SC - Seychelles
   SD - Sudan
   SE - Sweden
   SG - Singapore
   SH - Saint Helena
   SI - Slovenia
   SJ - Svalbard And Jan Mayen
   SK - Slovakia
   SL - Sierra Leone
   SM - San Marino
   SN - Senegal
   SO - Somalia
   SR - Suriname
   ST - Sao Tome And Principe
   SV - El Salvador
   SY - Syrian Arab Republic
   SZ - Swaziland
   TC - Turks And Caicos Islands
   TD - Chad
   TF - French Southern Territories
   TG - Togo
   TH - Thailand
   TJ - Tajikistan
   TK - Tokelau
   TL - Timor Leste
   TM - Turkmenistan
   TN - Tunisia
   TO - Tonga
   TR - Turkey
   TT - Trinidad And Tobago
   TV - Tuvalu
   TW - Taiwan, Province Of China
   TZ - Tanzania, United Republic Of
   UA - Ukraine
   UG - Uganda
   UM - United States Minor Outlying Islands
   US - United States
   UY - Uruguay
   UZ - Uzbekistan
   VA - Holy See (Vatican City State)
   VC - Saint Vincent And The Grenadines
   VE - Venezuela
   VG - Virgin Islands, British
   VI - Virgin Islands, U.S.
   VN - Viet Nam
   VU - Vanuatu
   WF - Wallis And Futuna
   WS - Samoa
   YE - Yemen
   YT - Mayotte
   ZA - South Africa
   ZM - Zambia
   ZW - Zimbabwe
</t>
  </si>
  <si>
    <t xml:space="preserve">ExchangeVisitorPositionCode
   100 - CATEGORY - GOVERNMENT
   110 - CENTRAL GOVERNMENT GROUP
   111 - HEAD OF GOVERNMENT
   112 - MINISTERIAL LEVEL OFFICIAL
   113 - EXECUTIVE LEVEL OFFICIAL
   114 - CIVIL SERVICE EMPLOYEE IN CENTRAL GOVERNMENT
   115 - PROFESSIONALS AND SCIENTISTS IN CENTRAL GOVENMENT
   116 - LEGISLATOR IN CENTRAL GOVERNMENT
   117 - JUDGES IN CENTRAL GOVERNMENT
   118 - MANAGER OF STATE ENTERPRISE
   119 - CENTRAL GOVERNMENT, OTHER
   120 - REGIONAL, STATE OR PROVINCIAL GOVERNMENT GROUP
   121 - GOVERNOR OR OTHER CHIEF OF REGIONAL UNIT
   122 - SENIOR HEAD OF REGIONAL DEPT
   123 - EXECUTIVE LEVEL REGIONAL OFFICIALS
   124 - CIVIL SERVICE EMPLOYEE IN REGIONAL/STATE GOVERNMENT
   125 - PROFESSIONALS AND SCIENTISTS IN REGIONAL GOVERNMENT
   126 - LEGISLATOR IN REGIONAL OR STATE GOVERNMENT
   127 - JUDGES IN REGIONAL OR STATE GOVERNMENT
   128 - MANAGER OF REGIONAL ENTERPRISE
   129 - OTHER, REGIONAL GOVERNMENT
   130 - CITY OR TOWN GOVERNMENT GROUP
   131 - MAYOR OR CITY MANAGER
   132 - HEAD OF CITY DEPARTMENT
   133 - EXECUTIVE LEVEL CITY OR TOWN OFFICIALS
   134 - CIVIL SERVICE EMPLOYEE IN CITY OR TOWN GOVERNMENT
   135 - PROFESSIONALS AND SCIENTISTS IN CITY OR TOWN GOVERNMENT
   136 - LEGISLATOR IN CITY OR TOWN GOVERNMENT
   137 - JUDGES IN CITY OR TOWN GOVERNMENT
   138 - MANAGER OF CITY ENTERPRISE
   139 - OTHER, CITY OR TOWN GOVERNMENT
   140 - INTERNATIONAL ORGANIZAATION GROUP
   141 - HEAD OF INTERNATIONAL ORGANIZATION GROUP
   142 - SENIOR OFFICIAL OF INTERNATIONAL ORGAINZATION
   143 - EMPLOYEE OF INTERNATIONAL ORGANIZATION
   200 - CATEGORY - ACADEMIC COMMUNITY
   210 - UNIVERSITY LEVEL GROUP
   211 - UNIVERSITY PRESIDENT OR RECTOR
   212 - UNIVERSITY ADMINISTRATIVE STAFF
   213 - UNIVERSITY TEACHING STAFF INCLUDING RESEARCHERS
   214 - UNIVERSITY GRADUATE STUDENTS
   215 - UNIVERSITY UNDERGRADUATE STUDENTS
   216 - UNIVERSITY MEDICAL SCHOOL STUDENTS
   217 - UNIVERSITY SCHOOL STUDENTS IN OTHER PROFESSIONS
   218 - UNIVERSITY POST GRAD MEDICAL TRAINEE
   219 - OTHER UNIVERSITY
   220 - SECONDARY SCHOOL GROUP
   221 - SECONDARY SCHOOL PRINCIPAL
   222 - SECONDARY SCHOOL TEACHER OR STAFF
   223 - SECONDARY SCHOOL STUDENT
   229 - OTHER SECONDARY SCHOOL
   230 - ELEMENTARY SCHOOL GROUP
   231 - TEACHER OR STAFF ELEMENTARY PRINCIPAL
   239 - OTHER ELEMENTARY SCHOOL
   240 - SPECIAL SCHOOLS, INSTITUTES, OR VOCATIONAL SCHOOL GROUPS
   241 - SPECIAL SCHOOL, INSTITUTE, OR VOCATIONAL HEAD
   242 - SPECIAL SCHOOL, INSTITUTE, OR VOCATIONAL TEACHER OR STAFF
   249 - SPECIAL SCHOOL, INSTITUTE, OR VOCATIONAL – OTHER
   300 - CATEGORY - PRIVATE SECTOR
   310 - PRIVATE BUSINESS GROUP
   311 - PRIVATE BUSINESS ENTREPRENEUR
   312 - CORPORATE EXECUTIVE
   313 - MANAGER EMPLOYED BY PRIVATE BUSINESS
   314 - EMPLOYEE OF PRIVATE BUSINESS
   315 - PROFESSIONAL OR SCIENTISTS IN PRIVATE BUSINESS
   319 - PRIVATE BUSINESS, OTHER
   320 - SELF-EMPLOYED PROFESSIONALS GROUP
   321 - SELF-EMPLOYED PROFESSIONALS (LEGAL FIELD)
   322 - SELF-EMPLOYED PROFESSIONALS (MEDICAL FIELD)
   323 - SELF-EMPLOYED PROFESSIONALS (TECHNICAL FIELD)
   329 - SELF-EMPLOYED PROFESSIONALS – OTHER
   330 - INDEPENDENT, NON-PROFIT, HOSPITALS, OR OTHER ORGANIZATION GROUPS
   331 - DIRECTOR OF INSTIT/CORP. OR HOSPITAL
   332 - MANAGER-EXEC EMPLOYED BY INST/CORP
   334 - EMPLOYEE OF IND.INSTIT OR CORP
   335 - INSTIT/CORP PROFESS.NAL/SCIEN.
   339 - INDEPENDENT, NON-PROFIT, HOSPITALS, OR SIMILAR ORGANIZATION – OTHER
   340 - AGRICULTURE (INCL. FORESTRY AND FISHERIES) GROUP
   341 - AGRICULTURAL ENTREPRENEUR
   342 - EXECUTIVE OF AGRICULTURAL BUSINESS
   343 - AGRICULTURAL MANAGER
   344 - EMPLOYEE OF AGRICULTURAL ENTERPRISE
   345 - PROFESSIONAL OR SCIENTISTS IN AGRICULTURE
   349 - AGRICULTURE, OTHER
   350 - RELIGION GROUP
   351 - MINISTER OF RELIGION
   352 - RELIGIOUS ORDER/CONGREGATION MEMBER
   353 - THEOLOGIAN
   400 - CATEGORY - THE ARTS AND SPORTS
   410 - THE ARTS GROUP
   411 - ARTIST (GRAPHIC ARTS)
   412 - AUTHOR (PLAYWRIGHT POET)
   413 - STAGE OR FILM ACTOR
   414 - FILM (OR STAGE) PRODUCER
   415 - COMPOSER OR MUSICIAN
   419 - ARTS OTHER
   420 - THE SPORTS GROUP
   421 - ATHLETE
   422 - COACH
   429 - SPORTS OTHER
   500 - CATEGORY – LABOR
   510 - LABOR UNION GROUP
   511 - LABOR UNION HEAD
   512 - LABOR UNION OFFICIAL
   513 - LABOR UNION OTHER
   520 - LABOR UNION MINISTRY GROUP
   521 - LABOR MINISTER (OR LAB.AG.HEAD)
   522 - SENIOR MINISTERIAL OFFICIAL
   523 - MINISTERIAL OR LABOR AG.EMPL.
   529 - MINISTRY OF LABOR OTHER
   530 - LABOR EXPERTS IN ACADEMIA GROUP
   539 - LABOR EXPERTS IN ACADEMIA OTHER
   540 - LABOR ORGANIZATION AND OTHER LABOR GROUPS
   541 - HEAD OF LABOR ORGANIZATION
   542 - EMPLOYEE OF LABOR ORGANIZATION
   600 - CATEGORY - COMMUNICATIONS
   610 - ELECTRONIC MEDIA GROUP
   611 - HEAD OF TV OR RADIO STATION
   612 - RADIO OR TV JOURNALIST
   613 - ELECTRONIC MEDIA TECHNICIAN
   619 - ELECTRONIC MEDIA OTHER
   620 - PRINTED MEDIA GROUP
   621 - EDITOR AND/OR PUBLISHER
   622 - JOURNALIST
   623 - TECHNICAL OFFICIAL IN PRINTED MEDIA FIELD
   629 - PRINTED MEDIA OTHER
   630 - FILM AS NEWS MEDIA GROUP
   631 - FILM MAKER
   639 - FILM AS NEWS MEDIA OTHER
   700 - CATEGORY - IMPORTANT POLITICAL FIGURES NOT CLASSIFIED ELSEWHERE
   710 - OPPOSITION LEADER (NOT IN GOVERNMENT)
</t>
  </si>
  <si>
    <t xml:space="preserve">CountryCode
   AD - Andorra
   AE - United Arab Emirates
   AF - Afghanistan
   AG - Antigua And Barbuda
   AI - Anguilla
   AL - Albania
   AM - Armenia
   AN - Netherlands Antilles
   AO - Angola
   AQ - Antarctica
   AR - Argentina
   AS - American Samoa
   AT - Austria
   AU - Australia
   AW - Aruba
   AX - Åland Islands
   AZ - Azerbaijan
   BA - Bosnia And Herzegovina
   BB - Barbados
   BD - Bangladesh
   BE - Belgium
   BF - Burkina Faso
   BG - Bulgaria
   BH - Bahrain
   BI - Burundi
   BJ - Benin
   BL - Saint-Barthélemy
   BM - Bermuda
   BN - Brunei Darussalam
   BO - Bolivia
   BR - Brazil
   BS - Bahamas
   BT - Bhutan
   BV - Bouvet Island
   BW - Botswana
   BY - Belarus
   BZ - Belize
   CA - Canada
   CC - Cocos (Keeling) Islands
   CD - Congo, The Democratic Republic Of The
   CF - Central African Republic
   CG - Congo
   CH - Switzerland
   CI - Cote D'ivoire
   CK - Cook Islands
   CL - Chile
   CM - Cameroon
   CN - China
   CO - Colombia
   CR - Costa Rica
   CS - Serbia And Montenegro (Deleted as of April 2007 – see ME and RS) *
   CU - Cuba
   CV - Cape Verde
   CX - Christmas Island
   CY - Cyprus
   CZ - Czech Republic
   DE - Germany
   DJ - Djibouti
   DK - Denmark
   DM - Dominica
   DO - Dominican Republic
   DZ - Algeria
   EC - Ecuador
   EE - Estonia
   EG - Egypt
   EH - Western Sahara
   ER - Eritrea
   ES - Spain
   ET - Ethiopia
   FI - Finland
   FJ - Fiji
   FK - Falkland Islands (Malvinas)
   FM - Micronesia, Federated States Of
   FO - Faroe Islands
   FR - France
   GA - Gabon
   GB - United Kingdom
   GD - Grenada
   GE - Georgia
   GF - French Guiana
   GG - Guernsey
   GH - Ghana
   GI - Gibraltar
   GL - Greenland
   GM - Gambia
   GN - Guinea
   GP - Guadeloupe
   GQ - Equatorial Guinea
   GR - Greece
   GS - South Georgia And The South Sandwich Islands
   GT - Guatemala
   GU - Guam
   GW - Guinea Bissau
   GY - Guyana
   HK - Hong Kong
   HM - Heard Island And Mcdonald Islands
   HN - Honduras
   HR - Croatia
   HT - Haiti
   HU - Hungary
   ID - Indonesia
   IE - Ireland
   IL - Israel
   IM - Isle of Man
   IN - India
   IO - British Indian Ocean Territory
   IQ - Iraq
   IR - Iran, Islamic Republic Of
   IS - Iceland
   IT - Italy
   JE - Jersey
   JM - Jamaica
   JO - Jordan
   JP - Japan
   KE - Kenya
   KG - Kyrgyzstan
   KH - Cambodia
   KI - Kiribati
   KM - Comoros
   KN - Saint Kitts And Nevis
   KP - Korea, Democratic People's Republic Of
   KR - Korea, Republic Of
   KW - Kuwait
   KY - Cayman Islands
   KZ - Kazakhstan
   LA - Lao People's Democratic Republic
   LB - Lebanon
   LC - Saint Lucia
   LI - Liechtenstein
   LK - Sri Lanka
   LR - Liberia
   LS - Lesotho
   LT - Lithuania
   LU - Luxembourg
   LV - Latvia
   LY - Libyan Arab Jamahiriya
   MA - Morocco
   MC - Monaco
   MD - Moldova, Republic Of
   ME - Montenegro
   MF - Saint Martin (French Part)
   MG - Madagascar
   MH - Marshall Islands
   MK - Macedonia, The Former Yugoslav Republic Of
   ML - Mali
   MM - Myanmar
   MN - Mongolia
   MO - Macao
   MP - Northern Mariana Islands
   MQ - Martinique
   MR - Mauritania
   MS - Montserrat
   MT - Malta
   MU - Mauritius
   MV - Maldives
   MW - Malawi
   MX - Mexico
   MY - Malaysia
   MZ - Mozambique
   NA - Namibia
   NC - New Caledonia
   NE - Niger
   NF - Norfolk Island
   NG - Nigeria
   NI - Nicaragua
   NL - Netherlands
   NO - Norway
   NP - Nepal
   NR - Nauru
   NU - Niue
   NZ - New Zealand
   OM - Oman
   PA - Panama
   PE - Peru
   PF - French Polynesia
   PG - Papua New Guinea
   PH - Philippines
   PK - Pakistan
   PL - Poland
   PM - Saint Pierre And Miquelon
   PN - Pitcairn
   PR - Puerto Rico
   PS - Palestinian Territory, Occupied
   PT - Portugal
   PW - Palau
   PY - Paraguay
   QA - Qatar
   RE - Reunion
   RO - Romania
   RS - Serbia
   RU - Russian Federation
   RW - Rwanda
   SA - Saudi Arabia
   SB - Solomon Islands
   SC - Seychelles
   SD - Sudan
   SE - Sweden
   SG - Singapore
   SH - Saint Helena
   SI - Slovenia
   SJ - Svalbard And Jan Mayen
   SK - Slovakia
   SL - Sierra Leone
   SM - San Marino
   SN - Senegal
   SO - Somalia
   SR - Suriname
   ST - Sao Tome And Principe
   SV - El Salvador
   SY - Syrian Arab Republic
   SZ - Swaziland
   TC - Turks And Caicos Islands
   TD - Chad
   TF - French Southern Territories
   TG - Togo
   TH - Thailand
   TJ - Tajikistan
   TK - Tokelau
   TL - Timor Leste
   TM - Turkmenistan
   TN - Tunisia
   TO - Tonga
   TR - Turkey
   TT - Trinidad And Tobago
   TV - Tuvalu
   TW - Taiwan, Province Of China
   TZ - Tanzania, United Republic Of
   UA - Ukraine
   UG - Uganda
   UM - United States Minor Outlying Islands
   US - United States
   UY - Uruguay
   UZ - Uzbekistan
   VA - Holy See (Vatican City State)
   VC - Saint Vincent And The Grenadines
   VE - Venezuela
   VG - Virgin Islands, British
   VI - Virgin Islands, U.S.
   VN - Viet Nam
   VU - Vanuatu
   WF - Wallis And Futuna
   WS - Samoa
   YE - Yemen
   YT - Mayotte
   ZA - South Africa
   ZM - Zambia
   ZW - Zimbabwe
</t>
  </si>
  <si>
    <t xml:space="preserve">I94PortOfEntryCode
   ABG - ALBURG VT
   ABQ - ALBUQUERQUE NM
   ABS - ALBURG SPRINGS VT
   ADT - AMISTAD DAM TX
   AGA - AGANA GUAM
   AGN - ALGONAC, MI
   ALB - ALBANY, NY
   ALC - ALCAN AK
   AMB - AMBROSE ND
   ANC - ANCHORAGE, AK
   AND - ANDRADE CA
   ANT - ANTLER ND
   ARB - ARUBA NETH ANTILLES
   AST - ASTORIA OR
   ATL - ATLANTA GA
   AUS - AUSTIN TX
   BAL - BALTIMORE MD
   BAU - BAUDETTE MN
   BBM - BROWNSV'LE, MATAMOR.TX
   BEB - BEEBE PLAIN, VT
   BEE - BEECHER FALLS, VT
   BEL - BELLINGHAM WA
   BGM - BANGOR, ME
   BLA - BLAINE WA
   BOA - BRIDGE OF AMERICAS TX
   BOS - BOSTON, MA
   BRG - BURLINGTON, VT
   BRO - BROWNSV'LE TX
   BTN - BATON ROUGE LA
   BWA - BOUNDARY WA
   BWM - BRIDGEWATER, ME
   BYO - BAYONNE, NJ
   CAL - CALEXICO, CA
   CHA - CHARLOTTE AMALIE
   CHF - CHIEF MOUNTAIN, MT
   CHI - CHICAGO, IL
   CHL - CHARLESTON, SC
   CHM - CHAMPLAIN, NY
   CHR - CHRISTIANSTED, VI
   CHT - CHATEAUGAY, NY
   CIN - CINCINNATI, OH
   CLE - CLEVELAND, OH
   CLG - CALGARY, CN
   CLM - COLUMBUS, OH
   CLS - CALAIS, ME
   CLT - CHARLOTTE, NC
   CNA - CANAAN, VT
   CNJ - CAMDEN, NJ
   COB - COBURN GORE, ME
   COL - COLUMBUS, NM
   COO - COOS BAY, OR
   COW - HEADQUARTERS
   CRP - CORPUS CHRISTI, TX
   CRU - CRUZ BAY, ST JOHN
   CRY - CARBURY, ND
   DAC - DALTONS CACHE, AK
   DAL - DALLAS, TX
   DCB - DETROIT, MI (BRIDGE)
   DCT - DETROIT MI (TUNNEL)
   DEN - DENVER CO
   DER - DERBY LINE, VT (I91)
   DET - DETROIT, MI
   DLB - DEL BONITA, MT
   DLR - DEL RIO, TX
   DLV - DERBY LINE, VT (RT 5)
   DNS - DUNSEITH, ND
   DOU - DOUGLAS, AZ
   DTH - DUTCH HARBOR, AK
   DUL - DULUTH, MN
   DVD - DOVER, DE AFB
   DVL - DANVILLE, WA
   EAS - EASTON, ME
   EDA - EDMONTON, CN
   EGP - EAGLE PASS, TX
   EPI - EASTPORT, ID
   EPM - EASTPORT, ME
   ERC - EAST RICHFORD, VT
   EST - ESTCOURT, ME
   FAB - FABENS, TX
   FAL - FALCON HEIGHTS, TX
   FBA - FREEPORT, BAHAMAS
   FER - FERRY, WA
   FMY - FORT MYERS, FL
   FOR - FOREST CITY, ME
   FRB - FAIRBANKS, AK
   FRT - FORTUNA, ND
   FTC - FORT COVINGTON, NY
   FTF - FORT FAIRFIELD, ME
   FTH - FORT HANCOCK, TX
   FTK - FORT KENT, ME
   FWA - FRONTIER, WA
   GAL - GALVESTON, TX
   GPM - GRAND PORTAGE, MN
   GRR - GREER, SC
   GUL - GULFPORT, MS
   HAM - HAMILTON, BERMUDA
   HAR - HARTFORD, CT
   HEL - HELENA, MT
   HHW - HONOLULU HI
   HID - HIDALGO, TX
   HIG - HIGHGATE SPRINGS, VT
   HML - HAMLIN, ME
   HNN - HANNAH, ND
   HNS - HANSBORO, ND
   HOU - HOUSTON, TX
   HTM - HOULTON, ME
   INP - INDIANAPOLIS IN
   INT - INTERNAT'L FALLS MN
   IVP - CALEXICO, EAST, CA
   JAC - JACKSONV'L FL
   JKM - JACKMAN, ME
   KAN - KANSAS CITY MO
   KET - KETCHIKAN, AK
   KEY - KEY WEST FL
   KOA - KEAHOLE, KONA, HI
   LAN - LANCASTER, MN
   LAR - LAREDO, TX
   LAU - LAURIER, WA
   LCB - LAREDO COL BRIDGE, TX
   LIM - LIMESTONE, ME
   LKC - LAKE CHARLES, LA
   LLB - JUAREZ, LINCN BRDG TX
   LOI - LOS INDIOS, TX
   LON - LONGVIEW, WA
   LOS - LOS ANGELES, CA
   LOU - LOUISVILLE KY
   LSE - LOS EBANOS, TX
   LUB - LUBEC, ME
   LUK - LUKEVILLE AZ
   LVG - LAS VEGAS NV
   LYN - LYNDEN, WA
   MAD - MADAWASKA, ME
   MAG - MCGUIRE AFB, NJ
   MAI - MAIDA, ND
   MAP - MARIPOSA, AZ
   MAS - MASSENA, NY
   MAY - MAYAGUEZ, PR
   MEM - MEMPHIS TN
   MET - METALINE FALLS, WA
   MGM - MORGAN, MT
   MIA - MIAMI, FL
   MIL - MILWAUKEE, WI
   MND - MINOT ND
   MOB - MOBILE, AL
   MON - MONTREAL, CN
   MOO - MOORES, NY
   MOR - MORSES LINE, VT
   MRC - MARINE CITY, MI
   MSP - MINNEAPOLIS, ST. PAUL AIRPORT
   MTC - MONTICELLO, ME
   NAC - NACO, AZ
   NAS - NASSAU BAHAMAS
   NEC - NECHE, ND
   NEW - NEWARK, NJ
   NIA - NIAGARA FALLS, NY
   NIG - NIGHTHAWK, WA
   NOG - NOGALES, AZ
   NOL - NEW ORLEANS, LA
   NOM - NOME, AK SEAPORT
   NOO - NOONAN, ND
   NOR - NORFOLK VA
   NOY - NOYES, MN
   NPT - NEWPORT, OR
   NRG - NORTHGATE, ND
   NRN - NORTON, VT
   NRT - NORTH TROY, VT
   NSV - NASHVILLE, TN
   NYC - NEW YORK, NY
   OGD - OGDENSBURG, NY
   OKC - OKLAHOMA CITY, OK
   OMA - OMAHA, NE
   OPH - OPHEIM, MT
   ORI - ORIENT, ME
</t>
  </si>
  <si>
    <t xml:space="preserve">   ORL - ORLANDO, FL
   ORO - OROVILLE, WA
   OTM - OTAY MESA, CA
   OTT - OTTAWA, CN
   PAN - PANAMA CITY, FL
   PAR - PORT ARTHUR, TX
   PBB - PEACE BRIDGE, NY
   PCF - PORT CANAVERAL, FL
   PDN - PASO DEL NORTE, TX
   PEM - PEMBINA, ND
   PEV - PORT EVERGLADES, FL
   PGR - PROGRESO, TX
   PHI - PHILADELPHI, PA
   PHO - PHOENIX AZ
   PHR - PHARR, TX
   PHU - PORT HURON, MI
   PHY - BLAINE, WA PACIFIC HWY
   PIB - PARADISE ISLAND, BS
   PIE - PIEGAN, MT
   PIN - PINE CREEK, MN
   PIT - PITTSBURGH, PA
   PIV - PINNACLE ROAD, VT
   PKC - POKER CREEK, AK
   PNG - PORT ANGELES, WA
   PNH - PITTSBURG, NH
   POM - PORTLAND, ME
   PON - PONCE, PR
   POO - PORTLAND OR
   POR - PORTAL, ND
   PRE - PRESIDIO, TX
   PRO - PROVIDENCE, RI
   PTL - PORTHILL, ID
   PTR - POINT ROBERTS,WA
   RAY - RAYMOND, MT
   RDU - RALEIGH/DURHAM, NC
   REN - RENO, NV
   RIF - RICHFORD, VT
   RIO - RIO GRANDE CITY, TX
   ROM - ROMA, TX
   ROO - ROOSVILLE, MT
   ROS - ROSEAU, MN
   ROU - ROUSES POINT, NY
   SAJ - SAN JUAN, PR
   SAR - SARLES, ND
   SAS - SASABE, AZ
   SAU - ST AUGUSTINE, FL
   SAV - SAVANNAH, GA
   SCO - SCOBEY, MT
   SDP - SAN DIEGO, CA
   SDY - SANDUSKY, OH
   SEA - SEATTLE, WA
   SET - SEATTLE, WA
   SFB - SANFORD, FL
   SFR - SAN FRANCISCO, CA
   SHR - SHERWOOD, ND
   SJO - ST JOHN, ND
   SKA - SKAGWAY, AK
   SLC - SALT LAKE CITY, UT
   SLU - SAN LUIS, AZ
   SNA - SAN ANTONIO, TX
   SND - SAN DIEGO, CA
   SNJ - SAN JOSE, CA
   SNN - SHANNON, IRELAND
   SPA - ST PAMPILE
   SPE - ST. PETERSBURG, FL
   SPM - ST PAUL, MN
   SPO - SPOKANE, WA
   SRL - ST AURELIE, ME
   SSB - SEATTLE SEAPORT
   SSM - SAULT STE. MARIE, MI
   STL - ST LOUIS, MO
   STR - SANTA TERESA, NM
   STT - ST THOMAS, VI
   SUM - SUMAS, WA
   SWE - SWEETGRASS, MT
   SYS - SAN YSIDRO, CA
   TAC - TACOMA, WA
   TAM - TAMPA, FL
   TEC - TECATE, CA
   THO - THOUSAND ISL BRDGE, NY
   TOL - TOLEDO, OH
   TOR - TORONTO, CANADA
   TRO - TROUT RIVER, NY
   TUC - TUCSON AZ/SUB
   TUR - TURNER, MT
   VCB - VANCEBORO, ME
   VCV - VANCOUVER CN
   VIC - VICTORIA CANADA
   VNB - VAN BUREN, ME
   WAL - WALHALLA, ND
   WAR - WARROAD, MN
   WAS - WASHINGTON DC
   WBE - WEST BERKSHIRE, VT
   WCM - WILLOW CREEK, MT
   WHI - WHITETAIL, MT
   WHM - WILD HORSE, MT
   WHO - WESTHOPE, ND
   WIL - WILMINGTON, NC
   WIN - WINNIPEG, CN
   WND - WILLISTON, ND
   WPB - WEST PALM BEACH, FL
   YSL - YSLETA, TX
   YUI - YUMA AIRPORT, AZ
</t>
  </si>
  <si>
    <t xml:space="preserve">IssuingCountryCode
   AA - ARUBA
   AC - ANTIGUA AND BARBUDA
   AE - UNITED ARAB EMIRATES
   AF - AFGHANISTAN
   AG - ALGERIA
   AJ - AZERBAIJAN
   AL - ALBANIA
   AM - ARMENIA
   AN - ANDORRA
   AO - ANGOLA
   AR - ARGENTINA
   AS - AUSTRALIA
   AT - ASHMORE AND CARTIER ISLANDS
   AU - AUSTRIA
   AV - ANGUILLA
   AY - ANTARCTICA
   BA - BAHRAIN
   BB - BARBADOS
   BC - BOTSWANA
   BD - BERMUDA
   BE - BELGIUM
   BF - BAHAMAS, THE
   BG - BANGLADESH
   BH - BELIZE
   BK - BOSNIA AND HERZEGOVINA
   BL - BOLIVIA
   BM - BURMA
   BN - BENIN
   BO - BELARUS
   BP - SOLOMON ISLANDS
   BR - BRAZIL
   BS - BASSAS DA INDIA
   BT - BHUTAN
   BU - BULGARIA
   BV - BOUVET ISLAND
   BX - BRUNEI
   BY - BURUNDI
   CA - CANADA
   CB - CAMBODIA
   CD - CHAD
   CE - SRI LANKA
   CF - CONGO
   CG - CONGO, DEMOCRATIC REPUBLIC OF THE
   CH - CHINA
   CI - CHILE
   CJ - CAYMAN ISLANDS
   CK - COCOS (KEELING) ISLANDS
   CL - CENTRAL AND SOUTHERN LINE ISLANDS
   CM - CAMEROON
   CN - COMOROS
   CO - COLOMBIA
   CR - CORAL SEA ISLANDS
   CS - COSTA RICA
   CT - CENTRAL AFRICAN REPUBLIC
   CU - CUBA
   CV - CAPE VERDE
   CW - COOK ISLANDS
   CY - CYPRUS
   CZ - CZECHOSLOVAKIA
   DA - DENMARK
   DJ - DJIBOUTI
   DO - DOMINICA
   DR - DOMINICAN REPUBLIC
   EC - ECUADOR
   EG - EGYPT
   EI - IRELAND
   EK - EQUATORIAL GUINEA
   EN - ESTONIA
   EQ - CANTON AND ENDERBURY
   ER - ERITREA
   ES - EL SALVADOR
   ET - ETHIOPIA
   EU - EUROPA ISLAND
   EZ - CZECH REPUBLIC
   FG - FRENCH GUIANA
   FI - FINLAND
   FJ - FIJI
   FK - FALKLAND ISLANDS (ISLAS MALVINAS)
   FM - MICRONESIA, FEDERATED STATES OF
   FO - FAROE ISLANDS
   FP - FRENCH POLYNESIA
   FR - FRANCE
   FS - FRENCH SOUTHERN AND ANTARCTIC LANDS
   FT - FRENCH TERRITORY OF THE AFARS AND ISSAS
   GA - GAMBIA, THE
   GB - GABON
   GC - GERMAN DEMOCRATIC REPUBLIC
   GE - FEDERAL REPUBLIC OF GERMANY
   GG - GEORGIA
   GH - GHANA
   GI - GIBRALTAR
   GJ - GRENADA
   GK - GUERNSEY
   GL - GREENLAND
   GM - GERMANY
   GN - GILBERT AND ELLICE ISLANDS
   GO - GLORIOSO ISLANDS
   GP - GUADELOUPE
   GR - GREECE
   GS - GILBERT ISLANDS
   GT - GUATEMALA
   GV - GUINEA
   GY - GUYANA
   GZ - GAZA STRIP
   HA - HAITI
   HK - HONG KONG
   HM - HEARD ISLAND AND MCDONALD SLANDS
   HO - HONDURAS
   HR - CROATIA
   HU - HUNGARY
   IC - ICELAND
   ID - INDONESIA
   IM - ISLE OF MAN
   IN - INDIA
   IO - BRITISH INDIAN OCEAN TERRITORY
   IP - CLIPPERTON ISLAND
   IQ - UNITED STATES MISC. PACIFIC ISLANDS
   IR - IRAN
   IS - ISRAEL
   IT - ITALY
   IU - ISRAEL-SYRIA DEMILITARIZED ZONE
   IV - COTE D IVOIRE
   IW - ISRAEL-JORDAN DEMILITARIZED ZONE
   IY - IRAQ-SAUDI ARABIA NEUTRAL ZONE
   IZ - IRAQ
   JA - JAPAN
   JE - JERSEY
   JM - JAMAICA
   JN - JAN MAYEN
   JO - JORDAN
   JS - SVALBARD AND JAN MAYEN
   JU - JUAN DE NOVA ISLAND
   KE - KENYA
   KG - KYRGYZSTAN
   KN - NORTH KOREA
   KR - KIRIBATI
   KS - SOUTH KOREA
   KT - CHRISTMAS ISLAND
   KU - KUWAIT
   KZ - KAZAKHSTAN
   LA - LAOS
   LE - LEBANON
   LG - LATVIA
   LH - LITHUANIA
   LI - LIBERIA
   LO - SLOVAKIA
   LS - LIECHTENSTEIN
   LT - LESOTHO
   LU - LUXEMBOURG
   LY - LIBYA
   MA - MADAGASCAR
   MB - MARTINIQUE
   MC - MACAU
   MD - MOLDOVA
   ME - SPANISH NORTH AFRICA
   MF - MAYOTTE
   MG - MONGOLIA
   MH - MONTSERRAT
   MI - MALAWI
   MK - MACEDONIA, THE FORMER YUGOSLAV REPUBLIC OF
   ML - MALI
   MN - MONACO
   MO - MOROCCO
   MP - MAURITIUS
   MR - MAURITANIA
   MT - MALTA
   MU - OMAN
   MV - MALDIVES
   MW - MONTENEGRO
   MX - MEXICO
   MY - MALAYSIA
   MZ - MOZAMBIQUE
   NC - NEW CALEDONIA
   NE - NIUE
   NF - NORFOLK ISLAND
   NG - NIGER
   NH - VANUATU
   NI - NIGERIA
   NL - NETHERLANDS
   NO - NORWAY
   NP - NEPAL
   NR - NAURU
   NS - SURINAME
   NT - NETHERLANDS ANTILLES
</t>
  </si>
  <si>
    <t xml:space="preserve">   NU - NICARAGUA
   NZ - NEW ZEALAND
   PA - PARAGUAY
   PC - PITCAIRN ISLANDS
   PE - PERU
   PF - PARACEL ISLANDS
   PG - SPRATLY ISLANDS
   PK - PAKISTAN
   PL - POLAND
   PM - PANAMA
   PO - PORTUGAL
   PP - PAPUA NEW GUINEA
   PQ - CANAL ZONE
   PS - PALAU
   PT - PORTUGUESE TIMOR
   PU - GUINEA-BISSAU
   QA - QATAR
   RE - REUNION
   RH - SOUTHERN RHODESIA
   RM - MARSHALL ISLANDS
   RO - ROMANIA
   RP - PHILIPPINES
   RS - RUSSIA
   RW - RWANDA
   SA - SAUDI ARABIA
   SB - SAINT PIERRE AND MIQUELON
   SC - SAINT KITTS AND NEVIS
   SE - SEYCHELLES
   SF - SOUTH AFRICA
   SG - SENEGAL
   SH - SAINT HELENA
   SI - SLOVENIA
   SK - SIKKIM
   SL - SIERRA LEONE
   SM - SAN MARINO
   SN - SINGAPORE
   SO - SOMALIA
   SP - SPAIN
   SQ - SWAN ISLANDS
   SR - SERBIA
   SS - SPANISH SAHARA
   ST - SAINT LUCIA
   SU - SUDAN
   SV - SVALBARD
   SW - SWEDEN
   SX - SOUTH GEORGIA AND THE SOUTH SANDWICH ISLANDS
   SY - SYRIA
   SZ - SWITZERLAND
   TD - TRINIDAD AND TOBAGO
   TE - TROMELIN ISLAND
   TH - THAILAND
   TI - TAJIKISTAN
   TK - TURKS AND CAICOS ISLANDS
   TL - TOKELAU
   TN - TONGA
   TO - TOGO
   TP - SAO TOME AND PRINCIPE
   TQ - TRUST TERRITORY OF THE PACIFIC ISLANDS
   TS - TUNISIA
   TT - EAST TIMOR
   TU - TURKEY
   TV - TUVALU
   TW - TAIWAN
   TX - TURKMENISTAN
   TZ - TANZANIA
   U2 - NEUTRAL ZONE
   U3 - STATELESS
   U5 - UNKNOWN
   UG - UGANDA
   UK - UNITED KINGDOM
   UP - UKRAINE
   UR - UNION OF SOVIET SOCIALIST REPUBLICS
   UV - BURKINA FASO
   UY - URUGUAY
   UZ - UZBEKISTAN
   VC - SAINT VINCENT AND THE GRENADINES
   VE - VENEZUELA
   VI - BRITISH VIRGIN ISLANDS
   VM - VIETNAM
   VN - DEMOCRATIC REPUBLIC OF VIET-NAM
   VS - REPUBLIC OF VIET-NAM
   VT - VATICAN CITY
   WA - NAMIBIA
   WE - WEST BANK
   WF - WALLIS AND FUTUNA
   WI - WESTERN SAHARA
   WS - SAMOA
   WZ - SWAZILAND
   YE - YEMAN (SANAA)
   YM - YEMEN
   YO - YUGOSLAVIA
   YQ - YUGOSLAVIA
   YS - YEMEN (ADEN)
   ZA - ZAMBIA
   ZI - ZIMBABWE
</t>
  </si>
  <si>
    <t xml:space="preserve">VisaIssuingPostCode
   ABD - ABU DHABI
   ABJ - ABIDJAN
   ABU - ABUJA
   ACC - ACCRA
   ADA - ADDIS ABADA
   ADN - ADANA
   AKD - ASHGABAT
   ALG - ALGIERS
   ALX - ALEXANDRIA
   AMM - AMMAN
   AMS - AMSTERDAM
   ANK - ANKARA
   ANT - ANTANANARIVO
   APA - APIA
   ASC - ASUNCION
   ATA - ALMA ATA
   ATH - ATHENS
   ATW - ANTWERP
   AUC - AUCKLAND
   BAG - BAGHDAD
   BAM - BAMAKO
   BAN - BANGKOK
   BAR - BARRANQUILLA
   BDS - BANDAR SERI BEGAWAN
   BEI - BEIJING
   BEL - BELEM
   BER - BERLIN
   BET - BELFAST
   BGD - BELGRADE
   BIL - BILBAO
   BIS - BISSAU
   BKK - BISHKEK
   BKU - BAKU
   BLA - BLANTYRE
   BLZ - BELIZE CITY
   BNG - BANGUI
   BNJ - BANJUL
   BOG - BOGOTA
   BOM - BOMBAY
   BON - BONN
   BOR - BORDEAUX
   BRA - BRASILIA
   BRC - BARCELONA
   BRE - BREMEN
   BRI - BRIDGETOWN
   BRN - BERN
   BRT - BEIRUT
   BRU - BRUSSELS
   BRV - BRAZZAVILLE
   BSB - BRISBANE
   BTS - BRATISLAVA
   BUC - BUCHAREST
   BUD - BUDAPEST
   BUE - BUENOS AIRES
   BUJ - BUJUMBURA
   BUK - BUKAVU
   CAI - CALI
   CAL - CALCUTTA
   CAN - CANBERRA
   CAO - CAIRO
   CAP - CAPE TOWN
   CAR - CARACAS
   CAS - CASABLANCA
   CDJ - CIUDAD JUAREZ
   CEB - CEBU
   CHE - CHENGDU
   CHN - CHIANG MAI
   CLG - CALGARY
   COL - COLOMBO
   CON - CONAKRY
   COP - COPENHAGEN
   COT - COTONOU
   CUR - CURACAO
   DAC - DHAKA
   DAK - DAKAR
   DAM - DAMASCUS
   DAR - DAR ES SALAAM
   DBI - DUBAI
   DHA - DHAHRAN
   DHB - DUSHANBE
   DJI - DJIBOUTI
   DOH - DOHA
   DOU - DOUALA
   DUB - DUBLIN
   DUR - DURBAN
   DUS - DUSSELDORF
   EDI - EDINBURGH
   FKT - FRANKFURT
   FLO - FLORENCE
   FRE - FREETOWNN
   FUK - FUKUOKA
   GAB - GABORONE
   GEN - GENEVA
   GNG - GUANGZHOU
   GOA - GENOA
   GTW - GEORGETOWN
   GUA - GUATEMALA
   GUJ - GUADALAJARA
   GUQ - GUAYAQUIL
   HAG - HAGUE
   HAI - HAIFA
   HAL - HALIFAX
   HAM - HAMBURG
   HAR - HARARE
   HAV - HAVANA
   HCM - HO CHI MINH CITY, VIETNAM
   HEL - HELSINKI
   HER - HERMOSILLO
   HKG - HONG KONG
   HMN - HAMILTON
   HON - HONIORA
   ISL - ISLAMABAD
   IST - ISTANBUL
   IZM - IZMIR
   JAK - JAKARTA
   JER - JERUSALEM
   JID - JEDDAH
   JOH - JOHANNESBURG
   KAB - KABUL
   KAD - KADUNA
   KAM - KAMPALA
   KAP - KARACHI
   KAT - KATHMANDU
   KEV - KIEV
   KHA - KHARTOUM
   KIG - KIGALI
   KIN - KINGSTON
   KNS - KINSHASA
   KNV - CHISINAU
   KOL - KOLONIA
   KOR - KOROR
   KRA - KRAKOW
   KUL - KUALA LUMPUR
   KUW - KUWAIT
   LAG - LAGOS
   LAH - LAHORE
   LAP - LA PAZ
   LEI - LIEPZIG
   LEN - LENINGRAD
   LIB - LIBREVILLE
   LIL - LILONGWE
   LIM - LIMA
   LIS - LISBON
   LIV - LIVERPOOL
   LOM - LOME
   LON - LONDON
   LUA - LUANDA
   LUB - LUBUMBASHI
   LUS - LUSAKA
   LUX - LUXEMBOURG
   LYN - LYON
   MAA - MANAMA
   MAD - MADRID
   MAJ - MAJURO
   MAL - MALABO
   MAN - MANILA
   MAP - MAPUTO
   MAR - MARACAIBO
   MAS - MASERU
   MAT - MATAMOROS
   MAZ - MAZATLAN
   MBA - MBABANE
   MDR - MADRAS
   MDS - MADRAS
   MED - MEDAN
   MEL - MELBOURNE
   MER - MERIDA
   MEX - MEXICO CITY
   MIL - MILAN
   MNG - MANAGUA
   MNT - MONTREAL
   MOG - MOGADISHU
   MON - MONROVIA
   MOR - MORONI
   MOS - MOSCOW
   MRS - MARSEILLE
   MRT - MARTINIQUE
   MSA - MOMBASA
   MSK - MINSK
   MTR - MONTERREY
   MTV - MONTEVIDEO
   MUN - MUNICH
   MUS - MUSCAT
   NAH - NAHA
   NAI - NAIROBI
   NAP - NAPLES
   NAS - NASSAU
   NDJ - N.DJAMENA
   NDL - NEW DELHI
   NIA - NIAMEY
   NIC - NICOSIA
   NOU - NOUAKCHOTT
   NUV - NUEVO LAREDO
   OPO - OPORTO
   ORN - ORAN
   OSK - OSAKA-KOBE
   OSL - OSLO
   OTT - OTTAWA
   OUA - OUAGADOUGOU
   PAG - PORTO ALEGRE
   PAL - PALERMO
   PAN - PANAMA CITY
   PAP - PORT-AU-PRINCE
   PAR - PARIS
   PDE - PONTA DELGADA
   PER - PERTH
   PES - PESHAWAR
   PHP - U. S. CONSULATE OFFICE, PHNPM PENN
   PLS - PORT LOUIS
   PMB - PORT MORESBY
   POS - PORT OF SPAIN
   POZ - POZNAN
   PPO - PAGO PAGO
   PRA - PRAIA
   PRB - PARAMARIBO
   PRE - PRETORIA
   PRG - PRAGUE
   PRM - PARAMARIBO
   PSN - PUSAN
   QUE - QUEBEC
   QUI - QUITO
   RAB - RABAT
   RAN - RANGOON
   RDJ - RIO DE JANEIRO
   REC - RECIFE
   REY - REYKJAVIK
   RGA - RIGA
   RID - RIYADH
   ROM - ROME
   ROT - ROTTERDAM
   SAJ - SAIPAN
   SAL - SALISBURY
   SAN - SANTIAGO
   SAP - SAO PAULO
   SEO - SEOUL
   SEV - SEVILLE
   SGE - ST. GEORGES
   SHA - SHANGHAI
   SIN - SINGAPORE
   SLZ - SALZBURG
   SNA - SANAA
   SND - SANTO DOMINGO
   SNJ - SAN JOSE
   SNS - SAN SALVADOR
   SNY - SHENYANG
   SOF - SOFIA
   SOK - SONGKHLA
   SPP - SAPPORO
   SPT - ST. PETERSBURG
   STJ - ST. JOHNS
   STO - STOCKHOLM
   STR - STRASBOURG
   STU - STUTTGART
   SUR - SURABAYA
   SUV - SUVA
   SVD - SALVADOR
   SYD - SYDNEY
   TAI - TAIPEI
   TAL - TALLINN
   TAN - TANGIER
   TBL - TBILISI
   TEG - TEGUCIGALPA
   TEH - TEHRAN
   TEL - TEL AVIV
   THE - THESSALONIKI
   THT - TASHKENT
   TIA - TIRANA
   TIJ - TIJUANA
   TOK - TOKYO
   TOR - TORONTO
   TRI - TRIESTE
   TRP - TRIPOLI
   TUN - TUNIS
   UDN - UDORN
   ULN - ULAANBAATAR
   VAL - VALLETTA
   VAN - VANCOUVER
   VAT - VATICAN CITY
   VIC - VICTORIA
   VIE - VIENNA
   VIL - VILNIUS
   VIT - VIENTIANE
   VW - VISA WAIVER
   WAR - WARSAW
   WDC - WASHINGTON
   WEL - WELLINGTON
   WHK - WINDHOEK
   WIN - WINNEPEG
   YAO - YAOUNDE
   YRV - YEREVAN
   ZAG - ZAGREB
   ZUR - ZURICH
</t>
  </si>
  <si>
    <t>Assessments -&gt; Assessment Result -&gt; Assessment Performance Level (added)
Assessments -&gt; Assessment Subtest -&gt; Assessment Performance Level (added)
Assessments -&gt; Assessment Performance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</si>
</sst>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14999847407452621"/>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32">
    <xf numFmtId="0" fontId="0" fillId="0" borderId="0" xfId="0"/>
    <xf numFmtId="0" fontId="16" fillId="33" borderId="10" xfId="0" applyFont="1" applyFill="1" applyBorder="1" applyAlignment="1">
      <alignment horizontal="left" vertical="top" wrapText="1"/>
    </xf>
    <xf numFmtId="164" fontId="16" fillId="33" borderId="10" xfId="0" applyNumberFormat="1" applyFont="1" applyFill="1" applyBorder="1" applyAlignment="1">
      <alignment horizontal="left" vertical="top" wrapText="1"/>
    </xf>
    <xf numFmtId="0" fontId="16" fillId="33" borderId="0" xfId="0" applyFont="1" applyFill="1" applyBorder="1" applyAlignment="1">
      <alignment horizontal="left" vertical="top" wrapText="1"/>
    </xf>
    <xf numFmtId="0" fontId="0" fillId="0" borderId="10" xfId="0" applyFont="1" applyBorder="1" applyAlignment="1">
      <alignment vertical="top" wrapText="1"/>
    </xf>
    <xf numFmtId="0" fontId="16" fillId="0" borderId="10" xfId="0" applyFont="1" applyBorder="1" applyAlignment="1">
      <alignment vertical="top" wrapText="1"/>
    </xf>
    <xf numFmtId="0" fontId="16" fillId="0" borderId="10" xfId="0" applyFont="1" applyBorder="1" applyAlignment="1">
      <alignment vertical="top" wrapText="1"/>
    </xf>
    <xf numFmtId="0" fontId="18" fillId="0" borderId="10" xfId="42" applyFont="1" applyBorder="1" applyAlignment="1">
      <alignment vertical="top" wrapText="1"/>
    </xf>
    <xf numFmtId="0" fontId="0" fillId="0" borderId="10" xfId="0" applyFont="1" applyBorder="1" applyAlignment="1">
      <alignment vertical="top" wrapText="1"/>
    </xf>
    <xf numFmtId="0" fontId="16" fillId="34" borderId="10" xfId="0" applyFont="1" applyFill="1" applyBorder="1" applyAlignment="1">
      <alignment wrapText="1"/>
    </xf>
    <xf numFmtId="49" fontId="16" fillId="34" borderId="10" xfId="0" applyNumberFormat="1" applyFont="1" applyFill="1" applyBorder="1" applyAlignment="1">
      <alignment wrapText="1"/>
    </xf>
    <xf numFmtId="0" fontId="0" fillId="0" borderId="0" xfId="0" applyAlignment="1"/>
    <xf numFmtId="0" fontId="0" fillId="0" borderId="10" xfId="0" applyFont="1" applyBorder="1" applyAlignment="1">
      <alignment vertical="top" wrapText="1"/>
    </xf>
    <xf numFmtId="0" fontId="16" fillId="0" borderId="10" xfId="0" applyFont="1" applyBorder="1" applyAlignment="1">
      <alignment vertical="top" wrapText="1"/>
    </xf>
    <xf numFmtId="0" fontId="18" fillId="0" borderId="10" xfId="42" applyFont="1" applyBorder="1" applyAlignment="1">
      <alignment vertical="top" wrapText="1"/>
    </xf>
    <xf numFmtId="0" fontId="0" fillId="0" borderId="10" xfId="0" applyFont="1" applyBorder="1" applyAlignment="1">
      <alignment horizontal="left" vertical="top" wrapText="1"/>
    </xf>
    <xf numFmtId="0" fontId="18" fillId="0" borderId="10" xfId="42" applyFont="1" applyBorder="1" applyAlignment="1">
      <alignment horizontal="left" vertical="top" wrapText="1"/>
    </xf>
    <xf numFmtId="0" fontId="16" fillId="33" borderId="10" xfId="0" applyFont="1" applyFill="1" applyBorder="1" applyAlignment="1">
      <alignment horizontal="left" wrapText="1"/>
    </xf>
    <xf numFmtId="0" fontId="0" fillId="0" borderId="10" xfId="0" applyFont="1" applyBorder="1" applyAlignment="1">
      <alignment vertical="top" wrapText="1"/>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Font="1" applyBorder="1" applyAlignment="1">
      <alignment vertical="top" wrapText="1"/>
    </xf>
    <xf numFmtId="0" fontId="0" fillId="0" borderId="11" xfId="0" applyFont="1"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10" xfId="0" applyFont="1" applyBorder="1" applyAlignment="1">
      <alignment horizontal="left" vertical="top" wrapText="1"/>
    </xf>
    <xf numFmtId="0" fontId="0" fillId="0" borderId="10" xfId="0" applyBorder="1" applyAlignment="1">
      <alignment horizontal="left" vertical="top" wrapText="1"/>
    </xf>
    <xf numFmtId="0" fontId="0" fillId="0" borderId="14" xfId="0" applyFont="1" applyBorder="1" applyAlignment="1">
      <alignment vertical="top" wrapText="1"/>
    </xf>
    <xf numFmtId="0" fontId="0" fillId="0" borderId="15" xfId="0" applyBorder="1" applyAlignment="1"/>
    <xf numFmtId="0" fontId="0" fillId="0" borderId="12" xfId="0" applyFont="1" applyBorder="1" applyAlignment="1">
      <alignment vertical="top" wrapText="1"/>
    </xf>
    <xf numFmtId="0" fontId="0" fillId="0" borderId="16" xfId="0" applyBorder="1" applyAlignment="1"/>
    <xf numFmtId="0" fontId="0" fillId="0" borderId="13" xfId="0" applyFont="1" applyBorder="1" applyAlignment="1">
      <alignmen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iso639-3LanguageCode.aspx" TargetMode="External"/><Relationship Id="rId2" Type="http://schemas.openxmlformats.org/officeDocument/2006/relationships/hyperlink" Target="http://idea.ed.gov/part-c/statutes" TargetMode="External"/><Relationship Id="rId1" Type="http://schemas.openxmlformats.org/officeDocument/2006/relationships/hyperlink" Target="http://degreeprofile.org/" TargetMode="External"/><Relationship Id="rId6" Type="http://schemas.openxmlformats.org/officeDocument/2006/relationships/printerSettings" Target="../printerSettings/printerSettings1.bin"/><Relationship Id="rId5" Type="http://schemas.openxmlformats.org/officeDocument/2006/relationships/hyperlink" Target="http://www.loc.gov/standards/iso639-5/index.html" TargetMode="External"/><Relationship Id="rId4" Type="http://schemas.openxmlformats.org/officeDocument/2006/relationships/hyperlink" Target="http://www-01.sil.org/iso639-3/default.asp"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loc.gov/standards/iso639-2/langhome.html" TargetMode="External"/><Relationship Id="rId13" Type="http://schemas.openxmlformats.org/officeDocument/2006/relationships/hyperlink" Target="http://nces.ed.gov/pubs2015/fin_acct/chapter6_3.asp" TargetMode="External"/><Relationship Id="rId18" Type="http://schemas.openxmlformats.org/officeDocument/2006/relationships/hyperlink" Target="http://nces.ed.gov/pubs2015/fin_acct/chapter6_8.asp" TargetMode="External"/><Relationship Id="rId26" Type="http://schemas.openxmlformats.org/officeDocument/2006/relationships/hyperlink" Target="iso639-2LanguageCode.aspx" TargetMode="External"/><Relationship Id="rId3" Type="http://schemas.openxmlformats.org/officeDocument/2006/relationships/hyperlink" Target="iso639-2LanguageCode.aspx" TargetMode="External"/><Relationship Id="rId21" Type="http://schemas.openxmlformats.org/officeDocument/2006/relationships/hyperlink" Target="iso639-2LanguageCode.aspx" TargetMode="External"/><Relationship Id="rId34" Type="http://schemas.openxmlformats.org/officeDocument/2006/relationships/hyperlink" Target="iso639-2LanguageCode.aspx" TargetMode="External"/><Relationship Id="rId7" Type="http://schemas.openxmlformats.org/officeDocument/2006/relationships/hyperlink" Target="iso639-2LanguageCode.aspx" TargetMode="External"/><Relationship Id="rId12" Type="http://schemas.openxmlformats.org/officeDocument/2006/relationships/hyperlink" Target="http://www.iso.org/iso/country_codes.htm" TargetMode="External"/><Relationship Id="rId17" Type="http://schemas.openxmlformats.org/officeDocument/2006/relationships/hyperlink" Target="http://nces.ed.gov/pubs2015/fin_acct/chapter6_5.asp" TargetMode="External"/><Relationship Id="rId25" Type="http://schemas.openxmlformats.org/officeDocument/2006/relationships/hyperlink" Target="https://w3id.org/xapi/adl" TargetMode="External"/><Relationship Id="rId33" Type="http://schemas.openxmlformats.org/officeDocument/2006/relationships/hyperlink" Target="http://www.loc.gov/standards/iso639-2/langhome.html"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nces.ed.gov/pubs2015/fin_acct/chapter6_4.asp" TargetMode="External"/><Relationship Id="rId20" Type="http://schemas.openxmlformats.org/officeDocument/2006/relationships/hyperlink" Target="http://nces.ed.gov/pubs2015/fin_acct/chapter6_7.asp" TargetMode="External"/><Relationship Id="rId29" Type="http://schemas.openxmlformats.org/officeDocument/2006/relationships/hyperlink" Target="http://www.loc.gov/standards/iso639-2/langhome.html" TargetMode="External"/><Relationship Id="rId1" Type="http://schemas.openxmlformats.org/officeDocument/2006/relationships/hyperlink" Target="iso639-2LanguageCode.aspx" TargetMode="External"/><Relationship Id="rId6" Type="http://schemas.openxmlformats.org/officeDocument/2006/relationships/hyperlink" Target="http://www.loc.gov/standards/iso639-2/langhome.html" TargetMode="External"/><Relationship Id="rId11" Type="http://schemas.openxmlformats.org/officeDocument/2006/relationships/hyperlink" Target="http://www.iso.org/iso/country_codes.htm" TargetMode="External"/><Relationship Id="rId24" Type="http://schemas.openxmlformats.org/officeDocument/2006/relationships/hyperlink" Target="http://www.loc.gov/standards/iso639-2/langhome.html" TargetMode="External"/><Relationship Id="rId32" Type="http://schemas.openxmlformats.org/officeDocument/2006/relationships/hyperlink" Target="iso639-2LanguageCode.aspx" TargetMode="External"/><Relationship Id="rId37" Type="http://schemas.openxmlformats.org/officeDocument/2006/relationships/printerSettings" Target="../printerSettings/printerSettings2.bin"/><Relationship Id="rId5" Type="http://schemas.openxmlformats.org/officeDocument/2006/relationships/hyperlink" Target="iso639-2LanguageCode.aspx" TargetMode="External"/><Relationship Id="rId15" Type="http://schemas.openxmlformats.org/officeDocument/2006/relationships/hyperlink" Target="http://nces.ed.gov/pubs2015/fin_acct/chapter6_2.asp" TargetMode="External"/><Relationship Id="rId23" Type="http://schemas.openxmlformats.org/officeDocument/2006/relationships/hyperlink" Target="iso639-2LanguageCode.aspx" TargetMode="External"/><Relationship Id="rId28" Type="http://schemas.openxmlformats.org/officeDocument/2006/relationships/hyperlink" Target="iso639-2LanguageCode.aspx" TargetMode="External"/><Relationship Id="rId36" Type="http://schemas.openxmlformats.org/officeDocument/2006/relationships/hyperlink" Target="http://www.iso.org/iso/country_codes.htm" TargetMode="External"/><Relationship Id="rId10" Type="http://schemas.openxmlformats.org/officeDocument/2006/relationships/hyperlink" Target="http://www.loc.gov/standards/iso639-2/langhome.html" TargetMode="External"/><Relationship Id="rId19" Type="http://schemas.openxmlformats.org/officeDocument/2006/relationships/hyperlink" Target="http://nces.ed.gov/pubs2015/fin_acct/chapter6_6.asp" TargetMode="External"/><Relationship Id="rId31" Type="http://schemas.openxmlformats.org/officeDocument/2006/relationships/hyperlink" Target="http://www.loc.gov/standards/iso639-2/langhome.html" TargetMode="External"/><Relationship Id="rId4" Type="http://schemas.openxmlformats.org/officeDocument/2006/relationships/hyperlink" Target="http://www.loc.gov/standards/iso639-2/langhome.html" TargetMode="External"/><Relationship Id="rId9" Type="http://schemas.openxmlformats.org/officeDocument/2006/relationships/hyperlink" Target="iso639-2LanguageCode.aspx" TargetMode="External"/><Relationship Id="rId14" Type="http://schemas.openxmlformats.org/officeDocument/2006/relationships/hyperlink" Target="http://nces.ed.gov/pubs2015/fin_acct/chapter6_1.asp" TargetMode="External"/><Relationship Id="rId22" Type="http://schemas.openxmlformats.org/officeDocument/2006/relationships/hyperlink" Target="http://www.loc.gov/standards/iso639-2/langhome.html" TargetMode="External"/><Relationship Id="rId27" Type="http://schemas.openxmlformats.org/officeDocument/2006/relationships/hyperlink" Target="http://www.loc.gov/standards/iso639-2/langhome.html" TargetMode="External"/><Relationship Id="rId30" Type="http://schemas.openxmlformats.org/officeDocument/2006/relationships/hyperlink" Target="iso639-2LanguageCode.aspx" TargetMode="External"/><Relationship Id="rId35" Type="http://schemas.openxmlformats.org/officeDocument/2006/relationships/hyperlink" Target="http://www.loc.gov/standards/iso639-2/langhome.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loc.gov/standards/iso639-2/langhome.html" TargetMode="External"/><Relationship Id="rId13" Type="http://schemas.openxmlformats.org/officeDocument/2006/relationships/hyperlink" Target="http://www.iso.org/iso/country_codes.htm" TargetMode="External"/><Relationship Id="rId18" Type="http://schemas.openxmlformats.org/officeDocument/2006/relationships/hyperlink" Target="http://nces.ed.gov/pubs2015/fin_acct/chapter6_4.asp" TargetMode="External"/><Relationship Id="rId26" Type="http://schemas.openxmlformats.org/officeDocument/2006/relationships/hyperlink" Target="iso639-2LanguageCode.aspx" TargetMode="External"/><Relationship Id="rId39" Type="http://schemas.openxmlformats.org/officeDocument/2006/relationships/hyperlink" Target="http://www.loc.gov/standards/iso639-2/langhome.html" TargetMode="External"/><Relationship Id="rId3" Type="http://schemas.openxmlformats.org/officeDocument/2006/relationships/hyperlink" Target="iso639-2LanguageCode.aspx" TargetMode="External"/><Relationship Id="rId21" Type="http://schemas.openxmlformats.org/officeDocument/2006/relationships/hyperlink" Target="http://nces.ed.gov/pubs2015/fin_acct/chapter6_6.asp" TargetMode="External"/><Relationship Id="rId34" Type="http://schemas.openxmlformats.org/officeDocument/2006/relationships/hyperlink" Target="iso639-2LanguageCode.aspx" TargetMode="External"/><Relationship Id="rId42" Type="http://schemas.openxmlformats.org/officeDocument/2006/relationships/hyperlink" Target="http://www.iso.org/iso/country_codes.htm" TargetMode="External"/><Relationship Id="rId7" Type="http://schemas.openxmlformats.org/officeDocument/2006/relationships/hyperlink" Target="iso639-2LanguageCode.aspx" TargetMode="External"/><Relationship Id="rId12" Type="http://schemas.openxmlformats.org/officeDocument/2006/relationships/hyperlink" Target="http://www.iso.org/iso/country_codes.htm" TargetMode="External"/><Relationship Id="rId17" Type="http://schemas.openxmlformats.org/officeDocument/2006/relationships/hyperlink" Target="http://nces.ed.gov/pubs2015/fin_acct/chapter6_2.asp" TargetMode="External"/><Relationship Id="rId25" Type="http://schemas.openxmlformats.org/officeDocument/2006/relationships/hyperlink" Target="http://www.loc.gov/standards/iso639-2/langhome.html" TargetMode="External"/><Relationship Id="rId33" Type="http://schemas.openxmlformats.org/officeDocument/2006/relationships/hyperlink" Target="http://www.loc.gov/standards/iso639-2/langhome.html" TargetMode="External"/><Relationship Id="rId38" Type="http://schemas.openxmlformats.org/officeDocument/2006/relationships/hyperlink" Target="iso639-2LanguageCode.aspx"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nces.ed.gov/pubs2015/fin_acct/chapter6_1.asp" TargetMode="External"/><Relationship Id="rId20" Type="http://schemas.openxmlformats.org/officeDocument/2006/relationships/hyperlink" Target="http://nces.ed.gov/pubs2015/fin_acct/chapter6_8.asp" TargetMode="External"/><Relationship Id="rId29" Type="http://schemas.openxmlformats.org/officeDocument/2006/relationships/hyperlink" Target="http://www-01.sil.org/iso639-3/default.asp" TargetMode="External"/><Relationship Id="rId41" Type="http://schemas.openxmlformats.org/officeDocument/2006/relationships/hyperlink" Target="http://www.loc.gov/standards/iso639-2/langhome.html" TargetMode="External"/><Relationship Id="rId1" Type="http://schemas.openxmlformats.org/officeDocument/2006/relationships/hyperlink" Target="iso639-2LanguageCode.aspx" TargetMode="External"/><Relationship Id="rId6" Type="http://schemas.openxmlformats.org/officeDocument/2006/relationships/hyperlink" Target="http://www.loc.gov/standards/iso639-2/langhome.html" TargetMode="External"/><Relationship Id="rId11" Type="http://schemas.openxmlformats.org/officeDocument/2006/relationships/hyperlink" Target="http://nces.ed.gov/ipeds/cipcode/browse.aspx?y=55" TargetMode="External"/><Relationship Id="rId24" Type="http://schemas.openxmlformats.org/officeDocument/2006/relationships/hyperlink" Target="iso639-2LanguageCode.aspx" TargetMode="External"/><Relationship Id="rId32" Type="http://schemas.openxmlformats.org/officeDocument/2006/relationships/hyperlink" Target="iso639-2LanguageCode.aspx" TargetMode="External"/><Relationship Id="rId37" Type="http://schemas.openxmlformats.org/officeDocument/2006/relationships/hyperlink" Target="http://www.loc.gov/standards/iso639-2/langhome.html" TargetMode="External"/><Relationship Id="rId40" Type="http://schemas.openxmlformats.org/officeDocument/2006/relationships/hyperlink" Target="iso639-2LanguageCode.aspx" TargetMode="External"/><Relationship Id="rId5" Type="http://schemas.openxmlformats.org/officeDocument/2006/relationships/hyperlink" Target="iso639-2LanguageCode.aspx" TargetMode="External"/><Relationship Id="rId15" Type="http://schemas.openxmlformats.org/officeDocument/2006/relationships/hyperlink" Target="http://nces.ed.gov/pubs2015/fin_acct/chapter6_3.asp" TargetMode="External"/><Relationship Id="rId23" Type="http://schemas.openxmlformats.org/officeDocument/2006/relationships/hyperlink" Target="http://idea.ed.gov/part-c/statutes" TargetMode="External"/><Relationship Id="rId28" Type="http://schemas.openxmlformats.org/officeDocument/2006/relationships/hyperlink" Target="iso639-3LanguageCode.aspx" TargetMode="External"/><Relationship Id="rId36" Type="http://schemas.openxmlformats.org/officeDocument/2006/relationships/hyperlink" Target="iso639-2LanguageCode.aspx" TargetMode="External"/><Relationship Id="rId10" Type="http://schemas.openxmlformats.org/officeDocument/2006/relationships/hyperlink" Target="http://www.loc.gov/standards/iso639-2/langhome.html" TargetMode="External"/><Relationship Id="rId19" Type="http://schemas.openxmlformats.org/officeDocument/2006/relationships/hyperlink" Target="http://nces.ed.gov/pubs2015/fin_acct/chapter6_5.asp" TargetMode="External"/><Relationship Id="rId31" Type="http://schemas.openxmlformats.org/officeDocument/2006/relationships/hyperlink" Target="https://w3id.org/xapi/adl" TargetMode="External"/><Relationship Id="rId44" Type="http://schemas.openxmlformats.org/officeDocument/2006/relationships/printerSettings" Target="../printerSettings/printerSettings4.bin"/><Relationship Id="rId4" Type="http://schemas.openxmlformats.org/officeDocument/2006/relationships/hyperlink" Target="http://www.loc.gov/standards/iso639-2/langhome.html" TargetMode="External"/><Relationship Id="rId9" Type="http://schemas.openxmlformats.org/officeDocument/2006/relationships/hyperlink" Target="iso639-2LanguageCode.aspx" TargetMode="External"/><Relationship Id="rId14" Type="http://schemas.openxmlformats.org/officeDocument/2006/relationships/hyperlink" Target="http://degreeprofile.org/" TargetMode="External"/><Relationship Id="rId22" Type="http://schemas.openxmlformats.org/officeDocument/2006/relationships/hyperlink" Target="http://nces.ed.gov/pubs2015/fin_acct/chapter6_7.asp" TargetMode="External"/><Relationship Id="rId27" Type="http://schemas.openxmlformats.org/officeDocument/2006/relationships/hyperlink" Target="http://www.loc.gov/standards/iso639-2/langhome.html" TargetMode="External"/><Relationship Id="rId30" Type="http://schemas.openxmlformats.org/officeDocument/2006/relationships/hyperlink" Target="http://www.loc.gov/standards/iso639-5/index.html" TargetMode="External"/><Relationship Id="rId35" Type="http://schemas.openxmlformats.org/officeDocument/2006/relationships/hyperlink" Target="http://www.loc.gov/standards/iso639-2/langhome.html" TargetMode="External"/><Relationship Id="rId43" Type="http://schemas.openxmlformats.org/officeDocument/2006/relationships/hyperlink" Target="ScedCourseCodes.aspx"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nces.ed.gov/pubs2015/fin_acct/chapter6_7.asp" TargetMode="External"/><Relationship Id="rId117" Type="http://schemas.openxmlformats.org/officeDocument/2006/relationships/hyperlink" Target="http://www-01.sil.org/iso639-3/default.asp" TargetMode="External"/><Relationship Id="rId21" Type="http://schemas.openxmlformats.org/officeDocument/2006/relationships/hyperlink" Target="http://nces.ed.gov/pubs2015/fin_acct/chapter6_2.asp" TargetMode="External"/><Relationship Id="rId42" Type="http://schemas.openxmlformats.org/officeDocument/2006/relationships/hyperlink" Target="http://nces.ed.gov/pubs2015/fin_acct/chapter6_8.asp" TargetMode="External"/><Relationship Id="rId47" Type="http://schemas.openxmlformats.org/officeDocument/2006/relationships/hyperlink" Target="http://www.loc.gov/standards/iso639-2/langhome.html" TargetMode="External"/><Relationship Id="rId63" Type="http://schemas.openxmlformats.org/officeDocument/2006/relationships/hyperlink" Target="http://www.iso.org/iso/country_codes.htm" TargetMode="External"/><Relationship Id="rId68" Type="http://schemas.openxmlformats.org/officeDocument/2006/relationships/hyperlink" Target="http://nces.ed.gov/pubs2015/fin_acct/chapter6_5.asp" TargetMode="External"/><Relationship Id="rId84" Type="http://schemas.openxmlformats.org/officeDocument/2006/relationships/hyperlink" Target="iso639-2LanguageCode.aspx" TargetMode="External"/><Relationship Id="rId89" Type="http://schemas.openxmlformats.org/officeDocument/2006/relationships/hyperlink" Target="http://degreeprofile.org/" TargetMode="External"/><Relationship Id="rId112" Type="http://schemas.openxmlformats.org/officeDocument/2006/relationships/hyperlink" Target="iso639-2LanguageCode.aspx" TargetMode="External"/><Relationship Id="rId133" Type="http://schemas.openxmlformats.org/officeDocument/2006/relationships/hyperlink" Target="http://www.loc.gov/standards/iso639-2/langhome.html" TargetMode="External"/><Relationship Id="rId138" Type="http://schemas.openxmlformats.org/officeDocument/2006/relationships/hyperlink" Target="iso639-2LanguageCode.aspx" TargetMode="External"/><Relationship Id="rId16" Type="http://schemas.openxmlformats.org/officeDocument/2006/relationships/hyperlink" Target="iso639-2LanguageCode.aspx" TargetMode="External"/><Relationship Id="rId107" Type="http://schemas.openxmlformats.org/officeDocument/2006/relationships/hyperlink" Target="iso639-2LanguageCode.aspx" TargetMode="External"/><Relationship Id="rId11" Type="http://schemas.openxmlformats.org/officeDocument/2006/relationships/hyperlink" Target="iso639-2LanguageCode.aspx" TargetMode="External"/><Relationship Id="rId32" Type="http://schemas.openxmlformats.org/officeDocument/2006/relationships/hyperlink" Target="http://nces.ed.gov/pubs2015/fin_acct/chapter6_6.asp" TargetMode="External"/><Relationship Id="rId37" Type="http://schemas.openxmlformats.org/officeDocument/2006/relationships/hyperlink" Target="http://nces.ed.gov/pubs2015/fin_acct/chapter6_1.asp" TargetMode="External"/><Relationship Id="rId53" Type="http://schemas.openxmlformats.org/officeDocument/2006/relationships/hyperlink" Target="https://w3id.org/xapi/adl" TargetMode="External"/><Relationship Id="rId58" Type="http://schemas.openxmlformats.org/officeDocument/2006/relationships/hyperlink" Target="iso639-2LanguageCode.aspx" TargetMode="External"/><Relationship Id="rId74" Type="http://schemas.openxmlformats.org/officeDocument/2006/relationships/hyperlink" Target="http://nces.ed.gov/ipeds/cipcode/browse.aspx?y=55" TargetMode="External"/><Relationship Id="rId79" Type="http://schemas.openxmlformats.org/officeDocument/2006/relationships/hyperlink" Target="http://nces.ed.gov/ipeds/cipcode/browse.aspx?y=55" TargetMode="External"/><Relationship Id="rId102" Type="http://schemas.openxmlformats.org/officeDocument/2006/relationships/hyperlink" Target="http://nces.ed.gov/ipeds/cipcode/browse.aspx?y=55" TargetMode="External"/><Relationship Id="rId123" Type="http://schemas.openxmlformats.org/officeDocument/2006/relationships/hyperlink" Target="iso639-2LanguageCode.aspx" TargetMode="External"/><Relationship Id="rId128" Type="http://schemas.openxmlformats.org/officeDocument/2006/relationships/hyperlink" Target="http://www.loc.gov/standards/iso639-2/langhome.html" TargetMode="External"/><Relationship Id="rId5" Type="http://schemas.openxmlformats.org/officeDocument/2006/relationships/hyperlink" Target="http://www-01.sil.org/iso639-3/default.asp" TargetMode="External"/><Relationship Id="rId90" Type="http://schemas.openxmlformats.org/officeDocument/2006/relationships/hyperlink" Target="http://nces.ed.gov/ipeds/cipcode/browse.aspx?y=55" TargetMode="External"/><Relationship Id="rId95" Type="http://schemas.openxmlformats.org/officeDocument/2006/relationships/hyperlink" Target="http://www.loc.gov/standards/iso639-2/langhome.html" TargetMode="External"/><Relationship Id="rId22" Type="http://schemas.openxmlformats.org/officeDocument/2006/relationships/hyperlink" Target="http://nces.ed.gov/pubs2015/fin_acct/chapter6_4.asp" TargetMode="External"/><Relationship Id="rId27" Type="http://schemas.openxmlformats.org/officeDocument/2006/relationships/hyperlink" Target="http://nces.ed.gov/pubs2015/fin_acct/chapter6_3.asp" TargetMode="External"/><Relationship Id="rId43" Type="http://schemas.openxmlformats.org/officeDocument/2006/relationships/hyperlink" Target="http://nces.ed.gov/pubs2015/fin_acct/chapter6_7.asp" TargetMode="External"/><Relationship Id="rId48" Type="http://schemas.openxmlformats.org/officeDocument/2006/relationships/hyperlink" Target="iso639-3LanguageCode.aspx" TargetMode="External"/><Relationship Id="rId64" Type="http://schemas.openxmlformats.org/officeDocument/2006/relationships/hyperlink" Target="http://nces.ed.gov/pubs2015/fin_acct/chapter6_3.asp" TargetMode="External"/><Relationship Id="rId69" Type="http://schemas.openxmlformats.org/officeDocument/2006/relationships/hyperlink" Target="http://nces.ed.gov/pubs2015/fin_acct/chapter6_6.asp" TargetMode="External"/><Relationship Id="rId113" Type="http://schemas.openxmlformats.org/officeDocument/2006/relationships/hyperlink" Target="http://www.loc.gov/standards/iso639-2/langhome.html" TargetMode="External"/><Relationship Id="rId118" Type="http://schemas.openxmlformats.org/officeDocument/2006/relationships/hyperlink" Target="http://www.loc.gov/standards/iso639-5/index.html" TargetMode="External"/><Relationship Id="rId134" Type="http://schemas.openxmlformats.org/officeDocument/2006/relationships/hyperlink" Target="iso639-2LanguageCode.aspx" TargetMode="External"/><Relationship Id="rId139" Type="http://schemas.openxmlformats.org/officeDocument/2006/relationships/hyperlink" Target="http://www.loc.gov/standards/iso639-2/langhome.html" TargetMode="External"/><Relationship Id="rId8" Type="http://schemas.openxmlformats.org/officeDocument/2006/relationships/hyperlink" Target="http://www.iso.org/iso/country_codes.htm" TargetMode="External"/><Relationship Id="rId51" Type="http://schemas.openxmlformats.org/officeDocument/2006/relationships/hyperlink" Target="ScedCourseCodes.aspx" TargetMode="External"/><Relationship Id="rId72" Type="http://schemas.openxmlformats.org/officeDocument/2006/relationships/hyperlink" Target="iso639-2LanguageCode.aspx" TargetMode="External"/><Relationship Id="rId80" Type="http://schemas.openxmlformats.org/officeDocument/2006/relationships/hyperlink" Target="http://degreeprofile.org/" TargetMode="External"/><Relationship Id="rId85" Type="http://schemas.openxmlformats.org/officeDocument/2006/relationships/hyperlink" Target="http://www.loc.gov/standards/iso639-2/langhome.html" TargetMode="External"/><Relationship Id="rId93" Type="http://schemas.openxmlformats.org/officeDocument/2006/relationships/hyperlink" Target="ScedCourseCodes.aspx" TargetMode="External"/><Relationship Id="rId98" Type="http://schemas.openxmlformats.org/officeDocument/2006/relationships/hyperlink" Target="iso639-2LanguageCode.aspx" TargetMode="External"/><Relationship Id="rId121" Type="http://schemas.openxmlformats.org/officeDocument/2006/relationships/hyperlink" Target="iso639-2LanguageCode.aspx" TargetMode="External"/><Relationship Id="rId3" Type="http://schemas.openxmlformats.org/officeDocument/2006/relationships/hyperlink" Target="http://www.loc.gov/standards/iso639-2/langhome.html" TargetMode="External"/><Relationship Id="rId12" Type="http://schemas.openxmlformats.org/officeDocument/2006/relationships/hyperlink" Target="http://www.loc.gov/standards/iso639-2/langhome.html" TargetMode="External"/><Relationship Id="rId17" Type="http://schemas.openxmlformats.org/officeDocument/2006/relationships/hyperlink" Target="http://www.loc.gov/standards/iso639-2/langhome.html" TargetMode="External"/><Relationship Id="rId25" Type="http://schemas.openxmlformats.org/officeDocument/2006/relationships/hyperlink" Target="http://nces.ed.gov/pubs2015/fin_acct/chapter6_8.asp" TargetMode="External"/><Relationship Id="rId33" Type="http://schemas.openxmlformats.org/officeDocument/2006/relationships/hyperlink" Target="http://nces.ed.gov/pubs2015/fin_acct/chapter6_8.asp" TargetMode="External"/><Relationship Id="rId38" Type="http://schemas.openxmlformats.org/officeDocument/2006/relationships/hyperlink" Target="http://nces.ed.gov/pubs2015/fin_acct/chapter6_2.asp" TargetMode="External"/><Relationship Id="rId46" Type="http://schemas.openxmlformats.org/officeDocument/2006/relationships/hyperlink" Target="iso639-2LanguageCode.aspx" TargetMode="External"/><Relationship Id="rId59" Type="http://schemas.openxmlformats.org/officeDocument/2006/relationships/hyperlink" Target="http://www.loc.gov/standards/iso639-2/langhome.html" TargetMode="External"/><Relationship Id="rId67" Type="http://schemas.openxmlformats.org/officeDocument/2006/relationships/hyperlink" Target="http://nces.ed.gov/pubs2015/fin_acct/chapter6_4.asp" TargetMode="External"/><Relationship Id="rId103" Type="http://schemas.openxmlformats.org/officeDocument/2006/relationships/hyperlink" Target="http://degreeprofile.org/" TargetMode="External"/><Relationship Id="rId108" Type="http://schemas.openxmlformats.org/officeDocument/2006/relationships/hyperlink" Target="http://www.loc.gov/standards/iso639-2/langhome.html" TargetMode="External"/><Relationship Id="rId116" Type="http://schemas.openxmlformats.org/officeDocument/2006/relationships/hyperlink" Target="iso639-3LanguageCode.aspx" TargetMode="External"/><Relationship Id="rId124" Type="http://schemas.openxmlformats.org/officeDocument/2006/relationships/hyperlink" Target="http://www.loc.gov/standards/iso639-2/langhome.html" TargetMode="External"/><Relationship Id="rId129" Type="http://schemas.openxmlformats.org/officeDocument/2006/relationships/hyperlink" Target="iso639-2LanguageCode.aspx" TargetMode="External"/><Relationship Id="rId137" Type="http://schemas.openxmlformats.org/officeDocument/2006/relationships/hyperlink" Target="http://www.loc.gov/standards/iso639-2/langhome.html" TargetMode="External"/><Relationship Id="rId20" Type="http://schemas.openxmlformats.org/officeDocument/2006/relationships/hyperlink" Target="http://nces.ed.gov/pubs2015/fin_acct/chapter6_1.asp" TargetMode="External"/><Relationship Id="rId41" Type="http://schemas.openxmlformats.org/officeDocument/2006/relationships/hyperlink" Target="http://nces.ed.gov/pubs2015/fin_acct/chapter6_6.asp" TargetMode="External"/><Relationship Id="rId54" Type="http://schemas.openxmlformats.org/officeDocument/2006/relationships/hyperlink" Target="http://www.iso.org/iso/country_codes.htm" TargetMode="External"/><Relationship Id="rId62" Type="http://schemas.openxmlformats.org/officeDocument/2006/relationships/hyperlink" Target="http://www.loc.gov/standards/iso639-2/langhome.html" TargetMode="External"/><Relationship Id="rId70" Type="http://schemas.openxmlformats.org/officeDocument/2006/relationships/hyperlink" Target="http://nces.ed.gov/pubs2015/fin_acct/chapter6_8.asp" TargetMode="External"/><Relationship Id="rId75" Type="http://schemas.openxmlformats.org/officeDocument/2006/relationships/hyperlink" Target="http://www.iso.org/iso/country_codes.htm" TargetMode="External"/><Relationship Id="rId83" Type="http://schemas.openxmlformats.org/officeDocument/2006/relationships/hyperlink" Target="http://www.iso.org/iso/country_codes.htm" TargetMode="External"/><Relationship Id="rId88" Type="http://schemas.openxmlformats.org/officeDocument/2006/relationships/hyperlink" Target="http://nces.ed.gov/ipeds/cipcode/browse.aspx?y=55" TargetMode="External"/><Relationship Id="rId91" Type="http://schemas.openxmlformats.org/officeDocument/2006/relationships/hyperlink" Target="iso639-2LanguageCode.aspx" TargetMode="External"/><Relationship Id="rId96" Type="http://schemas.openxmlformats.org/officeDocument/2006/relationships/hyperlink" Target="http://nces.ed.gov/ipeds/cipcode/browse.aspx?y=55" TargetMode="External"/><Relationship Id="rId111" Type="http://schemas.openxmlformats.org/officeDocument/2006/relationships/hyperlink" Target="http://www.loc.gov/standards/iso639-5/index.html" TargetMode="External"/><Relationship Id="rId132" Type="http://schemas.openxmlformats.org/officeDocument/2006/relationships/hyperlink" Target="iso639-2LanguageCode.aspx" TargetMode="External"/><Relationship Id="rId140" Type="http://schemas.openxmlformats.org/officeDocument/2006/relationships/printerSettings" Target="../printerSettings/printerSettings5.bin"/><Relationship Id="rId1" Type="http://schemas.openxmlformats.org/officeDocument/2006/relationships/hyperlink" Target="http://www.iso.org/iso/country_codes.htm" TargetMode="External"/><Relationship Id="rId6" Type="http://schemas.openxmlformats.org/officeDocument/2006/relationships/hyperlink" Target="http://www.loc.gov/standards/iso639-5/index.html" TargetMode="External"/><Relationship Id="rId15" Type="http://schemas.openxmlformats.org/officeDocument/2006/relationships/hyperlink" Target="http://www.loc.gov/standards/iso639-5/index.html" TargetMode="External"/><Relationship Id="rId23" Type="http://schemas.openxmlformats.org/officeDocument/2006/relationships/hyperlink" Target="http://nces.ed.gov/pubs2015/fin_acct/chapter6_5.asp" TargetMode="External"/><Relationship Id="rId28" Type="http://schemas.openxmlformats.org/officeDocument/2006/relationships/hyperlink" Target="http://nces.ed.gov/pubs2015/fin_acct/chapter6_1.asp" TargetMode="External"/><Relationship Id="rId36" Type="http://schemas.openxmlformats.org/officeDocument/2006/relationships/hyperlink" Target="http://nces.ed.gov/pubs2015/fin_acct/chapter6_3.asp" TargetMode="External"/><Relationship Id="rId49" Type="http://schemas.openxmlformats.org/officeDocument/2006/relationships/hyperlink" Target="http://www-01.sil.org/iso639-3/default.asp" TargetMode="External"/><Relationship Id="rId57" Type="http://schemas.openxmlformats.org/officeDocument/2006/relationships/hyperlink" Target="http://www.loc.gov/standards/iso639-2/langhome.html" TargetMode="External"/><Relationship Id="rId106" Type="http://schemas.openxmlformats.org/officeDocument/2006/relationships/hyperlink" Target="http://degreeprofile.org/" TargetMode="External"/><Relationship Id="rId114" Type="http://schemas.openxmlformats.org/officeDocument/2006/relationships/hyperlink" Target="iso639-2LanguageCode.aspx" TargetMode="External"/><Relationship Id="rId119" Type="http://schemas.openxmlformats.org/officeDocument/2006/relationships/hyperlink" Target="iso639-2LanguageCode.aspx" TargetMode="External"/><Relationship Id="rId127" Type="http://schemas.openxmlformats.org/officeDocument/2006/relationships/hyperlink" Target="iso639-2LanguageCode.aspx" TargetMode="External"/><Relationship Id="rId10" Type="http://schemas.openxmlformats.org/officeDocument/2006/relationships/hyperlink" Target="http://www.iso.org/iso/country_codes.htm" TargetMode="External"/><Relationship Id="rId31" Type="http://schemas.openxmlformats.org/officeDocument/2006/relationships/hyperlink" Target="http://nces.ed.gov/pubs2015/fin_acct/chapter6_5.asp" TargetMode="External"/><Relationship Id="rId44" Type="http://schemas.openxmlformats.org/officeDocument/2006/relationships/hyperlink" Target="http://www.iso.org/iso/country_codes.htm" TargetMode="External"/><Relationship Id="rId52" Type="http://schemas.openxmlformats.org/officeDocument/2006/relationships/hyperlink" Target="http://www.iso.org/iso/country_codes.htm" TargetMode="External"/><Relationship Id="rId60" Type="http://schemas.openxmlformats.org/officeDocument/2006/relationships/hyperlink" Target="ScedCourseCodes.aspx" TargetMode="External"/><Relationship Id="rId65" Type="http://schemas.openxmlformats.org/officeDocument/2006/relationships/hyperlink" Target="http://nces.ed.gov/pubs2015/fin_acct/chapter6_1.asp" TargetMode="External"/><Relationship Id="rId73" Type="http://schemas.openxmlformats.org/officeDocument/2006/relationships/hyperlink" Target="http://www.loc.gov/standards/iso639-2/langhome.html" TargetMode="External"/><Relationship Id="rId78" Type="http://schemas.openxmlformats.org/officeDocument/2006/relationships/hyperlink" Target="http://nces.ed.gov/ipeds/cipcode/browse.aspx?y=55" TargetMode="External"/><Relationship Id="rId81" Type="http://schemas.openxmlformats.org/officeDocument/2006/relationships/hyperlink" Target="http://nces.ed.gov/ipeds/cipcode/browse.aspx?y=55" TargetMode="External"/><Relationship Id="rId86" Type="http://schemas.openxmlformats.org/officeDocument/2006/relationships/hyperlink" Target="http://www.iso.org/iso/country_codes.htm" TargetMode="External"/><Relationship Id="rId94" Type="http://schemas.openxmlformats.org/officeDocument/2006/relationships/hyperlink" Target="iso639-2LanguageCode.aspx" TargetMode="External"/><Relationship Id="rId99" Type="http://schemas.openxmlformats.org/officeDocument/2006/relationships/hyperlink" Target="http://www.loc.gov/standards/iso639-2/langhome.html" TargetMode="External"/><Relationship Id="rId101" Type="http://schemas.openxmlformats.org/officeDocument/2006/relationships/hyperlink" Target="http://www.iso.org/iso/country_codes.htm" TargetMode="External"/><Relationship Id="rId122" Type="http://schemas.openxmlformats.org/officeDocument/2006/relationships/hyperlink" Target="http://www.loc.gov/standards/iso639-2/langhome.html" TargetMode="External"/><Relationship Id="rId130" Type="http://schemas.openxmlformats.org/officeDocument/2006/relationships/hyperlink" Target="http://www.loc.gov/standards/iso639-2/langhome.html" TargetMode="External"/><Relationship Id="rId135" Type="http://schemas.openxmlformats.org/officeDocument/2006/relationships/hyperlink" Target="http://www.loc.gov/standards/iso639-2/langhome.html" TargetMode="External"/><Relationship Id="rId4" Type="http://schemas.openxmlformats.org/officeDocument/2006/relationships/hyperlink" Target="iso639-3LanguageCode.aspx" TargetMode="External"/><Relationship Id="rId9" Type="http://schemas.openxmlformats.org/officeDocument/2006/relationships/hyperlink" Target="http://www.iso.org/iso/country_codes.htm" TargetMode="External"/><Relationship Id="rId13" Type="http://schemas.openxmlformats.org/officeDocument/2006/relationships/hyperlink" Target="iso639-3LanguageCode.aspx" TargetMode="External"/><Relationship Id="rId18" Type="http://schemas.openxmlformats.org/officeDocument/2006/relationships/hyperlink" Target="http://nces.ed.gov/pubs2015/fin_acct/chapter6_4.asp" TargetMode="External"/><Relationship Id="rId39" Type="http://schemas.openxmlformats.org/officeDocument/2006/relationships/hyperlink" Target="http://nces.ed.gov/pubs2015/fin_acct/chapter6_4.asp" TargetMode="External"/><Relationship Id="rId109" Type="http://schemas.openxmlformats.org/officeDocument/2006/relationships/hyperlink" Target="iso639-3LanguageCode.aspx" TargetMode="External"/><Relationship Id="rId34" Type="http://schemas.openxmlformats.org/officeDocument/2006/relationships/hyperlink" Target="http://nces.ed.gov/pubs2015/fin_acct/chapter6_7.asp" TargetMode="External"/><Relationship Id="rId50" Type="http://schemas.openxmlformats.org/officeDocument/2006/relationships/hyperlink" Target="http://www.loc.gov/standards/iso639-5/index.html" TargetMode="External"/><Relationship Id="rId55" Type="http://schemas.openxmlformats.org/officeDocument/2006/relationships/hyperlink" Target="http://www.iso.org/iso/country_codes.htm" TargetMode="External"/><Relationship Id="rId76" Type="http://schemas.openxmlformats.org/officeDocument/2006/relationships/hyperlink" Target="http://nces.ed.gov/ipeds/cipcode/browse.aspx?y=55" TargetMode="External"/><Relationship Id="rId97" Type="http://schemas.openxmlformats.org/officeDocument/2006/relationships/hyperlink" Target="http://www.iso.org/iso/country_codes.htm" TargetMode="External"/><Relationship Id="rId104" Type="http://schemas.openxmlformats.org/officeDocument/2006/relationships/hyperlink" Target="http://www.iso.org/iso/country_codes.htm" TargetMode="External"/><Relationship Id="rId120" Type="http://schemas.openxmlformats.org/officeDocument/2006/relationships/hyperlink" Target="http://www.loc.gov/standards/iso639-2/langhome.html" TargetMode="External"/><Relationship Id="rId125" Type="http://schemas.openxmlformats.org/officeDocument/2006/relationships/hyperlink" Target="iso639-2LanguageCode.aspx" TargetMode="External"/><Relationship Id="rId7" Type="http://schemas.openxmlformats.org/officeDocument/2006/relationships/hyperlink" Target="http://idea.ed.gov/part-c/statutes" TargetMode="External"/><Relationship Id="rId71" Type="http://schemas.openxmlformats.org/officeDocument/2006/relationships/hyperlink" Target="http://nces.ed.gov/pubs2015/fin_acct/chapter6_7.asp" TargetMode="External"/><Relationship Id="rId92" Type="http://schemas.openxmlformats.org/officeDocument/2006/relationships/hyperlink" Target="http://www.loc.gov/standards/iso639-2/langhome.html" TargetMode="External"/><Relationship Id="rId2" Type="http://schemas.openxmlformats.org/officeDocument/2006/relationships/hyperlink" Target="iso639-2LanguageCode.aspx" TargetMode="External"/><Relationship Id="rId29" Type="http://schemas.openxmlformats.org/officeDocument/2006/relationships/hyperlink" Target="http://nces.ed.gov/pubs2015/fin_acct/chapter6_2.asp" TargetMode="External"/><Relationship Id="rId24" Type="http://schemas.openxmlformats.org/officeDocument/2006/relationships/hyperlink" Target="http://nces.ed.gov/pubs2015/fin_acct/chapter6_6.asp" TargetMode="External"/><Relationship Id="rId40" Type="http://schemas.openxmlformats.org/officeDocument/2006/relationships/hyperlink" Target="http://nces.ed.gov/pubs2015/fin_acct/chapter6_5.asp" TargetMode="External"/><Relationship Id="rId45" Type="http://schemas.openxmlformats.org/officeDocument/2006/relationships/hyperlink" Target="http://www.iso.org/iso/country_codes.htm" TargetMode="External"/><Relationship Id="rId66" Type="http://schemas.openxmlformats.org/officeDocument/2006/relationships/hyperlink" Target="http://nces.ed.gov/pubs2015/fin_acct/chapter6_2.asp" TargetMode="External"/><Relationship Id="rId87" Type="http://schemas.openxmlformats.org/officeDocument/2006/relationships/hyperlink" Target="http://www.iso.org/iso/country_codes.htm" TargetMode="External"/><Relationship Id="rId110" Type="http://schemas.openxmlformats.org/officeDocument/2006/relationships/hyperlink" Target="http://www-01.sil.org/iso639-3/default.asp" TargetMode="External"/><Relationship Id="rId115" Type="http://schemas.openxmlformats.org/officeDocument/2006/relationships/hyperlink" Target="http://www.loc.gov/standards/iso639-2/langhome.html" TargetMode="External"/><Relationship Id="rId131" Type="http://schemas.openxmlformats.org/officeDocument/2006/relationships/hyperlink" Target="https://w3id.org/xapi/adl" TargetMode="External"/><Relationship Id="rId136" Type="http://schemas.openxmlformats.org/officeDocument/2006/relationships/hyperlink" Target="iso639-2LanguageCode.aspx" TargetMode="External"/><Relationship Id="rId61" Type="http://schemas.openxmlformats.org/officeDocument/2006/relationships/hyperlink" Target="iso639-2LanguageCode.aspx" TargetMode="External"/><Relationship Id="rId82" Type="http://schemas.openxmlformats.org/officeDocument/2006/relationships/hyperlink" Target="http://www.iso.org/iso/country_codes.htm" TargetMode="External"/><Relationship Id="rId19" Type="http://schemas.openxmlformats.org/officeDocument/2006/relationships/hyperlink" Target="http://nces.ed.gov/pubs2015/fin_acct/chapter6_3.asp" TargetMode="External"/><Relationship Id="rId14" Type="http://schemas.openxmlformats.org/officeDocument/2006/relationships/hyperlink" Target="http://www-01.sil.org/iso639-3/default.asp" TargetMode="External"/><Relationship Id="rId30" Type="http://schemas.openxmlformats.org/officeDocument/2006/relationships/hyperlink" Target="http://nces.ed.gov/pubs2015/fin_acct/chapter6_4.asp" TargetMode="External"/><Relationship Id="rId35" Type="http://schemas.openxmlformats.org/officeDocument/2006/relationships/hyperlink" Target="http://www.iso.org/iso/country_codes.htm" TargetMode="External"/><Relationship Id="rId56" Type="http://schemas.openxmlformats.org/officeDocument/2006/relationships/hyperlink" Target="iso639-2LanguageCode.aspx" TargetMode="External"/><Relationship Id="rId77" Type="http://schemas.openxmlformats.org/officeDocument/2006/relationships/hyperlink" Target="http://degreeprofile.org/" TargetMode="External"/><Relationship Id="rId100" Type="http://schemas.openxmlformats.org/officeDocument/2006/relationships/hyperlink" Target="http://nces.ed.gov/ipeds/cipcode/browse.aspx?y=55" TargetMode="External"/><Relationship Id="rId105" Type="http://schemas.openxmlformats.org/officeDocument/2006/relationships/hyperlink" Target="http://nces.ed.gov/ipeds/cipcode/browse.aspx?y=55" TargetMode="External"/><Relationship Id="rId126" Type="http://schemas.openxmlformats.org/officeDocument/2006/relationships/hyperlink" Target="http://www.loc.gov/standards/iso639-2/langhome.html"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ed-fi.org/docs/1.3/schema/ed-fi-core_objectiveassessment.html" TargetMode="External"/><Relationship Id="rId299" Type="http://schemas.openxmlformats.org/officeDocument/2006/relationships/hyperlink" Target="http://specification.sifassociation.org/Implementation/NA/3.2/html/Assessment/Assessment_assessmentRegistrationType.html" TargetMode="External"/><Relationship Id="rId21" Type="http://schemas.openxmlformats.org/officeDocument/2006/relationships/hyperlink" Target="http://www.ed-fi.org/docs/1.3/schema/ed-fi-core_meetingtime.html" TargetMode="External"/><Relationship Id="rId63" Type="http://schemas.openxmlformats.org/officeDocument/2006/relationships/hyperlink" Target="http://www.ed-fi.org/docs/1.3/schema/ed-fi-core_address.html" TargetMode="External"/><Relationship Id="rId159" Type="http://schemas.openxmlformats.org/officeDocument/2006/relationships/hyperlink" Target="http://www.ed-fi.org/docs/1.3/schema/ed-fi-core_identificationdocument.html" TargetMode="External"/><Relationship Id="rId324" Type="http://schemas.openxmlformats.org/officeDocument/2006/relationships/hyperlink" Target="http://specification.sifassociation.org/Implementation/NA/3.2/html/Assessment/Assessment_assessmentScoreTableType.html" TargetMode="External"/><Relationship Id="rId366" Type="http://schemas.openxmlformats.org/officeDocument/2006/relationships/hyperlink" Target="http://specification.sifassociation.org/Implementation/NA/3.2/html/Entity/EntityObjects_gEventCollectionType.html" TargetMode="External"/><Relationship Id="rId170" Type="http://schemas.openxmlformats.org/officeDocument/2006/relationships/hyperlink" Target="http://www.ed-fi.org/docs/1.3/schema/ed-fi-core_identificationdocument.html" TargetMode="External"/><Relationship Id="rId226" Type="http://schemas.openxmlformats.org/officeDocument/2006/relationships/hyperlink" Target="http://www.ed-fi.org/docs/1.3/schema/ed-fi-core_achievement.html" TargetMode="External"/><Relationship Id="rId433" Type="http://schemas.openxmlformats.org/officeDocument/2006/relationships/hyperlink" Target="http://specification.sifassociation.org/Implementation/NA/3.2/html/Entity/EntityObjects_gStudentSchoolEnrollmentType.html" TargetMode="External"/><Relationship Id="rId268" Type="http://schemas.openxmlformats.org/officeDocument/2006/relationships/hyperlink" Target="http://www.ed-fi.org/docs/1.3/schema/ed-fi-core_identificationdocument.html" TargetMode="External"/><Relationship Id="rId475" Type="http://schemas.openxmlformats.org/officeDocument/2006/relationships/hyperlink" Target="http://specification.sifassociation.org/Implementation/NA/3.2/html/Report/ReportObjects_sreType.html" TargetMode="External"/><Relationship Id="rId32" Type="http://schemas.openxmlformats.org/officeDocument/2006/relationships/hyperlink" Target="http://www.ed-fi.org/docs/1.3/schema/ed-fi-core_courseoffering.html" TargetMode="External"/><Relationship Id="rId74" Type="http://schemas.openxmlformats.org/officeDocument/2006/relationships/hyperlink" Target="http://www.ed-fi.org/docs/1.3/schema/ed-fi-core_graduationplan.html" TargetMode="External"/><Relationship Id="rId128" Type="http://schemas.openxmlformats.org/officeDocument/2006/relationships/hyperlink" Target="http://www.ed-fi.org/docs/1.3/schema/ed-fi-core_address.html" TargetMode="External"/><Relationship Id="rId335" Type="http://schemas.openxmlformats.org/officeDocument/2006/relationships/hyperlink" Target="http://specification.sifassociation.org/Implementation/NA/3.2/html/Entity/EntityObjects_disciplineIncidentType.html" TargetMode="External"/><Relationship Id="rId377" Type="http://schemas.openxmlformats.org/officeDocument/2006/relationships/hyperlink" Target="http://specification.sifassociation.org/Implementation/NA/3.2/html/Entity/EntityObjects_gLearningStandardDocumentType.html" TargetMode="External"/><Relationship Id="rId5" Type="http://schemas.openxmlformats.org/officeDocument/2006/relationships/hyperlink" Target="http://www.ed-fi.org/docs/1.3/schema/ed-fi-core_accountcodedescriptorreferencetype.html" TargetMode="External"/><Relationship Id="rId181" Type="http://schemas.openxmlformats.org/officeDocument/2006/relationships/hyperlink" Target="http://www.ed-fi.org/docs/1.3/schema/ed-fi-core_staffprogramassociation.html" TargetMode="External"/><Relationship Id="rId237" Type="http://schemas.openxmlformats.org/officeDocument/2006/relationships/hyperlink" Target="http://www.ed-fi.org/docs/1.3/schema/ed-fi-core_studentprogramassociation.html" TargetMode="External"/><Relationship Id="rId402" Type="http://schemas.openxmlformats.org/officeDocument/2006/relationships/hyperlink" Target="http://specification.sifassociation.org/Implementation/NA/3.2/html/Entity/EntityObjects_gPersonGroupAssociationType.html" TargetMode="External"/><Relationship Id="rId279" Type="http://schemas.openxmlformats.org/officeDocument/2006/relationships/hyperlink" Target="http://www.ed-fi.org/docs/1.3/schema/ed-fi-core_identificationdocument.html" TargetMode="External"/><Relationship Id="rId444" Type="http://schemas.openxmlformats.org/officeDocument/2006/relationships/hyperlink" Target="http://specification.sifassociation.org/Implementation/NA/3.2/html/Entity/EntityObjects_learningResourceType.html" TargetMode="External"/><Relationship Id="rId486" Type="http://schemas.openxmlformats.org/officeDocument/2006/relationships/hyperlink" Target="http://specification.sifassociation.org/Implementation/NA/3.2/html/Entity/EntityObjects_staffPersonType.html" TargetMode="External"/><Relationship Id="rId43" Type="http://schemas.openxmlformats.org/officeDocument/2006/relationships/hyperlink" Target="http://www.ed-fi.org/docs/1.3/schema/ed-fi-core_accountabilityrating.html" TargetMode="External"/><Relationship Id="rId139" Type="http://schemas.openxmlformats.org/officeDocument/2006/relationships/hyperlink" Target="http://www.ed-fi.org/docs/1.3/schema/ed-fi-core_postsecondaryinstitution.html" TargetMode="External"/><Relationship Id="rId290" Type="http://schemas.openxmlformats.org/officeDocument/2006/relationships/hyperlink" Target="http://specification.sifassociation.org/Implementation/NA/3.2/html/Assessment/Assessment_assessmentFormType.html" TargetMode="External"/><Relationship Id="rId304" Type="http://schemas.openxmlformats.org/officeDocument/2006/relationships/hyperlink" Target="http://specification.sifassociation.org/Implementation/NA/3.2/html/Assessment/Assessment_assessmentResponseSetType.html" TargetMode="External"/><Relationship Id="rId346" Type="http://schemas.openxmlformats.org/officeDocument/2006/relationships/hyperlink" Target="http://specification.sifassociation.org/Implementation/NA/3.2/html/Entity/EntityObjects_gBaseNameType.html" TargetMode="External"/><Relationship Id="rId388" Type="http://schemas.openxmlformats.org/officeDocument/2006/relationships/hyperlink" Target="http://specification.sifassociation.org/Implementation/NA/3.2/html/Entity/EntityObjects_gNameOfRecordType.html" TargetMode="External"/><Relationship Id="rId85" Type="http://schemas.openxmlformats.org/officeDocument/2006/relationships/hyperlink" Target="http://www.ed-fi.org/docs/1.3/schema/ed-fi-core_interventionprescription.html" TargetMode="External"/><Relationship Id="rId150" Type="http://schemas.openxmlformats.org/officeDocument/2006/relationships/hyperlink" Target="http://www.ed-fi.org/docs/1.3/schema/ed-fi-core_address.html" TargetMode="External"/><Relationship Id="rId192" Type="http://schemas.openxmlformats.org/officeDocument/2006/relationships/hyperlink" Target="http://www.ed-fi.org/docs/1.3/schema/ed-fi-core_address.html" TargetMode="External"/><Relationship Id="rId206" Type="http://schemas.openxmlformats.org/officeDocument/2006/relationships/hyperlink" Target="http://www.ed-fi.org/docs/1.3/schema/ed-fi-core_learningstyles.html" TargetMode="External"/><Relationship Id="rId413" Type="http://schemas.openxmlformats.org/officeDocument/2006/relationships/hyperlink" Target="http://specification.sifassociation.org/Implementation/NA/3.2/html/Entity/EntityObjects_groupType.html" TargetMode="External"/><Relationship Id="rId248" Type="http://schemas.openxmlformats.org/officeDocument/2006/relationships/hyperlink" Target="http://www.ed-fi.org/docs/1.3/schema/ed-fi-core_servicedescriptorreferencetype.html" TargetMode="External"/><Relationship Id="rId455" Type="http://schemas.openxmlformats.org/officeDocument/2006/relationships/hyperlink" Target="http://specification.sifassociation.org/Implementation/NA/3.2/html/Entity/EntityObjects_learningResourceType.html" TargetMode="External"/><Relationship Id="rId12" Type="http://schemas.openxmlformats.org/officeDocument/2006/relationships/hyperlink" Target="http://www.ed-fi.org/docs/1.3/schema/ed-fi-core_assessment.html" TargetMode="External"/><Relationship Id="rId108" Type="http://schemas.openxmlformats.org/officeDocument/2006/relationships/hyperlink" Target="http://www.ed-fi.org/docs/1.3/schema/ed-fi-core_leaveevent.html" TargetMode="External"/><Relationship Id="rId315" Type="http://schemas.openxmlformats.org/officeDocument/2006/relationships/hyperlink" Target="http://specification.sifassociation.org/Implementation/NA/3.2/html/Assessment/Assessment_assessmentRubricType.html" TargetMode="External"/><Relationship Id="rId357" Type="http://schemas.openxmlformats.org/officeDocument/2006/relationships/hyperlink" Target="http://specification.sifassociation.org/Implementation/NA/3.2/html/Entity/EntityObjects_gCourseType.html" TargetMode="External"/><Relationship Id="rId54" Type="http://schemas.openxmlformats.org/officeDocument/2006/relationships/hyperlink" Target="http://www.ed-fi.org/docs/1.3/schema/ed-fi-core_address.html" TargetMode="External"/><Relationship Id="rId96" Type="http://schemas.openxmlformats.org/officeDocument/2006/relationships/hyperlink" Target="http://www.ed-fi.org/docs/1.3/schema/ed-fi-core_learningobjective.html" TargetMode="External"/><Relationship Id="rId161" Type="http://schemas.openxmlformats.org/officeDocument/2006/relationships/hyperlink" Target="http://www.ed-fi.org/docs/1.3/schema/ed-fi-core_identificationdocument.html" TargetMode="External"/><Relationship Id="rId217" Type="http://schemas.openxmlformats.org/officeDocument/2006/relationships/hyperlink" Target="http://www.ed-fi.org/docs/1.3/schema/ed-fi-core_studentindicator.html" TargetMode="External"/><Relationship Id="rId399" Type="http://schemas.openxmlformats.org/officeDocument/2006/relationships/hyperlink" Target="http://specification.sifassociation.org/Implementation/NA/3.2/html/Entity/EntityObjects_gOtherNameType.html" TargetMode="External"/><Relationship Id="rId259" Type="http://schemas.openxmlformats.org/officeDocument/2006/relationships/hyperlink" Target="http://www.ed-fi.org/docs/1.3/schema/ed-fi-core_studentprogramassociation.html" TargetMode="External"/><Relationship Id="rId424" Type="http://schemas.openxmlformats.org/officeDocument/2006/relationships/hyperlink" Target="http://specification.sifassociation.org/Implementation/NA/3.2/html/Entity/EntityObjects_gStreetType.html" TargetMode="External"/><Relationship Id="rId466" Type="http://schemas.openxmlformats.org/officeDocument/2006/relationships/hyperlink" Target="http://specification.sifassociation.org/Implementation/NA/3.2/html/Entity/EntityObjects_seaType.html" TargetMode="External"/><Relationship Id="rId23" Type="http://schemas.openxmlformats.org/officeDocument/2006/relationships/hyperlink" Target="http://www.ed-fi.org/docs/1.3/schema/ed-fi-core_cohort.html" TargetMode="External"/><Relationship Id="rId119" Type="http://schemas.openxmlformats.org/officeDocument/2006/relationships/hyperlink" Target="http://www.ed-fi.org/docs/1.3/schema/ed-fi-core_openstaffposition.html" TargetMode="External"/><Relationship Id="rId270" Type="http://schemas.openxmlformats.org/officeDocument/2006/relationships/hyperlink" Target="http://www.ed-fi.org/docs/1.3/schema/ed-fi-core_identificationdocument.html" TargetMode="External"/><Relationship Id="rId326" Type="http://schemas.openxmlformats.org/officeDocument/2006/relationships/hyperlink" Target="http://specification.sifassociation.org/Implementation/NA/3.2/html/Assessment/Assessment_assessmentScoreTableType.html" TargetMode="External"/><Relationship Id="rId65" Type="http://schemas.openxmlformats.org/officeDocument/2006/relationships/hyperlink" Target="http://www.ed-fi.org/docs/1.3/schema/ed-fi-core_address.html" TargetMode="External"/><Relationship Id="rId130" Type="http://schemas.openxmlformats.org/officeDocument/2006/relationships/hyperlink" Target="http://www.ed-fi.org/docs/1.3/schema/ed-fi-core_parent.html" TargetMode="External"/><Relationship Id="rId368" Type="http://schemas.openxmlformats.org/officeDocument/2006/relationships/hyperlink" Target="http://specification.sifassociation.org/Implementation/NA/3.2/html/Entity/EntityObjects_gEventCollectionType.html" TargetMode="External"/><Relationship Id="rId172" Type="http://schemas.openxmlformats.org/officeDocument/2006/relationships/hyperlink" Target="http://www.ed-fi.org/docs/1.3/schema/ed-fi-core_identificationdocument.html" TargetMode="External"/><Relationship Id="rId228" Type="http://schemas.openxmlformats.org/officeDocument/2006/relationships/hyperlink" Target="http://www.ed-fi.org/docs/1.3/schema/ed-fi-core_achievement.html" TargetMode="External"/><Relationship Id="rId435" Type="http://schemas.openxmlformats.org/officeDocument/2006/relationships/hyperlink" Target="http://specification.sifassociation.org/Implementation/NA/3.2/html/Entity/EntityObjects_gStudentSchoolEnrollmentType.html" TargetMode="External"/><Relationship Id="rId477" Type="http://schemas.openxmlformats.org/officeDocument/2006/relationships/hyperlink" Target="http://specification.sifassociation.org/Implementation/NA/3.2/html/Report/ReportObjects_sreType.html" TargetMode="External"/><Relationship Id="rId281" Type="http://schemas.openxmlformats.org/officeDocument/2006/relationships/hyperlink" Target="http://www.ed-fi.org/docs/1.3/schema/ed-fi-core_identificationdocument.html" TargetMode="External"/><Relationship Id="rId337" Type="http://schemas.openxmlformats.org/officeDocument/2006/relationships/hyperlink" Target="http://specification.sifassociation.org/Implementation/NA/3.2/html/Entity/EntityObjects_disciplineIncidentType.html" TargetMode="External"/><Relationship Id="rId34" Type="http://schemas.openxmlformats.org/officeDocument/2006/relationships/hyperlink" Target="http://www.ed-fi.org/docs/1.3/schema/ed-fi-core_educationcontent.html" TargetMode="External"/><Relationship Id="rId76" Type="http://schemas.openxmlformats.org/officeDocument/2006/relationships/hyperlink" Target="http://www.ed-fi.org/docs/1.3/schema/ed-fi-core_interventionprescription.html" TargetMode="External"/><Relationship Id="rId141" Type="http://schemas.openxmlformats.org/officeDocument/2006/relationships/hyperlink" Target="http://www.ed-fi.org/docs/1.3/schema/ed-fi-core_program.html" TargetMode="External"/><Relationship Id="rId379" Type="http://schemas.openxmlformats.org/officeDocument/2006/relationships/hyperlink" Target="http://specification.sifassociation.org/Implementation/NA/3.2/html/Entity/EntityObjects_gLearningStandardDocumentType.html" TargetMode="External"/><Relationship Id="rId7" Type="http://schemas.openxmlformats.org/officeDocument/2006/relationships/hyperlink" Target="http://www.ed-fi.org/docs/1.3/schema/ed-fi-core_actual.html" TargetMode="External"/><Relationship Id="rId162" Type="http://schemas.openxmlformats.org/officeDocument/2006/relationships/hyperlink" Target="http://www.ed-fi.org/docs/1.3/schema/ed-fi-core_identificationdocument.html" TargetMode="External"/><Relationship Id="rId183" Type="http://schemas.openxmlformats.org/officeDocument/2006/relationships/hyperlink" Target="http://www.ed-fi.org/docs/1.3/schema/ed-fi-core_accountabilityrating.html" TargetMode="External"/><Relationship Id="rId218" Type="http://schemas.openxmlformats.org/officeDocument/2006/relationships/hyperlink" Target="http://www.ed-fi.org/docs/1.3/schema/ed-fi-core_studentindicator.html" TargetMode="External"/><Relationship Id="rId239" Type="http://schemas.openxmlformats.org/officeDocument/2006/relationships/hyperlink" Target="http://www.ed-fi.org/docs/1.3/schema/ed-fi-core_behaviordescriptorreferencetype.html" TargetMode="External"/><Relationship Id="rId390" Type="http://schemas.openxmlformats.org/officeDocument/2006/relationships/hyperlink" Target="http://specification.sifassociation.org/Implementation/NA/3.2/html/Entity/EntityObjects_gOrganizationOrganizationAssociationType.html" TargetMode="External"/><Relationship Id="rId404" Type="http://schemas.openxmlformats.org/officeDocument/2006/relationships/hyperlink" Target="http://specification.sifassociation.org/Implementation/NA/3.2/html/Entity/EntityObjects_gPersonGroupAssociationType.html" TargetMode="External"/><Relationship Id="rId425" Type="http://schemas.openxmlformats.org/officeDocument/2006/relationships/hyperlink" Target="http://specification.sifassociation.org/Implementation/NA/3.2/html/Entity/EntityObjects_gStreetType.html" TargetMode="External"/><Relationship Id="rId446" Type="http://schemas.openxmlformats.org/officeDocument/2006/relationships/hyperlink" Target="http://specification.sifassociation.org/Implementation/NA/3.2/html/Entity/EntityObjects_learningResourceType.html" TargetMode="External"/><Relationship Id="rId467" Type="http://schemas.openxmlformats.org/officeDocument/2006/relationships/hyperlink" Target="http://specification.sifassociation.org/Implementation/NA/3.2/html/Report/ReportObjects_sreType.html" TargetMode="External"/><Relationship Id="rId250" Type="http://schemas.openxmlformats.org/officeDocument/2006/relationships/hyperlink" Target="http://www.ed-fi.org/docs/1.3/schema/ed-fi-core_studentmigranteducationprogramassociation.html" TargetMode="External"/><Relationship Id="rId271" Type="http://schemas.openxmlformats.org/officeDocument/2006/relationships/hyperlink" Target="http://www.ed-fi.org/docs/1.3/schema/ed-fi-core_identificationdocument.html" TargetMode="External"/><Relationship Id="rId292" Type="http://schemas.openxmlformats.org/officeDocument/2006/relationships/hyperlink" Target="http://specification.sifassociation.org/Implementation/NA/3.2/html/Assessment/Assessment_assessmentFormType.html" TargetMode="External"/><Relationship Id="rId306" Type="http://schemas.openxmlformats.org/officeDocument/2006/relationships/hyperlink" Target="http://specification.sifassociation.org/Implementation/NA/3.2/html/Assessment/Assessment_assessmentResponseSetType.html" TargetMode="External"/><Relationship Id="rId488" Type="http://schemas.openxmlformats.org/officeDocument/2006/relationships/hyperlink" Target="http://specification.sifassociation.org/Implementation/NA/3.2/html/Composite/Composite_studentCoreType.html" TargetMode="External"/><Relationship Id="rId24" Type="http://schemas.openxmlformats.org/officeDocument/2006/relationships/hyperlink" Target="http://www.ed-fi.org/docs/1.3/schema/ed-fi-core_cohort.html" TargetMode="External"/><Relationship Id="rId45" Type="http://schemas.openxmlformats.org/officeDocument/2006/relationships/hyperlink" Target="http://www.ed-fi.org/docs/1.3/schema/ed-fi-core_address.html" TargetMode="External"/><Relationship Id="rId66" Type="http://schemas.openxmlformats.org/officeDocument/2006/relationships/hyperlink" Target="http://www.ed-fi.org/docs/1.3/schema/ed-fi-core_feederschoolassociation.html" TargetMode="External"/><Relationship Id="rId87" Type="http://schemas.openxmlformats.org/officeDocument/2006/relationships/hyperlink" Target="http://www.ed-fi.org/docs/1.3/schema/ed-fi-core_interventionstudy.html" TargetMode="External"/><Relationship Id="rId110" Type="http://schemas.openxmlformats.org/officeDocument/2006/relationships/hyperlink" Target="http://www.ed-fi.org/docs/1.3/schema/ed-fi-core_accountabilityrating.html" TargetMode="External"/><Relationship Id="rId131" Type="http://schemas.openxmlformats.org/officeDocument/2006/relationships/hyperlink" Target="http://www.ed-fi.org/docs/1.3/schema/ed-fi-core_identificationdocument.html" TargetMode="External"/><Relationship Id="rId327" Type="http://schemas.openxmlformats.org/officeDocument/2006/relationships/hyperlink" Target="http://specification.sifassociation.org/Implementation/NA/3.2/html/Assessment/Assessment_assessmentScoreTableType.html" TargetMode="External"/><Relationship Id="rId348" Type="http://schemas.openxmlformats.org/officeDocument/2006/relationships/hyperlink" Target="http://specification.sifassociation.org/Implementation/NA/3.2/html/Entity/EntityObjects_gBaseNameType.html" TargetMode="External"/><Relationship Id="rId369" Type="http://schemas.openxmlformats.org/officeDocument/2006/relationships/hyperlink" Target="http://specification.sifassociation.org/Implementation/NA/3.2/html/Entity/EntityObjects_gIntervalEventType.html" TargetMode="External"/><Relationship Id="rId152" Type="http://schemas.openxmlformats.org/officeDocument/2006/relationships/hyperlink" Target="http://www.ed-fi.org/docs/1.3/schema/ed-fi-core_address.html" TargetMode="External"/><Relationship Id="rId173" Type="http://schemas.openxmlformats.org/officeDocument/2006/relationships/hyperlink" Target="http://www.ed-fi.org/docs/1.3/schema/ed-fi-core_identificationdocument.html" TargetMode="External"/><Relationship Id="rId194" Type="http://schemas.openxmlformats.org/officeDocument/2006/relationships/hyperlink" Target="http://www.ed-fi.org/docs/1.3/schema/ed-fi-core_identificationdocument.html" TargetMode="External"/><Relationship Id="rId208" Type="http://schemas.openxmlformats.org/officeDocument/2006/relationships/hyperlink" Target="http://www.ed-fi.org/docs/1.3/schema/ed-fi-core_name.html" TargetMode="External"/><Relationship Id="rId229" Type="http://schemas.openxmlformats.org/officeDocument/2006/relationships/hyperlink" Target="http://www.ed-fi.org/docs/1.3/schema/ed-fi-core_recognition.html" TargetMode="External"/><Relationship Id="rId380" Type="http://schemas.openxmlformats.org/officeDocument/2006/relationships/hyperlink" Target="http://specification.sifassociation.org/Implementation/NA/3.2/html/Entity/EntityObjects_gLearningStandardItemType.html" TargetMode="External"/><Relationship Id="rId415" Type="http://schemas.openxmlformats.org/officeDocument/2006/relationships/hyperlink" Target="http://specification.sifassociation.org/Implementation/NA/3.2/html/Entity/EntityObjects_gSchoolType.html" TargetMode="External"/><Relationship Id="rId436" Type="http://schemas.openxmlformats.org/officeDocument/2006/relationships/hyperlink" Target="http://specification.sifassociation.org/Implementation/NA/3.2/html/Entity/EntityObjects_gStudentSchoolEnrollmentType.html" TargetMode="External"/><Relationship Id="rId457" Type="http://schemas.openxmlformats.org/officeDocument/2006/relationships/hyperlink" Target="http://specification.sifassociation.org/Implementation/NA/3.2/html/Entity/EntityObjects_schoolCalendarItemType.html" TargetMode="External"/><Relationship Id="rId240" Type="http://schemas.openxmlformats.org/officeDocument/2006/relationships/hyperlink" Target="http://www.ed-fi.org/docs/1.3/schema/ed-fi-core_studentgradebookentry.html" TargetMode="External"/><Relationship Id="rId261" Type="http://schemas.openxmlformats.org/officeDocument/2006/relationships/hyperlink" Target="http://www.ed-fi.org/docs/1.3/schema/ed-fi-core_address.html" TargetMode="External"/><Relationship Id="rId478" Type="http://schemas.openxmlformats.org/officeDocument/2006/relationships/hyperlink" Target="http://specification.sifassociation.org/Implementation/NA/3.2/html/Report/ReportObjects_sreType.html" TargetMode="External"/><Relationship Id="rId14" Type="http://schemas.openxmlformats.org/officeDocument/2006/relationships/hyperlink" Target="http://www.ed-fi.org/docs/1.3/schema/ed-fi-core_assessmentfamily.html" TargetMode="External"/><Relationship Id="rId35" Type="http://schemas.openxmlformats.org/officeDocument/2006/relationships/hyperlink" Target="http://www.ed-fi.org/docs/1.3/schema/ed-fi-core_educationcontent.html" TargetMode="External"/><Relationship Id="rId56" Type="http://schemas.openxmlformats.org/officeDocument/2006/relationships/hyperlink" Target="http://www.ed-fi.org/docs/1.3/schema/ed-fi-core_educationorganizationnetworkassociation.html" TargetMode="External"/><Relationship Id="rId77" Type="http://schemas.openxmlformats.org/officeDocument/2006/relationships/hyperlink" Target="http://www.ed-fi.org/docs/1.3/schema/ed-fi-core_interventionprescription.html" TargetMode="External"/><Relationship Id="rId100" Type="http://schemas.openxmlformats.org/officeDocument/2006/relationships/hyperlink" Target="http://www.ed-fi.org/docs/1.3/schema/ed-fi-core_learningobjective.html" TargetMode="External"/><Relationship Id="rId282" Type="http://schemas.openxmlformats.org/officeDocument/2006/relationships/hyperlink" Target="http://www.ed-fi.org/docs/1.3/schema/ed-fi-core_person.html" TargetMode="External"/><Relationship Id="rId317" Type="http://schemas.openxmlformats.org/officeDocument/2006/relationships/hyperlink" Target="http://specification.sifassociation.org/Implementation/NA/3.2/html/Assessment/Assessment_assessmentRubricType.html" TargetMode="External"/><Relationship Id="rId338" Type="http://schemas.openxmlformats.org/officeDocument/2006/relationships/hyperlink" Target="http://specification.sifassociation.org/Implementation/NA/3.2/html/Entity/EntityObjects_disciplineIncidentType.html" TargetMode="External"/><Relationship Id="rId359" Type="http://schemas.openxmlformats.org/officeDocument/2006/relationships/hyperlink" Target="http://specification.sifassociation.org/Implementation/NA/3.2/html/Entity/EntityObjects_gDemographicsType.html" TargetMode="External"/><Relationship Id="rId8" Type="http://schemas.openxmlformats.org/officeDocument/2006/relationships/hyperlink" Target="http://www.ed-fi.org/docs/1.3/schema/ed-fi-core_actual.html" TargetMode="External"/><Relationship Id="rId98" Type="http://schemas.openxmlformats.org/officeDocument/2006/relationships/hyperlink" Target="http://www.ed-fi.org/docs/1.3/schema/ed-fi-core_contentstandardtype.html" TargetMode="External"/><Relationship Id="rId121" Type="http://schemas.openxmlformats.org/officeDocument/2006/relationships/hyperlink" Target="http://www.ed-fi.org/docs/1.3/schema/ed-fi-core_openstaffposition.html" TargetMode="External"/><Relationship Id="rId142" Type="http://schemas.openxmlformats.org/officeDocument/2006/relationships/hyperlink" Target="http://www.ed-fi.org/docs/1.3/schema/ed-fi-core_servicedescriptorreferencetype.html" TargetMode="External"/><Relationship Id="rId163" Type="http://schemas.openxmlformats.org/officeDocument/2006/relationships/hyperlink" Target="http://www.ed-fi.org/docs/1.3/schema/ed-fi-core_identificationdocument.html" TargetMode="External"/><Relationship Id="rId184" Type="http://schemas.openxmlformats.org/officeDocument/2006/relationships/hyperlink" Target="http://www.ed-fi.org/docs/1.3/schema/ed-fi-core_accountabilityrating.html" TargetMode="External"/><Relationship Id="rId219" Type="http://schemas.openxmlformats.org/officeDocument/2006/relationships/hyperlink" Target="http://www.ed-fi.org/docs/1.3/schema/ed-fi-core_studentindicator.html" TargetMode="External"/><Relationship Id="rId370" Type="http://schemas.openxmlformats.org/officeDocument/2006/relationships/hyperlink" Target="http://specification.sifassociation.org/Implementation/NA/3.2/html/Entity/EntityObjects_gIntervalEventType.html" TargetMode="External"/><Relationship Id="rId391" Type="http://schemas.openxmlformats.org/officeDocument/2006/relationships/hyperlink" Target="http://specification.sifassociation.org/Implementation/NA/3.2/html/Entity/EntityObjects_gOrganizationOrganizationAssociationType.html" TargetMode="External"/><Relationship Id="rId405" Type="http://schemas.openxmlformats.org/officeDocument/2006/relationships/hyperlink" Target="http://specification.sifassociation.org/Implementation/NA/3.2/html/Entity/EntityObjects_gPersonOrganizationAssociationType.html" TargetMode="External"/><Relationship Id="rId426" Type="http://schemas.openxmlformats.org/officeDocument/2006/relationships/hyperlink" Target="http://specification.sifassociation.org/Implementation/NA/3.2/html/Entity/EntityObjects_gStreetType.html" TargetMode="External"/><Relationship Id="rId447" Type="http://schemas.openxmlformats.org/officeDocument/2006/relationships/hyperlink" Target="http://specification.sifassociation.org/Implementation/NA/3.2/html/Entity/EntityObjects_learningResourceType.html" TargetMode="External"/><Relationship Id="rId230" Type="http://schemas.openxmlformats.org/officeDocument/2006/relationships/hyperlink" Target="http://www.ed-fi.org/docs/1.3/schema/ed-fi-core_recognition.html" TargetMode="External"/><Relationship Id="rId251" Type="http://schemas.openxmlformats.org/officeDocument/2006/relationships/hyperlink" Target="http://www.ed-fi.org/docs/1.3/schema/ed-fi-core_studentmigranteducationprogramassociation.html" TargetMode="External"/><Relationship Id="rId468" Type="http://schemas.openxmlformats.org/officeDocument/2006/relationships/hyperlink" Target="http://specification.sifassociation.org/Implementation/NA/3.2/html/Report/ReportObjects_sreType.html" TargetMode="External"/><Relationship Id="rId489" Type="http://schemas.openxmlformats.org/officeDocument/2006/relationships/hyperlink" Target="http://specification.sifassociation.org/Implementation/NA/3.2/html/Entity/EntityObjects_studentProgramAssociationType.html" TargetMode="External"/><Relationship Id="rId25" Type="http://schemas.openxmlformats.org/officeDocument/2006/relationships/hyperlink" Target="http://www.ed-fi.org/docs/1.3/schema/ed-fi-core_cohort.html" TargetMode="External"/><Relationship Id="rId46" Type="http://schemas.openxmlformats.org/officeDocument/2006/relationships/hyperlink" Target="http://www.ed-fi.org/docs/1.3/schema/ed-fi-core_address.html" TargetMode="External"/><Relationship Id="rId67" Type="http://schemas.openxmlformats.org/officeDocument/2006/relationships/hyperlink" Target="http://www.ed-fi.org/docs/1.3/schema/ed-fi-core_feederschoolassociation.html" TargetMode="External"/><Relationship Id="rId272" Type="http://schemas.openxmlformats.org/officeDocument/2006/relationships/hyperlink" Target="http://www.ed-fi.org/docs/1.3/schema/ed-fi-core_identificationdocument.html" TargetMode="External"/><Relationship Id="rId293" Type="http://schemas.openxmlformats.org/officeDocument/2006/relationships/hyperlink" Target="http://specification.sifassociation.org/Implementation/NA/3.2/html/Assessment/Assessment_assessmentItemAssociationType.html" TargetMode="External"/><Relationship Id="rId307" Type="http://schemas.openxmlformats.org/officeDocument/2006/relationships/hyperlink" Target="http://specification.sifassociation.org/Implementation/NA/3.2/html/Assessment/Assessment_assessmentResponseSetType.html" TargetMode="External"/><Relationship Id="rId328" Type="http://schemas.openxmlformats.org/officeDocument/2006/relationships/hyperlink" Target="http://specification.sifassociation.org/Implementation/NA/3.2/html/Assessment/Assessment_assessmentSectionType.html" TargetMode="External"/><Relationship Id="rId349" Type="http://schemas.openxmlformats.org/officeDocument/2006/relationships/hyperlink" Target="http://specification.sifassociation.org/Implementation/NA/3.2/html/Entity/EntityObjects_gBaseNameType.html" TargetMode="External"/><Relationship Id="rId88" Type="http://schemas.openxmlformats.org/officeDocument/2006/relationships/hyperlink" Target="http://www.ed-fi.org/docs/1.3/schema/ed-fi-core_interventionstudy.html" TargetMode="External"/><Relationship Id="rId111" Type="http://schemas.openxmlformats.org/officeDocument/2006/relationships/hyperlink" Target="http://www.ed-fi.org/docs/1.3/schema/ed-fi-core_address.html" TargetMode="External"/><Relationship Id="rId132" Type="http://schemas.openxmlformats.org/officeDocument/2006/relationships/hyperlink" Target="http://www.ed-fi.org/docs/1.3/schema/ed-fi-core_identificationdocument.html" TargetMode="External"/><Relationship Id="rId153" Type="http://schemas.openxmlformats.org/officeDocument/2006/relationships/hyperlink" Target="http://www.ed-fi.org/docs/1.3/schema/ed-fi-core_address.html" TargetMode="External"/><Relationship Id="rId174" Type="http://schemas.openxmlformats.org/officeDocument/2006/relationships/hyperlink" Target="http://www.ed-fi.org/docs/1.3/schema/ed-fi-core_person.html" TargetMode="External"/><Relationship Id="rId195" Type="http://schemas.openxmlformats.org/officeDocument/2006/relationships/hyperlink" Target="http://www.ed-fi.org/docs/1.3/schema/ed-fi-core_identificationdocument.html" TargetMode="External"/><Relationship Id="rId209" Type="http://schemas.openxmlformats.org/officeDocument/2006/relationships/hyperlink" Target="http://www.ed-fi.org/docs/1.3/schema/ed-fi-core_identificationdocument.html" TargetMode="External"/><Relationship Id="rId360" Type="http://schemas.openxmlformats.org/officeDocument/2006/relationships/hyperlink" Target="http://specification.sifassociation.org/Implementation/NA/3.2/html/Entity/EntityObjects_gDemographicsType.html" TargetMode="External"/><Relationship Id="rId381" Type="http://schemas.openxmlformats.org/officeDocument/2006/relationships/hyperlink" Target="http://specification.sifassociation.org/Implementation/NA/3.2/html/Entity/EntityObjects_gLearningStandardItemType.html" TargetMode="External"/><Relationship Id="rId416" Type="http://schemas.openxmlformats.org/officeDocument/2006/relationships/hyperlink" Target="http://specification.sifassociation.org/Implementation/NA/3.2/html/Entity/EntityObjects_gSchoolType.html" TargetMode="External"/><Relationship Id="rId220" Type="http://schemas.openxmlformats.org/officeDocument/2006/relationships/hyperlink" Target="http://www.ed-fi.org/docs/1.3/schema/ed-fi-core_studentindicator.html" TargetMode="External"/><Relationship Id="rId241" Type="http://schemas.openxmlformats.org/officeDocument/2006/relationships/hyperlink" Target="http://www.ed-fi.org/docs/1.3/schema/ed-fi-core_studentgradebookentry.html" TargetMode="External"/><Relationship Id="rId437" Type="http://schemas.openxmlformats.org/officeDocument/2006/relationships/hyperlink" Target="http://specification.sifassociation.org/Implementation/NA/3.2/html/Entity/EntityObjects_gStudentSchoolEnrollmentType.html" TargetMode="External"/><Relationship Id="rId458" Type="http://schemas.openxmlformats.org/officeDocument/2006/relationships/hyperlink" Target="http://specification.sifassociation.org/Implementation/NA/3.2/html/Entity/EntityObjects_schoolCalendarItemType.html" TargetMode="External"/><Relationship Id="rId479" Type="http://schemas.openxmlformats.org/officeDocument/2006/relationships/hyperlink" Target="http://specification.sifassociation.org/Implementation/NA/3.2/html/Report/ReportObjects_sreType.html" TargetMode="External"/><Relationship Id="rId15" Type="http://schemas.openxmlformats.org/officeDocument/2006/relationships/hyperlink" Target="http://www.ed-fi.org/docs/1.3/schema/ed-fi-core_assessmentfamily.html" TargetMode="External"/><Relationship Id="rId36" Type="http://schemas.openxmlformats.org/officeDocument/2006/relationships/hyperlink" Target="http://www.ed-fi.org/docs/1.3/schema/ed-fi-core_educationcontent.html" TargetMode="External"/><Relationship Id="rId57" Type="http://schemas.openxmlformats.org/officeDocument/2006/relationships/hyperlink" Target="http://www.ed-fi.org/docs/1.3/schema/ed-fi-core_educationorganizationnetworkassociation.html" TargetMode="External"/><Relationship Id="rId262" Type="http://schemas.openxmlformats.org/officeDocument/2006/relationships/hyperlink" Target="http://www.ed-fi.org/docs/1.3/schema/ed-fi-core_address.html" TargetMode="External"/><Relationship Id="rId283" Type="http://schemas.openxmlformats.org/officeDocument/2006/relationships/hyperlink" Target="http://www.ed-fi.org/docs/1.3/schema/ed-fi-core_teacher.html" TargetMode="External"/><Relationship Id="rId318" Type="http://schemas.openxmlformats.org/officeDocument/2006/relationships/hyperlink" Target="http://specification.sifassociation.org/Implementation/NA/3.2/html/Assessment/Assessment_assessmentRubricType.html" TargetMode="External"/><Relationship Id="rId339" Type="http://schemas.openxmlformats.org/officeDocument/2006/relationships/hyperlink" Target="http://specification.sifassociation.org/Implementation/NA/3.2/html/Entity/EntityObjects_disciplineIncidentType.html" TargetMode="External"/><Relationship Id="rId78" Type="http://schemas.openxmlformats.org/officeDocument/2006/relationships/hyperlink" Target="http://www.ed-fi.org/docs/1.3/schema/ed-fi-core_meetingtime.html" TargetMode="External"/><Relationship Id="rId99" Type="http://schemas.openxmlformats.org/officeDocument/2006/relationships/hyperlink" Target="http://www.ed-fi.org/docs/1.3/schema/ed-fi-core_learningobjective.html" TargetMode="External"/><Relationship Id="rId101" Type="http://schemas.openxmlformats.org/officeDocument/2006/relationships/hyperlink" Target="http://www.ed-fi.org/docs/1.3/schema/ed-fi-core_contentstandardtype.html" TargetMode="External"/><Relationship Id="rId122" Type="http://schemas.openxmlformats.org/officeDocument/2006/relationships/hyperlink" Target="http://www.ed-fi.org/docs/1.3/schema/ed-fi-core_openstaffposition.html" TargetMode="External"/><Relationship Id="rId143" Type="http://schemas.openxmlformats.org/officeDocument/2006/relationships/hyperlink" Target="http://www.ed-fi.org/docs/1.3/schema/ed-fi-core_reportcard.html" TargetMode="External"/><Relationship Id="rId164" Type="http://schemas.openxmlformats.org/officeDocument/2006/relationships/hyperlink" Target="http://www.ed-fi.org/docs/1.3/schema/ed-fi-core_identificationdocument.html" TargetMode="External"/><Relationship Id="rId185" Type="http://schemas.openxmlformats.org/officeDocument/2006/relationships/hyperlink" Target="http://www.ed-fi.org/docs/1.3/schema/ed-fi-core_address.html" TargetMode="External"/><Relationship Id="rId350" Type="http://schemas.openxmlformats.org/officeDocument/2006/relationships/hyperlink" Target="http://specification.sifassociation.org/Implementation/NA/3.2/html/Entity/EntityObjects_gBellPeriodType.html" TargetMode="External"/><Relationship Id="rId371" Type="http://schemas.openxmlformats.org/officeDocument/2006/relationships/hyperlink" Target="http://specification.sifassociation.org/Implementation/NA/3.2/html/Entity/EntityObjects_gIntervalEventType.html" TargetMode="External"/><Relationship Id="rId406" Type="http://schemas.openxmlformats.org/officeDocument/2006/relationships/hyperlink" Target="http://specification.sifassociation.org/Implementation/NA/3.2/html/Entity/EntityObjects_gPersonRoleAssociationType.html" TargetMode="External"/><Relationship Id="rId9" Type="http://schemas.openxmlformats.org/officeDocument/2006/relationships/hyperlink" Target="http://www.ed-fi.org/docs/1.3/schema/ed-fi-core_contentstandardtype.html" TargetMode="External"/><Relationship Id="rId210" Type="http://schemas.openxmlformats.org/officeDocument/2006/relationships/hyperlink" Target="http://www.ed-fi.org/docs/1.3/schema/ed-fi-core_identificationdocument.html" TargetMode="External"/><Relationship Id="rId392" Type="http://schemas.openxmlformats.org/officeDocument/2006/relationships/hyperlink" Target="http://specification.sifassociation.org/Implementation/NA/3.2/html/Entity/EntityObjects_gOrganizationOrganizationAssociationType.html" TargetMode="External"/><Relationship Id="rId427" Type="http://schemas.openxmlformats.org/officeDocument/2006/relationships/hyperlink" Target="http://specification.sifassociation.org/Implementation/NA/3.2/html/Entity/EntityObjects_gStreetType.html" TargetMode="External"/><Relationship Id="rId448" Type="http://schemas.openxmlformats.org/officeDocument/2006/relationships/hyperlink" Target="http://specification.sifassociation.org/Implementation/NA/3.2/html/Entity/EntityObjects_learningResourceType.html" TargetMode="External"/><Relationship Id="rId469" Type="http://schemas.openxmlformats.org/officeDocument/2006/relationships/hyperlink" Target="http://specification.sifassociation.org/Implementation/NA/3.2/html/Report/ReportObjects_sreType.html" TargetMode="External"/><Relationship Id="rId26" Type="http://schemas.openxmlformats.org/officeDocument/2006/relationships/hyperlink" Target="http://www.ed-fi.org/docs/1.3/schema/ed-fi-core_contractedstaff.html" TargetMode="External"/><Relationship Id="rId231" Type="http://schemas.openxmlformats.org/officeDocument/2006/relationships/hyperlink" Target="http://www.ed-fi.org/docs/1.3/schema/ed-fi-core_credits.html" TargetMode="External"/><Relationship Id="rId252" Type="http://schemas.openxmlformats.org/officeDocument/2006/relationships/hyperlink" Target="http://www.ed-fi.org/docs/1.3/schema/ed-fi-core_studentprogramassociation.html" TargetMode="External"/><Relationship Id="rId273" Type="http://schemas.openxmlformats.org/officeDocument/2006/relationships/hyperlink" Target="http://www.ed-fi.org/docs/1.3/schema/ed-fi-core_identificationdocument.html" TargetMode="External"/><Relationship Id="rId294" Type="http://schemas.openxmlformats.org/officeDocument/2006/relationships/hyperlink" Target="http://specification.sifassociation.org/Implementation/NA/3.2/html/Assessment/Assessment_assessmentItemType.html" TargetMode="External"/><Relationship Id="rId308" Type="http://schemas.openxmlformats.org/officeDocument/2006/relationships/hyperlink" Target="http://specification.sifassociation.org/Implementation/NA/3.2/html/Assessment/Assessment_assessmentResponseSetType.html" TargetMode="External"/><Relationship Id="rId329" Type="http://schemas.openxmlformats.org/officeDocument/2006/relationships/hyperlink" Target="http://specification.sifassociation.org/Implementation/NA/3.2/html/Assessment/Assessment_assessmentSectionType.html" TargetMode="External"/><Relationship Id="rId480" Type="http://schemas.openxmlformats.org/officeDocument/2006/relationships/hyperlink" Target="http://specification.sifassociation.org/Implementation/NA/3.2/html/Report/ReportObjects_sreType.html" TargetMode="External"/><Relationship Id="rId47" Type="http://schemas.openxmlformats.org/officeDocument/2006/relationships/hyperlink" Target="http://www.ed-fi.org/docs/1.3/schema/ed-fi-core_educationorganizationinterventionprescriptionassociation.html" TargetMode="External"/><Relationship Id="rId68" Type="http://schemas.openxmlformats.org/officeDocument/2006/relationships/hyperlink" Target="http://www.ed-fi.org/docs/1.3/schema/ed-fi-core_feederschoolassociation.html" TargetMode="External"/><Relationship Id="rId89" Type="http://schemas.openxmlformats.org/officeDocument/2006/relationships/hyperlink" Target="http://www.ed-fi.org/docs/1.3/schema/ed-fi-core_interventioneffectiveness.html" TargetMode="External"/><Relationship Id="rId112" Type="http://schemas.openxmlformats.org/officeDocument/2006/relationships/hyperlink" Target="http://www.ed-fi.org/docs/1.3/schema/ed-fi-core_address.html" TargetMode="External"/><Relationship Id="rId133" Type="http://schemas.openxmlformats.org/officeDocument/2006/relationships/hyperlink" Target="http://www.ed-fi.org/docs/1.3/schema/ed-fi-core_identificationdocument.html" TargetMode="External"/><Relationship Id="rId154" Type="http://schemas.openxmlformats.org/officeDocument/2006/relationships/hyperlink" Target="http://www.ed-fi.org/docs/1.3/schema/ed-fi-core_address.html" TargetMode="External"/><Relationship Id="rId175" Type="http://schemas.openxmlformats.org/officeDocument/2006/relationships/hyperlink" Target="http://www.ed-fi.org/docs/1.3/schema/ed-fi-core_studentcohortassociation.html" TargetMode="External"/><Relationship Id="rId340" Type="http://schemas.openxmlformats.org/officeDocument/2006/relationships/hyperlink" Target="http://specification.sifassociation.org/Implementation/NA/3.2/html/Entity/EntityObjects_disciplineIncidentType.html" TargetMode="External"/><Relationship Id="rId361" Type="http://schemas.openxmlformats.org/officeDocument/2006/relationships/hyperlink" Target="http://specification.sifassociation.org/Implementation/NA/3.2/html/Entity/EntityObjects_gDemographicsType.html" TargetMode="External"/><Relationship Id="rId196" Type="http://schemas.openxmlformats.org/officeDocument/2006/relationships/hyperlink" Target="http://www.ed-fi.org/docs/1.3/schema/ed-fi-core_identificationdocument.html" TargetMode="External"/><Relationship Id="rId200" Type="http://schemas.openxmlformats.org/officeDocument/2006/relationships/hyperlink" Target="http://www.ed-fi.org/docs/1.3/schema/ed-fi-core_identificationdocument.html" TargetMode="External"/><Relationship Id="rId382" Type="http://schemas.openxmlformats.org/officeDocument/2006/relationships/hyperlink" Target="http://specification.sifassociation.org/Implementation/NA/3.2/html/Entity/EntityObjects_gLearningStandardItemType.html" TargetMode="External"/><Relationship Id="rId417" Type="http://schemas.openxmlformats.org/officeDocument/2006/relationships/hyperlink" Target="http://specification.sifassociation.org/Implementation/NA/3.2/html/Entity/EntityObjects_gSchoolType.html" TargetMode="External"/><Relationship Id="rId438" Type="http://schemas.openxmlformats.org/officeDocument/2006/relationships/hyperlink" Target="http://specification.sifassociation.org/Implementation/NA/3.2/html/Entity/EntityObjects_gStudentSchoolEnrollmentType.html" TargetMode="External"/><Relationship Id="rId459" Type="http://schemas.openxmlformats.org/officeDocument/2006/relationships/hyperlink" Target="http://specification.sifassociation.org/Implementation/NA/3.2/html/Entity/EntityObjects_schoolCalendarItemType.html" TargetMode="External"/><Relationship Id="rId16" Type="http://schemas.openxmlformats.org/officeDocument/2006/relationships/hyperlink" Target="http://www.ed-fi.org/docs/1.3/schema/ed-fi-core_assessmentfamily.html" TargetMode="External"/><Relationship Id="rId221" Type="http://schemas.openxmlformats.org/officeDocument/2006/relationships/hyperlink" Target="http://www.ed-fi.org/docs/1.3/schema/ed-fi-core_achievement.html" TargetMode="External"/><Relationship Id="rId242" Type="http://schemas.openxmlformats.org/officeDocument/2006/relationships/hyperlink" Target="http://www.ed-fi.org/docs/1.3/schema/ed-fi-core_interventioneffectiveness.html" TargetMode="External"/><Relationship Id="rId263" Type="http://schemas.openxmlformats.org/officeDocument/2006/relationships/hyperlink" Target="http://www.ed-fi.org/docs/1.3/schema/ed-fi-core_address.html" TargetMode="External"/><Relationship Id="rId284" Type="http://schemas.openxmlformats.org/officeDocument/2006/relationships/hyperlink" Target="http://www.ed-fi.org/docs/1.3/schema/ed-fi-core_staff.html" TargetMode="External"/><Relationship Id="rId319" Type="http://schemas.openxmlformats.org/officeDocument/2006/relationships/hyperlink" Target="http://specification.sifassociation.org/Implementation/NA/3.2/html/Assessment/Assessment_assessmentRubricType.html" TargetMode="External"/><Relationship Id="rId470" Type="http://schemas.openxmlformats.org/officeDocument/2006/relationships/hyperlink" Target="http://specification.sifassociation.org/Implementation/NA/3.2/html/Report/ReportObjects_sreType.html" TargetMode="External"/><Relationship Id="rId37" Type="http://schemas.openxmlformats.org/officeDocument/2006/relationships/hyperlink" Target="http://www.ed-fi.org/docs/1.3/schema/ed-fi-core_educationcontent.html" TargetMode="External"/><Relationship Id="rId58" Type="http://schemas.openxmlformats.org/officeDocument/2006/relationships/hyperlink" Target="http://www.ed-fi.org/docs/1.3/schema/ed-fi-core_accountabilityrating.html" TargetMode="External"/><Relationship Id="rId79" Type="http://schemas.openxmlformats.org/officeDocument/2006/relationships/hyperlink" Target="http://www.ed-fi.org/docs/1.3/schema/ed-fi-core_interventionprescription.html" TargetMode="External"/><Relationship Id="rId102" Type="http://schemas.openxmlformats.org/officeDocument/2006/relationships/hyperlink" Target="http://www.ed-fi.org/docs/1.3/schema/ed-fi-core_contentstandardtype.html" TargetMode="External"/><Relationship Id="rId123" Type="http://schemas.openxmlformats.org/officeDocument/2006/relationships/hyperlink" Target="http://www.ed-fi.org/docs/1.3/schema/ed-fi-core_openstaffposition.html" TargetMode="External"/><Relationship Id="rId144" Type="http://schemas.openxmlformats.org/officeDocument/2006/relationships/hyperlink" Target="http://www.ed-fi.org/docs/1.3/schema/ed-fi-core_restraintevent.html" TargetMode="External"/><Relationship Id="rId330" Type="http://schemas.openxmlformats.org/officeDocument/2006/relationships/hyperlink" Target="http://specification.sifassociation.org/Implementation/NA/3.2/html/Assessment/Assessment_assessmentSectionType.html" TargetMode="External"/><Relationship Id="rId90" Type="http://schemas.openxmlformats.org/officeDocument/2006/relationships/hyperlink" Target="http://www.ed-fi.org/docs/1.3/schema/ed-fi-core_interventioneffectiveness.html" TargetMode="External"/><Relationship Id="rId165" Type="http://schemas.openxmlformats.org/officeDocument/2006/relationships/hyperlink" Target="http://www.ed-fi.org/docs/1.3/schema/ed-fi-core_identificationdocument.html" TargetMode="External"/><Relationship Id="rId186" Type="http://schemas.openxmlformats.org/officeDocument/2006/relationships/hyperlink" Target="http://www.ed-fi.org/docs/1.3/schema/ed-fi-core_address.html" TargetMode="External"/><Relationship Id="rId351" Type="http://schemas.openxmlformats.org/officeDocument/2006/relationships/hyperlink" Target="http://specification.sifassociation.org/Implementation/NA/3.2/html/Entity/EntityObjects_gBellPeriodType.html" TargetMode="External"/><Relationship Id="rId372" Type="http://schemas.openxmlformats.org/officeDocument/2006/relationships/hyperlink" Target="http://specification.sifassociation.org/Implementation/NA/3.2/html/Entity/EntityObjects_gLanguageDescriptionType.html" TargetMode="External"/><Relationship Id="rId393" Type="http://schemas.openxmlformats.org/officeDocument/2006/relationships/hyperlink" Target="http://specification.sifassociation.org/Implementation/NA/3.2/html/Entity/EntityObjects_gOrganizationSubtypeType.html" TargetMode="External"/><Relationship Id="rId407" Type="http://schemas.openxmlformats.org/officeDocument/2006/relationships/hyperlink" Target="http://specification.sifassociation.org/Implementation/NA/3.2/html/Entity/EntityObjects_gPersonRoleAssociationType.html" TargetMode="External"/><Relationship Id="rId428" Type="http://schemas.openxmlformats.org/officeDocument/2006/relationships/hyperlink" Target="http://specification.sifassociation.org/Implementation/NA/3.2/html/Entity/EntityObjects_gStreetType.html" TargetMode="External"/><Relationship Id="rId449" Type="http://schemas.openxmlformats.org/officeDocument/2006/relationships/hyperlink" Target="http://specification.sifassociation.org/Implementation/NA/3.2/html/Entity/EntityObjects_learningResourceType.html" TargetMode="External"/><Relationship Id="rId211" Type="http://schemas.openxmlformats.org/officeDocument/2006/relationships/hyperlink" Target="http://www.ed-fi.org/docs/1.3/schema/ed-fi-core_identificationdocument.html" TargetMode="External"/><Relationship Id="rId232" Type="http://schemas.openxmlformats.org/officeDocument/2006/relationships/hyperlink" Target="http://www.ed-fi.org/docs/1.3/schema/ed-fi-core_studentacademicrecord.html" TargetMode="External"/><Relationship Id="rId253" Type="http://schemas.openxmlformats.org/officeDocument/2006/relationships/hyperlink" Target="http://www.ed-fi.org/docs/1.3/schema/ed-fi-core_studentprogramassociation.html" TargetMode="External"/><Relationship Id="rId274" Type="http://schemas.openxmlformats.org/officeDocument/2006/relationships/hyperlink" Target="http://www.ed-fi.org/docs/1.3/schema/ed-fi-core_credential.html" TargetMode="External"/><Relationship Id="rId295" Type="http://schemas.openxmlformats.org/officeDocument/2006/relationships/hyperlink" Target="http://specification.sifassociation.org/Implementation/NA/3.2/html/Assessment/Assessment_assessmentItemType.html" TargetMode="External"/><Relationship Id="rId309" Type="http://schemas.openxmlformats.org/officeDocument/2006/relationships/hyperlink" Target="http://specification.sifassociation.org/Implementation/NA/3.2/html/Assessment/Assessment_assessmentResponseSetType.html" TargetMode="External"/><Relationship Id="rId460" Type="http://schemas.openxmlformats.org/officeDocument/2006/relationships/hyperlink" Target="http://specification.sifassociation.org/Implementation/NA/3.2/html/Entity/EntityObjects_schoolCalendarItemType.html" TargetMode="External"/><Relationship Id="rId481" Type="http://schemas.openxmlformats.org/officeDocument/2006/relationships/hyperlink" Target="http://specification.sifassociation.org/Implementation/NA/3.2/html/Report/ReportObjects_sreType.html" TargetMode="External"/><Relationship Id="rId27" Type="http://schemas.openxmlformats.org/officeDocument/2006/relationships/hyperlink" Target="http://www.ed-fi.org/docs/1.3/schema/ed-fi-core_contractedstaff.html" TargetMode="External"/><Relationship Id="rId48" Type="http://schemas.openxmlformats.org/officeDocument/2006/relationships/hyperlink" Target="http://www.ed-fi.org/docs/1.3/schema/ed-fi-core_educationorganizationinterventionprescriptionassociation.html" TargetMode="External"/><Relationship Id="rId69" Type="http://schemas.openxmlformats.org/officeDocument/2006/relationships/hyperlink" Target="http://www.ed-fi.org/docs/1.3/schema/ed-fi-core_gradebookentry.html" TargetMode="External"/><Relationship Id="rId113" Type="http://schemas.openxmlformats.org/officeDocument/2006/relationships/hyperlink" Target="http://www.ed-fi.org/docs/1.3/schema/ed-fi-core_address.html" TargetMode="External"/><Relationship Id="rId134" Type="http://schemas.openxmlformats.org/officeDocument/2006/relationships/hyperlink" Target="http://www.ed-fi.org/docs/1.3/schema/ed-fi-core_identificationdocument.html" TargetMode="External"/><Relationship Id="rId320" Type="http://schemas.openxmlformats.org/officeDocument/2006/relationships/hyperlink" Target="http://specification.sifassociation.org/Implementation/NA/3.2/html/Assessment/Assessment_assessmentScoreSetType.html" TargetMode="External"/><Relationship Id="rId80" Type="http://schemas.openxmlformats.org/officeDocument/2006/relationships/hyperlink" Target="http://www.ed-fi.org/docs/1.3/schema/ed-fi-core_interventionprescription.html" TargetMode="External"/><Relationship Id="rId155" Type="http://schemas.openxmlformats.org/officeDocument/2006/relationships/hyperlink" Target="http://www.ed-fi.org/docs/1.3/schema/ed-fi-core_address.html" TargetMode="External"/><Relationship Id="rId176" Type="http://schemas.openxmlformats.org/officeDocument/2006/relationships/hyperlink" Target="http://www.ed-fi.org/docs/1.3/schema/ed-fi-core_staffcohortassociation.html" TargetMode="External"/><Relationship Id="rId197" Type="http://schemas.openxmlformats.org/officeDocument/2006/relationships/hyperlink" Target="http://www.ed-fi.org/docs/1.3/schema/ed-fi-core_identificationdocument.html" TargetMode="External"/><Relationship Id="rId341" Type="http://schemas.openxmlformats.org/officeDocument/2006/relationships/hyperlink" Target="http://specification.sifassociation.org/Implementation/NA/3.2/html/Entity/EntityObjects_disciplineIncidentType.html" TargetMode="External"/><Relationship Id="rId362" Type="http://schemas.openxmlformats.org/officeDocument/2006/relationships/hyperlink" Target="http://specification.sifassociation.org/Implementation/NA/3.2/html/Entity/EntityObjects_gDemographicsType.html" TargetMode="External"/><Relationship Id="rId383" Type="http://schemas.openxmlformats.org/officeDocument/2006/relationships/hyperlink" Target="http://specification.sifassociation.org/Implementation/NA/3.2/html/Entity/EntityObjects_gLearningStandardItemType.html" TargetMode="External"/><Relationship Id="rId418" Type="http://schemas.openxmlformats.org/officeDocument/2006/relationships/hyperlink" Target="http://specification.sifassociation.org/Implementation/NA/3.2/html/Entity/EntityObjects_gSchoolType.html" TargetMode="External"/><Relationship Id="rId439" Type="http://schemas.openxmlformats.org/officeDocument/2006/relationships/hyperlink" Target="http://specification.sifassociation.org/Implementation/NA/3.2/html/Entity/EntityObjects_gStudentType.html" TargetMode="External"/><Relationship Id="rId201" Type="http://schemas.openxmlformats.org/officeDocument/2006/relationships/hyperlink" Target="http://www.ed-fi.org/docs/1.3/schema/ed-fi-core_identificationdocument.html" TargetMode="External"/><Relationship Id="rId222" Type="http://schemas.openxmlformats.org/officeDocument/2006/relationships/hyperlink" Target="http://www.ed-fi.org/docs/1.3/schema/ed-fi-core_classranking.html" TargetMode="External"/><Relationship Id="rId243" Type="http://schemas.openxmlformats.org/officeDocument/2006/relationships/hyperlink" Target="http://www.ed-fi.org/docs/1.3/schema/ed-fi-core_interventioneffectiveness.html" TargetMode="External"/><Relationship Id="rId264" Type="http://schemas.openxmlformats.org/officeDocument/2006/relationships/hyperlink" Target="http://www.ed-fi.org/docs/1.3/schema/ed-fi-core_identificationdocument.html" TargetMode="External"/><Relationship Id="rId285" Type="http://schemas.openxmlformats.org/officeDocument/2006/relationships/hyperlink" Target="http://www.ed-fi.org/docs/1.3/schema/ed-fi-core_teacherschoolassociation.html" TargetMode="External"/><Relationship Id="rId450" Type="http://schemas.openxmlformats.org/officeDocument/2006/relationships/hyperlink" Target="http://specification.sifassociation.org/Implementation/NA/3.2/html/Entity/EntityObjects_learningResourceType.html" TargetMode="External"/><Relationship Id="rId471" Type="http://schemas.openxmlformats.org/officeDocument/2006/relationships/hyperlink" Target="http://specification.sifassociation.org/Implementation/NA/3.2/html/Report/ReportObjects_sreType.html" TargetMode="External"/><Relationship Id="rId17" Type="http://schemas.openxmlformats.org/officeDocument/2006/relationships/hyperlink" Target="http://www.ed-fi.org/docs/1.3/schema/ed-fi-core_assessmentitem.html" TargetMode="External"/><Relationship Id="rId38" Type="http://schemas.openxmlformats.org/officeDocument/2006/relationships/hyperlink" Target="http://www.ed-fi.org/docs/1.3/schema/ed-fi-core_educationcontent.html" TargetMode="External"/><Relationship Id="rId59" Type="http://schemas.openxmlformats.org/officeDocument/2006/relationships/hyperlink" Target="http://www.ed-fi.org/docs/1.3/schema/ed-fi-core_accountabilityrating.html" TargetMode="External"/><Relationship Id="rId103" Type="http://schemas.openxmlformats.org/officeDocument/2006/relationships/hyperlink" Target="http://www.ed-fi.org/docs/1.3/schema/ed-fi-core_learningstandard.html" TargetMode="External"/><Relationship Id="rId124" Type="http://schemas.openxmlformats.org/officeDocument/2006/relationships/hyperlink" Target="http://www.ed-fi.org/docs/1.3/schema/ed-fi-core_openstaffposition.html" TargetMode="External"/><Relationship Id="rId310" Type="http://schemas.openxmlformats.org/officeDocument/2006/relationships/hyperlink" Target="http://specification.sifassociation.org/Implementation/NA/3.2/html/Assessment/Assessment_assessmentResponseSetType.html" TargetMode="External"/><Relationship Id="rId70" Type="http://schemas.openxmlformats.org/officeDocument/2006/relationships/hyperlink" Target="http://www.ed-fi.org/docs/1.3/schema/ed-fi-core_gradingperiod.html" TargetMode="External"/><Relationship Id="rId91" Type="http://schemas.openxmlformats.org/officeDocument/2006/relationships/hyperlink" Target="http://www.ed-fi.org/docs/1.3/schema/ed-fi-core_interventioneffectiveness.html" TargetMode="External"/><Relationship Id="rId145" Type="http://schemas.openxmlformats.org/officeDocument/2006/relationships/hyperlink" Target="http://www.ed-fi.org/docs/1.3/schema/ed-fi-core_restrainteventreasonstype.html" TargetMode="External"/><Relationship Id="rId166" Type="http://schemas.openxmlformats.org/officeDocument/2006/relationships/hyperlink" Target="http://www.ed-fi.org/docs/1.3/schema/ed-fi-core_credential.html" TargetMode="External"/><Relationship Id="rId187" Type="http://schemas.openxmlformats.org/officeDocument/2006/relationships/hyperlink" Target="http://www.ed-fi.org/docs/1.3/schema/ed-fi-core_address.html" TargetMode="External"/><Relationship Id="rId331" Type="http://schemas.openxmlformats.org/officeDocument/2006/relationships/hyperlink" Target="http://specification.sifassociation.org/Implementation/NA/3.2/html/Assessment/Assessment_assessmentSessionType.html" TargetMode="External"/><Relationship Id="rId352" Type="http://schemas.openxmlformats.org/officeDocument/2006/relationships/hyperlink" Target="http://specification.sifassociation.org/Implementation/NA/3.2/html/Entity/EntityObjects_gContactPersonAssociationType.html" TargetMode="External"/><Relationship Id="rId373" Type="http://schemas.openxmlformats.org/officeDocument/2006/relationships/hyperlink" Target="http://specification.sifassociation.org/Implementation/NA/3.2/html/Entity/EntityObjects_gLearningStandardDocumentType.html" TargetMode="External"/><Relationship Id="rId394" Type="http://schemas.openxmlformats.org/officeDocument/2006/relationships/hyperlink" Target="http://specification.sifassociation.org/Implementation/NA/3.2/html/Entity/EntityObjects_gOrganizationSubtypeType.html" TargetMode="External"/><Relationship Id="rId408" Type="http://schemas.openxmlformats.org/officeDocument/2006/relationships/hyperlink" Target="http://specification.sifassociation.org/Implementation/NA/3.2/html/Entity/EntityObjects_gPersonType.html" TargetMode="External"/><Relationship Id="rId429" Type="http://schemas.openxmlformats.org/officeDocument/2006/relationships/hyperlink" Target="http://specification.sifassociation.org/Implementation/NA/3.2/html/Entity/EntityObjects_gStreetType.html" TargetMode="External"/><Relationship Id="rId1" Type="http://schemas.openxmlformats.org/officeDocument/2006/relationships/hyperlink" Target="http://www.ed-fi.org/docs/1.3/schema/ed-fi-core_academicweek.html" TargetMode="External"/><Relationship Id="rId212" Type="http://schemas.openxmlformats.org/officeDocument/2006/relationships/hyperlink" Target="http://www.ed-fi.org/docs/1.3/schema/ed-fi-core_identificationdocument.html" TargetMode="External"/><Relationship Id="rId233" Type="http://schemas.openxmlformats.org/officeDocument/2006/relationships/hyperlink" Target="http://www.ed-fi.org/docs/1.3/schema/ed-fi-core_studentcompetency.html" TargetMode="External"/><Relationship Id="rId254" Type="http://schemas.openxmlformats.org/officeDocument/2006/relationships/hyperlink" Target="http://www.ed-fi.org/docs/1.3/schema/ed-fi-core_servicedescriptorreferencetype.html" TargetMode="External"/><Relationship Id="rId440" Type="http://schemas.openxmlformats.org/officeDocument/2006/relationships/hyperlink" Target="http://specification.sifassociation.org/Implementation/NA/3.2/html/Entity/EntityObjects_gStudentType.html" TargetMode="External"/><Relationship Id="rId28" Type="http://schemas.openxmlformats.org/officeDocument/2006/relationships/hyperlink" Target="http://www.ed-fi.org/docs/1.3/schema/ed-fi-core_course.html" TargetMode="External"/><Relationship Id="rId49" Type="http://schemas.openxmlformats.org/officeDocument/2006/relationships/hyperlink" Target="http://www.ed-fi.org/docs/1.3/schema/ed-fi-core_accountabilityrating.html" TargetMode="External"/><Relationship Id="rId114" Type="http://schemas.openxmlformats.org/officeDocument/2006/relationships/hyperlink" Target="http://www.ed-fi.org/docs/1.3/schema/ed-fi-core_localeducationagencyfederalfunds.html" TargetMode="External"/><Relationship Id="rId275" Type="http://schemas.openxmlformats.org/officeDocument/2006/relationships/hyperlink" Target="http://www.ed-fi.org/docs/1.3/schema/ed-fi-core_credential.html" TargetMode="External"/><Relationship Id="rId296" Type="http://schemas.openxmlformats.org/officeDocument/2006/relationships/hyperlink" Target="http://specification.sifassociation.org/Implementation/NA/3.2/html/Assessment/Assessment_assessmentItemType.html" TargetMode="External"/><Relationship Id="rId300" Type="http://schemas.openxmlformats.org/officeDocument/2006/relationships/hyperlink" Target="http://specification.sifassociation.org/Implementation/NA/3.2/html/Assessment/Assessment_assessmentRegistrationType.html" TargetMode="External"/><Relationship Id="rId461" Type="http://schemas.openxmlformats.org/officeDocument/2006/relationships/hyperlink" Target="http://specification.sifassociation.org/Implementation/NA/3.2/html/Entity/EntityObjects_schoolCalendarItemType.html" TargetMode="External"/><Relationship Id="rId482" Type="http://schemas.openxmlformats.org/officeDocument/2006/relationships/hyperlink" Target="http://specification.sifassociation.org/Implementation/NA/3.2/html/Report/ReportObjects_sreType.html" TargetMode="External"/><Relationship Id="rId60" Type="http://schemas.openxmlformats.org/officeDocument/2006/relationships/hyperlink" Target="http://www.ed-fi.org/docs/1.3/schema/ed-fi-core_accountabilityrating.html" TargetMode="External"/><Relationship Id="rId81" Type="http://schemas.openxmlformats.org/officeDocument/2006/relationships/hyperlink" Target="http://www.ed-fi.org/docs/1.3/schema/ed-fi-core_interventionprescription.html" TargetMode="External"/><Relationship Id="rId135" Type="http://schemas.openxmlformats.org/officeDocument/2006/relationships/hyperlink" Target="http://www.ed-fi.org/docs/1.3/schema/ed-fi-core_identificationdocument.html" TargetMode="External"/><Relationship Id="rId156" Type="http://schemas.openxmlformats.org/officeDocument/2006/relationships/hyperlink" Target="http://www.ed-fi.org/docs/1.3/schema/ed-fi-core_identificationdocument.html" TargetMode="External"/><Relationship Id="rId177" Type="http://schemas.openxmlformats.org/officeDocument/2006/relationships/hyperlink" Target="http://www.ed-fi.org/docs/1.3/schema/ed-fi-core_staffcohortassociation.html" TargetMode="External"/><Relationship Id="rId198" Type="http://schemas.openxmlformats.org/officeDocument/2006/relationships/hyperlink" Target="http://www.ed-fi.org/docs/1.3/schema/ed-fi-core_identificationdocument.html" TargetMode="External"/><Relationship Id="rId321" Type="http://schemas.openxmlformats.org/officeDocument/2006/relationships/hyperlink" Target="http://specification.sifassociation.org/Implementation/NA/3.2/html/Assessment/Assessment_assessmentScoreSetType.html" TargetMode="External"/><Relationship Id="rId342" Type="http://schemas.openxmlformats.org/officeDocument/2006/relationships/hyperlink" Target="http://specification.sifassociation.org/Implementation/NA/3.2/html/Entity/EntityObjects_disciplineIncidentType.html" TargetMode="External"/><Relationship Id="rId363" Type="http://schemas.openxmlformats.org/officeDocument/2006/relationships/hyperlink" Target="http://specification.sifassociation.org/Implementation/NA/3.2/html/Entity/EntityObjects_gDemographicsType.html" TargetMode="External"/><Relationship Id="rId384" Type="http://schemas.openxmlformats.org/officeDocument/2006/relationships/hyperlink" Target="http://specification.sifassociation.org/Implementation/NA/3.2/html/Entity/EntityObjects_gLearningStandardItemType.html" TargetMode="External"/><Relationship Id="rId419" Type="http://schemas.openxmlformats.org/officeDocument/2006/relationships/hyperlink" Target="http://specification.sifassociation.org/Implementation/NA/3.2/html/Entity/EntityObjects_gSectionType.html" TargetMode="External"/><Relationship Id="rId202" Type="http://schemas.openxmlformats.org/officeDocument/2006/relationships/hyperlink" Target="http://www.ed-fi.org/docs/1.3/schema/ed-fi-core_identificationdocument.html" TargetMode="External"/><Relationship Id="rId223" Type="http://schemas.openxmlformats.org/officeDocument/2006/relationships/hyperlink" Target="http://www.ed-fi.org/docs/1.3/schema/ed-fi-core_achievement.html" TargetMode="External"/><Relationship Id="rId244" Type="http://schemas.openxmlformats.org/officeDocument/2006/relationships/hyperlink" Target="http://www.ed-fi.org/docs/1.3/schema/ed-fi-core_interventioneffectiveness.html" TargetMode="External"/><Relationship Id="rId430" Type="http://schemas.openxmlformats.org/officeDocument/2006/relationships/hyperlink" Target="http://specification.sifassociation.org/Implementation/NA/3.2/html/Entity/EntityObjects_gStreetType.html" TargetMode="External"/><Relationship Id="rId18" Type="http://schemas.openxmlformats.org/officeDocument/2006/relationships/hyperlink" Target="http://www.ed-fi.org/docs/1.3/schema/ed-fi-core_assessmentitem.html" TargetMode="External"/><Relationship Id="rId39" Type="http://schemas.openxmlformats.org/officeDocument/2006/relationships/hyperlink" Target="http://www.ed-fi.org/docs/1.3/schema/ed-fi-core_accountabilityrating.html" TargetMode="External"/><Relationship Id="rId265" Type="http://schemas.openxmlformats.org/officeDocument/2006/relationships/hyperlink" Target="http://www.ed-fi.org/docs/1.3/schema/ed-fi-core_identificationdocument.html" TargetMode="External"/><Relationship Id="rId286" Type="http://schemas.openxmlformats.org/officeDocument/2006/relationships/hyperlink" Target="http://www.ed-fi.org/docs/1.3/schema/ed-fi-core_teacherschoolassociation.html" TargetMode="External"/><Relationship Id="rId451" Type="http://schemas.openxmlformats.org/officeDocument/2006/relationships/hyperlink" Target="http://specification.sifassociation.org/Implementation/NA/3.2/html/Entity/EntityObjects_learningResourceType.html" TargetMode="External"/><Relationship Id="rId472" Type="http://schemas.openxmlformats.org/officeDocument/2006/relationships/hyperlink" Target="http://specification.sifassociation.org/Implementation/NA/3.2/html/Report/ReportObjects_sreType.html" TargetMode="External"/><Relationship Id="rId50" Type="http://schemas.openxmlformats.org/officeDocument/2006/relationships/hyperlink" Target="http://www.ed-fi.org/docs/1.3/schema/ed-fi-core_accountabilityrating.html" TargetMode="External"/><Relationship Id="rId104" Type="http://schemas.openxmlformats.org/officeDocument/2006/relationships/hyperlink" Target="http://www.ed-fi.org/docs/1.3/schema/ed-fi-core_learningstandard.html" TargetMode="External"/><Relationship Id="rId125" Type="http://schemas.openxmlformats.org/officeDocument/2006/relationships/hyperlink" Target="http://www.ed-fi.org/docs/1.3/schema/ed-fi-core_openstaffposition.html" TargetMode="External"/><Relationship Id="rId146" Type="http://schemas.openxmlformats.org/officeDocument/2006/relationships/hyperlink" Target="http://www.ed-fi.org/docs/1.3/schema/ed-fi-core_accountabilityrating.html" TargetMode="External"/><Relationship Id="rId167" Type="http://schemas.openxmlformats.org/officeDocument/2006/relationships/hyperlink" Target="http://www.ed-fi.org/docs/1.3/schema/ed-fi-core_credential.html" TargetMode="External"/><Relationship Id="rId188" Type="http://schemas.openxmlformats.org/officeDocument/2006/relationships/hyperlink" Target="http://www.ed-fi.org/docs/1.3/schema/ed-fi-core_stateeducationagencyfederalfunds.html" TargetMode="External"/><Relationship Id="rId311" Type="http://schemas.openxmlformats.org/officeDocument/2006/relationships/hyperlink" Target="http://specification.sifassociation.org/Implementation/NA/3.2/html/Assessment/Assessment_assessmentResponseSetType.html" TargetMode="External"/><Relationship Id="rId332" Type="http://schemas.openxmlformats.org/officeDocument/2006/relationships/hyperlink" Target="http://specification.sifassociation.org/Implementation/NA/3.2/html/Assessment/Assessment_assessmentSubTestType.html" TargetMode="External"/><Relationship Id="rId353" Type="http://schemas.openxmlformats.org/officeDocument/2006/relationships/hyperlink" Target="http://specification.sifassociation.org/Implementation/NA/3.2/html/Entity/EntityObjects_gContactPersonType.html" TargetMode="External"/><Relationship Id="rId374" Type="http://schemas.openxmlformats.org/officeDocument/2006/relationships/hyperlink" Target="http://specification.sifassociation.org/Implementation/NA/3.2/html/Entity/EntityObjects_gLearningStandardDocumentType.html" TargetMode="External"/><Relationship Id="rId395" Type="http://schemas.openxmlformats.org/officeDocument/2006/relationships/hyperlink" Target="http://specification.sifassociation.org/Implementation/NA/3.2/html/Entity/EntityObjects_gOrganizationUserType.html" TargetMode="External"/><Relationship Id="rId409" Type="http://schemas.openxmlformats.org/officeDocument/2006/relationships/hyperlink" Target="http://specification.sifassociation.org/Implementation/NA/3.2/html/Entity/EntityObjects_gPersonType.html" TargetMode="External"/><Relationship Id="rId71" Type="http://schemas.openxmlformats.org/officeDocument/2006/relationships/hyperlink" Target="http://www.ed-fi.org/docs/1.3/schema/ed-fi-core_gradingperiod.html" TargetMode="External"/><Relationship Id="rId92" Type="http://schemas.openxmlformats.org/officeDocument/2006/relationships/hyperlink" Target="http://www.ed-fi.org/docs/1.3/schema/ed-fi-core_interventioneffectiveness.html" TargetMode="External"/><Relationship Id="rId213" Type="http://schemas.openxmlformats.org/officeDocument/2006/relationships/hyperlink" Target="http://www.ed-fi.org/docs/1.3/schema/ed-fi-core_identificationdocument.html" TargetMode="External"/><Relationship Id="rId234" Type="http://schemas.openxmlformats.org/officeDocument/2006/relationships/hyperlink" Target="http://www.ed-fi.org/docs/1.3/schema/ed-fi-core_studentcompetencyobjective.html" TargetMode="External"/><Relationship Id="rId420" Type="http://schemas.openxmlformats.org/officeDocument/2006/relationships/hyperlink" Target="http://specification.sifassociation.org/Implementation/NA/3.2/html/Entity/EntityObjects_gStaffPersonAssignmentType.html" TargetMode="External"/><Relationship Id="rId2" Type="http://schemas.openxmlformats.org/officeDocument/2006/relationships/hyperlink" Target="http://www.ed-fi.org/docs/1.3/schema/ed-fi-core_academicweek.html" TargetMode="External"/><Relationship Id="rId29" Type="http://schemas.openxmlformats.org/officeDocument/2006/relationships/hyperlink" Target="http://www.ed-fi.org/docs/1.3/schema/ed-fi-core_course.html" TargetMode="External"/><Relationship Id="rId255" Type="http://schemas.openxmlformats.org/officeDocument/2006/relationships/hyperlink" Target="http://www.ed-fi.org/docs/1.3/schema/ed-fi-core_studentschoolassociation.html" TargetMode="External"/><Relationship Id="rId276" Type="http://schemas.openxmlformats.org/officeDocument/2006/relationships/hyperlink" Target="http://www.ed-fi.org/docs/1.3/schema/ed-fi-core_staff.html" TargetMode="External"/><Relationship Id="rId297" Type="http://schemas.openxmlformats.org/officeDocument/2006/relationships/hyperlink" Target="http://specification.sifassociation.org/Implementation/NA/3.2/html/Assessment/Assessment_assessmentItemType.html" TargetMode="External"/><Relationship Id="rId441" Type="http://schemas.openxmlformats.org/officeDocument/2006/relationships/hyperlink" Target="http://specification.sifassociation.org/Implementation/NA/3.2/html/Entity/EntityObjects_gStudentType.html" TargetMode="External"/><Relationship Id="rId462" Type="http://schemas.openxmlformats.org/officeDocument/2006/relationships/hyperlink" Target="http://specification.sifassociation.org/Implementation/NA/3.2/html/Entity/EntityObjects_schoolCalendarItemType.html" TargetMode="External"/><Relationship Id="rId483" Type="http://schemas.openxmlformats.org/officeDocument/2006/relationships/hyperlink" Target="http://specification.sifassociation.org/Implementation/NA/3.2/html/Report/ReportObjects_sreType.html" TargetMode="External"/><Relationship Id="rId40" Type="http://schemas.openxmlformats.org/officeDocument/2006/relationships/hyperlink" Target="http://www.ed-fi.org/docs/1.3/schema/ed-fi-core_accountabilityrating.html" TargetMode="External"/><Relationship Id="rId115" Type="http://schemas.openxmlformats.org/officeDocument/2006/relationships/hyperlink" Target="http://www.ed-fi.org/docs/1.3/schema/ed-fi-core_location.html" TargetMode="External"/><Relationship Id="rId136" Type="http://schemas.openxmlformats.org/officeDocument/2006/relationships/hyperlink" Target="http://www.ed-fi.org/docs/1.3/schema/ed-fi-core_parent.html" TargetMode="External"/><Relationship Id="rId157" Type="http://schemas.openxmlformats.org/officeDocument/2006/relationships/hyperlink" Target="http://www.ed-fi.org/docs/1.3/schema/ed-fi-core_identificationdocument.html" TargetMode="External"/><Relationship Id="rId178" Type="http://schemas.openxmlformats.org/officeDocument/2006/relationships/hyperlink" Target="http://www.ed-fi.org/docs/1.3/schema/ed-fi-core_staffeducationorgemploymentassociation.html" TargetMode="External"/><Relationship Id="rId301" Type="http://schemas.openxmlformats.org/officeDocument/2006/relationships/hyperlink" Target="http://specification.sifassociation.org/Implementation/NA/3.2/html/Assessment/Assessment_assessmentRegistrationType.html" TargetMode="External"/><Relationship Id="rId322" Type="http://schemas.openxmlformats.org/officeDocument/2006/relationships/hyperlink" Target="http://specification.sifassociation.org/Implementation/NA/3.2/html/Assessment/Assessment_assessmentScoreSetType.html" TargetMode="External"/><Relationship Id="rId343" Type="http://schemas.openxmlformats.org/officeDocument/2006/relationships/hyperlink" Target="http://specification.sifassociation.org/Implementation/NA/3.2/html/Entity/EntityObjects_gAddressType.html" TargetMode="External"/><Relationship Id="rId364" Type="http://schemas.openxmlformats.org/officeDocument/2006/relationships/hyperlink" Target="http://specification.sifassociation.org/Implementation/NA/3.2/html/Entity/EntityObjects_gDemographicsType.html" TargetMode="External"/><Relationship Id="rId61" Type="http://schemas.openxmlformats.org/officeDocument/2006/relationships/hyperlink" Target="http://www.ed-fi.org/docs/1.3/schema/ed-fi-core_accountabilityrating.html" TargetMode="External"/><Relationship Id="rId82" Type="http://schemas.openxmlformats.org/officeDocument/2006/relationships/hyperlink" Target="http://www.ed-fi.org/docs/1.3/schema/ed-fi-core_interventionprescription.html" TargetMode="External"/><Relationship Id="rId199" Type="http://schemas.openxmlformats.org/officeDocument/2006/relationships/hyperlink" Target="http://www.ed-fi.org/docs/1.3/schema/ed-fi-core_identificationdocument.html" TargetMode="External"/><Relationship Id="rId203" Type="http://schemas.openxmlformats.org/officeDocument/2006/relationships/hyperlink" Target="http://www.ed-fi.org/docs/1.3/schema/ed-fi-core_disability.html" TargetMode="External"/><Relationship Id="rId385" Type="http://schemas.openxmlformats.org/officeDocument/2006/relationships/hyperlink" Target="http://specification.sifassociation.org/Implementation/NA/3.2/html/Entity/EntityObjects_gLearningStandardItemType.html" TargetMode="External"/><Relationship Id="rId19" Type="http://schemas.openxmlformats.org/officeDocument/2006/relationships/hyperlink" Target="http://www.ed-fi.org/docs/1.3/schema/ed-fi-core_attendanceevent.html" TargetMode="External"/><Relationship Id="rId224" Type="http://schemas.openxmlformats.org/officeDocument/2006/relationships/hyperlink" Target="http://www.ed-fi.org/docs/1.3/schema/ed-fi-core_achievement.html" TargetMode="External"/><Relationship Id="rId245" Type="http://schemas.openxmlformats.org/officeDocument/2006/relationships/hyperlink" Target="http://www.ed-fi.org/docs/1.3/schema/ed-fi-core_interventioneffectiveness.html" TargetMode="External"/><Relationship Id="rId266" Type="http://schemas.openxmlformats.org/officeDocument/2006/relationships/hyperlink" Target="http://www.ed-fi.org/docs/1.3/schema/ed-fi-core_identificationdocument.html" TargetMode="External"/><Relationship Id="rId287" Type="http://schemas.openxmlformats.org/officeDocument/2006/relationships/hyperlink" Target="http://www.ed-fi.org/docs/1.3/schema/ed-fi-core_teacherschoolassociation.html" TargetMode="External"/><Relationship Id="rId410" Type="http://schemas.openxmlformats.org/officeDocument/2006/relationships/hyperlink" Target="http://specification.sifassociation.org/Implementation/NA/3.2/html/Entity/EntityObjects_gPhoneNumberType.html" TargetMode="External"/><Relationship Id="rId431" Type="http://schemas.openxmlformats.org/officeDocument/2006/relationships/hyperlink" Target="http://specification.sifassociation.org/Implementation/NA/3.2/html/Entity/EntityObjects_gStreetType.html" TargetMode="External"/><Relationship Id="rId452" Type="http://schemas.openxmlformats.org/officeDocument/2006/relationships/hyperlink" Target="http://specification.sifassociation.org/Implementation/NA/3.2/html/Entity/EntityObjects_learningResourceType.html" TargetMode="External"/><Relationship Id="rId473" Type="http://schemas.openxmlformats.org/officeDocument/2006/relationships/hyperlink" Target="http://specification.sifassociation.org/Implementation/NA/3.2/html/Report/ReportObjects_sreType.html" TargetMode="External"/><Relationship Id="rId30" Type="http://schemas.openxmlformats.org/officeDocument/2006/relationships/hyperlink" Target="http://www.ed-fi.org/docs/1.3/schema/ed-fi-core_credits.html" TargetMode="External"/><Relationship Id="rId105" Type="http://schemas.openxmlformats.org/officeDocument/2006/relationships/hyperlink" Target="http://www.ed-fi.org/docs/1.3/schema/ed-fi-core_leaveevent.html" TargetMode="External"/><Relationship Id="rId126" Type="http://schemas.openxmlformats.org/officeDocument/2006/relationships/hyperlink" Target="http://www.ed-fi.org/docs/1.3/schema/ed-fi-core_address.html" TargetMode="External"/><Relationship Id="rId147" Type="http://schemas.openxmlformats.org/officeDocument/2006/relationships/hyperlink" Target="http://www.ed-fi.org/docs/1.3/schema/ed-fi-core_accountabilityrating.html" TargetMode="External"/><Relationship Id="rId168" Type="http://schemas.openxmlformats.org/officeDocument/2006/relationships/hyperlink" Target="http://www.ed-fi.org/docs/1.3/schema/ed-fi-core_staff.html" TargetMode="External"/><Relationship Id="rId312" Type="http://schemas.openxmlformats.org/officeDocument/2006/relationships/hyperlink" Target="http://specification.sifassociation.org/Implementation/NA/3.2/html/Assessment/Assessment_assessmentResponseSetType.html" TargetMode="External"/><Relationship Id="rId333" Type="http://schemas.openxmlformats.org/officeDocument/2006/relationships/hyperlink" Target="http://specification.sifassociation.org/Implementation/NA/3.2/html/Assessment/Assessment_assessmentSubTestType.html" TargetMode="External"/><Relationship Id="rId354" Type="http://schemas.openxmlformats.org/officeDocument/2006/relationships/hyperlink" Target="http://specification.sifassociation.org/Implementation/NA/3.2/html/Entity/EntityObjects_gContactPersonType.html" TargetMode="External"/><Relationship Id="rId51" Type="http://schemas.openxmlformats.org/officeDocument/2006/relationships/hyperlink" Target="http://www.ed-fi.org/docs/1.3/schema/ed-fi-core_accountabilityrating.html" TargetMode="External"/><Relationship Id="rId72" Type="http://schemas.openxmlformats.org/officeDocument/2006/relationships/hyperlink" Target="http://www.ed-fi.org/docs/1.3/schema/ed-fi-core_credits.html" TargetMode="External"/><Relationship Id="rId93" Type="http://schemas.openxmlformats.org/officeDocument/2006/relationships/hyperlink" Target="http://www.ed-fi.org/docs/1.3/schema/ed-fi-core_interventionstudy.html" TargetMode="External"/><Relationship Id="rId189" Type="http://schemas.openxmlformats.org/officeDocument/2006/relationships/hyperlink" Target="http://www.ed-fi.org/docs/1.3/schema/ed-fi-core_address.html" TargetMode="External"/><Relationship Id="rId375" Type="http://schemas.openxmlformats.org/officeDocument/2006/relationships/hyperlink" Target="http://specification.sifassociation.org/Implementation/NA/3.2/html/Entity/EntityObjects_gLearningStandardDocumentType.html" TargetMode="External"/><Relationship Id="rId396" Type="http://schemas.openxmlformats.org/officeDocument/2006/relationships/hyperlink" Target="http://specification.sifassociation.org/Implementation/NA/3.2/html/Entity/EntityObjects_gOrganizationUserType.html" TargetMode="External"/><Relationship Id="rId3" Type="http://schemas.openxmlformats.org/officeDocument/2006/relationships/hyperlink" Target="http://www.ed-fi.org/docs/1.3/schema/ed-fi-core_academicweek.html" TargetMode="External"/><Relationship Id="rId214" Type="http://schemas.openxmlformats.org/officeDocument/2006/relationships/hyperlink" Target="http://www.ed-fi.org/docs/1.3/schema/ed-fi-core_programparticipation.html" TargetMode="External"/><Relationship Id="rId235" Type="http://schemas.openxmlformats.org/officeDocument/2006/relationships/hyperlink" Target="http://www.ed-fi.org/docs/1.3/schema/ed-fi-core_cteprogram.html" TargetMode="External"/><Relationship Id="rId256" Type="http://schemas.openxmlformats.org/officeDocument/2006/relationships/hyperlink" Target="http://www.ed-fi.org/docs/1.3/schema/ed-fi-core_studentprogramassociation.html" TargetMode="External"/><Relationship Id="rId277" Type="http://schemas.openxmlformats.org/officeDocument/2006/relationships/hyperlink" Target="http://www.ed-fi.org/docs/1.3/schema/ed-fi-core_identificationdocument.html" TargetMode="External"/><Relationship Id="rId298" Type="http://schemas.openxmlformats.org/officeDocument/2006/relationships/hyperlink" Target="http://specification.sifassociation.org/Implementation/NA/3.2/html/Assessment/Assessment_assessmentRegistrationType.html" TargetMode="External"/><Relationship Id="rId400" Type="http://schemas.openxmlformats.org/officeDocument/2006/relationships/hyperlink" Target="http://specification.sifassociation.org/Implementation/NA/3.2/html/Entity/EntityObjects_gPartyAddressRelationType.html" TargetMode="External"/><Relationship Id="rId421" Type="http://schemas.openxmlformats.org/officeDocument/2006/relationships/hyperlink" Target="http://specification.sifassociation.org/Implementation/NA/3.2/html/Entity/EntityObjects_gStaffPersonAssignmentType.html" TargetMode="External"/><Relationship Id="rId442" Type="http://schemas.openxmlformats.org/officeDocument/2006/relationships/hyperlink" Target="http://specification.sifassociation.org/Implementation/NA/3.2/html/Entity/EntityObjects_gTermType.html" TargetMode="External"/><Relationship Id="rId463" Type="http://schemas.openxmlformats.org/officeDocument/2006/relationships/hyperlink" Target="http://specification.sifassociation.org/Implementation/NA/3.2/html/Entity/EntityObjects_schoolCalendarItemType.html" TargetMode="External"/><Relationship Id="rId484" Type="http://schemas.openxmlformats.org/officeDocument/2006/relationships/hyperlink" Target="http://specification.sifassociation.org/Implementation/NA/3.2/html/Report/ReportObjects_sreType.html" TargetMode="External"/><Relationship Id="rId116" Type="http://schemas.openxmlformats.org/officeDocument/2006/relationships/hyperlink" Target="http://www.ed-fi.org/docs/1.3/schema/ed-fi-core_location.html" TargetMode="External"/><Relationship Id="rId137" Type="http://schemas.openxmlformats.org/officeDocument/2006/relationships/hyperlink" Target="http://www.ed-fi.org/docs/1.3/schema/ed-fi-core_parent.html" TargetMode="External"/><Relationship Id="rId158" Type="http://schemas.openxmlformats.org/officeDocument/2006/relationships/hyperlink" Target="http://www.ed-fi.org/docs/1.3/schema/ed-fi-core_identificationdocument.html" TargetMode="External"/><Relationship Id="rId302" Type="http://schemas.openxmlformats.org/officeDocument/2006/relationships/hyperlink" Target="http://specification.sifassociation.org/Implementation/NA/3.2/html/Assessment/Assessment_assessmentRegistrationType.html" TargetMode="External"/><Relationship Id="rId323" Type="http://schemas.openxmlformats.org/officeDocument/2006/relationships/hyperlink" Target="http://specification.sifassociation.org/Implementation/NA/3.2/html/Assessment/Assessment_assessmentScoreTableType.html" TargetMode="External"/><Relationship Id="rId344" Type="http://schemas.openxmlformats.org/officeDocument/2006/relationships/hyperlink" Target="http://specification.sifassociation.org/Implementation/NA/3.2/html/Entity/EntityObjects_gBaseNameType.html" TargetMode="External"/><Relationship Id="rId20" Type="http://schemas.openxmlformats.org/officeDocument/2006/relationships/hyperlink" Target="http://www.ed-fi.org/docs/1.3/schema/ed-fi-core_bellschedule.html" TargetMode="External"/><Relationship Id="rId41" Type="http://schemas.openxmlformats.org/officeDocument/2006/relationships/hyperlink" Target="http://www.ed-fi.org/docs/1.3/schema/ed-fi-core_accountabilityrating.html" TargetMode="External"/><Relationship Id="rId62" Type="http://schemas.openxmlformats.org/officeDocument/2006/relationships/hyperlink" Target="http://www.ed-fi.org/docs/1.3/schema/ed-fi-core_accountabilityrating.html" TargetMode="External"/><Relationship Id="rId83" Type="http://schemas.openxmlformats.org/officeDocument/2006/relationships/hyperlink" Target="http://www.ed-fi.org/docs/1.3/schema/ed-fi-core_interventionprescription.html" TargetMode="External"/><Relationship Id="rId179" Type="http://schemas.openxmlformats.org/officeDocument/2006/relationships/hyperlink" Target="http://www.ed-fi.org/docs/1.3/schema/ed-fi-core_staffeducationorgemploymentassociation.html" TargetMode="External"/><Relationship Id="rId365" Type="http://schemas.openxmlformats.org/officeDocument/2006/relationships/hyperlink" Target="http://specification.sifassociation.org/Implementation/NA/3.2/html/Entity/EntityObjects_gEducationGroupingType.html" TargetMode="External"/><Relationship Id="rId386" Type="http://schemas.openxmlformats.org/officeDocument/2006/relationships/hyperlink" Target="http://specification.sifassociation.org/Implementation/NA/3.2/html/Entity/EntityObjects_gLEAType.html" TargetMode="External"/><Relationship Id="rId190" Type="http://schemas.openxmlformats.org/officeDocument/2006/relationships/hyperlink" Target="http://www.ed-fi.org/docs/1.3/schema/ed-fi-core_address.html" TargetMode="External"/><Relationship Id="rId204" Type="http://schemas.openxmlformats.org/officeDocument/2006/relationships/hyperlink" Target="http://www.ed-fi.org/docs/1.3/schema/ed-fi-core_learningstyles.html" TargetMode="External"/><Relationship Id="rId225" Type="http://schemas.openxmlformats.org/officeDocument/2006/relationships/hyperlink" Target="http://www.ed-fi.org/docs/1.3/schema/ed-fi-core_achievement.html" TargetMode="External"/><Relationship Id="rId246" Type="http://schemas.openxmlformats.org/officeDocument/2006/relationships/hyperlink" Target="http://www.ed-fi.org/docs/1.3/schema/ed-fi-core_interventioneffectiveness.html" TargetMode="External"/><Relationship Id="rId267" Type="http://schemas.openxmlformats.org/officeDocument/2006/relationships/hyperlink" Target="http://www.ed-fi.org/docs/1.3/schema/ed-fi-core_identificationdocument.html" TargetMode="External"/><Relationship Id="rId288" Type="http://schemas.openxmlformats.org/officeDocument/2006/relationships/hyperlink" Target="http://specification.sifassociation.org/Implementation/NA/3.2/html/Assessment/Assessment_assessmentAssetType.html" TargetMode="External"/><Relationship Id="rId411" Type="http://schemas.openxmlformats.org/officeDocument/2006/relationships/hyperlink" Target="http://specification.sifassociation.org/Implementation/NA/3.2/html/Entity/EntityObjects_gRelatedLearningStandardItemList.html" TargetMode="External"/><Relationship Id="rId432" Type="http://schemas.openxmlformats.org/officeDocument/2006/relationships/hyperlink" Target="http://specification.sifassociation.org/Implementation/NA/3.2/html/Entity/EntityObjects_gStreetType.html" TargetMode="External"/><Relationship Id="rId453" Type="http://schemas.openxmlformats.org/officeDocument/2006/relationships/hyperlink" Target="http://specification.sifassociation.org/Implementation/NA/3.2/html/Entity/EntityObjects_learningResourceType.html" TargetMode="External"/><Relationship Id="rId474" Type="http://schemas.openxmlformats.org/officeDocument/2006/relationships/hyperlink" Target="http://specification.sifassociation.org/Implementation/NA/3.2/html/Report/ReportObjects_sreType.html" TargetMode="External"/><Relationship Id="rId106" Type="http://schemas.openxmlformats.org/officeDocument/2006/relationships/hyperlink" Target="http://www.ed-fi.org/docs/1.3/schema/ed-fi-core_leaveevent.html" TargetMode="External"/><Relationship Id="rId127" Type="http://schemas.openxmlformats.org/officeDocument/2006/relationships/hyperlink" Target="http://www.ed-fi.org/docs/1.3/schema/ed-fi-core_address.html" TargetMode="External"/><Relationship Id="rId313" Type="http://schemas.openxmlformats.org/officeDocument/2006/relationships/hyperlink" Target="http://specification.sifassociation.org/Implementation/NA/3.2/html/Assessment/Assessment_assessmentResponseSetType.html" TargetMode="External"/><Relationship Id="rId10" Type="http://schemas.openxmlformats.org/officeDocument/2006/relationships/hyperlink" Target="http://www.ed-fi.org/docs/1.3/schema/ed-fi-core_contentstandardtype.html" TargetMode="External"/><Relationship Id="rId31" Type="http://schemas.openxmlformats.org/officeDocument/2006/relationships/hyperlink" Target="http://www.ed-fi.org/docs/1.3/schema/ed-fi-core_course.html" TargetMode="External"/><Relationship Id="rId52" Type="http://schemas.openxmlformats.org/officeDocument/2006/relationships/hyperlink" Target="http://www.ed-fi.org/docs/1.3/schema/ed-fi-core_accountabilityrating.html" TargetMode="External"/><Relationship Id="rId73" Type="http://schemas.openxmlformats.org/officeDocument/2006/relationships/hyperlink" Target="http://www.ed-fi.org/docs/1.3/schema/ed-fi-core_creditsbycourse.html" TargetMode="External"/><Relationship Id="rId94" Type="http://schemas.openxmlformats.org/officeDocument/2006/relationships/hyperlink" Target="http://www.ed-fi.org/docs/1.3/schema/ed-fi-core_interventionstudy.html" TargetMode="External"/><Relationship Id="rId148" Type="http://schemas.openxmlformats.org/officeDocument/2006/relationships/hyperlink" Target="http://www.ed-fi.org/docs/1.3/schema/ed-fi-core_address.html" TargetMode="External"/><Relationship Id="rId169" Type="http://schemas.openxmlformats.org/officeDocument/2006/relationships/hyperlink" Target="http://www.ed-fi.org/docs/1.3/schema/ed-fi-core_identificationdocument.html" TargetMode="External"/><Relationship Id="rId334" Type="http://schemas.openxmlformats.org/officeDocument/2006/relationships/hyperlink" Target="http://specification.sifassociation.org/Implementation/NA/3.2/html/Entity/EntityObjects_courseType.html" TargetMode="External"/><Relationship Id="rId355" Type="http://schemas.openxmlformats.org/officeDocument/2006/relationships/hyperlink" Target="http://specification.sifassociation.org/Implementation/NA/3.2/html/Entity/EntityObjects_gContactPersonType.html" TargetMode="External"/><Relationship Id="rId376" Type="http://schemas.openxmlformats.org/officeDocument/2006/relationships/hyperlink" Target="http://specification.sifassociation.org/Implementation/NA/3.2/html/Entity/EntityObjects_gLearningStandardDocumentType.html" TargetMode="External"/><Relationship Id="rId397" Type="http://schemas.openxmlformats.org/officeDocument/2006/relationships/hyperlink" Target="http://specification.sifassociation.org/Implementation/NA/3.2/html/Entity/EntityObjects_gOrganizationUserType.html" TargetMode="External"/><Relationship Id="rId4" Type="http://schemas.openxmlformats.org/officeDocument/2006/relationships/hyperlink" Target="http://www.ed-fi.org/docs/1.3/schema/ed-fi-core_account.html" TargetMode="External"/><Relationship Id="rId180" Type="http://schemas.openxmlformats.org/officeDocument/2006/relationships/hyperlink" Target="http://www.ed-fi.org/docs/1.3/schema/ed-fi-core_staffprogramassociation.html" TargetMode="External"/><Relationship Id="rId215" Type="http://schemas.openxmlformats.org/officeDocument/2006/relationships/hyperlink" Target="http://www.ed-fi.org/docs/1.3/schema/ed-fi-core_programparticipation.html" TargetMode="External"/><Relationship Id="rId236" Type="http://schemas.openxmlformats.org/officeDocument/2006/relationships/hyperlink" Target="http://www.ed-fi.org/docs/1.3/schema/ed-fi-core_studentprogramassociation.html" TargetMode="External"/><Relationship Id="rId257" Type="http://schemas.openxmlformats.org/officeDocument/2006/relationships/hyperlink" Target="http://www.ed-fi.org/docs/1.3/schema/ed-fi-core_servicedescriptorreferencetype.html" TargetMode="External"/><Relationship Id="rId278" Type="http://schemas.openxmlformats.org/officeDocument/2006/relationships/hyperlink" Target="http://www.ed-fi.org/docs/1.3/schema/ed-fi-core_identificationdocument.html" TargetMode="External"/><Relationship Id="rId401" Type="http://schemas.openxmlformats.org/officeDocument/2006/relationships/hyperlink" Target="http://specification.sifassociation.org/Implementation/NA/3.2/html/Entity/EntityObjects_gPartyOrganizationAssociationType.html" TargetMode="External"/><Relationship Id="rId422" Type="http://schemas.openxmlformats.org/officeDocument/2006/relationships/hyperlink" Target="http://specification.sifassociation.org/Implementation/NA/3.2/html/Entity/EntityObjects_gStreetType.html" TargetMode="External"/><Relationship Id="rId443" Type="http://schemas.openxmlformats.org/officeDocument/2006/relationships/hyperlink" Target="http://specification.sifassociation.org/Implementation/NA/3.2/html/CEDS/Common/CEDS_Common_learningGoalCEDSType.html" TargetMode="External"/><Relationship Id="rId464" Type="http://schemas.openxmlformats.org/officeDocument/2006/relationships/hyperlink" Target="http://specification.sifassociation.org/Implementation/NA/3.2/html/Entity/EntityObjects_schoolCalendarItemType.html" TargetMode="External"/><Relationship Id="rId303" Type="http://schemas.openxmlformats.org/officeDocument/2006/relationships/hyperlink" Target="http://specification.sifassociation.org/Implementation/NA/3.2/html/Assessment/Assessment_assessmentRegistrationType.html" TargetMode="External"/><Relationship Id="rId485" Type="http://schemas.openxmlformats.org/officeDocument/2006/relationships/hyperlink" Target="http://specification.sifassociation.org/Implementation/NA/3.2/html/Report/ReportObjects_sreType.html" TargetMode="External"/><Relationship Id="rId42" Type="http://schemas.openxmlformats.org/officeDocument/2006/relationships/hyperlink" Target="http://www.ed-fi.org/docs/1.3/schema/ed-fi-core_accountabilityrating.html" TargetMode="External"/><Relationship Id="rId84" Type="http://schemas.openxmlformats.org/officeDocument/2006/relationships/hyperlink" Target="http://www.ed-fi.org/docs/1.3/schema/ed-fi-core_interventionprescription.html" TargetMode="External"/><Relationship Id="rId138" Type="http://schemas.openxmlformats.org/officeDocument/2006/relationships/hyperlink" Target="http://www.ed-fi.org/docs/1.3/schema/ed-fi-core_payroll.html" TargetMode="External"/><Relationship Id="rId345" Type="http://schemas.openxmlformats.org/officeDocument/2006/relationships/hyperlink" Target="http://specification.sifassociation.org/Implementation/NA/3.2/html/Entity/EntityObjects_gBaseNameType.html" TargetMode="External"/><Relationship Id="rId387" Type="http://schemas.openxmlformats.org/officeDocument/2006/relationships/hyperlink" Target="http://specification.sifassociation.org/Implementation/NA/3.2/html/Entity/EntityObjects_gMedicalAlertMessageType.html" TargetMode="External"/><Relationship Id="rId191" Type="http://schemas.openxmlformats.org/officeDocument/2006/relationships/hyperlink" Target="http://www.ed-fi.org/docs/1.3/schema/ed-fi-core_address.html" TargetMode="External"/><Relationship Id="rId205" Type="http://schemas.openxmlformats.org/officeDocument/2006/relationships/hyperlink" Target="http://www.ed-fi.org/docs/1.3/schema/ed-fi-core_learningstyles.html" TargetMode="External"/><Relationship Id="rId247" Type="http://schemas.openxmlformats.org/officeDocument/2006/relationships/hyperlink" Target="http://www.ed-fi.org/docs/1.3/schema/ed-fi-core_studentprogramassociation.html" TargetMode="External"/><Relationship Id="rId412" Type="http://schemas.openxmlformats.org/officeDocument/2006/relationships/hyperlink" Target="http://specification.sifassociation.org/Implementation/NA/3.2/html/Entity/EntityObjects_gRelatedLearningStandardItemType.html" TargetMode="External"/><Relationship Id="rId107" Type="http://schemas.openxmlformats.org/officeDocument/2006/relationships/hyperlink" Target="http://www.ed-fi.org/docs/1.3/schema/ed-fi-core_leaveevent.html" TargetMode="External"/><Relationship Id="rId289" Type="http://schemas.openxmlformats.org/officeDocument/2006/relationships/hyperlink" Target="http://specification.sifassociation.org/Implementation/NA/3.2/html/Assessment/Assessment_assessmentAssetType.html" TargetMode="External"/><Relationship Id="rId454" Type="http://schemas.openxmlformats.org/officeDocument/2006/relationships/hyperlink" Target="http://specification.sifassociation.org/Implementation/NA/3.2/html/Entity/EntityObjects_learningResourceType.html" TargetMode="External"/><Relationship Id="rId11" Type="http://schemas.openxmlformats.org/officeDocument/2006/relationships/hyperlink" Target="http://www.ed-fi.org/docs/1.3/schema/ed-fi-core_assessment.html" TargetMode="External"/><Relationship Id="rId53" Type="http://schemas.openxmlformats.org/officeDocument/2006/relationships/hyperlink" Target="http://www.ed-fi.org/docs/1.3/schema/ed-fi-core_accountabilityrating.html" TargetMode="External"/><Relationship Id="rId149" Type="http://schemas.openxmlformats.org/officeDocument/2006/relationships/hyperlink" Target="http://www.ed-fi.org/docs/1.3/schema/ed-fi-core_address.html" TargetMode="External"/><Relationship Id="rId314" Type="http://schemas.openxmlformats.org/officeDocument/2006/relationships/hyperlink" Target="http://specification.sifassociation.org/Implementation/NA/3.2/html/Assessment/Assessment_assessmentRubricType.html" TargetMode="External"/><Relationship Id="rId356" Type="http://schemas.openxmlformats.org/officeDocument/2006/relationships/hyperlink" Target="http://specification.sifassociation.org/Implementation/NA/3.2/html/Entity/EntityObjects_gContactPersonType.html" TargetMode="External"/><Relationship Id="rId398" Type="http://schemas.openxmlformats.org/officeDocument/2006/relationships/hyperlink" Target="http://specification.sifassociation.org/Implementation/NA/3.2/html/Entity/EntityObjects_gOrganizationUserType.html" TargetMode="External"/><Relationship Id="rId95" Type="http://schemas.openxmlformats.org/officeDocument/2006/relationships/hyperlink" Target="http://www.ed-fi.org/docs/1.3/schema/ed-fi-core_interventionstudy.html" TargetMode="External"/><Relationship Id="rId160" Type="http://schemas.openxmlformats.org/officeDocument/2006/relationships/hyperlink" Target="http://www.ed-fi.org/docs/1.3/schema/ed-fi-core_identificationdocument.html" TargetMode="External"/><Relationship Id="rId216" Type="http://schemas.openxmlformats.org/officeDocument/2006/relationships/hyperlink" Target="http://www.ed-fi.org/docs/1.3/schema/ed-fi-core_studentcharacteristic.html" TargetMode="External"/><Relationship Id="rId423" Type="http://schemas.openxmlformats.org/officeDocument/2006/relationships/hyperlink" Target="http://specification.sifassociation.org/Implementation/NA/3.2/html/Entity/EntityObjects_gStreetType.html" TargetMode="External"/><Relationship Id="rId258" Type="http://schemas.openxmlformats.org/officeDocument/2006/relationships/hyperlink" Target="http://www.ed-fi.org/docs/1.3/schema/ed-fi-core_studentprogramassociation.html" TargetMode="External"/><Relationship Id="rId465" Type="http://schemas.openxmlformats.org/officeDocument/2006/relationships/hyperlink" Target="http://specification.sifassociation.org/Implementation/NA/3.2/html/Entity/EntityObjects_seaType.html" TargetMode="External"/><Relationship Id="rId22" Type="http://schemas.openxmlformats.org/officeDocument/2006/relationships/hyperlink" Target="http://www.ed-fi.org/docs/1.3/schema/ed-fi-core_budget.html" TargetMode="External"/><Relationship Id="rId64" Type="http://schemas.openxmlformats.org/officeDocument/2006/relationships/hyperlink" Target="http://www.ed-fi.org/docs/1.3/schema/ed-fi-core_address.html" TargetMode="External"/><Relationship Id="rId118" Type="http://schemas.openxmlformats.org/officeDocument/2006/relationships/hyperlink" Target="http://www.ed-fi.org/docs/1.3/schema/ed-fi-core_objectiveassessment.html" TargetMode="External"/><Relationship Id="rId325" Type="http://schemas.openxmlformats.org/officeDocument/2006/relationships/hyperlink" Target="http://specification.sifassociation.org/Implementation/NA/3.2/html/Assessment/Assessment_assessmentScoreTableType.html" TargetMode="External"/><Relationship Id="rId367" Type="http://schemas.openxmlformats.org/officeDocument/2006/relationships/hyperlink" Target="http://specification.sifassociation.org/Implementation/NA/3.2/html/Entity/EntityObjects_gEventCollectionType.html" TargetMode="External"/><Relationship Id="rId171" Type="http://schemas.openxmlformats.org/officeDocument/2006/relationships/hyperlink" Target="http://www.ed-fi.org/docs/1.3/schema/ed-fi-core_identificationdocument.html" TargetMode="External"/><Relationship Id="rId227" Type="http://schemas.openxmlformats.org/officeDocument/2006/relationships/hyperlink" Target="http://www.ed-fi.org/docs/1.3/schema/ed-fi-core_achievement.html" TargetMode="External"/><Relationship Id="rId269" Type="http://schemas.openxmlformats.org/officeDocument/2006/relationships/hyperlink" Target="http://www.ed-fi.org/docs/1.3/schema/ed-fi-core_identificationdocument.html" TargetMode="External"/><Relationship Id="rId434" Type="http://schemas.openxmlformats.org/officeDocument/2006/relationships/hyperlink" Target="http://specification.sifassociation.org/Implementation/NA/3.2/html/Entity/EntityObjects_gStudentSchoolEnrollmentType.html" TargetMode="External"/><Relationship Id="rId476" Type="http://schemas.openxmlformats.org/officeDocument/2006/relationships/hyperlink" Target="http://specification.sifassociation.org/Implementation/NA/3.2/html/Report/ReportObjects_sreType.html" TargetMode="External"/><Relationship Id="rId33" Type="http://schemas.openxmlformats.org/officeDocument/2006/relationships/hyperlink" Target="http://www.ed-fi.org/docs/1.3/schema/ed-fi-core_coursetranscript.html" TargetMode="External"/><Relationship Id="rId129" Type="http://schemas.openxmlformats.org/officeDocument/2006/relationships/hyperlink" Target="http://www.ed-fi.org/docs/1.3/schema/ed-fi-core_address.html" TargetMode="External"/><Relationship Id="rId280" Type="http://schemas.openxmlformats.org/officeDocument/2006/relationships/hyperlink" Target="http://www.ed-fi.org/docs/1.3/schema/ed-fi-core_identificationdocument.html" TargetMode="External"/><Relationship Id="rId336" Type="http://schemas.openxmlformats.org/officeDocument/2006/relationships/hyperlink" Target="http://specification.sifassociation.org/Implementation/NA/3.2/html/Entity/EntityObjects_disciplineIncidentType.html" TargetMode="External"/><Relationship Id="rId75" Type="http://schemas.openxmlformats.org/officeDocument/2006/relationships/hyperlink" Target="http://www.ed-fi.org/docs/1.3/schema/ed-fi-core_interventionprescription.html" TargetMode="External"/><Relationship Id="rId140" Type="http://schemas.openxmlformats.org/officeDocument/2006/relationships/hyperlink" Target="http://www.ed-fi.org/docs/1.3/schema/ed-fi-core_program.html" TargetMode="External"/><Relationship Id="rId182" Type="http://schemas.openxmlformats.org/officeDocument/2006/relationships/hyperlink" Target="http://www.ed-fi.org/docs/1.3/schema/ed-fi-core_staffprogramassociation.html" TargetMode="External"/><Relationship Id="rId378" Type="http://schemas.openxmlformats.org/officeDocument/2006/relationships/hyperlink" Target="http://specification.sifassociation.org/Implementation/NA/3.2/html/Entity/EntityObjects_gLearningStandardDocumentType.html" TargetMode="External"/><Relationship Id="rId403" Type="http://schemas.openxmlformats.org/officeDocument/2006/relationships/hyperlink" Target="http://specification.sifassociation.org/Implementation/NA/3.2/html/Entity/EntityObjects_gPersonGroupAssociationType.html" TargetMode="External"/><Relationship Id="rId6" Type="http://schemas.openxmlformats.org/officeDocument/2006/relationships/hyperlink" Target="http://www.ed-fi.org/docs/1.3/schema/ed-fi-core_account.html" TargetMode="External"/><Relationship Id="rId238" Type="http://schemas.openxmlformats.org/officeDocument/2006/relationships/hyperlink" Target="http://www.ed-fi.org/docs/1.3/schema/ed-fi-core_servicedescriptorreferencetype.html" TargetMode="External"/><Relationship Id="rId445" Type="http://schemas.openxmlformats.org/officeDocument/2006/relationships/hyperlink" Target="http://specification.sifassociation.org/Implementation/NA/3.2/html/Entity/EntityObjects_learningResourceType.html" TargetMode="External"/><Relationship Id="rId487" Type="http://schemas.openxmlformats.org/officeDocument/2006/relationships/hyperlink" Target="http://specification.sifassociation.org/Implementation/NA/3.2/html/Composite/Composite_studentCoreType.html" TargetMode="External"/><Relationship Id="rId291" Type="http://schemas.openxmlformats.org/officeDocument/2006/relationships/hyperlink" Target="http://specification.sifassociation.org/Implementation/NA/3.2/html/Assessment/Assessment_assessmentFormType.html" TargetMode="External"/><Relationship Id="rId305" Type="http://schemas.openxmlformats.org/officeDocument/2006/relationships/hyperlink" Target="http://specification.sifassociation.org/Implementation/NA/3.2/html/Assessment/Assessment_assessmentResponseSetType.html" TargetMode="External"/><Relationship Id="rId347" Type="http://schemas.openxmlformats.org/officeDocument/2006/relationships/hyperlink" Target="http://specification.sifassociation.org/Implementation/NA/3.2/html/Entity/EntityObjects_gBaseNameType.html" TargetMode="External"/><Relationship Id="rId44" Type="http://schemas.openxmlformats.org/officeDocument/2006/relationships/hyperlink" Target="http://www.ed-fi.org/docs/1.3/schema/ed-fi-core_address.html" TargetMode="External"/><Relationship Id="rId86" Type="http://schemas.openxmlformats.org/officeDocument/2006/relationships/hyperlink" Target="http://www.ed-fi.org/docs/1.3/schema/ed-fi-core_interventionprescription.html" TargetMode="External"/><Relationship Id="rId151" Type="http://schemas.openxmlformats.org/officeDocument/2006/relationships/hyperlink" Target="http://www.ed-fi.org/docs/1.3/schema/ed-fi-core_section.html" TargetMode="External"/><Relationship Id="rId389" Type="http://schemas.openxmlformats.org/officeDocument/2006/relationships/hyperlink" Target="http://specification.sifassociation.org/Implementation/NA/3.2/html/Entity/EntityObjects_gOrganizationOrganizationAssociationType.html" TargetMode="External"/><Relationship Id="rId193" Type="http://schemas.openxmlformats.org/officeDocument/2006/relationships/hyperlink" Target="http://www.ed-fi.org/docs/1.3/schema/ed-fi-core_identificationdocument.html" TargetMode="External"/><Relationship Id="rId207" Type="http://schemas.openxmlformats.org/officeDocument/2006/relationships/hyperlink" Target="http://www.ed-fi.org/docs/1.3/schema/ed-fi-core_student.html" TargetMode="External"/><Relationship Id="rId249" Type="http://schemas.openxmlformats.org/officeDocument/2006/relationships/hyperlink" Target="http://www.ed-fi.org/docs/1.3/schema/ed-fi-core_studentmigranteducationprogramassociation.html" TargetMode="External"/><Relationship Id="rId414" Type="http://schemas.openxmlformats.org/officeDocument/2006/relationships/hyperlink" Target="http://specification.sifassociation.org/Implementation/NA/3.2/html/Entity/EntityObjects_gSchoolCalendarType.html" TargetMode="External"/><Relationship Id="rId456" Type="http://schemas.openxmlformats.org/officeDocument/2006/relationships/hyperlink" Target="http://specification.sifassociation.org/Implementation/NA/3.2/html/Entity/EntityObjects_learningResourceType.html" TargetMode="External"/><Relationship Id="rId13" Type="http://schemas.openxmlformats.org/officeDocument/2006/relationships/hyperlink" Target="http://www.ed-fi.org/docs/1.3/schema/ed-fi-core_assessmentidentificationcode.html" TargetMode="External"/><Relationship Id="rId109" Type="http://schemas.openxmlformats.org/officeDocument/2006/relationships/hyperlink" Target="http://www.ed-fi.org/docs/1.3/schema/ed-fi-core_accountabilityrating.html" TargetMode="External"/><Relationship Id="rId260" Type="http://schemas.openxmlformats.org/officeDocument/2006/relationships/hyperlink" Target="http://www.ed-fi.org/docs/1.3/schema/ed-fi-core_servicedescriptorreferencetype.html" TargetMode="External"/><Relationship Id="rId316" Type="http://schemas.openxmlformats.org/officeDocument/2006/relationships/hyperlink" Target="http://specification.sifassociation.org/Implementation/NA/3.2/html/Assessment/Assessment_assessmentRubricType.html" TargetMode="External"/><Relationship Id="rId55" Type="http://schemas.openxmlformats.org/officeDocument/2006/relationships/hyperlink" Target="http://www.ed-fi.org/docs/1.3/schema/ed-fi-core_educationorganizationnetwork.html" TargetMode="External"/><Relationship Id="rId97" Type="http://schemas.openxmlformats.org/officeDocument/2006/relationships/hyperlink" Target="http://www.ed-fi.org/docs/1.3/schema/ed-fi-core_contentstandardtype.html" TargetMode="External"/><Relationship Id="rId120" Type="http://schemas.openxmlformats.org/officeDocument/2006/relationships/hyperlink" Target="http://www.ed-fi.org/docs/1.3/schema/ed-fi-core_openstaffposition.html" TargetMode="External"/><Relationship Id="rId358" Type="http://schemas.openxmlformats.org/officeDocument/2006/relationships/hyperlink" Target="http://specification.sifassociation.org/Implementation/NA/3.2/html/Entity/EntityObjects_gDemographicsTyp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32"/>
  <sheetViews>
    <sheetView showGridLines="0" workbookViewId="0">
      <selection activeCell="A2" sqref="A2"/>
    </sheetView>
  </sheetViews>
  <sheetFormatPr defaultRowHeight="15" x14ac:dyDescent="0.25"/>
  <cols>
    <col min="1" max="4" width="36.5703125" bestFit="1" customWidth="1"/>
    <col min="5" max="5" width="9.42578125" bestFit="1" customWidth="1"/>
    <col min="6" max="6" width="36.5703125" bestFit="1" customWidth="1"/>
    <col min="7" max="7" width="32.42578125" customWidth="1"/>
    <col min="8" max="8" width="36.5703125" bestFit="1" customWidth="1"/>
    <col min="9" max="9" width="11.42578125" bestFit="1" customWidth="1"/>
    <col min="10" max="10" width="36.5703125" bestFit="1" customWidth="1"/>
    <col min="11" max="11" width="40.85546875" bestFit="1" customWidth="1"/>
    <col min="12" max="12" width="44.5703125" bestFit="1" customWidth="1"/>
    <col min="13" max="13" width="27.85546875" customWidth="1"/>
    <col min="14" max="14" width="24.5703125" bestFit="1" customWidth="1"/>
  </cols>
  <sheetData>
    <row r="1" spans="1:14" s="3" customFormat="1" x14ac:dyDescent="0.25">
      <c r="A1" s="1" t="s">
        <v>6703</v>
      </c>
      <c r="B1" s="1" t="s">
        <v>6704</v>
      </c>
      <c r="C1" s="1" t="s">
        <v>6705</v>
      </c>
      <c r="D1" s="1" t="s">
        <v>6706</v>
      </c>
      <c r="E1" s="1" t="s">
        <v>6707</v>
      </c>
      <c r="F1" s="1" t="s">
        <v>6708</v>
      </c>
      <c r="G1" s="1" t="s">
        <v>6709</v>
      </c>
      <c r="H1" s="1" t="s">
        <v>6710</v>
      </c>
      <c r="I1" s="2" t="s">
        <v>6711</v>
      </c>
      <c r="J1" s="1" t="s">
        <v>6712</v>
      </c>
      <c r="K1" s="1" t="s">
        <v>6713</v>
      </c>
      <c r="L1" s="1" t="s">
        <v>6714</v>
      </c>
      <c r="M1" s="1" t="s">
        <v>6715</v>
      </c>
      <c r="N1" s="1" t="s">
        <v>6716</v>
      </c>
    </row>
    <row r="2" spans="1:14" ht="180" x14ac:dyDescent="0.25">
      <c r="A2" s="4" t="s">
        <v>1496</v>
      </c>
      <c r="B2" s="4" t="s">
        <v>1497</v>
      </c>
      <c r="C2" s="4" t="s">
        <v>12</v>
      </c>
      <c r="D2" s="4" t="s">
        <v>6425</v>
      </c>
      <c r="E2" s="4" t="s">
        <v>1498</v>
      </c>
      <c r="F2" s="4" t="s">
        <v>73</v>
      </c>
      <c r="G2" s="4"/>
      <c r="H2" s="4"/>
      <c r="I2" s="4" t="s">
        <v>1499</v>
      </c>
      <c r="J2" s="4"/>
      <c r="K2" s="4" t="s">
        <v>1500</v>
      </c>
      <c r="L2" s="4"/>
      <c r="M2" s="4" t="str">
        <f>HYPERLINK("https://ceds.ed.gov/cedselementdetails.aspx?termid=10630")</f>
        <v>https://ceds.ed.gov/cedselementdetails.aspx?termid=10630</v>
      </c>
      <c r="N2" s="4" t="str">
        <f>HYPERLINK("https://ceds.ed.gov/elementComment.aspx?elementName=Attendance Event Date &amp;elementID=10630", "Click here to submit comment")</f>
        <v>Click here to submit comment</v>
      </c>
    </row>
    <row r="3" spans="1:14" ht="90" x14ac:dyDescent="0.25">
      <c r="A3" s="4" t="s">
        <v>1720</v>
      </c>
      <c r="B3" s="4" t="s">
        <v>1721</v>
      </c>
      <c r="C3" s="4" t="s">
        <v>12</v>
      </c>
      <c r="D3" s="4" t="s">
        <v>225</v>
      </c>
      <c r="E3" s="4" t="s">
        <v>1498</v>
      </c>
      <c r="F3" s="4" t="s">
        <v>73</v>
      </c>
      <c r="G3" s="4"/>
      <c r="H3" s="4"/>
      <c r="I3" s="4" t="s">
        <v>1722</v>
      </c>
      <c r="J3" s="4"/>
      <c r="K3" s="4" t="s">
        <v>1723</v>
      </c>
      <c r="L3" s="4" t="s">
        <v>222</v>
      </c>
      <c r="M3" s="4" t="str">
        <f>HYPERLINK("https://ceds.ed.gov/cedselementdetails.aspx?termid=10633")</f>
        <v>https://ceds.ed.gov/cedselementdetails.aspx?termid=10633</v>
      </c>
      <c r="N3" s="4" t="str">
        <f>HYPERLINK("https://ceds.ed.gov/elementComment.aspx?elementName=Charter School Contract Approval Date &amp;elementID=10633", "Click here to submit comment")</f>
        <v>Click here to submit comment</v>
      </c>
    </row>
    <row r="4" spans="1:14" ht="75" x14ac:dyDescent="0.25">
      <c r="A4" s="4" t="s">
        <v>1724</v>
      </c>
      <c r="B4" s="4" t="s">
        <v>1725</v>
      </c>
      <c r="C4" s="4" t="s">
        <v>12</v>
      </c>
      <c r="D4" s="4" t="s">
        <v>225</v>
      </c>
      <c r="E4" s="4" t="s">
        <v>1498</v>
      </c>
      <c r="F4" s="4" t="s">
        <v>92</v>
      </c>
      <c r="G4" s="4"/>
      <c r="H4" s="4"/>
      <c r="I4" s="4" t="s">
        <v>1726</v>
      </c>
      <c r="J4" s="4"/>
      <c r="K4" s="4" t="s">
        <v>1727</v>
      </c>
      <c r="L4" s="4" t="s">
        <v>222</v>
      </c>
      <c r="M4" s="4" t="str">
        <f>HYPERLINK("https://ceds.ed.gov/cedselementdetails.aspx?termid=10632")</f>
        <v>https://ceds.ed.gov/cedselementdetails.aspx?termid=10632</v>
      </c>
      <c r="N4" s="4" t="str">
        <f>HYPERLINK("https://ceds.ed.gov/elementComment.aspx?elementName=Charter School Contract Id Number &amp;elementID=10632", "Click here to submit comment")</f>
        <v>Click here to submit comment</v>
      </c>
    </row>
    <row r="5" spans="1:14" ht="90" x14ac:dyDescent="0.25">
      <c r="A5" s="4" t="s">
        <v>1728</v>
      </c>
      <c r="B5" s="4" t="s">
        <v>1729</v>
      </c>
      <c r="C5" s="4" t="s">
        <v>12</v>
      </c>
      <c r="D5" s="4" t="s">
        <v>225</v>
      </c>
      <c r="E5" s="4" t="s">
        <v>1498</v>
      </c>
      <c r="F5" s="4" t="s">
        <v>73</v>
      </c>
      <c r="G5" s="4"/>
      <c r="H5" s="4"/>
      <c r="I5" s="4" t="s">
        <v>1730</v>
      </c>
      <c r="J5" s="4"/>
      <c r="K5" s="4" t="s">
        <v>1731</v>
      </c>
      <c r="L5" s="4" t="s">
        <v>222</v>
      </c>
      <c r="M5" s="4" t="str">
        <f>HYPERLINK("https://ceds.ed.gov/cedselementdetails.aspx?termid=10634")</f>
        <v>https://ceds.ed.gov/cedselementdetails.aspx?termid=10634</v>
      </c>
      <c r="N5" s="4" t="str">
        <f>HYPERLINK("https://ceds.ed.gov/elementComment.aspx?elementName=Charter School Contract Renewal Date &amp;elementID=10634", "Click here to submit comment")</f>
        <v>Click here to submit comment</v>
      </c>
    </row>
    <row r="6" spans="1:14" ht="105" x14ac:dyDescent="0.25">
      <c r="A6" s="4" t="s">
        <v>1736</v>
      </c>
      <c r="B6" s="4" t="s">
        <v>1737</v>
      </c>
      <c r="C6" s="5" t="s">
        <v>6812</v>
      </c>
      <c r="D6" s="4" t="s">
        <v>6448</v>
      </c>
      <c r="E6" s="4" t="s">
        <v>1498</v>
      </c>
      <c r="F6" s="4"/>
      <c r="G6" s="4"/>
      <c r="H6" s="4"/>
      <c r="I6" s="4" t="s">
        <v>1738</v>
      </c>
      <c r="J6" s="4"/>
      <c r="K6" s="4" t="s">
        <v>1739</v>
      </c>
      <c r="L6" s="4" t="s">
        <v>222</v>
      </c>
      <c r="M6" s="4" t="str">
        <f>HYPERLINK("https://ceds.ed.gov/cedselementdetails.aspx?termid=10631")</f>
        <v>https://ceds.ed.gov/cedselementdetails.aspx?termid=10631</v>
      </c>
      <c r="N6" s="4" t="str">
        <f>HYPERLINK("https://ceds.ed.gov/elementComment.aspx?elementName=Charter School Management Organization Type &amp;elementID=10631", "Click here to submit comment")</f>
        <v>Click here to submit comment</v>
      </c>
    </row>
    <row r="7" spans="1:14" ht="105" x14ac:dyDescent="0.25">
      <c r="A7" s="4" t="s">
        <v>2124</v>
      </c>
      <c r="B7" s="4" t="s">
        <v>2125</v>
      </c>
      <c r="C7" s="4" t="s">
        <v>12</v>
      </c>
      <c r="D7" s="4" t="s">
        <v>6484</v>
      </c>
      <c r="E7" s="4" t="s">
        <v>1498</v>
      </c>
      <c r="F7" s="4" t="s">
        <v>317</v>
      </c>
      <c r="G7" s="4"/>
      <c r="H7" s="4"/>
      <c r="I7" s="4" t="s">
        <v>2126</v>
      </c>
      <c r="J7" s="4"/>
      <c r="K7" s="4" t="s">
        <v>2127</v>
      </c>
      <c r="L7" s="4"/>
      <c r="M7" s="4" t="str">
        <f>HYPERLINK("https://ceds.ed.gov/cedselementdetails.aspx?termid=10636")</f>
        <v>https://ceds.ed.gov/cedselementdetails.aspx?termid=10636</v>
      </c>
      <c r="N7" s="4" t="str">
        <f>HYPERLINK("https://ceds.ed.gov/elementComment.aspx?elementName=Course Section Maximum Capacity &amp;elementID=10636", "Click here to submit comment")</f>
        <v>Click here to submit comment</v>
      </c>
    </row>
    <row r="8" spans="1:14" ht="270" x14ac:dyDescent="0.25">
      <c r="A8" s="4" t="s">
        <v>2425</v>
      </c>
      <c r="B8" s="4" t="s">
        <v>2426</v>
      </c>
      <c r="C8" s="5" t="s">
        <v>6873</v>
      </c>
      <c r="D8" s="4" t="s">
        <v>6510</v>
      </c>
      <c r="E8" s="4" t="s">
        <v>1498</v>
      </c>
      <c r="F8" s="4"/>
      <c r="G8" s="4"/>
      <c r="H8" s="7" t="s">
        <v>2427</v>
      </c>
      <c r="I8" s="4" t="s">
        <v>2428</v>
      </c>
      <c r="J8" s="4"/>
      <c r="K8" s="4" t="s">
        <v>2429</v>
      </c>
      <c r="L8" s="4"/>
      <c r="M8" s="4" t="str">
        <f>HYPERLINK("https://ceds.ed.gov/cedselementdetails.aspx?termid=10622")</f>
        <v>https://ceds.ed.gov/cedselementdetails.aspx?termid=10622</v>
      </c>
      <c r="N8" s="4" t="str">
        <f>HYPERLINK("https://ceds.ed.gov/elementComment.aspx?elementName=DQP Categories of Learning &amp;elementID=10622", "Click here to submit comment")</f>
        <v>Click here to submit comment</v>
      </c>
    </row>
    <row r="9" spans="1:14" ht="105" x14ac:dyDescent="0.25">
      <c r="A9" s="4" t="s">
        <v>2888</v>
      </c>
      <c r="B9" s="4" t="s">
        <v>2889</v>
      </c>
      <c r="C9" s="4" t="s">
        <v>12</v>
      </c>
      <c r="D9" s="4" t="s">
        <v>6536</v>
      </c>
      <c r="E9" s="4" t="s">
        <v>1498</v>
      </c>
      <c r="F9" s="4" t="s">
        <v>794</v>
      </c>
      <c r="G9" s="4"/>
      <c r="H9" s="4"/>
      <c r="I9" s="4" t="s">
        <v>2890</v>
      </c>
      <c r="J9" s="4"/>
      <c r="K9" s="4" t="s">
        <v>2891</v>
      </c>
      <c r="L9" s="4"/>
      <c r="M9" s="4" t="str">
        <f>HYPERLINK("https://ceds.ed.gov/cedselementdetails.aspx?termid=10626")</f>
        <v>https://ceds.ed.gov/cedselementdetails.aspx?termid=10626</v>
      </c>
      <c r="N9" s="4" t="str">
        <f>HYPERLINK("https://ceds.ed.gov/elementComment.aspx?elementName=Financial Account Program Name &amp;elementID=10626", "Click here to submit comment")</f>
        <v>Click here to submit comment</v>
      </c>
    </row>
    <row r="10" spans="1:14" ht="105" x14ac:dyDescent="0.25">
      <c r="A10" s="4" t="s">
        <v>2892</v>
      </c>
      <c r="B10" s="4" t="s">
        <v>2893</v>
      </c>
      <c r="C10" s="4" t="s">
        <v>12</v>
      </c>
      <c r="D10" s="4" t="s">
        <v>6536</v>
      </c>
      <c r="E10" s="4" t="s">
        <v>1498</v>
      </c>
      <c r="F10" s="4" t="s">
        <v>92</v>
      </c>
      <c r="G10" s="4"/>
      <c r="H10" s="4"/>
      <c r="I10" s="4" t="s">
        <v>2894</v>
      </c>
      <c r="J10" s="4"/>
      <c r="K10" s="4" t="s">
        <v>2895</v>
      </c>
      <c r="L10" s="4"/>
      <c r="M10" s="4" t="str">
        <f>HYPERLINK("https://ceds.ed.gov/cedselementdetails.aspx?termid=10627")</f>
        <v>https://ceds.ed.gov/cedselementdetails.aspx?termid=10627</v>
      </c>
      <c r="N10" s="4" t="str">
        <f>HYPERLINK("https://ceds.ed.gov/elementComment.aspx?elementName=Financial Account Program Number &amp;elementID=10627", "Click here to submit comment")</f>
        <v>Click here to submit comment</v>
      </c>
    </row>
    <row r="11" spans="1:14" ht="105" x14ac:dyDescent="0.25">
      <c r="A11" s="4" t="s">
        <v>2901</v>
      </c>
      <c r="B11" s="4" t="s">
        <v>2902</v>
      </c>
      <c r="C11" s="4" t="s">
        <v>12</v>
      </c>
      <c r="D11" s="4" t="s">
        <v>6536</v>
      </c>
      <c r="E11" s="4" t="s">
        <v>1498</v>
      </c>
      <c r="F11" s="4" t="s">
        <v>73</v>
      </c>
      <c r="G11" s="4"/>
      <c r="H11" s="4"/>
      <c r="I11" s="4" t="s">
        <v>2903</v>
      </c>
      <c r="J11" s="4"/>
      <c r="K11" s="4" t="s">
        <v>2904</v>
      </c>
      <c r="L11" s="4"/>
      <c r="M11" s="4" t="str">
        <f>HYPERLINK("https://ceds.ed.gov/cedselementdetails.aspx?termid=10629")</f>
        <v>https://ceds.ed.gov/cedselementdetails.aspx?termid=10629</v>
      </c>
      <c r="N11" s="4" t="str">
        <f>HYPERLINK("https://ceds.ed.gov/elementComment.aspx?elementName=Financial Accounting Date &amp;elementID=10629", "Click here to submit comment")</f>
        <v>Click here to submit comment</v>
      </c>
    </row>
    <row r="12" spans="1:14" ht="105" x14ac:dyDescent="0.25">
      <c r="A12" s="4" t="s">
        <v>2913</v>
      </c>
      <c r="B12" s="4" t="s">
        <v>2914</v>
      </c>
      <c r="C12" s="4" t="s">
        <v>12</v>
      </c>
      <c r="D12" s="4" t="s">
        <v>6536</v>
      </c>
      <c r="E12" s="4" t="s">
        <v>1498</v>
      </c>
      <c r="F12" s="4" t="s">
        <v>1554</v>
      </c>
      <c r="G12" s="4"/>
      <c r="H12" s="4" t="s">
        <v>2915</v>
      </c>
      <c r="I12" s="4" t="s">
        <v>2916</v>
      </c>
      <c r="J12" s="4"/>
      <c r="K12" s="4" t="s">
        <v>2917</v>
      </c>
      <c r="L12" s="4"/>
      <c r="M12" s="4" t="str">
        <f>HYPERLINK("https://ceds.ed.gov/cedselementdetails.aspx?termid=10625")</f>
        <v>https://ceds.ed.gov/cedselementdetails.aspx?termid=10625</v>
      </c>
      <c r="N12" s="4" t="str">
        <f>HYPERLINK("https://ceds.ed.gov/elementComment.aspx?elementName=Financial Accounting Period Encumbered Value &amp;elementID=10625", "Click here to submit comment")</f>
        <v>Click here to submit comment</v>
      </c>
    </row>
    <row r="13" spans="1:14" ht="135" x14ac:dyDescent="0.25">
      <c r="A13" s="4" t="s">
        <v>2918</v>
      </c>
      <c r="B13" s="4" t="s">
        <v>2919</v>
      </c>
      <c r="C13" s="4" t="s">
        <v>12</v>
      </c>
      <c r="D13" s="4" t="s">
        <v>6536</v>
      </c>
      <c r="E13" s="4" t="s">
        <v>1498</v>
      </c>
      <c r="F13" s="4" t="s">
        <v>1554</v>
      </c>
      <c r="G13" s="4"/>
      <c r="H13" s="4" t="s">
        <v>2920</v>
      </c>
      <c r="I13" s="4" t="s">
        <v>2921</v>
      </c>
      <c r="J13" s="4"/>
      <c r="K13" s="4" t="s">
        <v>2922</v>
      </c>
      <c r="L13" s="4"/>
      <c r="M13" s="4" t="str">
        <f>HYPERLINK("https://ceds.ed.gov/cedselementdetails.aspx?termid=10628")</f>
        <v>https://ceds.ed.gov/cedselementdetails.aspx?termid=10628</v>
      </c>
      <c r="N13" s="4" t="str">
        <f>HYPERLINK("https://ceds.ed.gov/elementComment.aspx?elementName=Financial Accounting Value &amp;elementID=10628", "Click here to submit comment")</f>
        <v>Click here to submit comment</v>
      </c>
    </row>
    <row r="14" spans="1:14" ht="105" x14ac:dyDescent="0.25">
      <c r="A14" s="4" t="s">
        <v>3026</v>
      </c>
      <c r="B14" s="4" t="s">
        <v>3027</v>
      </c>
      <c r="C14" s="4" t="s">
        <v>12</v>
      </c>
      <c r="D14" s="4" t="s">
        <v>6536</v>
      </c>
      <c r="E14" s="4" t="s">
        <v>1498</v>
      </c>
      <c r="F14" s="4" t="s">
        <v>73</v>
      </c>
      <c r="G14" s="4"/>
      <c r="H14" s="4"/>
      <c r="I14" s="4" t="s">
        <v>3028</v>
      </c>
      <c r="J14" s="4"/>
      <c r="K14" s="4" t="s">
        <v>3029</v>
      </c>
      <c r="L14" s="4"/>
      <c r="M14" s="4" t="str">
        <f>HYPERLINK("https://ceds.ed.gov/cedselementdetails.aspx?termid=10623")</f>
        <v>https://ceds.ed.gov/cedselementdetails.aspx?termid=10623</v>
      </c>
      <c r="N14" s="4" t="str">
        <f>HYPERLINK("https://ceds.ed.gov/elementComment.aspx?elementName=Fiscal Period Begin Date &amp;elementID=10623", "Click here to submit comment")</f>
        <v>Click here to submit comment</v>
      </c>
    </row>
    <row r="15" spans="1:14" ht="105" x14ac:dyDescent="0.25">
      <c r="A15" s="4" t="s">
        <v>3030</v>
      </c>
      <c r="B15" s="4" t="s">
        <v>3031</v>
      </c>
      <c r="C15" s="4" t="s">
        <v>12</v>
      </c>
      <c r="D15" s="4" t="s">
        <v>6536</v>
      </c>
      <c r="E15" s="4" t="s">
        <v>1498</v>
      </c>
      <c r="F15" s="4" t="s">
        <v>73</v>
      </c>
      <c r="G15" s="4"/>
      <c r="H15" s="4"/>
      <c r="I15" s="4" t="s">
        <v>3032</v>
      </c>
      <c r="J15" s="4"/>
      <c r="K15" s="4" t="s">
        <v>3033</v>
      </c>
      <c r="L15" s="4"/>
      <c r="M15" s="4" t="str">
        <f>HYPERLINK("https://ceds.ed.gov/cedselementdetails.aspx?termid=10624")</f>
        <v>https://ceds.ed.gov/cedselementdetails.aspx?termid=10624</v>
      </c>
      <c r="N15" s="4" t="str">
        <f>HYPERLINK("https://ceds.ed.gov/elementComment.aspx?elementName=Fiscal Period End Date &amp;elementID=10624", "Click here to submit comment")</f>
        <v>Click here to submit comment</v>
      </c>
    </row>
    <row r="16" spans="1:14" ht="105" x14ac:dyDescent="0.25">
      <c r="A16" s="4" t="s">
        <v>3034</v>
      </c>
      <c r="B16" s="4" t="s">
        <v>3035</v>
      </c>
      <c r="C16" s="4" t="s">
        <v>12</v>
      </c>
      <c r="D16" s="4" t="s">
        <v>6536</v>
      </c>
      <c r="E16" s="4" t="s">
        <v>1498</v>
      </c>
      <c r="F16" s="4" t="s">
        <v>1861</v>
      </c>
      <c r="G16" s="4"/>
      <c r="H16" s="4"/>
      <c r="I16" s="4" t="s">
        <v>3036</v>
      </c>
      <c r="J16" s="4"/>
      <c r="K16" s="4" t="s">
        <v>3037</v>
      </c>
      <c r="L16" s="4"/>
      <c r="M16" s="4" t="str">
        <f>HYPERLINK("https://ceds.ed.gov/cedselementdetails.aspx?termid=10620")</f>
        <v>https://ceds.ed.gov/cedselementdetails.aspx?termid=10620</v>
      </c>
      <c r="N16" s="4" t="str">
        <f>HYPERLINK("https://ceds.ed.gov/elementComment.aspx?elementName=Fiscal Year &amp;elementID=10620", "Click here to submit comment")</f>
        <v>Click here to submit comment</v>
      </c>
    </row>
    <row r="17" spans="1:14" ht="90" x14ac:dyDescent="0.25">
      <c r="A17" s="4" t="s">
        <v>3297</v>
      </c>
      <c r="B17" s="4" t="s">
        <v>3298</v>
      </c>
      <c r="C17" s="5" t="s">
        <v>6957</v>
      </c>
      <c r="D17" s="4" t="s">
        <v>3278</v>
      </c>
      <c r="E17" s="4" t="s">
        <v>1498</v>
      </c>
      <c r="F17" s="4"/>
      <c r="G17" s="4"/>
      <c r="H17" s="7" t="s">
        <v>3299</v>
      </c>
      <c r="I17" s="4" t="s">
        <v>3300</v>
      </c>
      <c r="J17" s="4"/>
      <c r="K17" s="4" t="s">
        <v>3301</v>
      </c>
      <c r="L17" s="4"/>
      <c r="M17" s="4" t="str">
        <f>HYPERLINK("https://ceds.ed.gov/cedselementdetails.aspx?termid=10637")</f>
        <v>https://ceds.ed.gov/cedselementdetails.aspx?termid=10637</v>
      </c>
      <c r="N17" s="4" t="str">
        <f>HYPERLINK("https://ceds.ed.gov/elementComment.aspx?elementName=IDEA Part C Eligibility Category &amp;elementID=10637", "Click here to submit comment")</f>
        <v>Click here to submit comment</v>
      </c>
    </row>
    <row r="18" spans="1:14" ht="135" x14ac:dyDescent="0.25">
      <c r="A18" s="4" t="s">
        <v>3635</v>
      </c>
      <c r="B18" s="4" t="s">
        <v>3632</v>
      </c>
      <c r="C18" s="7" t="s">
        <v>3636</v>
      </c>
      <c r="D18" s="4" t="s">
        <v>6576</v>
      </c>
      <c r="E18" s="4" t="s">
        <v>1498</v>
      </c>
      <c r="F18" s="4"/>
      <c r="G18" s="4"/>
      <c r="H18" s="7" t="s">
        <v>3637</v>
      </c>
      <c r="I18" s="4" t="s">
        <v>3638</v>
      </c>
      <c r="J18" s="4"/>
      <c r="K18" s="4" t="s">
        <v>3639</v>
      </c>
      <c r="L18" s="4"/>
      <c r="M18" s="4" t="str">
        <f>HYPERLINK("https://ceds.ed.gov/cedselementdetails.aspx?termid=10618")</f>
        <v>https://ceds.ed.gov/cedselementdetails.aspx?termid=10618</v>
      </c>
      <c r="N18" s="4" t="str">
        <f>HYPERLINK("https://ceds.ed.gov/elementComment.aspx?elementName=ISO 639-3 Language Code &amp;elementID=10618", "Click here to submit comment")</f>
        <v>Click here to submit comment</v>
      </c>
    </row>
    <row r="19" spans="1:14" ht="409.5" x14ac:dyDescent="0.25">
      <c r="A19" s="4" t="s">
        <v>3640</v>
      </c>
      <c r="B19" s="4" t="s">
        <v>3641</v>
      </c>
      <c r="C19" s="5" t="s">
        <v>6983</v>
      </c>
      <c r="D19" s="4" t="s">
        <v>6576</v>
      </c>
      <c r="E19" s="4" t="s">
        <v>1498</v>
      </c>
      <c r="F19" s="4"/>
      <c r="G19" s="4"/>
      <c r="H19" s="7" t="s">
        <v>3642</v>
      </c>
      <c r="I19" s="4" t="s">
        <v>3643</v>
      </c>
      <c r="J19" s="4"/>
      <c r="K19" s="4" t="s">
        <v>3644</v>
      </c>
      <c r="L19" s="4"/>
      <c r="M19" s="4" t="str">
        <f>HYPERLINK("https://ceds.ed.gov/cedselementdetails.aspx?termid=10619")</f>
        <v>https://ceds.ed.gov/cedselementdetails.aspx?termid=10619</v>
      </c>
      <c r="N19" s="4" t="str">
        <f>HYPERLINK("https://ceds.ed.gov/elementComment.aspx?elementName=ISO 639-5 Language Family &amp;elementID=10619", "Click here to submit comment")</f>
        <v>Click here to submit comment</v>
      </c>
    </row>
    <row r="20" spans="1:14" ht="150" x14ac:dyDescent="0.25">
      <c r="A20" s="4" t="s">
        <v>4476</v>
      </c>
      <c r="B20" s="4" t="s">
        <v>4477</v>
      </c>
      <c r="C20" s="5" t="s">
        <v>7035</v>
      </c>
      <c r="D20" s="4" t="s">
        <v>6602</v>
      </c>
      <c r="E20" s="4" t="s">
        <v>1498</v>
      </c>
      <c r="F20" s="4"/>
      <c r="G20" s="4"/>
      <c r="H20" s="4"/>
      <c r="I20" s="4" t="s">
        <v>4478</v>
      </c>
      <c r="J20" s="4"/>
      <c r="K20" s="4" t="s">
        <v>4479</v>
      </c>
      <c r="L20" s="4"/>
      <c r="M20" s="4" t="str">
        <f>HYPERLINK("https://ceds.ed.gov/cedselementdetails.aspx?termid=10621")</f>
        <v>https://ceds.ed.gov/cedselementdetails.aspx?termid=10621</v>
      </c>
      <c r="N20" s="4" t="str">
        <f>HYPERLINK("https://ceds.ed.gov/elementComment.aspx?elementName=Military Branch &amp;elementID=10621", "Click here to submit comment")</f>
        <v>Click here to submit comment</v>
      </c>
    </row>
    <row r="21" spans="1:14" ht="75" x14ac:dyDescent="0.25">
      <c r="A21" s="4" t="s">
        <v>4531</v>
      </c>
      <c r="B21" s="4" t="s">
        <v>4532</v>
      </c>
      <c r="C21" s="4" t="s">
        <v>6364</v>
      </c>
      <c r="D21" s="4" t="s">
        <v>2630</v>
      </c>
      <c r="E21" s="4" t="s">
        <v>1498</v>
      </c>
      <c r="F21" s="4"/>
      <c r="G21" s="4"/>
      <c r="H21" s="4" t="s">
        <v>4533</v>
      </c>
      <c r="I21" s="4" t="s">
        <v>4534</v>
      </c>
      <c r="J21" s="4"/>
      <c r="K21" s="4" t="s">
        <v>4535</v>
      </c>
      <c r="L21" s="4" t="s">
        <v>222</v>
      </c>
      <c r="M21" s="4" t="str">
        <f>HYPERLINK("https://ceds.ed.gov/cedselementdetails.aspx?termid=10635")</f>
        <v>https://ceds.ed.gov/cedselementdetails.aspx?termid=10635</v>
      </c>
      <c r="N21" s="4" t="str">
        <f>HYPERLINK("https://ceds.ed.gov/elementComment.aspx?elementName=National School Lunch Program Direct Certification Indicator &amp;elementID=10635", "Click here to submit comment")</f>
        <v>Click here to submit comment</v>
      </c>
    </row>
    <row r="22" spans="1:14" ht="409.5" x14ac:dyDescent="0.25">
      <c r="A22" s="18" t="s">
        <v>6228</v>
      </c>
      <c r="B22" s="18" t="s">
        <v>6229</v>
      </c>
      <c r="C22" s="6" t="s">
        <v>7158</v>
      </c>
      <c r="D22" s="18" t="s">
        <v>1801</v>
      </c>
      <c r="E22" s="18" t="s">
        <v>1498</v>
      </c>
      <c r="F22" s="18"/>
      <c r="G22" s="18"/>
      <c r="H22" s="18"/>
      <c r="I22" s="18" t="s">
        <v>6230</v>
      </c>
      <c r="J22" s="18"/>
      <c r="K22" s="18" t="s">
        <v>6231</v>
      </c>
      <c r="L22" s="18"/>
      <c r="M22" s="18" t="str">
        <f>HYPERLINK("https://ceds.ed.gov/cedselementdetails.aspx?termid=10638")</f>
        <v>https://ceds.ed.gov/cedselementdetails.aspx?termid=10638</v>
      </c>
      <c r="N22" s="18" t="str">
        <f>HYPERLINK("https://ceds.ed.gov/elementComment.aspx?elementName=Tribal Affiliation &amp;elementID=10638", "Click here to submit comment")</f>
        <v>Click here to submit comment</v>
      </c>
    </row>
    <row r="23" spans="1:14" ht="409.5" x14ac:dyDescent="0.25">
      <c r="A23" s="19"/>
      <c r="B23" s="19"/>
      <c r="C23" s="6" t="s">
        <v>7159</v>
      </c>
      <c r="D23" s="19"/>
      <c r="E23" s="19"/>
      <c r="F23" s="19"/>
      <c r="G23" s="19"/>
      <c r="H23" s="19"/>
      <c r="I23" s="19"/>
      <c r="J23" s="19"/>
      <c r="K23" s="19"/>
      <c r="L23" s="19"/>
      <c r="M23" s="19"/>
      <c r="N23" s="19"/>
    </row>
    <row r="24" spans="1:14" ht="409.5" x14ac:dyDescent="0.25">
      <c r="A24" s="19"/>
      <c r="B24" s="19"/>
      <c r="C24" s="6" t="s">
        <v>7160</v>
      </c>
      <c r="D24" s="19"/>
      <c r="E24" s="19"/>
      <c r="F24" s="19"/>
      <c r="G24" s="19"/>
      <c r="H24" s="19"/>
      <c r="I24" s="19"/>
      <c r="J24" s="19"/>
      <c r="K24" s="19"/>
      <c r="L24" s="19"/>
      <c r="M24" s="19"/>
      <c r="N24" s="19"/>
    </row>
    <row r="25" spans="1:14" ht="409.5" x14ac:dyDescent="0.25">
      <c r="A25" s="19"/>
      <c r="B25" s="19"/>
      <c r="C25" s="6" t="s">
        <v>7161</v>
      </c>
      <c r="D25" s="19"/>
      <c r="E25" s="19"/>
      <c r="F25" s="19"/>
      <c r="G25" s="19"/>
      <c r="H25" s="19"/>
      <c r="I25" s="19"/>
      <c r="J25" s="19"/>
      <c r="K25" s="19"/>
      <c r="L25" s="19"/>
      <c r="M25" s="19"/>
      <c r="N25" s="19"/>
    </row>
    <row r="26" spans="1:14" ht="409.5" x14ac:dyDescent="0.25">
      <c r="A26" s="19"/>
      <c r="B26" s="19"/>
      <c r="C26" s="6" t="s">
        <v>7162</v>
      </c>
      <c r="D26" s="19"/>
      <c r="E26" s="19"/>
      <c r="F26" s="19"/>
      <c r="G26" s="19"/>
      <c r="H26" s="19"/>
      <c r="I26" s="19"/>
      <c r="J26" s="19"/>
      <c r="K26" s="19"/>
      <c r="L26" s="19"/>
      <c r="M26" s="19"/>
      <c r="N26" s="19"/>
    </row>
    <row r="27" spans="1:14" ht="409.5" x14ac:dyDescent="0.25">
      <c r="A27" s="19"/>
      <c r="B27" s="19"/>
      <c r="C27" s="6" t="s">
        <v>7163</v>
      </c>
      <c r="D27" s="19"/>
      <c r="E27" s="19"/>
      <c r="F27" s="19"/>
      <c r="G27" s="19"/>
      <c r="H27" s="19"/>
      <c r="I27" s="19"/>
      <c r="J27" s="19"/>
      <c r="K27" s="19"/>
      <c r="L27" s="19"/>
      <c r="M27" s="19"/>
      <c r="N27" s="19"/>
    </row>
    <row r="28" spans="1:14" ht="409.5" x14ac:dyDescent="0.25">
      <c r="A28" s="19"/>
      <c r="B28" s="19"/>
      <c r="C28" s="6" t="s">
        <v>7164</v>
      </c>
      <c r="D28" s="19"/>
      <c r="E28" s="19"/>
      <c r="F28" s="19"/>
      <c r="G28" s="19"/>
      <c r="H28" s="19"/>
      <c r="I28" s="19"/>
      <c r="J28" s="19"/>
      <c r="K28" s="19"/>
      <c r="L28" s="19"/>
      <c r="M28" s="19"/>
      <c r="N28" s="19"/>
    </row>
    <row r="29" spans="1:14" ht="409.5" x14ac:dyDescent="0.25">
      <c r="A29" s="19"/>
      <c r="B29" s="19"/>
      <c r="C29" s="6" t="s">
        <v>7165</v>
      </c>
      <c r="D29" s="19"/>
      <c r="E29" s="19"/>
      <c r="F29" s="19"/>
      <c r="G29" s="19"/>
      <c r="H29" s="19"/>
      <c r="I29" s="19"/>
      <c r="J29" s="19"/>
      <c r="K29" s="19"/>
      <c r="L29" s="19"/>
      <c r="M29" s="19"/>
      <c r="N29" s="19"/>
    </row>
    <row r="30" spans="1:14" ht="409.5" x14ac:dyDescent="0.25">
      <c r="A30" s="19"/>
      <c r="B30" s="19"/>
      <c r="C30" s="6" t="s">
        <v>7166</v>
      </c>
      <c r="D30" s="19"/>
      <c r="E30" s="19"/>
      <c r="F30" s="19"/>
      <c r="G30" s="19"/>
      <c r="H30" s="19"/>
      <c r="I30" s="19"/>
      <c r="J30" s="19"/>
      <c r="K30" s="19"/>
      <c r="L30" s="19"/>
      <c r="M30" s="19"/>
      <c r="N30" s="19"/>
    </row>
    <row r="31" spans="1:14" ht="409.5" x14ac:dyDescent="0.25">
      <c r="A31" s="19"/>
      <c r="B31" s="19"/>
      <c r="C31" s="6" t="s">
        <v>7167</v>
      </c>
      <c r="D31" s="19"/>
      <c r="E31" s="19"/>
      <c r="F31" s="19"/>
      <c r="G31" s="19"/>
      <c r="H31" s="19"/>
      <c r="I31" s="19"/>
      <c r="J31" s="19"/>
      <c r="K31" s="19"/>
      <c r="L31" s="19"/>
      <c r="M31" s="19"/>
      <c r="N31" s="19"/>
    </row>
    <row r="32" spans="1:14" ht="409.5" x14ac:dyDescent="0.25">
      <c r="A32" s="19"/>
      <c r="B32" s="19"/>
      <c r="C32" s="6" t="s">
        <v>7168</v>
      </c>
      <c r="D32" s="19"/>
      <c r="E32" s="19"/>
      <c r="F32" s="19"/>
      <c r="G32" s="19"/>
      <c r="H32" s="19"/>
      <c r="I32" s="19"/>
      <c r="J32" s="19"/>
      <c r="K32" s="19"/>
      <c r="L32" s="19"/>
      <c r="M32" s="19"/>
      <c r="N32" s="19"/>
    </row>
  </sheetData>
  <autoFilter ref="A1:N32"/>
  <mergeCells count="13">
    <mergeCell ref="N22:N32"/>
    <mergeCell ref="H22:H32"/>
    <mergeCell ref="I22:I32"/>
    <mergeCell ref="J22:J32"/>
    <mergeCell ref="K22:K32"/>
    <mergeCell ref="L22:L32"/>
    <mergeCell ref="M22:M32"/>
    <mergeCell ref="G22:G32"/>
    <mergeCell ref="A22:A32"/>
    <mergeCell ref="B22:B32"/>
    <mergeCell ref="D22:D32"/>
    <mergeCell ref="E22:E32"/>
    <mergeCell ref="F22:F32"/>
  </mergeCells>
  <hyperlinks>
    <hyperlink ref="H8" r:id="rId1" display="http://degreeprofile.org/"/>
    <hyperlink ref="H17" r:id="rId2"/>
    <hyperlink ref="C18" r:id="rId3" display="iso639-3LanguageCode.aspx"/>
    <hyperlink ref="H18" r:id="rId4" display="http://www-01.sil.org/iso639-3/default.asp"/>
    <hyperlink ref="H19" r:id="rId5" display="http://www.loc.gov/standards/iso639-5/index.html"/>
  </hyperlinks>
  <pageMargins left="0.75" right="0.75" top="1" bottom="1" header="0.5" footer="0.5"/>
  <pageSetup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65"/>
  <sheetViews>
    <sheetView showGridLines="0" workbookViewId="0">
      <selection activeCell="A2" sqref="A2"/>
    </sheetView>
  </sheetViews>
  <sheetFormatPr defaultRowHeight="15" x14ac:dyDescent="0.25"/>
  <cols>
    <col min="1" max="4" width="36.5703125" bestFit="1" customWidth="1"/>
    <col min="5" max="5" width="9.42578125" bestFit="1" customWidth="1"/>
    <col min="6" max="6" width="36.5703125" bestFit="1" customWidth="1"/>
    <col min="7" max="7" width="32.42578125" customWidth="1"/>
    <col min="8" max="8" width="36.5703125" bestFit="1" customWidth="1"/>
    <col min="9" max="9" width="11.42578125" bestFit="1" customWidth="1"/>
    <col min="10" max="10" width="36.5703125" bestFit="1" customWidth="1"/>
    <col min="11" max="11" width="40.85546875" bestFit="1" customWidth="1"/>
    <col min="12" max="12" width="44.5703125" bestFit="1" customWidth="1"/>
    <col min="13" max="13" width="27.85546875" customWidth="1"/>
    <col min="14" max="14" width="24.5703125" bestFit="1" customWidth="1"/>
  </cols>
  <sheetData>
    <row r="1" spans="1:14" s="3" customFormat="1" x14ac:dyDescent="0.25">
      <c r="A1" s="1" t="s">
        <v>6703</v>
      </c>
      <c r="B1" s="1" t="s">
        <v>6704</v>
      </c>
      <c r="C1" s="1" t="s">
        <v>6705</v>
      </c>
      <c r="D1" s="1" t="s">
        <v>6706</v>
      </c>
      <c r="E1" s="1" t="s">
        <v>6707</v>
      </c>
      <c r="F1" s="1" t="s">
        <v>6708</v>
      </c>
      <c r="G1" s="1" t="s">
        <v>6709</v>
      </c>
      <c r="H1" s="1" t="s">
        <v>6710</v>
      </c>
      <c r="I1" s="2" t="s">
        <v>6711</v>
      </c>
      <c r="J1" s="1" t="s">
        <v>6712</v>
      </c>
      <c r="K1" s="1" t="s">
        <v>6713</v>
      </c>
      <c r="L1" s="1" t="s">
        <v>6714</v>
      </c>
      <c r="M1" s="1" t="s">
        <v>6715</v>
      </c>
      <c r="N1" s="1" t="s">
        <v>6716</v>
      </c>
    </row>
    <row r="2" spans="1:14" ht="285" x14ac:dyDescent="0.25">
      <c r="A2" s="4" t="s">
        <v>96</v>
      </c>
      <c r="B2" s="4" t="s">
        <v>97</v>
      </c>
      <c r="C2" s="4" t="s">
        <v>12</v>
      </c>
      <c r="D2" s="4" t="s">
        <v>6373</v>
      </c>
      <c r="E2" s="4" t="s">
        <v>98</v>
      </c>
      <c r="F2" s="4" t="s">
        <v>99</v>
      </c>
      <c r="G2" s="4"/>
      <c r="H2" s="4" t="s">
        <v>100</v>
      </c>
      <c r="I2" s="4" t="s">
        <v>101</v>
      </c>
      <c r="J2" s="4"/>
      <c r="K2" s="4" t="s">
        <v>102</v>
      </c>
      <c r="L2" s="4"/>
      <c r="M2" s="4" t="str">
        <f>HYPERLINK("https://ceds.ed.gov/cedselementdetails.aspx?termid=9892")</f>
        <v>https://ceds.ed.gov/cedselementdetails.aspx?termid=9892</v>
      </c>
      <c r="N2" s="4" t="str">
        <f>HYPERLINK("https://ceds.ed.gov/elementComment.aspx?elementName=Achievement Category Type &amp;elementID=9892", "Click here to submit comment")</f>
        <v>Click here to submit comment</v>
      </c>
    </row>
    <row r="3" spans="1:14" ht="60" x14ac:dyDescent="0.25">
      <c r="A3" s="18" t="s">
        <v>508</v>
      </c>
      <c r="B3" s="18" t="s">
        <v>509</v>
      </c>
      <c r="C3" s="20" t="s">
        <v>6757</v>
      </c>
      <c r="D3" s="18" t="s">
        <v>6400</v>
      </c>
      <c r="E3" s="18" t="s">
        <v>98</v>
      </c>
      <c r="F3" s="18"/>
      <c r="G3" s="18"/>
      <c r="H3" s="4" t="s">
        <v>510</v>
      </c>
      <c r="I3" s="18" t="s">
        <v>515</v>
      </c>
      <c r="J3" s="18"/>
      <c r="K3" s="18" t="s">
        <v>516</v>
      </c>
      <c r="L3" s="18" t="s">
        <v>6401</v>
      </c>
      <c r="M3" s="18" t="str">
        <f>HYPERLINK("https://ceds.ed.gov/cedselementdetails.aspx?termid=10003")</f>
        <v>https://ceds.ed.gov/cedselementdetails.aspx?termid=10003</v>
      </c>
      <c r="N3" s="18" t="str">
        <f>HYPERLINK("https://ceds.ed.gov/elementComment.aspx?elementName=Assessment Early Learning Developmental Domain &amp;elementID=10003", "Click here to submit comment")</f>
        <v>Click here to submit comment</v>
      </c>
    </row>
    <row r="4" spans="1:14" x14ac:dyDescent="0.25">
      <c r="A4" s="18"/>
      <c r="B4" s="18"/>
      <c r="C4" s="18"/>
      <c r="D4" s="18"/>
      <c r="E4" s="18"/>
      <c r="F4" s="18"/>
      <c r="G4" s="18"/>
      <c r="H4" s="4"/>
      <c r="I4" s="18"/>
      <c r="J4" s="18"/>
      <c r="K4" s="18"/>
      <c r="L4" s="18"/>
      <c r="M4" s="18"/>
      <c r="N4" s="18"/>
    </row>
    <row r="5" spans="1:14" ht="30" x14ac:dyDescent="0.25">
      <c r="A5" s="18"/>
      <c r="B5" s="18"/>
      <c r="C5" s="18"/>
      <c r="D5" s="18"/>
      <c r="E5" s="18"/>
      <c r="F5" s="18"/>
      <c r="G5" s="18"/>
      <c r="H5" s="4" t="s">
        <v>511</v>
      </c>
      <c r="I5" s="18"/>
      <c r="J5" s="18"/>
      <c r="K5" s="18"/>
      <c r="L5" s="18"/>
      <c r="M5" s="18"/>
      <c r="N5" s="18"/>
    </row>
    <row r="6" spans="1:14" ht="45" x14ac:dyDescent="0.25">
      <c r="A6" s="18"/>
      <c r="B6" s="18"/>
      <c r="C6" s="18"/>
      <c r="D6" s="18"/>
      <c r="E6" s="18"/>
      <c r="F6" s="18"/>
      <c r="G6" s="18"/>
      <c r="H6" s="4" t="s">
        <v>512</v>
      </c>
      <c r="I6" s="18"/>
      <c r="J6" s="18"/>
      <c r="K6" s="18"/>
      <c r="L6" s="18"/>
      <c r="M6" s="18"/>
      <c r="N6" s="18"/>
    </row>
    <row r="7" spans="1:14" ht="75" x14ac:dyDescent="0.25">
      <c r="A7" s="18"/>
      <c r="B7" s="18"/>
      <c r="C7" s="18"/>
      <c r="D7" s="18"/>
      <c r="E7" s="18"/>
      <c r="F7" s="18"/>
      <c r="G7" s="18"/>
      <c r="H7" s="4" t="s">
        <v>513</v>
      </c>
      <c r="I7" s="18"/>
      <c r="J7" s="18"/>
      <c r="K7" s="18"/>
      <c r="L7" s="18"/>
      <c r="M7" s="18"/>
      <c r="N7" s="18"/>
    </row>
    <row r="8" spans="1:14" x14ac:dyDescent="0.25">
      <c r="A8" s="18"/>
      <c r="B8" s="18"/>
      <c r="C8" s="18"/>
      <c r="D8" s="18"/>
      <c r="E8" s="18"/>
      <c r="F8" s="18"/>
      <c r="G8" s="18"/>
      <c r="H8" s="4"/>
      <c r="I8" s="18"/>
      <c r="J8" s="18"/>
      <c r="K8" s="18"/>
      <c r="L8" s="18"/>
      <c r="M8" s="18"/>
      <c r="N8" s="18"/>
    </row>
    <row r="9" spans="1:14" ht="105" x14ac:dyDescent="0.25">
      <c r="A9" s="18"/>
      <c r="B9" s="18"/>
      <c r="C9" s="18"/>
      <c r="D9" s="18"/>
      <c r="E9" s="18"/>
      <c r="F9" s="18"/>
      <c r="G9" s="18"/>
      <c r="H9" s="4" t="s">
        <v>514</v>
      </c>
      <c r="I9" s="18"/>
      <c r="J9" s="18"/>
      <c r="K9" s="18"/>
      <c r="L9" s="18"/>
      <c r="M9" s="18"/>
      <c r="N9" s="18"/>
    </row>
    <row r="10" spans="1:14" ht="90" x14ac:dyDescent="0.25">
      <c r="A10" s="4" t="s">
        <v>997</v>
      </c>
      <c r="B10" s="4" t="s">
        <v>998</v>
      </c>
      <c r="C10" s="7" t="s">
        <v>999</v>
      </c>
      <c r="D10" s="4" t="s">
        <v>529</v>
      </c>
      <c r="E10" s="4" t="s">
        <v>98</v>
      </c>
      <c r="F10" s="4"/>
      <c r="G10" s="4"/>
      <c r="H10" s="7" t="s">
        <v>1000</v>
      </c>
      <c r="I10" s="4" t="s">
        <v>1001</v>
      </c>
      <c r="J10" s="4"/>
      <c r="K10" s="4" t="s">
        <v>1002</v>
      </c>
      <c r="L10" s="4"/>
      <c r="M10" s="4" t="str">
        <f>HYPERLINK("https://ceds.ed.gov/cedselementdetails.aspx?termid=10073")</f>
        <v>https://ceds.ed.gov/cedselementdetails.aspx?termid=10073</v>
      </c>
      <c r="N10" s="4" t="str">
        <f>HYPERLINK("https://ceds.ed.gov/elementComment.aspx?elementName=Assessment Language &amp;elementID=10073", "Click here to submit comment")</f>
        <v>Click here to submit comment</v>
      </c>
    </row>
    <row r="11" spans="1:14" ht="90" x14ac:dyDescent="0.25">
      <c r="A11" s="4" t="s">
        <v>1056</v>
      </c>
      <c r="B11" s="4" t="s">
        <v>1057</v>
      </c>
      <c r="C11" s="7" t="s">
        <v>999</v>
      </c>
      <c r="D11" s="4" t="s">
        <v>1009</v>
      </c>
      <c r="E11" s="4" t="s">
        <v>98</v>
      </c>
      <c r="F11" s="4"/>
      <c r="G11" s="4"/>
      <c r="H11" s="7" t="s">
        <v>1000</v>
      </c>
      <c r="I11" s="4" t="s">
        <v>1058</v>
      </c>
      <c r="J11" s="4"/>
      <c r="K11" s="4" t="s">
        <v>1059</v>
      </c>
      <c r="L11" s="4"/>
      <c r="M11" s="4" t="str">
        <f>HYPERLINK("https://ceds.ed.gov/cedselementdetails.aspx?termid=10042")</f>
        <v>https://ceds.ed.gov/cedselementdetails.aspx?termid=10042</v>
      </c>
      <c r="N11" s="4" t="str">
        <f>HYPERLINK("https://ceds.ed.gov/elementComment.aspx?elementName=Assessment Need Item Translation Display Language Type &amp;elementID=10042", "Click here to submit comment")</f>
        <v>Click here to submit comment</v>
      </c>
    </row>
    <row r="12" spans="1:14" ht="90" x14ac:dyDescent="0.25">
      <c r="A12" s="4" t="s">
        <v>1060</v>
      </c>
      <c r="B12" s="4" t="s">
        <v>1061</v>
      </c>
      <c r="C12" s="7" t="s">
        <v>999</v>
      </c>
      <c r="D12" s="4" t="s">
        <v>1009</v>
      </c>
      <c r="E12" s="4" t="s">
        <v>98</v>
      </c>
      <c r="F12" s="4"/>
      <c r="G12" s="4"/>
      <c r="H12" s="7" t="s">
        <v>1000</v>
      </c>
      <c r="I12" s="4" t="s">
        <v>1062</v>
      </c>
      <c r="J12" s="4"/>
      <c r="K12" s="4" t="s">
        <v>1063</v>
      </c>
      <c r="L12" s="4"/>
      <c r="M12" s="4" t="str">
        <f>HYPERLINK("https://ceds.ed.gov/cedselementdetails.aspx?termid=10043")</f>
        <v>https://ceds.ed.gov/cedselementdetails.aspx?termid=10043</v>
      </c>
      <c r="N12" s="4" t="str">
        <f>HYPERLINK("https://ceds.ed.gov/elementComment.aspx?elementName=Assessment Need Keyword Translation Language Type &amp;elementID=10043", "Click here to submit comment")</f>
        <v>Click here to submit comment</v>
      </c>
    </row>
    <row r="13" spans="1:14" ht="90" x14ac:dyDescent="0.25">
      <c r="A13" s="4" t="s">
        <v>1064</v>
      </c>
      <c r="B13" s="4" t="s">
        <v>1065</v>
      </c>
      <c r="C13" s="7" t="s">
        <v>999</v>
      </c>
      <c r="D13" s="4" t="s">
        <v>1066</v>
      </c>
      <c r="E13" s="4" t="s">
        <v>98</v>
      </c>
      <c r="F13" s="4"/>
      <c r="G13" s="4"/>
      <c r="H13" s="7" t="s">
        <v>1000</v>
      </c>
      <c r="I13" s="4" t="s">
        <v>1067</v>
      </c>
      <c r="J13" s="4"/>
      <c r="K13" s="4" t="s">
        <v>1068</v>
      </c>
      <c r="L13" s="4"/>
      <c r="M13" s="4" t="str">
        <f>HYPERLINK("https://ceds.ed.gov/cedselementdetails.aspx?termid=10025")</f>
        <v>https://ceds.ed.gov/cedselementdetails.aspx?termid=10025</v>
      </c>
      <c r="N13" s="4" t="str">
        <f>HYPERLINK("https://ceds.ed.gov/elementComment.aspx?elementName=Assessment Need Language Type &amp;elementID=10025", "Click here to submit comment")</f>
        <v>Click here to submit comment</v>
      </c>
    </row>
    <row r="14" spans="1:14" ht="90" x14ac:dyDescent="0.25">
      <c r="A14" s="4" t="s">
        <v>1169</v>
      </c>
      <c r="B14" s="4" t="s">
        <v>1170</v>
      </c>
      <c r="C14" s="7" t="s">
        <v>999</v>
      </c>
      <c r="D14" s="4" t="s">
        <v>418</v>
      </c>
      <c r="E14" s="4" t="s">
        <v>98</v>
      </c>
      <c r="F14" s="4"/>
      <c r="G14" s="4"/>
      <c r="H14" s="7" t="s">
        <v>1000</v>
      </c>
      <c r="I14" s="4" t="s">
        <v>1171</v>
      </c>
      <c r="J14" s="4"/>
      <c r="K14" s="4" t="s">
        <v>1172</v>
      </c>
      <c r="L14" s="4" t="s">
        <v>6397</v>
      </c>
      <c r="M14" s="4" t="str">
        <f>HYPERLINK("https://ceds.ed.gov/cedselementdetails.aspx?termid=9370")</f>
        <v>https://ceds.ed.gov/cedselementdetails.aspx?termid=9370</v>
      </c>
      <c r="N14" s="4" t="str">
        <f>HYPERLINK("https://ceds.ed.gov/elementComment.aspx?elementName=Assessment Participant Session Language &amp;elementID=9370", "Click here to submit comment")</f>
        <v>Click here to submit comment</v>
      </c>
    </row>
    <row r="15" spans="1:14" ht="165" x14ac:dyDescent="0.25">
      <c r="A15" s="4" t="s">
        <v>1505</v>
      </c>
      <c r="B15" s="4" t="s">
        <v>1506</v>
      </c>
      <c r="C15" s="5" t="s">
        <v>6799</v>
      </c>
      <c r="D15" s="4" t="s">
        <v>6427</v>
      </c>
      <c r="E15" s="4" t="s">
        <v>98</v>
      </c>
      <c r="F15" s="4"/>
      <c r="G15" s="4"/>
      <c r="H15" s="4"/>
      <c r="I15" s="4" t="s">
        <v>1507</v>
      </c>
      <c r="J15" s="4"/>
      <c r="K15" s="4" t="s">
        <v>1508</v>
      </c>
      <c r="L15" s="4"/>
      <c r="M15" s="4" t="str">
        <f>HYPERLINK("https://ceds.ed.gov/cedselementdetails.aspx?termid=9076")</f>
        <v>https://ceds.ed.gov/cedselementdetails.aspx?termid=9076</v>
      </c>
      <c r="N15" s="4" t="str">
        <f>HYPERLINK("https://ceds.ed.gov/elementComment.aspx?elementName=Attendance Status &amp;elementID=9076", "Click here to submit comment")</f>
        <v>Click here to submit comment</v>
      </c>
    </row>
    <row r="16" spans="1:14" ht="45" x14ac:dyDescent="0.25">
      <c r="A16" s="4" t="s">
        <v>1615</v>
      </c>
      <c r="B16" s="4" t="s">
        <v>1616</v>
      </c>
      <c r="C16" s="4" t="s">
        <v>12</v>
      </c>
      <c r="D16" s="4" t="s">
        <v>1617</v>
      </c>
      <c r="E16" s="4" t="s">
        <v>98</v>
      </c>
      <c r="F16" s="4" t="s">
        <v>73</v>
      </c>
      <c r="G16" s="4"/>
      <c r="H16" s="4"/>
      <c r="I16" s="4" t="s">
        <v>1618</v>
      </c>
      <c r="J16" s="4"/>
      <c r="K16" s="4" t="s">
        <v>1619</v>
      </c>
      <c r="L16" s="4"/>
      <c r="M16" s="4" t="str">
        <f>HYPERLINK("https://ceds.ed.gov/cedselementdetails.aspx?termid=10241")</f>
        <v>https://ceds.ed.gov/cedselementdetails.aspx?termid=10241</v>
      </c>
      <c r="N16" s="4" t="str">
        <f>HYPERLINK("https://ceds.ed.gov/elementComment.aspx?elementName=Calendar Event Date &amp;elementID=10241", "Click here to submit comment")</f>
        <v>Click here to submit comment</v>
      </c>
    </row>
    <row r="17" spans="1:14" ht="90" x14ac:dyDescent="0.25">
      <c r="A17" s="4" t="s">
        <v>1639</v>
      </c>
      <c r="B17" s="4" t="s">
        <v>1640</v>
      </c>
      <c r="C17" s="4" t="s">
        <v>6364</v>
      </c>
      <c r="D17" s="4" t="s">
        <v>6436</v>
      </c>
      <c r="E17" s="4" t="s">
        <v>98</v>
      </c>
      <c r="F17" s="4"/>
      <c r="G17" s="4"/>
      <c r="H17" s="4"/>
      <c r="I17" s="4" t="s">
        <v>1641</v>
      </c>
      <c r="J17" s="4" t="s">
        <v>1642</v>
      </c>
      <c r="K17" s="4" t="s">
        <v>1643</v>
      </c>
      <c r="L17" s="4" t="s">
        <v>6369</v>
      </c>
      <c r="M17" s="4" t="str">
        <f>HYPERLINK("https://ceds.ed.gov/cedselementdetails.aspx?termid=9036")</f>
        <v>https://ceds.ed.gov/cedselementdetails.aspx?termid=9036</v>
      </c>
      <c r="N17" s="4" t="str">
        <f>HYPERLINK("https://ceds.ed.gov/elementComment.aspx?elementName=Career and Technical Education Completer &amp;elementID=9036", "Click here to submit comment")</f>
        <v>Click here to submit comment</v>
      </c>
    </row>
    <row r="18" spans="1:14" ht="135" x14ac:dyDescent="0.25">
      <c r="A18" s="4" t="s">
        <v>1732</v>
      </c>
      <c r="B18" s="4" t="s">
        <v>1733</v>
      </c>
      <c r="C18" s="4" t="s">
        <v>6364</v>
      </c>
      <c r="D18" s="4" t="s">
        <v>6447</v>
      </c>
      <c r="E18" s="4" t="s">
        <v>98</v>
      </c>
      <c r="F18" s="4"/>
      <c r="G18" s="4"/>
      <c r="H18" s="4"/>
      <c r="I18" s="4" t="s">
        <v>1734</v>
      </c>
      <c r="J18" s="4"/>
      <c r="K18" s="4" t="s">
        <v>1735</v>
      </c>
      <c r="L18" s="4" t="s">
        <v>6369</v>
      </c>
      <c r="M18" s="4" t="str">
        <f>HYPERLINK("https://ceds.ed.gov/cedselementdetails.aspx?termid=9039")</f>
        <v>https://ceds.ed.gov/cedselementdetails.aspx?termid=9039</v>
      </c>
      <c r="N18" s="4" t="str">
        <f>HYPERLINK("https://ceds.ed.gov/elementComment.aspx?elementName=Charter School Indicator &amp;elementID=9039", "Click here to submit comment")</f>
        <v>Click here to submit comment</v>
      </c>
    </row>
    <row r="19" spans="1:14" ht="75" x14ac:dyDescent="0.25">
      <c r="A19" s="4" t="s">
        <v>1886</v>
      </c>
      <c r="B19" s="4" t="s">
        <v>1887</v>
      </c>
      <c r="C19" s="5" t="s">
        <v>6747</v>
      </c>
      <c r="D19" s="4" t="s">
        <v>1888</v>
      </c>
      <c r="E19" s="4" t="s">
        <v>98</v>
      </c>
      <c r="F19" s="4"/>
      <c r="G19" s="4"/>
      <c r="H19" s="4"/>
      <c r="I19" s="4" t="s">
        <v>1889</v>
      </c>
      <c r="J19" s="4" t="s">
        <v>1890</v>
      </c>
      <c r="K19" s="4" t="s">
        <v>1891</v>
      </c>
      <c r="L19" s="4" t="s">
        <v>222</v>
      </c>
      <c r="M19" s="4" t="str">
        <f>HYPERLINK("https://ceds.ed.gov/cedselementdetails.aspx?termid=9533")</f>
        <v>https://ceds.ed.gov/cedselementdetails.aspx?termid=9533</v>
      </c>
      <c r="N19" s="4" t="str">
        <f>HYPERLINK("https://ceds.ed.gov/elementComment.aspx?elementName=Consolidated Migrant Education Program Funds Status &amp;elementID=9533", "Click here to submit comment")</f>
        <v>Click here to submit comment</v>
      </c>
    </row>
    <row r="20" spans="1:14" ht="409.5" x14ac:dyDescent="0.25">
      <c r="A20" s="4" t="s">
        <v>1934</v>
      </c>
      <c r="B20" s="4" t="s">
        <v>1935</v>
      </c>
      <c r="C20" s="5" t="s">
        <v>6829</v>
      </c>
      <c r="D20" s="4" t="s">
        <v>6466</v>
      </c>
      <c r="E20" s="4" t="s">
        <v>98</v>
      </c>
      <c r="F20" s="4"/>
      <c r="G20" s="4"/>
      <c r="H20" s="7" t="s">
        <v>1936</v>
      </c>
      <c r="I20" s="4" t="s">
        <v>1937</v>
      </c>
      <c r="J20" s="4"/>
      <c r="K20" s="4" t="s">
        <v>1938</v>
      </c>
      <c r="L20" s="4" t="s">
        <v>6467</v>
      </c>
      <c r="M20" s="4" t="str">
        <f>HYPERLINK("https://ceds.ed.gov/cedselementdetails.aspx?termid=9050")</f>
        <v>https://ceds.ed.gov/cedselementdetails.aspx?termid=9050</v>
      </c>
      <c r="N20" s="4" t="str">
        <f>HYPERLINK("https://ceds.ed.gov/elementComment.aspx?elementName=Country Code &amp;elementID=9050", "Click here to submit comment")</f>
        <v>Click here to submit comment</v>
      </c>
    </row>
    <row r="21" spans="1:14" ht="409.5" x14ac:dyDescent="0.25">
      <c r="A21" s="4" t="s">
        <v>1939</v>
      </c>
      <c r="B21" s="4" t="s">
        <v>1940</v>
      </c>
      <c r="C21" s="5" t="s">
        <v>6829</v>
      </c>
      <c r="D21" s="4" t="s">
        <v>1801</v>
      </c>
      <c r="E21" s="4" t="s">
        <v>98</v>
      </c>
      <c r="F21" s="4"/>
      <c r="G21" s="4"/>
      <c r="H21" s="7" t="s">
        <v>1936</v>
      </c>
      <c r="I21" s="4" t="s">
        <v>1941</v>
      </c>
      <c r="J21" s="4"/>
      <c r="K21" s="4" t="s">
        <v>1942</v>
      </c>
      <c r="L21" s="4" t="s">
        <v>6468</v>
      </c>
      <c r="M21" s="4" t="str">
        <f>HYPERLINK("https://ceds.ed.gov/cedselementdetails.aspx?termid=9051")</f>
        <v>https://ceds.ed.gov/cedselementdetails.aspx?termid=9051</v>
      </c>
      <c r="N21" s="4" t="str">
        <f>HYPERLINK("https://ceds.ed.gov/elementComment.aspx?elementName=Country of Birth Code &amp;elementID=9051", "Click here to submit comment")</f>
        <v>Click here to submit comment</v>
      </c>
    </row>
    <row r="22" spans="1:14" ht="409.5" x14ac:dyDescent="0.25">
      <c r="A22" s="4" t="s">
        <v>2859</v>
      </c>
      <c r="B22" s="4" t="s">
        <v>2860</v>
      </c>
      <c r="C22" s="5" t="s">
        <v>6918</v>
      </c>
      <c r="D22" s="4" t="s">
        <v>6536</v>
      </c>
      <c r="E22" s="4" t="s">
        <v>98</v>
      </c>
      <c r="F22" s="4"/>
      <c r="G22" s="4"/>
      <c r="H22" s="7" t="s">
        <v>2861</v>
      </c>
      <c r="I22" s="4" t="s">
        <v>2862</v>
      </c>
      <c r="J22" s="4"/>
      <c r="K22" s="4" t="s">
        <v>2863</v>
      </c>
      <c r="L22" s="4"/>
      <c r="M22" s="4" t="str">
        <f>HYPERLINK("https://ceds.ed.gov/cedselementdetails.aspx?termid=10320")</f>
        <v>https://ceds.ed.gov/cedselementdetails.aspx?termid=10320</v>
      </c>
      <c r="N22" s="4" t="str">
        <f>HYPERLINK("https://ceds.ed.gov/elementComment.aspx?elementName=Financial Account Balance Sheet Code &amp;elementID=10320", "Click here to submit comment")</f>
        <v>Click here to submit comment</v>
      </c>
    </row>
    <row r="23" spans="1:14" ht="150" x14ac:dyDescent="0.25">
      <c r="A23" s="4" t="s">
        <v>2872</v>
      </c>
      <c r="B23" s="4" t="s">
        <v>2873</v>
      </c>
      <c r="C23" s="5" t="s">
        <v>6920</v>
      </c>
      <c r="D23" s="4" t="s">
        <v>6536</v>
      </c>
      <c r="E23" s="4" t="s">
        <v>98</v>
      </c>
      <c r="F23" s="4"/>
      <c r="G23" s="4"/>
      <c r="H23" s="7" t="s">
        <v>2861</v>
      </c>
      <c r="I23" s="4" t="s">
        <v>2874</v>
      </c>
      <c r="J23" s="4"/>
      <c r="K23" s="4" t="s">
        <v>2875</v>
      </c>
      <c r="L23" s="4"/>
      <c r="M23" s="4" t="str">
        <f>HYPERLINK("https://ceds.ed.gov/cedselementdetails.aspx?termid=10314")</f>
        <v>https://ceds.ed.gov/cedselementdetails.aspx?termid=10314</v>
      </c>
      <c r="N23" s="4" t="str">
        <f>HYPERLINK("https://ceds.ed.gov/elementComment.aspx?elementName=Financial Account Fund Classification &amp;elementID=10314", "Click here to submit comment")</f>
        <v>Click here to submit comment</v>
      </c>
    </row>
    <row r="24" spans="1:14" ht="105" x14ac:dyDescent="0.25">
      <c r="A24" s="4" t="s">
        <v>2880</v>
      </c>
      <c r="B24" s="4" t="s">
        <v>2881</v>
      </c>
      <c r="C24" s="4" t="s">
        <v>12</v>
      </c>
      <c r="D24" s="4" t="s">
        <v>6536</v>
      </c>
      <c r="E24" s="4" t="s">
        <v>98</v>
      </c>
      <c r="F24" s="4" t="s">
        <v>92</v>
      </c>
      <c r="G24" s="4"/>
      <c r="H24" s="4"/>
      <c r="I24" s="4" t="s">
        <v>2882</v>
      </c>
      <c r="J24" s="4"/>
      <c r="K24" s="4" t="s">
        <v>2883</v>
      </c>
      <c r="L24" s="4"/>
      <c r="M24" s="4" t="str">
        <f>HYPERLINK("https://ceds.ed.gov/cedselementdetails.aspx?termid=10530")</f>
        <v>https://ceds.ed.gov/cedselementdetails.aspx?termid=10530</v>
      </c>
      <c r="N24" s="4" t="str">
        <f>HYPERLINK("https://ceds.ed.gov/elementComment.aspx?elementName=Financial Account Number &amp;elementID=10530", "Click here to submit comment")</f>
        <v>Click here to submit comment</v>
      </c>
    </row>
    <row r="25" spans="1:14" ht="240" x14ac:dyDescent="0.25">
      <c r="A25" s="4" t="s">
        <v>2884</v>
      </c>
      <c r="B25" s="4" t="s">
        <v>2885</v>
      </c>
      <c r="C25" s="5" t="s">
        <v>6921</v>
      </c>
      <c r="D25" s="4" t="s">
        <v>6536</v>
      </c>
      <c r="E25" s="4" t="s">
        <v>98</v>
      </c>
      <c r="F25" s="4"/>
      <c r="G25" s="4"/>
      <c r="H25" s="7" t="s">
        <v>2861</v>
      </c>
      <c r="I25" s="4" t="s">
        <v>2886</v>
      </c>
      <c r="J25" s="4"/>
      <c r="K25" s="4" t="s">
        <v>2887</v>
      </c>
      <c r="L25" s="4"/>
      <c r="M25" s="4" t="str">
        <f>HYPERLINK("https://ceds.ed.gov/cedselementdetails.aspx?termid=10316")</f>
        <v>https://ceds.ed.gov/cedselementdetails.aspx?termid=10316</v>
      </c>
      <c r="N25" s="4" t="str">
        <f>HYPERLINK("https://ceds.ed.gov/elementComment.aspx?elementName=Financial Account Program Code &amp;elementID=10316", "Click here to submit comment")</f>
        <v>Click here to submit comment</v>
      </c>
    </row>
    <row r="26" spans="1:14" ht="15" customHeight="1" x14ac:dyDescent="0.25">
      <c r="A26" s="18" t="s">
        <v>2896</v>
      </c>
      <c r="B26" s="18" t="s">
        <v>2897</v>
      </c>
      <c r="C26" s="20" t="s">
        <v>6922</v>
      </c>
      <c r="D26" s="18" t="s">
        <v>6537</v>
      </c>
      <c r="E26" s="18" t="s">
        <v>98</v>
      </c>
      <c r="F26" s="18"/>
      <c r="G26" s="18"/>
      <c r="H26" s="7" t="s">
        <v>2861</v>
      </c>
      <c r="I26" s="18" t="s">
        <v>2899</v>
      </c>
      <c r="J26" s="18"/>
      <c r="K26" s="18" t="s">
        <v>2900</v>
      </c>
      <c r="L26" s="18"/>
      <c r="M26" s="18" t="str">
        <f>HYPERLINK("https://ceds.ed.gov/cedselementdetails.aspx?termid=10440")</f>
        <v>https://ceds.ed.gov/cedselementdetails.aspx?termid=10440</v>
      </c>
      <c r="N26" s="18" t="str">
        <f>HYPERLINK("https://ceds.ed.gov/elementComment.aspx?elementName=Financial Account Revenue Code &amp;elementID=10440", "Click here to submit comment")</f>
        <v>Click here to submit comment</v>
      </c>
    </row>
    <row r="27" spans="1:14" x14ac:dyDescent="0.25">
      <c r="A27" s="18"/>
      <c r="B27" s="18"/>
      <c r="C27" s="18"/>
      <c r="D27" s="18"/>
      <c r="E27" s="18"/>
      <c r="F27" s="18"/>
      <c r="G27" s="18"/>
      <c r="H27" s="4"/>
      <c r="I27" s="18"/>
      <c r="J27" s="18"/>
      <c r="K27" s="18"/>
      <c r="L27" s="18"/>
      <c r="M27" s="18"/>
      <c r="N27" s="18"/>
    </row>
    <row r="28" spans="1:14" ht="30" x14ac:dyDescent="0.25">
      <c r="A28" s="18"/>
      <c r="B28" s="18"/>
      <c r="C28" s="18"/>
      <c r="D28" s="18"/>
      <c r="E28" s="18"/>
      <c r="F28" s="18"/>
      <c r="G28" s="18"/>
      <c r="H28" s="4" t="s">
        <v>2898</v>
      </c>
      <c r="I28" s="18"/>
      <c r="J28" s="18"/>
      <c r="K28" s="18"/>
      <c r="L28" s="18"/>
      <c r="M28" s="18"/>
      <c r="N28" s="18"/>
    </row>
    <row r="29" spans="1:14" ht="105" x14ac:dyDescent="0.25">
      <c r="A29" s="4" t="s">
        <v>2905</v>
      </c>
      <c r="B29" s="4" t="s">
        <v>2906</v>
      </c>
      <c r="C29" s="4" t="s">
        <v>12</v>
      </c>
      <c r="D29" s="4" t="s">
        <v>6536</v>
      </c>
      <c r="E29" s="4" t="s">
        <v>98</v>
      </c>
      <c r="F29" s="4" t="s">
        <v>1554</v>
      </c>
      <c r="G29" s="4"/>
      <c r="H29" s="4"/>
      <c r="I29" s="4" t="s">
        <v>2907</v>
      </c>
      <c r="J29" s="4"/>
      <c r="K29" s="4" t="s">
        <v>2908</v>
      </c>
      <c r="L29" s="4"/>
      <c r="M29" s="4" t="str">
        <f>HYPERLINK("https://ceds.ed.gov/cedselementdetails.aspx?termid=10317")</f>
        <v>https://ceds.ed.gov/cedselementdetails.aspx?termid=10317</v>
      </c>
      <c r="N29" s="4" t="str">
        <f>HYPERLINK("https://ceds.ed.gov/elementComment.aspx?elementName=Financial Accounting Period Actual Value &amp;elementID=10317", "Click here to submit comment")</f>
        <v>Click here to submit comment</v>
      </c>
    </row>
    <row r="30" spans="1:14" ht="105" x14ac:dyDescent="0.25">
      <c r="A30" s="4" t="s">
        <v>2909</v>
      </c>
      <c r="B30" s="4" t="s">
        <v>2910</v>
      </c>
      <c r="C30" s="4" t="s">
        <v>12</v>
      </c>
      <c r="D30" s="4" t="s">
        <v>6536</v>
      </c>
      <c r="E30" s="4" t="s">
        <v>98</v>
      </c>
      <c r="F30" s="4" t="s">
        <v>1554</v>
      </c>
      <c r="G30" s="4"/>
      <c r="H30" s="4"/>
      <c r="I30" s="4" t="s">
        <v>2911</v>
      </c>
      <c r="J30" s="4"/>
      <c r="K30" s="4" t="s">
        <v>2912</v>
      </c>
      <c r="L30" s="4"/>
      <c r="M30" s="4" t="str">
        <f>HYPERLINK("https://ceds.ed.gov/cedselementdetails.aspx?termid=10318")</f>
        <v>https://ceds.ed.gov/cedselementdetails.aspx?termid=10318</v>
      </c>
      <c r="N30" s="4" t="str">
        <f>HYPERLINK("https://ceds.ed.gov/elementComment.aspx?elementName=Financial Accounting Period Budgeted Value &amp;elementID=10318", "Click here to submit comment")</f>
        <v>Click here to submit comment</v>
      </c>
    </row>
    <row r="31" spans="1:14" ht="409.5" x14ac:dyDescent="0.25">
      <c r="A31" s="4" t="s">
        <v>2968</v>
      </c>
      <c r="B31" s="4" t="s">
        <v>2969</v>
      </c>
      <c r="C31" s="5" t="s">
        <v>6928</v>
      </c>
      <c r="D31" s="4" t="s">
        <v>6536</v>
      </c>
      <c r="E31" s="4" t="s">
        <v>98</v>
      </c>
      <c r="F31" s="4"/>
      <c r="G31" s="4"/>
      <c r="H31" s="7" t="s">
        <v>2861</v>
      </c>
      <c r="I31" s="4" t="s">
        <v>2970</v>
      </c>
      <c r="J31" s="4"/>
      <c r="K31" s="4" t="s">
        <v>2971</v>
      </c>
      <c r="L31" s="4"/>
      <c r="M31" s="4" t="str">
        <f>HYPERLINK("https://ceds.ed.gov/cedselementdetails.aspx?termid=10321")</f>
        <v>https://ceds.ed.gov/cedselementdetails.aspx?termid=10321</v>
      </c>
      <c r="N31" s="4" t="str">
        <f>HYPERLINK("https://ceds.ed.gov/elementComment.aspx?elementName=Financial Expenditure Function Code &amp;elementID=10321", "Click here to submit comment")</f>
        <v>Click here to submit comment</v>
      </c>
    </row>
    <row r="32" spans="1:14" ht="195" x14ac:dyDescent="0.25">
      <c r="A32" s="4" t="s">
        <v>2972</v>
      </c>
      <c r="B32" s="4" t="s">
        <v>2973</v>
      </c>
      <c r="C32" s="5" t="s">
        <v>6929</v>
      </c>
      <c r="D32" s="4" t="s">
        <v>6536</v>
      </c>
      <c r="E32" s="4" t="s">
        <v>98</v>
      </c>
      <c r="F32" s="4"/>
      <c r="G32" s="4"/>
      <c r="H32" s="7" t="s">
        <v>2861</v>
      </c>
      <c r="I32" s="4" t="s">
        <v>2974</v>
      </c>
      <c r="J32" s="4"/>
      <c r="K32" s="4" t="s">
        <v>2975</v>
      </c>
      <c r="L32" s="4"/>
      <c r="M32" s="4" t="str">
        <f>HYPERLINK("https://ceds.ed.gov/cedselementdetails.aspx?termid=10531")</f>
        <v>https://ceds.ed.gov/cedselementdetails.aspx?termid=10531</v>
      </c>
      <c r="N32" s="4" t="str">
        <f>HYPERLINK("https://ceds.ed.gov/elementComment.aspx?elementName=Financial Expenditure Level of Instruction Code &amp;elementID=10531", "Click here to submit comment")</f>
        <v>Click here to submit comment</v>
      </c>
    </row>
    <row r="33" spans="1:14" ht="409.5" x14ac:dyDescent="0.25">
      <c r="A33" s="4" t="s">
        <v>2976</v>
      </c>
      <c r="B33" s="4" t="s">
        <v>2977</v>
      </c>
      <c r="C33" s="5" t="s">
        <v>6930</v>
      </c>
      <c r="D33" s="4" t="s">
        <v>6536</v>
      </c>
      <c r="E33" s="4" t="s">
        <v>98</v>
      </c>
      <c r="F33" s="4"/>
      <c r="G33" s="4"/>
      <c r="H33" s="7" t="s">
        <v>2861</v>
      </c>
      <c r="I33" s="4" t="s">
        <v>2978</v>
      </c>
      <c r="J33" s="4"/>
      <c r="K33" s="4" t="s">
        <v>2979</v>
      </c>
      <c r="L33" s="4"/>
      <c r="M33" s="4" t="str">
        <f>HYPERLINK("https://ceds.ed.gov/cedselementdetails.aspx?termid=10322")</f>
        <v>https://ceds.ed.gov/cedselementdetails.aspx?termid=10322</v>
      </c>
      <c r="N33" s="4" t="str">
        <f>HYPERLINK("https://ceds.ed.gov/elementComment.aspx?elementName=Financial Expenditure Object Code &amp;elementID=10322", "Click here to submit comment")</f>
        <v>Click here to submit comment</v>
      </c>
    </row>
    <row r="34" spans="1:14" ht="75" x14ac:dyDescent="0.25">
      <c r="A34" s="18" t="s">
        <v>2980</v>
      </c>
      <c r="B34" s="18" t="s">
        <v>2981</v>
      </c>
      <c r="C34" s="18"/>
      <c r="D34" s="18" t="s">
        <v>6536</v>
      </c>
      <c r="E34" s="18" t="s">
        <v>98</v>
      </c>
      <c r="F34" s="18" t="s">
        <v>157</v>
      </c>
      <c r="G34" s="18"/>
      <c r="H34" s="7" t="s">
        <v>2982</v>
      </c>
      <c r="I34" s="18" t="s">
        <v>2987</v>
      </c>
      <c r="J34" s="18"/>
      <c r="K34" s="18" t="s">
        <v>2988</v>
      </c>
      <c r="L34" s="18"/>
      <c r="M34" s="18" t="str">
        <f>HYPERLINK("https://ceds.ed.gov/cedselementdetails.aspx?termid=10532")</f>
        <v>https://ceds.ed.gov/cedselementdetails.aspx?termid=10532</v>
      </c>
      <c r="N34" s="18" t="str">
        <f>HYPERLINK("https://ceds.ed.gov/elementComment.aspx?elementName=Financial Expenditure Project Reporting Code &amp;elementID=10532", "Click here to submit comment")</f>
        <v>Click here to submit comment</v>
      </c>
    </row>
    <row r="35" spans="1:14" x14ac:dyDescent="0.25">
      <c r="A35" s="18"/>
      <c r="B35" s="18"/>
      <c r="C35" s="18"/>
      <c r="D35" s="18"/>
      <c r="E35" s="18"/>
      <c r="F35" s="18"/>
      <c r="G35" s="18"/>
      <c r="H35" s="4"/>
      <c r="I35" s="18"/>
      <c r="J35" s="18"/>
      <c r="K35" s="18"/>
      <c r="L35" s="18"/>
      <c r="M35" s="18"/>
      <c r="N35" s="18"/>
    </row>
    <row r="36" spans="1:14" ht="45" x14ac:dyDescent="0.25">
      <c r="A36" s="18"/>
      <c r="B36" s="18"/>
      <c r="C36" s="18"/>
      <c r="D36" s="18"/>
      <c r="E36" s="18"/>
      <c r="F36" s="18"/>
      <c r="G36" s="18"/>
      <c r="H36" s="4" t="s">
        <v>2983</v>
      </c>
      <c r="I36" s="18"/>
      <c r="J36" s="18"/>
      <c r="K36" s="18"/>
      <c r="L36" s="18"/>
      <c r="M36" s="18"/>
      <c r="N36" s="18"/>
    </row>
    <row r="37" spans="1:14" x14ac:dyDescent="0.25">
      <c r="A37" s="18"/>
      <c r="B37" s="18"/>
      <c r="C37" s="18"/>
      <c r="D37" s="18"/>
      <c r="E37" s="18"/>
      <c r="F37" s="18"/>
      <c r="G37" s="18"/>
      <c r="H37" s="4"/>
      <c r="I37" s="18"/>
      <c r="J37" s="18"/>
      <c r="K37" s="18"/>
      <c r="L37" s="18"/>
      <c r="M37" s="18"/>
      <c r="N37" s="18"/>
    </row>
    <row r="38" spans="1:14" ht="45" x14ac:dyDescent="0.25">
      <c r="A38" s="18"/>
      <c r="B38" s="18"/>
      <c r="C38" s="18"/>
      <c r="D38" s="18"/>
      <c r="E38" s="18"/>
      <c r="F38" s="18"/>
      <c r="G38" s="18"/>
      <c r="H38" s="4" t="s">
        <v>2984</v>
      </c>
      <c r="I38" s="18"/>
      <c r="J38" s="18"/>
      <c r="K38" s="18"/>
      <c r="L38" s="18"/>
      <c r="M38" s="18"/>
      <c r="N38" s="18"/>
    </row>
    <row r="39" spans="1:14" x14ac:dyDescent="0.25">
      <c r="A39" s="18"/>
      <c r="B39" s="18"/>
      <c r="C39" s="18"/>
      <c r="D39" s="18"/>
      <c r="E39" s="18"/>
      <c r="F39" s="18"/>
      <c r="G39" s="18"/>
      <c r="H39" s="4"/>
      <c r="I39" s="18"/>
      <c r="J39" s="18"/>
      <c r="K39" s="18"/>
      <c r="L39" s="18"/>
      <c r="M39" s="18"/>
      <c r="N39" s="18"/>
    </row>
    <row r="40" spans="1:14" ht="60" x14ac:dyDescent="0.25">
      <c r="A40" s="18"/>
      <c r="B40" s="18"/>
      <c r="C40" s="18"/>
      <c r="D40" s="18"/>
      <c r="E40" s="18"/>
      <c r="F40" s="18"/>
      <c r="G40" s="18"/>
      <c r="H40" s="4" t="s">
        <v>2985</v>
      </c>
      <c r="I40" s="18"/>
      <c r="J40" s="18"/>
      <c r="K40" s="18"/>
      <c r="L40" s="18"/>
      <c r="M40" s="18"/>
      <c r="N40" s="18"/>
    </row>
    <row r="41" spans="1:14" x14ac:dyDescent="0.25">
      <c r="A41" s="18"/>
      <c r="B41" s="18"/>
      <c r="C41" s="18"/>
      <c r="D41" s="18"/>
      <c r="E41" s="18"/>
      <c r="F41" s="18"/>
      <c r="G41" s="18"/>
      <c r="H41" s="4"/>
      <c r="I41" s="18"/>
      <c r="J41" s="18"/>
      <c r="K41" s="18"/>
      <c r="L41" s="18"/>
      <c r="M41" s="18"/>
      <c r="N41" s="18"/>
    </row>
    <row r="42" spans="1:14" ht="30" x14ac:dyDescent="0.25">
      <c r="A42" s="18"/>
      <c r="B42" s="18"/>
      <c r="C42" s="18"/>
      <c r="D42" s="18"/>
      <c r="E42" s="18"/>
      <c r="F42" s="18"/>
      <c r="G42" s="18"/>
      <c r="H42" s="4" t="s">
        <v>2986</v>
      </c>
      <c r="I42" s="18"/>
      <c r="J42" s="18"/>
      <c r="K42" s="18"/>
      <c r="L42" s="18"/>
      <c r="M42" s="18"/>
      <c r="N42" s="18"/>
    </row>
    <row r="43" spans="1:14" ht="150" x14ac:dyDescent="0.25">
      <c r="A43" s="4" t="s">
        <v>3544</v>
      </c>
      <c r="B43" s="4" t="s">
        <v>3545</v>
      </c>
      <c r="C43" s="7" t="s">
        <v>999</v>
      </c>
      <c r="D43" s="4" t="s">
        <v>6473</v>
      </c>
      <c r="E43" s="4" t="s">
        <v>98</v>
      </c>
      <c r="F43" s="4"/>
      <c r="G43" s="4"/>
      <c r="H43" s="7" t="s">
        <v>1000</v>
      </c>
      <c r="I43" s="4" t="s">
        <v>3546</v>
      </c>
      <c r="J43" s="4"/>
      <c r="K43" s="4" t="s">
        <v>3547</v>
      </c>
      <c r="L43" s="4" t="s">
        <v>211</v>
      </c>
      <c r="M43" s="4" t="str">
        <f>HYPERLINK("https://ceds.ed.gov/cedselementdetails.aspx?termid=9438")</f>
        <v>https://ceds.ed.gov/cedselementdetails.aspx?termid=9438</v>
      </c>
      <c r="N43" s="4" t="str">
        <f>HYPERLINK("https://ceds.ed.gov/elementComment.aspx?elementName=Instruction Language &amp;elementID=9438", "Click here to submit comment")</f>
        <v>Click here to submit comment</v>
      </c>
    </row>
    <row r="44" spans="1:14" ht="135" x14ac:dyDescent="0.25">
      <c r="A44" s="4" t="s">
        <v>3631</v>
      </c>
      <c r="B44" s="4" t="s">
        <v>3632</v>
      </c>
      <c r="C44" s="7" t="s">
        <v>999</v>
      </c>
      <c r="D44" s="4" t="s">
        <v>6576</v>
      </c>
      <c r="E44" s="4" t="s">
        <v>98</v>
      </c>
      <c r="F44" s="4"/>
      <c r="G44" s="4"/>
      <c r="H44" s="7" t="s">
        <v>1000</v>
      </c>
      <c r="I44" s="4" t="s">
        <v>3633</v>
      </c>
      <c r="J44" s="4"/>
      <c r="K44" s="4" t="s">
        <v>3634</v>
      </c>
      <c r="L44" s="4" t="s">
        <v>6577</v>
      </c>
      <c r="M44" s="4" t="str">
        <f>HYPERLINK("https://ceds.ed.gov/cedselementdetails.aspx?termid=9317")</f>
        <v>https://ceds.ed.gov/cedselementdetails.aspx?termid=9317</v>
      </c>
      <c r="N44" s="4" t="str">
        <f>HYPERLINK("https://ceds.ed.gov/elementComment.aspx?elementName=ISO 639-2 Language Code &amp;elementID=9317", "Click here to submit comment")</f>
        <v>Click here to submit comment</v>
      </c>
    </row>
    <row r="45" spans="1:14" ht="409.5" x14ac:dyDescent="0.25">
      <c r="A45" s="4" t="s">
        <v>3659</v>
      </c>
      <c r="B45" s="4" t="s">
        <v>3660</v>
      </c>
      <c r="C45" s="5" t="s">
        <v>6985</v>
      </c>
      <c r="D45" s="4" t="s">
        <v>3651</v>
      </c>
      <c r="E45" s="4" t="s">
        <v>98</v>
      </c>
      <c r="F45" s="4"/>
      <c r="G45" s="4"/>
      <c r="H45" s="4"/>
      <c r="I45" s="4" t="s">
        <v>3661</v>
      </c>
      <c r="J45" s="4"/>
      <c r="K45" s="4" t="s">
        <v>3662</v>
      </c>
      <c r="L45" s="4" t="s">
        <v>6578</v>
      </c>
      <c r="M45" s="4" t="str">
        <f>HYPERLINK("https://ceds.ed.gov/cedselementdetails.aspx?termid=9087")</f>
        <v>https://ceds.ed.gov/cedselementdetails.aspx?termid=9087</v>
      </c>
      <c r="N45" s="4" t="str">
        <f>HYPERLINK("https://ceds.ed.gov/elementComment.aspx?elementName=K12 Staff Classification &amp;elementID=9087", "Click here to submit comment")</f>
        <v>Click here to submit comment</v>
      </c>
    </row>
    <row r="46" spans="1:14" ht="409.5" x14ac:dyDescent="0.25">
      <c r="A46" s="4" t="s">
        <v>3716</v>
      </c>
      <c r="B46" s="4" t="s">
        <v>3717</v>
      </c>
      <c r="C46" s="5" t="s">
        <v>6989</v>
      </c>
      <c r="D46" s="4" t="s">
        <v>6582</v>
      </c>
      <c r="E46" s="4" t="s">
        <v>98</v>
      </c>
      <c r="F46" s="4"/>
      <c r="G46" s="4"/>
      <c r="H46" s="7" t="s">
        <v>3718</v>
      </c>
      <c r="I46" s="4" t="s">
        <v>3719</v>
      </c>
      <c r="J46" s="4"/>
      <c r="K46" s="4" t="s">
        <v>3720</v>
      </c>
      <c r="L46" s="4"/>
      <c r="M46" s="4" t="str">
        <f>HYPERLINK("https://ceds.ed.gov/cedselementdetails.aspx?termid=9935")</f>
        <v>https://ceds.ed.gov/cedselementdetails.aspx?termid=9935</v>
      </c>
      <c r="N46" s="4" t="str">
        <f>HYPERLINK("https://ceds.ed.gov/elementComment.aspx?elementName=Learner Action Type &amp;elementID=9935", "Click here to submit comment")</f>
        <v>Click here to submit comment</v>
      </c>
    </row>
    <row r="47" spans="1:14" ht="90" x14ac:dyDescent="0.25">
      <c r="A47" s="4" t="s">
        <v>3746</v>
      </c>
      <c r="B47" s="4" t="s">
        <v>3747</v>
      </c>
      <c r="C47" s="7" t="s">
        <v>999</v>
      </c>
      <c r="D47" s="4" t="s">
        <v>3727</v>
      </c>
      <c r="E47" s="4" t="s">
        <v>98</v>
      </c>
      <c r="F47" s="4"/>
      <c r="G47" s="4"/>
      <c r="H47" s="7" t="s">
        <v>1000</v>
      </c>
      <c r="I47" s="4" t="s">
        <v>3748</v>
      </c>
      <c r="J47" s="4"/>
      <c r="K47" s="4" t="s">
        <v>3749</v>
      </c>
      <c r="L47" s="4"/>
      <c r="M47" s="4" t="str">
        <f>HYPERLINK("https://ceds.ed.gov/cedselementdetails.aspx?termid=9939")</f>
        <v>https://ceds.ed.gov/cedselementdetails.aspx?termid=9939</v>
      </c>
      <c r="N47" s="4" t="str">
        <f>HYPERLINK("https://ceds.ed.gov/elementComment.aspx?elementName=Learner Activity Language &amp;elementID=9939", "Click here to submit comment")</f>
        <v>Click here to submit comment</v>
      </c>
    </row>
    <row r="48" spans="1:14" ht="90" x14ac:dyDescent="0.25">
      <c r="A48" s="18" t="s">
        <v>3929</v>
      </c>
      <c r="B48" s="18" t="s">
        <v>3930</v>
      </c>
      <c r="C48" s="21" t="s">
        <v>999</v>
      </c>
      <c r="D48" s="18" t="s">
        <v>6586</v>
      </c>
      <c r="E48" s="18" t="s">
        <v>98</v>
      </c>
      <c r="F48" s="18"/>
      <c r="G48" s="18"/>
      <c r="H48" s="7" t="s">
        <v>1000</v>
      </c>
      <c r="I48" s="18" t="s">
        <v>3932</v>
      </c>
      <c r="J48" s="18"/>
      <c r="K48" s="18" t="s">
        <v>3933</v>
      </c>
      <c r="L48" s="18"/>
      <c r="M48" s="18" t="str">
        <f>HYPERLINK("https://ceds.ed.gov/cedselementdetails.aspx?termid=9920")</f>
        <v>https://ceds.ed.gov/cedselementdetails.aspx?termid=9920</v>
      </c>
      <c r="N48" s="18" t="str">
        <f>HYPERLINK("https://ceds.ed.gov/elementComment.aspx?elementName=Learning Resource Language &amp;elementID=9920", "Click here to submit comment")</f>
        <v>Click here to submit comment</v>
      </c>
    </row>
    <row r="49" spans="1:14" ht="75" x14ac:dyDescent="0.25">
      <c r="A49" s="18"/>
      <c r="B49" s="18"/>
      <c r="C49" s="21"/>
      <c r="D49" s="18"/>
      <c r="E49" s="18"/>
      <c r="F49" s="18"/>
      <c r="G49" s="18"/>
      <c r="H49" s="4" t="s">
        <v>3931</v>
      </c>
      <c r="I49" s="18"/>
      <c r="J49" s="18"/>
      <c r="K49" s="18"/>
      <c r="L49" s="18"/>
      <c r="M49" s="18"/>
      <c r="N49" s="18"/>
    </row>
    <row r="50" spans="1:14" ht="90" x14ac:dyDescent="0.25">
      <c r="A50" s="4" t="s">
        <v>4041</v>
      </c>
      <c r="B50" s="4" t="s">
        <v>4042</v>
      </c>
      <c r="C50" s="7" t="s">
        <v>999</v>
      </c>
      <c r="D50" s="4" t="s">
        <v>6590</v>
      </c>
      <c r="E50" s="4" t="s">
        <v>98</v>
      </c>
      <c r="F50" s="4"/>
      <c r="G50" s="4"/>
      <c r="H50" s="7" t="s">
        <v>1000</v>
      </c>
      <c r="I50" s="4" t="s">
        <v>4043</v>
      </c>
      <c r="J50" s="4"/>
      <c r="K50" s="4" t="s">
        <v>4044</v>
      </c>
      <c r="L50" s="4"/>
      <c r="M50" s="4" t="str">
        <f>HYPERLINK("https://ceds.ed.gov/cedselementdetails.aspx?termid=9880")</f>
        <v>https://ceds.ed.gov/cedselementdetails.aspx?termid=9880</v>
      </c>
      <c r="N50" s="4" t="str">
        <f>HYPERLINK("https://ceds.ed.gov/elementComment.aspx?elementName=Learning Standard Document Language &amp;elementID=9880", "Click here to submit comment")</f>
        <v>Click here to submit comment</v>
      </c>
    </row>
    <row r="51" spans="1:14" ht="237" customHeight="1" x14ac:dyDescent="0.25">
      <c r="A51" s="18" t="s">
        <v>4116</v>
      </c>
      <c r="B51" s="18" t="s">
        <v>4117</v>
      </c>
      <c r="C51" s="20" t="s">
        <v>7009</v>
      </c>
      <c r="D51" s="18" t="s">
        <v>6591</v>
      </c>
      <c r="E51" s="18" t="s">
        <v>98</v>
      </c>
      <c r="F51" s="18"/>
      <c r="G51" s="18"/>
      <c r="H51" s="4" t="s">
        <v>4118</v>
      </c>
      <c r="I51" s="18" t="s">
        <v>4120</v>
      </c>
      <c r="J51" s="18"/>
      <c r="K51" s="18" t="s">
        <v>4121</v>
      </c>
      <c r="L51" s="18"/>
      <c r="M51" s="18" t="str">
        <f>HYPERLINK("https://ceds.ed.gov/cedselementdetails.aspx?termid=9869")</f>
        <v>https://ceds.ed.gov/cedselementdetails.aspx?termid=9869</v>
      </c>
      <c r="N51" s="18" t="str">
        <f>HYPERLINK("https://ceds.ed.gov/elementComment.aspx?elementName=Learning Standard Item Association Type &amp;elementID=9869", "Click here to submit comment")</f>
        <v>Click here to submit comment</v>
      </c>
    </row>
    <row r="52" spans="1:14" x14ac:dyDescent="0.25">
      <c r="A52" s="18"/>
      <c r="B52" s="18"/>
      <c r="C52" s="18"/>
      <c r="D52" s="18"/>
      <c r="E52" s="18"/>
      <c r="F52" s="18"/>
      <c r="G52" s="18"/>
      <c r="H52" s="4"/>
      <c r="I52" s="18"/>
      <c r="J52" s="18"/>
      <c r="K52" s="18"/>
      <c r="L52" s="18"/>
      <c r="M52" s="18"/>
      <c r="N52" s="18"/>
    </row>
    <row r="53" spans="1:14" x14ac:dyDescent="0.25">
      <c r="A53" s="18"/>
      <c r="B53" s="18"/>
      <c r="C53" s="18"/>
      <c r="D53" s="18"/>
      <c r="E53" s="18"/>
      <c r="F53" s="18"/>
      <c r="G53" s="18"/>
      <c r="H53" s="4"/>
      <c r="I53" s="18"/>
      <c r="J53" s="18"/>
      <c r="K53" s="18"/>
      <c r="L53" s="18"/>
      <c r="M53" s="18"/>
      <c r="N53" s="18"/>
    </row>
    <row r="54" spans="1:14" ht="135" x14ac:dyDescent="0.25">
      <c r="A54" s="18"/>
      <c r="B54" s="18"/>
      <c r="C54" s="18"/>
      <c r="D54" s="18"/>
      <c r="E54" s="18"/>
      <c r="F54" s="18"/>
      <c r="G54" s="18"/>
      <c r="H54" s="4" t="s">
        <v>4119</v>
      </c>
      <c r="I54" s="18"/>
      <c r="J54" s="18"/>
      <c r="K54" s="18"/>
      <c r="L54" s="18"/>
      <c r="M54" s="18"/>
      <c r="N54" s="18"/>
    </row>
    <row r="55" spans="1:14" ht="90" x14ac:dyDescent="0.25">
      <c r="A55" s="4" t="s">
        <v>4161</v>
      </c>
      <c r="B55" s="4" t="s">
        <v>4162</v>
      </c>
      <c r="C55" s="7" t="s">
        <v>999</v>
      </c>
      <c r="D55" s="4" t="s">
        <v>6592</v>
      </c>
      <c r="E55" s="4" t="s">
        <v>98</v>
      </c>
      <c r="F55" s="4"/>
      <c r="G55" s="4"/>
      <c r="H55" s="7" t="s">
        <v>1000</v>
      </c>
      <c r="I55" s="4" t="s">
        <v>4163</v>
      </c>
      <c r="J55" s="4"/>
      <c r="K55" s="4" t="s">
        <v>4164</v>
      </c>
      <c r="L55" s="4"/>
      <c r="M55" s="4" t="str">
        <f>HYPERLINK("https://ceds.ed.gov/cedselementdetails.aspx?termid=9881")</f>
        <v>https://ceds.ed.gov/cedselementdetails.aspx?termid=9881</v>
      </c>
      <c r="N55" s="4" t="str">
        <f>HYPERLINK("https://ceds.ed.gov/elementComment.aspx?elementName=Learning Standard Item Language &amp;elementID=9881", "Click here to submit comment")</f>
        <v>Click here to submit comment</v>
      </c>
    </row>
    <row r="56" spans="1:14" ht="240" x14ac:dyDescent="0.25">
      <c r="A56" s="4" t="s">
        <v>4323</v>
      </c>
      <c r="B56" s="4" t="s">
        <v>4324</v>
      </c>
      <c r="C56" s="5" t="s">
        <v>7020</v>
      </c>
      <c r="D56" s="4" t="s">
        <v>6595</v>
      </c>
      <c r="E56" s="4" t="s">
        <v>98</v>
      </c>
      <c r="F56" s="4"/>
      <c r="G56" s="4"/>
      <c r="H56" s="4"/>
      <c r="I56" s="4" t="s">
        <v>4325</v>
      </c>
      <c r="J56" s="4" t="s">
        <v>4326</v>
      </c>
      <c r="K56" s="4" t="s">
        <v>4327</v>
      </c>
      <c r="L56" s="4" t="s">
        <v>6596</v>
      </c>
      <c r="M56" s="4" t="str">
        <f>HYPERLINK("https://ceds.ed.gov/cedselementdetails.aspx?termid=9159")</f>
        <v>https://ceds.ed.gov/cedselementdetails.aspx?termid=9159</v>
      </c>
      <c r="N56" s="4" t="str">
        <f>HYPERLINK("https://ceds.ed.gov/elementComment.aspx?elementName=Local Education Agency Identification System &amp;elementID=9159", "Click here to submit comment")</f>
        <v>Click here to submit comment</v>
      </c>
    </row>
    <row r="57" spans="1:14" ht="165" customHeight="1" x14ac:dyDescent="0.25">
      <c r="A57" s="18" t="s">
        <v>4355</v>
      </c>
      <c r="B57" s="18" t="s">
        <v>4356</v>
      </c>
      <c r="C57" s="20" t="s">
        <v>7023</v>
      </c>
      <c r="D57" s="18" t="s">
        <v>4340</v>
      </c>
      <c r="E57" s="18" t="s">
        <v>98</v>
      </c>
      <c r="F57" s="18"/>
      <c r="G57" s="18"/>
      <c r="H57" s="4" t="s">
        <v>4357</v>
      </c>
      <c r="I57" s="18" t="s">
        <v>4359</v>
      </c>
      <c r="J57" s="18"/>
      <c r="K57" s="18" t="s">
        <v>4360</v>
      </c>
      <c r="L57" s="18" t="s">
        <v>222</v>
      </c>
      <c r="M57" s="18" t="str">
        <f>HYPERLINK("https://ceds.ed.gov/cedselementdetails.aspx?termid=9528")</f>
        <v>https://ceds.ed.gov/cedselementdetails.aspx?termid=9528</v>
      </c>
      <c r="N57" s="18" t="str">
        <f>HYPERLINK("https://ceds.ed.gov/elementComment.aspx?elementName=Local Education Agency Type &amp;elementID=9528", "Click here to submit comment")</f>
        <v>Click here to submit comment</v>
      </c>
    </row>
    <row r="58" spans="1:14" ht="45" x14ac:dyDescent="0.25">
      <c r="A58" s="18"/>
      <c r="B58" s="18"/>
      <c r="C58" s="18"/>
      <c r="D58" s="18"/>
      <c r="E58" s="18"/>
      <c r="F58" s="18"/>
      <c r="G58" s="18"/>
      <c r="H58" s="4" t="s">
        <v>4358</v>
      </c>
      <c r="I58" s="18"/>
      <c r="J58" s="18"/>
      <c r="K58" s="18"/>
      <c r="L58" s="18"/>
      <c r="M58" s="18"/>
      <c r="N58" s="18"/>
    </row>
    <row r="59" spans="1:14" ht="165" x14ac:dyDescent="0.25">
      <c r="A59" s="4" t="s">
        <v>4376</v>
      </c>
      <c r="B59" s="4" t="s">
        <v>4377</v>
      </c>
      <c r="C59" s="5" t="s">
        <v>7025</v>
      </c>
      <c r="D59" s="4" t="s">
        <v>1630</v>
      </c>
      <c r="E59" s="4" t="s">
        <v>98</v>
      </c>
      <c r="F59" s="4"/>
      <c r="G59" s="4"/>
      <c r="H59" s="4"/>
      <c r="I59" s="4" t="s">
        <v>4378</v>
      </c>
      <c r="J59" s="4"/>
      <c r="K59" s="4" t="s">
        <v>4379</v>
      </c>
      <c r="L59" s="4"/>
      <c r="M59" s="4" t="str">
        <f>HYPERLINK("https://ceds.ed.gov/cedselementdetails.aspx?termid=10194")</f>
        <v>https://ceds.ed.gov/cedselementdetails.aspx?termid=10194</v>
      </c>
      <c r="N59" s="4" t="str">
        <f>HYPERLINK("https://ceds.ed.gov/elementComment.aspx?elementName=Maternal Guardian Education &amp;elementID=10194", "Click here to submit comment")</f>
        <v>Click here to submit comment</v>
      </c>
    </row>
    <row r="60" spans="1:14" ht="409.5" x14ac:dyDescent="0.25">
      <c r="A60" s="4" t="s">
        <v>4692</v>
      </c>
      <c r="B60" s="4" t="s">
        <v>4693</v>
      </c>
      <c r="C60" s="5" t="s">
        <v>7045</v>
      </c>
      <c r="D60" s="4" t="s">
        <v>6616</v>
      </c>
      <c r="E60" s="4" t="s">
        <v>98</v>
      </c>
      <c r="F60" s="4" t="s">
        <v>142</v>
      </c>
      <c r="G60" s="4"/>
      <c r="H60" s="4" t="s">
        <v>4694</v>
      </c>
      <c r="I60" s="4" t="s">
        <v>4695</v>
      </c>
      <c r="J60" s="4"/>
      <c r="K60" s="4" t="s">
        <v>4696</v>
      </c>
      <c r="L60" s="4"/>
      <c r="M60" s="4" t="str">
        <f>HYPERLINK("https://ceds.ed.gov/cedselementdetails.aspx?termid=10165")</f>
        <v>https://ceds.ed.gov/cedselementdetails.aspx?termid=10165</v>
      </c>
      <c r="N60" s="4" t="str">
        <f>HYPERLINK("https://ceds.ed.gov/elementComment.aspx?elementName=Organization Type &amp;elementID=10165", "Click here to submit comment")</f>
        <v>Click here to submit comment</v>
      </c>
    </row>
    <row r="61" spans="1:14" ht="165" x14ac:dyDescent="0.25">
      <c r="A61" s="4" t="s">
        <v>4765</v>
      </c>
      <c r="B61" s="4" t="s">
        <v>4766</v>
      </c>
      <c r="C61" s="5" t="s">
        <v>7025</v>
      </c>
      <c r="D61" s="4" t="s">
        <v>1630</v>
      </c>
      <c r="E61" s="4" t="s">
        <v>98</v>
      </c>
      <c r="F61" s="4"/>
      <c r="G61" s="4"/>
      <c r="H61" s="4"/>
      <c r="I61" s="4" t="s">
        <v>4767</v>
      </c>
      <c r="J61" s="4"/>
      <c r="K61" s="4" t="s">
        <v>4768</v>
      </c>
      <c r="L61" s="4"/>
      <c r="M61" s="4" t="str">
        <f>HYPERLINK("https://ceds.ed.gov/cedselementdetails.aspx?termid=10195")</f>
        <v>https://ceds.ed.gov/cedselementdetails.aspx?termid=10195</v>
      </c>
      <c r="N61" s="4" t="str">
        <f>HYPERLINK("https://ceds.ed.gov/elementComment.aspx?elementName=Paternal Guardian Education &amp;elementID=10195", "Click here to submit comment")</f>
        <v>Click here to submit comment</v>
      </c>
    </row>
    <row r="62" spans="1:14" ht="90" x14ac:dyDescent="0.25">
      <c r="A62" s="4" t="s">
        <v>5083</v>
      </c>
      <c r="B62" s="4" t="s">
        <v>5084</v>
      </c>
      <c r="C62" s="7" t="s">
        <v>999</v>
      </c>
      <c r="D62" s="4" t="s">
        <v>6635</v>
      </c>
      <c r="E62" s="4" t="s">
        <v>98</v>
      </c>
      <c r="F62" s="4"/>
      <c r="G62" s="4"/>
      <c r="H62" s="7" t="s">
        <v>1000</v>
      </c>
      <c r="I62" s="4" t="s">
        <v>5085</v>
      </c>
      <c r="J62" s="4"/>
      <c r="K62" s="4" t="s">
        <v>5086</v>
      </c>
      <c r="L62" s="4"/>
      <c r="M62" s="4" t="str">
        <f>HYPERLINK("https://ceds.ed.gov/cedselementdetails.aspx?termid=10357")</f>
        <v>https://ceds.ed.gov/cedselementdetails.aspx?termid=10357</v>
      </c>
      <c r="N62" s="4" t="str">
        <f>HYPERLINK("https://ceds.ed.gov/elementComment.aspx?elementName=Professional Development Session Language &amp;elementID=10357", "Click here to submit comment")</f>
        <v>Click here to submit comment</v>
      </c>
    </row>
    <row r="63" spans="1:14" ht="409.5" x14ac:dyDescent="0.25">
      <c r="A63" s="4" t="s">
        <v>5246</v>
      </c>
      <c r="B63" s="4" t="s">
        <v>5247</v>
      </c>
      <c r="C63" s="5" t="s">
        <v>6829</v>
      </c>
      <c r="D63" s="4" t="s">
        <v>1894</v>
      </c>
      <c r="E63" s="4" t="s">
        <v>98</v>
      </c>
      <c r="F63" s="4"/>
      <c r="G63" s="4"/>
      <c r="H63" s="7" t="s">
        <v>1936</v>
      </c>
      <c r="I63" s="4" t="s">
        <v>5248</v>
      </c>
      <c r="J63" s="4"/>
      <c r="K63" s="4" t="s">
        <v>5249</v>
      </c>
      <c r="L63" s="4" t="s">
        <v>1578</v>
      </c>
      <c r="M63" s="4" t="str">
        <f>HYPERLINK("https://ceds.ed.gov/cedselementdetails.aspx?termid=9424")</f>
        <v>https://ceds.ed.gov/cedselementdetails.aspx?termid=9424</v>
      </c>
      <c r="N63" s="4" t="str">
        <f>HYPERLINK("https://ceds.ed.gov/elementComment.aspx?elementName=Qualifying Move From Country &amp;elementID=9424", "Click here to submit comment")</f>
        <v>Click here to submit comment</v>
      </c>
    </row>
    <row r="64" spans="1:14" ht="105" x14ac:dyDescent="0.25">
      <c r="A64" s="4" t="s">
        <v>5618</v>
      </c>
      <c r="B64" s="4" t="s">
        <v>5619</v>
      </c>
      <c r="C64" s="5" t="s">
        <v>7108</v>
      </c>
      <c r="D64" s="4" t="s">
        <v>225</v>
      </c>
      <c r="E64" s="4" t="s">
        <v>98</v>
      </c>
      <c r="F64" s="4"/>
      <c r="G64" s="4"/>
      <c r="H64" s="4"/>
      <c r="I64" s="4" t="s">
        <v>5620</v>
      </c>
      <c r="J64" s="4"/>
      <c r="K64" s="4" t="s">
        <v>5621</v>
      </c>
      <c r="L64" s="4" t="s">
        <v>6369</v>
      </c>
      <c r="M64" s="4" t="str">
        <f>HYPERLINK("https://ceds.ed.gov/cedselementdetails.aspx?termid=9242")</f>
        <v>https://ceds.ed.gov/cedselementdetails.aspx?termid=9242</v>
      </c>
      <c r="N64" s="4" t="str">
        <f>HYPERLINK("https://ceds.ed.gov/elementComment.aspx?elementName=School Type &amp;elementID=9242", "Click here to submit comment")</f>
        <v>Click here to submit comment</v>
      </c>
    </row>
    <row r="65" spans="1:14" ht="375" x14ac:dyDescent="0.25">
      <c r="A65" s="4" t="s">
        <v>6090</v>
      </c>
      <c r="B65" s="4" t="s">
        <v>6091</v>
      </c>
      <c r="C65" s="5" t="s">
        <v>7133</v>
      </c>
      <c r="D65" s="4" t="s">
        <v>6692</v>
      </c>
      <c r="E65" s="4" t="s">
        <v>98</v>
      </c>
      <c r="F65" s="4"/>
      <c r="G65" s="4"/>
      <c r="H65" s="4"/>
      <c r="I65" s="4" t="s">
        <v>6092</v>
      </c>
      <c r="J65" s="4"/>
      <c r="K65" s="4" t="s">
        <v>6093</v>
      </c>
      <c r="L65" s="4"/>
      <c r="M65" s="4" t="str">
        <f>HYPERLINK("https://ceds.ed.gov/cedselementdetails.aspx?termid=10467")</f>
        <v>https://ceds.ed.gov/cedselementdetails.aspx?termid=10467</v>
      </c>
      <c r="N65" s="4" t="str">
        <f>HYPERLINK("https://ceds.ed.gov/elementComment.aspx?elementName=Technical Assistance Type &amp;elementID=10467", "Click here to submit comment")</f>
        <v>Click here to submit comment</v>
      </c>
    </row>
  </sheetData>
  <autoFilter ref="A1:N65"/>
  <mergeCells count="78">
    <mergeCell ref="F3:F9"/>
    <mergeCell ref="A3:A9"/>
    <mergeCell ref="B3:B9"/>
    <mergeCell ref="C3:C9"/>
    <mergeCell ref="D3:D9"/>
    <mergeCell ref="E3:E9"/>
    <mergeCell ref="N3:N9"/>
    <mergeCell ref="A26:A28"/>
    <mergeCell ref="B26:B28"/>
    <mergeCell ref="C26:C28"/>
    <mergeCell ref="D26:D28"/>
    <mergeCell ref="E26:E28"/>
    <mergeCell ref="F26:F28"/>
    <mergeCell ref="G26:G28"/>
    <mergeCell ref="I26:I28"/>
    <mergeCell ref="J26:J28"/>
    <mergeCell ref="G3:G9"/>
    <mergeCell ref="I3:I9"/>
    <mergeCell ref="J3:J9"/>
    <mergeCell ref="K3:K9"/>
    <mergeCell ref="L3:L9"/>
    <mergeCell ref="M3:M9"/>
    <mergeCell ref="K26:K28"/>
    <mergeCell ref="L26:L28"/>
    <mergeCell ref="M26:M28"/>
    <mergeCell ref="N26:N28"/>
    <mergeCell ref="A34:A42"/>
    <mergeCell ref="B34:B42"/>
    <mergeCell ref="C34:C42"/>
    <mergeCell ref="D34:D42"/>
    <mergeCell ref="E34:E42"/>
    <mergeCell ref="F34:F42"/>
    <mergeCell ref="N34:N42"/>
    <mergeCell ref="K34:K42"/>
    <mergeCell ref="L34:L42"/>
    <mergeCell ref="M34:M42"/>
    <mergeCell ref="G34:G42"/>
    <mergeCell ref="I34:I42"/>
    <mergeCell ref="J34:J42"/>
    <mergeCell ref="A48:A49"/>
    <mergeCell ref="B48:B49"/>
    <mergeCell ref="C48:C49"/>
    <mergeCell ref="D48:D49"/>
    <mergeCell ref="E48:E49"/>
    <mergeCell ref="K48:K49"/>
    <mergeCell ref="L48:L49"/>
    <mergeCell ref="M48:M49"/>
    <mergeCell ref="N48:N49"/>
    <mergeCell ref="A51:A54"/>
    <mergeCell ref="B51:B54"/>
    <mergeCell ref="C51:C54"/>
    <mergeCell ref="D51:D54"/>
    <mergeCell ref="E51:E54"/>
    <mergeCell ref="F51:F54"/>
    <mergeCell ref="F48:F49"/>
    <mergeCell ref="G48:G49"/>
    <mergeCell ref="I48:I49"/>
    <mergeCell ref="J48:J49"/>
    <mergeCell ref="F57:F58"/>
    <mergeCell ref="G57:G58"/>
    <mergeCell ref="I57:I58"/>
    <mergeCell ref="J57:J58"/>
    <mergeCell ref="G51:G54"/>
    <mergeCell ref="I51:I54"/>
    <mergeCell ref="J51:J54"/>
    <mergeCell ref="A57:A58"/>
    <mergeCell ref="B57:B58"/>
    <mergeCell ref="C57:C58"/>
    <mergeCell ref="D57:D58"/>
    <mergeCell ref="E57:E58"/>
    <mergeCell ref="K57:K58"/>
    <mergeCell ref="L57:L58"/>
    <mergeCell ref="M57:M58"/>
    <mergeCell ref="N57:N58"/>
    <mergeCell ref="N51:N54"/>
    <mergeCell ref="K51:K54"/>
    <mergeCell ref="L51:L54"/>
    <mergeCell ref="M51:M54"/>
  </mergeCells>
  <hyperlinks>
    <hyperlink ref="C10" r:id="rId1" display="iso639-2LanguageCode.aspx"/>
    <hyperlink ref="H10" r:id="rId2" display="http://www.loc.gov/standards/iso639-2/langhome.html"/>
    <hyperlink ref="C11" r:id="rId3" display="iso639-2LanguageCode.aspx"/>
    <hyperlink ref="H11" r:id="rId4" display="http://www.loc.gov/standards/iso639-2/langhome.html"/>
    <hyperlink ref="C12" r:id="rId5" display="iso639-2LanguageCode.aspx"/>
    <hyperlink ref="H12" r:id="rId6" display="http://www.loc.gov/standards/iso639-2/langhome.html"/>
    <hyperlink ref="C13" r:id="rId7" display="iso639-2LanguageCode.aspx"/>
    <hyperlink ref="H13" r:id="rId8" display="http://www.loc.gov/standards/iso639-2/langhome.html"/>
    <hyperlink ref="C14" r:id="rId9" display="iso639-2LanguageCode.aspx"/>
    <hyperlink ref="H14" r:id="rId10" display="http://www.loc.gov/standards/iso639-2/langhome.html"/>
    <hyperlink ref="H20" r:id="rId11" display="http://www.iso.org/iso/country_codes.htm"/>
    <hyperlink ref="H21" r:id="rId12" display="http://www.iso.org/iso/country_codes.htm"/>
    <hyperlink ref="H22" r:id="rId13" display="http://nces.ed.gov/pubs2015/fin_acct/chapter6_3.asp"/>
    <hyperlink ref="H23" r:id="rId14" display="http://nces.ed.gov/pubs2015/fin_acct/chapter6_1.asp"/>
    <hyperlink ref="H25" r:id="rId15" display="http://nces.ed.gov/pubs2015/fin_acct/chapter6_2.asp"/>
    <hyperlink ref="H26" r:id="rId16" display="http://nces.ed.gov/pubs2015/fin_acct/chapter6_4.asp"/>
    <hyperlink ref="H31" r:id="rId17" display="http://nces.ed.gov/pubs2015/fin_acct/chapter6_5.asp"/>
    <hyperlink ref="H32" r:id="rId18" display="http://nces.ed.gov/pubs2015/fin_acct/chapter6_8.asp"/>
    <hyperlink ref="H33" r:id="rId19" display="http://nces.ed.gov/pubs2015/fin_acct/chapter6_6.asp"/>
    <hyperlink ref="H34" r:id="rId20" display="http://nces.ed.gov/pubs2015/fin_acct/chapter6_7.asp"/>
    <hyperlink ref="C43" r:id="rId21" display="iso639-2LanguageCode.aspx"/>
    <hyperlink ref="H43" r:id="rId22" display="http://www.loc.gov/standards/iso639-2/langhome.html"/>
    <hyperlink ref="C44" r:id="rId23" display="iso639-2LanguageCode.aspx"/>
    <hyperlink ref="H44" r:id="rId24" display="http://www.loc.gov/standards/iso639-2/langhome.html"/>
    <hyperlink ref="H46" r:id="rId25" display="https://w3id.org/xapi/adl"/>
    <hyperlink ref="C47" r:id="rId26" display="iso639-2LanguageCode.aspx"/>
    <hyperlink ref="H47" r:id="rId27" display="http://www.loc.gov/standards/iso639-2/langhome.html"/>
    <hyperlink ref="C48" r:id="rId28" display="iso639-2LanguageCode.aspx"/>
    <hyperlink ref="H48" r:id="rId29" display="http://www.loc.gov/standards/iso639-2/langhome.html"/>
    <hyperlink ref="C50" r:id="rId30" display="iso639-2LanguageCode.aspx"/>
    <hyperlink ref="H50" r:id="rId31" display="http://www.loc.gov/standards/iso639-2/langhome.html"/>
    <hyperlink ref="C55" r:id="rId32" display="iso639-2LanguageCode.aspx"/>
    <hyperlink ref="H55" r:id="rId33" display="http://www.loc.gov/standards/iso639-2/langhome.html"/>
    <hyperlink ref="C62" r:id="rId34" display="iso639-2LanguageCode.aspx"/>
    <hyperlink ref="H62" r:id="rId35" display="http://www.loc.gov/standards/iso639-2/langhome.html"/>
    <hyperlink ref="H63" r:id="rId36" display="http://www.iso.org/iso/country_codes.htm"/>
  </hyperlinks>
  <pageMargins left="0.75" right="0.75" top="1" bottom="1" header="0.5" footer="0.5"/>
  <pageSetup orientation="portrait" r:id="rId3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
  <sheetViews>
    <sheetView showGridLines="0" workbookViewId="0">
      <selection activeCell="A2" sqref="A2"/>
    </sheetView>
  </sheetViews>
  <sheetFormatPr defaultRowHeight="15" x14ac:dyDescent="0.25"/>
  <cols>
    <col min="1" max="4" width="36.5703125" bestFit="1" customWidth="1"/>
    <col min="5" max="5" width="9.42578125" bestFit="1" customWidth="1"/>
    <col min="6" max="6" width="36.5703125" bestFit="1" customWidth="1"/>
    <col min="7" max="7" width="32.42578125" customWidth="1"/>
    <col min="8" max="8" width="36.5703125" bestFit="1" customWidth="1"/>
    <col min="9" max="9" width="11.42578125" bestFit="1" customWidth="1"/>
    <col min="10" max="10" width="36.5703125" bestFit="1" customWidth="1"/>
    <col min="11" max="11" width="40.85546875" bestFit="1" customWidth="1"/>
    <col min="12" max="12" width="44.5703125" bestFit="1" customWidth="1"/>
    <col min="13" max="13" width="27.85546875" customWidth="1"/>
    <col min="14" max="14" width="24.5703125" bestFit="1" customWidth="1"/>
  </cols>
  <sheetData>
    <row r="1" spans="1:14" s="3" customFormat="1" x14ac:dyDescent="0.25">
      <c r="A1" s="1" t="s">
        <v>6703</v>
      </c>
      <c r="B1" s="1" t="s">
        <v>6704</v>
      </c>
      <c r="C1" s="1" t="s">
        <v>6705</v>
      </c>
      <c r="D1" s="1" t="s">
        <v>6706</v>
      </c>
      <c r="E1" s="1" t="s">
        <v>6707</v>
      </c>
      <c r="F1" s="1" t="s">
        <v>6708</v>
      </c>
      <c r="G1" s="1" t="s">
        <v>6709</v>
      </c>
      <c r="H1" s="1" t="s">
        <v>6710</v>
      </c>
      <c r="I1" s="2" t="s">
        <v>6711</v>
      </c>
      <c r="J1" s="1" t="s">
        <v>6712</v>
      </c>
      <c r="K1" s="1" t="s">
        <v>6713</v>
      </c>
      <c r="L1" s="1" t="s">
        <v>6714</v>
      </c>
      <c r="M1" s="1" t="s">
        <v>6715</v>
      </c>
      <c r="N1" s="1" t="s">
        <v>6716</v>
      </c>
    </row>
    <row r="2" spans="1:14" ht="60" x14ac:dyDescent="0.25">
      <c r="A2" s="4" t="s">
        <v>5399</v>
      </c>
      <c r="B2" s="4" t="s">
        <v>5400</v>
      </c>
      <c r="C2" s="4" t="s">
        <v>12</v>
      </c>
      <c r="D2" s="4"/>
      <c r="E2" s="4" t="s">
        <v>5401</v>
      </c>
      <c r="F2" s="4" t="s">
        <v>99</v>
      </c>
      <c r="G2" s="4"/>
      <c r="H2" s="4" t="s">
        <v>5402</v>
      </c>
      <c r="I2" s="4" t="s">
        <v>5403</v>
      </c>
      <c r="J2" s="4"/>
      <c r="K2" s="4" t="s">
        <v>5404</v>
      </c>
      <c r="L2" s="4" t="s">
        <v>6464</v>
      </c>
      <c r="M2" s="4" t="str">
        <f>HYPERLINK("https://ceds.ed.gov/cedselementdetails.aspx?termid=9624")</f>
        <v>https://ceds.ed.gov/cedselementdetails.aspx?termid=9624</v>
      </c>
      <c r="N2" s="4" t="str">
        <f>HYPERLINK("https://ceds.ed.gov/elementComment.aspx?elementName=Responsible Organization Name &amp;elementID=9624", "Click here to submit comment")</f>
        <v>Click here to submit comment</v>
      </c>
    </row>
  </sheetData>
  <autoFilter ref="A1:N2"/>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4"/>
  <sheetViews>
    <sheetView showGridLines="0" tabSelected="1" workbookViewId="0">
      <selection activeCell="A2" sqref="A2"/>
    </sheetView>
  </sheetViews>
  <sheetFormatPr defaultRowHeight="15" x14ac:dyDescent="0.25"/>
  <cols>
    <col min="1" max="4" width="36.5703125" bestFit="1" customWidth="1"/>
    <col min="5" max="5" width="8.7109375" bestFit="1" customWidth="1"/>
    <col min="6" max="6" width="36.5703125" bestFit="1" customWidth="1"/>
    <col min="7" max="7" width="32.42578125" customWidth="1"/>
    <col min="8" max="8" width="36.5703125" bestFit="1" customWidth="1"/>
    <col min="9" max="9" width="11.42578125" bestFit="1" customWidth="1"/>
    <col min="10" max="10" width="36.5703125" bestFit="1" customWidth="1"/>
    <col min="11" max="11" width="40.85546875" bestFit="1" customWidth="1"/>
    <col min="12" max="12" width="44.5703125" bestFit="1" customWidth="1"/>
    <col min="13" max="13" width="27.85546875" customWidth="1"/>
    <col min="14" max="14" width="24.5703125" bestFit="1" customWidth="1"/>
  </cols>
  <sheetData>
    <row r="1" spans="1:14" s="3" customFormat="1" x14ac:dyDescent="0.25">
      <c r="A1" s="1" t="s">
        <v>6703</v>
      </c>
      <c r="B1" s="1" t="s">
        <v>6704</v>
      </c>
      <c r="C1" s="1" t="s">
        <v>6705</v>
      </c>
      <c r="D1" s="1" t="s">
        <v>6706</v>
      </c>
      <c r="E1" s="1" t="s">
        <v>6707</v>
      </c>
      <c r="F1" s="1" t="s">
        <v>6708</v>
      </c>
      <c r="G1" s="1" t="s">
        <v>6709</v>
      </c>
      <c r="H1" s="1" t="s">
        <v>6710</v>
      </c>
      <c r="I1" s="2" t="s">
        <v>6711</v>
      </c>
      <c r="J1" s="1" t="s">
        <v>6712</v>
      </c>
      <c r="K1" s="1" t="s">
        <v>6713</v>
      </c>
      <c r="L1" s="1" t="s">
        <v>6714</v>
      </c>
      <c r="M1" s="1" t="s">
        <v>6715</v>
      </c>
      <c r="N1" s="1" t="s">
        <v>6716</v>
      </c>
    </row>
    <row r="2" spans="1:14" ht="180" x14ac:dyDescent="0.25">
      <c r="A2" s="12" t="s">
        <v>0</v>
      </c>
      <c r="B2" s="12" t="s">
        <v>1</v>
      </c>
      <c r="C2" s="12" t="s">
        <v>6364</v>
      </c>
      <c r="D2" s="12" t="s">
        <v>6365</v>
      </c>
      <c r="E2" s="12"/>
      <c r="F2" s="12"/>
      <c r="G2" s="12"/>
      <c r="H2" s="12"/>
      <c r="I2" s="12" t="s">
        <v>2</v>
      </c>
      <c r="J2" s="12"/>
      <c r="K2" s="12" t="s">
        <v>3</v>
      </c>
      <c r="L2" s="12" t="s">
        <v>4</v>
      </c>
      <c r="M2" s="12" t="str">
        <f>HYPERLINK("https://ceds.ed.gov/cedselementdetails.aspx?termid=9000")</f>
        <v>https://ceds.ed.gov/cedselementdetails.aspx?termid=9000</v>
      </c>
      <c r="N2" s="12" t="str">
        <f>HYPERLINK("https://ceds.ed.gov/elementComment.aspx?elementName=Ability Grouping Status &amp;elementID=9000", "Click here to submit comment")</f>
        <v>Click here to submit comment</v>
      </c>
    </row>
    <row r="3" spans="1:14" ht="285" x14ac:dyDescent="0.25">
      <c r="A3" s="12" t="s">
        <v>5</v>
      </c>
      <c r="B3" s="12" t="s">
        <v>6</v>
      </c>
      <c r="C3" s="13" t="s">
        <v>6717</v>
      </c>
      <c r="D3" s="12" t="s">
        <v>7</v>
      </c>
      <c r="E3" s="12"/>
      <c r="F3" s="12"/>
      <c r="G3" s="12"/>
      <c r="H3" s="12"/>
      <c r="I3" s="12" t="s">
        <v>8</v>
      </c>
      <c r="J3" s="12"/>
      <c r="K3" s="12" t="s">
        <v>9</v>
      </c>
      <c r="L3" s="12"/>
      <c r="M3" s="12" t="str">
        <f>HYPERLINK("https://ceds.ed.gov/cedselementdetails.aspx?termid=9592")</f>
        <v>https://ceds.ed.gov/cedselementdetails.aspx?termid=9592</v>
      </c>
      <c r="N3" s="12" t="str">
        <f>HYPERLINK("https://ceds.ed.gov/elementComment.aspx?elementName=Absent Attendance Category &amp;elementID=9592", "Click here to submit comment")</f>
        <v>Click here to submit comment</v>
      </c>
    </row>
    <row r="4" spans="1:14" ht="315" x14ac:dyDescent="0.25">
      <c r="A4" s="12" t="s">
        <v>10</v>
      </c>
      <c r="B4" s="12" t="s">
        <v>11</v>
      </c>
      <c r="C4" s="12" t="s">
        <v>12</v>
      </c>
      <c r="D4" s="12" t="s">
        <v>6366</v>
      </c>
      <c r="E4" s="12"/>
      <c r="F4" s="12" t="s">
        <v>13</v>
      </c>
      <c r="G4" s="12"/>
      <c r="H4" s="12"/>
      <c r="I4" s="12" t="s">
        <v>14</v>
      </c>
      <c r="J4" s="12"/>
      <c r="K4" s="12" t="s">
        <v>15</v>
      </c>
      <c r="L4" s="12" t="s">
        <v>6367</v>
      </c>
      <c r="M4" s="12" t="str">
        <f>HYPERLINK("https://ceds.ed.gov/cedselementdetails.aspx?termid=9001")</f>
        <v>https://ceds.ed.gov/cedselementdetails.aspx?termid=9001</v>
      </c>
      <c r="N4" s="12" t="str">
        <f>HYPERLINK("https://ceds.ed.gov/elementComment.aspx?elementName=Academic Award Date &amp;elementID=9001", "Click here to submit comment")</f>
        <v>Click here to submit comment</v>
      </c>
    </row>
    <row r="5" spans="1:14" ht="315" x14ac:dyDescent="0.25">
      <c r="A5" s="12" t="s">
        <v>16</v>
      </c>
      <c r="B5" s="12" t="s">
        <v>17</v>
      </c>
      <c r="C5" s="13" t="s">
        <v>6718</v>
      </c>
      <c r="D5" s="12" t="s">
        <v>6366</v>
      </c>
      <c r="E5" s="12"/>
      <c r="F5" s="12"/>
      <c r="G5" s="12"/>
      <c r="H5" s="12"/>
      <c r="I5" s="12" t="s">
        <v>18</v>
      </c>
      <c r="J5" s="12"/>
      <c r="K5" s="12" t="s">
        <v>19</v>
      </c>
      <c r="L5" s="12" t="s">
        <v>6368</v>
      </c>
      <c r="M5" s="12" t="str">
        <f>HYPERLINK("https://ceds.ed.gov/cedselementdetails.aspx?termid=9002")</f>
        <v>https://ceds.ed.gov/cedselementdetails.aspx?termid=9002</v>
      </c>
      <c r="N5" s="12" t="str">
        <f>HYPERLINK("https://ceds.ed.gov/elementComment.aspx?elementName=Academic Award Level Conferred &amp;elementID=9002", "Click here to submit comment")</f>
        <v>Click here to submit comment</v>
      </c>
    </row>
    <row r="6" spans="1:14" ht="315" x14ac:dyDescent="0.25">
      <c r="A6" s="12" t="s">
        <v>20</v>
      </c>
      <c r="B6" s="12" t="s">
        <v>21</v>
      </c>
      <c r="C6" s="12" t="s">
        <v>12</v>
      </c>
      <c r="D6" s="12" t="s">
        <v>6366</v>
      </c>
      <c r="E6" s="12"/>
      <c r="F6" s="12" t="s">
        <v>22</v>
      </c>
      <c r="G6" s="12"/>
      <c r="H6" s="12"/>
      <c r="I6" s="12" t="s">
        <v>23</v>
      </c>
      <c r="J6" s="12"/>
      <c r="K6" s="12" t="s">
        <v>24</v>
      </c>
      <c r="L6" s="12" t="s">
        <v>25</v>
      </c>
      <c r="M6" s="12" t="str">
        <f>HYPERLINK("https://ceds.ed.gov/cedselementdetails.aspx?termid=9003")</f>
        <v>https://ceds.ed.gov/cedselementdetails.aspx?termid=9003</v>
      </c>
      <c r="N6" s="12" t="str">
        <f>HYPERLINK("https://ceds.ed.gov/elementComment.aspx?elementName=Academic Award Title &amp;elementID=9003", "Click here to submit comment")</f>
        <v>Click here to submit comment</v>
      </c>
    </row>
    <row r="7" spans="1:14" ht="345" x14ac:dyDescent="0.25">
      <c r="A7" s="12" t="s">
        <v>26</v>
      </c>
      <c r="B7" s="12" t="s">
        <v>27</v>
      </c>
      <c r="C7" s="13" t="s">
        <v>6719</v>
      </c>
      <c r="D7" s="12" t="s">
        <v>28</v>
      </c>
      <c r="E7" s="12"/>
      <c r="F7" s="12"/>
      <c r="G7" s="12"/>
      <c r="H7" s="12"/>
      <c r="I7" s="12" t="s">
        <v>29</v>
      </c>
      <c r="J7" s="12"/>
      <c r="K7" s="12" t="s">
        <v>30</v>
      </c>
      <c r="L7" s="12" t="s">
        <v>6369</v>
      </c>
      <c r="M7" s="12" t="str">
        <f>HYPERLINK("https://ceds.ed.gov/cedselementdetails.aspx?termid=9004")</f>
        <v>https://ceds.ed.gov/cedselementdetails.aspx?termid=9004</v>
      </c>
      <c r="N7" s="12" t="str">
        <f>HYPERLINK("https://ceds.ed.gov/elementComment.aspx?elementName=Academic Honors Type &amp;elementID=9004", "Click here to submit comment")</f>
        <v>Click here to submit comment</v>
      </c>
    </row>
    <row r="8" spans="1:14" ht="135" x14ac:dyDescent="0.25">
      <c r="A8" s="12" t="s">
        <v>31</v>
      </c>
      <c r="B8" s="12" t="s">
        <v>32</v>
      </c>
      <c r="C8" s="13" t="s">
        <v>6720</v>
      </c>
      <c r="D8" s="12" t="s">
        <v>33</v>
      </c>
      <c r="E8" s="12"/>
      <c r="F8" s="12"/>
      <c r="G8" s="12"/>
      <c r="H8" s="12" t="s">
        <v>34</v>
      </c>
      <c r="I8" s="12" t="s">
        <v>35</v>
      </c>
      <c r="J8" s="12"/>
      <c r="K8" s="12" t="s">
        <v>36</v>
      </c>
      <c r="L8" s="12" t="s">
        <v>37</v>
      </c>
      <c r="M8" s="12" t="str">
        <f>HYPERLINK("https://ceds.ed.gov/cedselementdetails.aspx?termid=9717")</f>
        <v>https://ceds.ed.gov/cedselementdetails.aspx?termid=9717</v>
      </c>
      <c r="N8" s="12" t="str">
        <f>HYPERLINK("https://ceds.ed.gov/elementComment.aspx?elementName=Academic Rank &amp;elementID=9717", "Click here to submit comment")</f>
        <v>Click here to submit comment</v>
      </c>
    </row>
    <row r="9" spans="1:14" ht="180" x14ac:dyDescent="0.25">
      <c r="A9" s="12" t="s">
        <v>38</v>
      </c>
      <c r="B9" s="12" t="s">
        <v>39</v>
      </c>
      <c r="C9" s="13" t="s">
        <v>6721</v>
      </c>
      <c r="D9" s="12" t="s">
        <v>6370</v>
      </c>
      <c r="E9" s="12"/>
      <c r="F9" s="12"/>
      <c r="G9" s="12"/>
      <c r="H9" s="12" t="s">
        <v>40</v>
      </c>
      <c r="I9" s="12" t="s">
        <v>41</v>
      </c>
      <c r="J9" s="12"/>
      <c r="K9" s="12" t="s">
        <v>42</v>
      </c>
      <c r="L9" s="12" t="s">
        <v>6371</v>
      </c>
      <c r="M9" s="12" t="str">
        <f>HYPERLINK("https://ceds.ed.gov/cedselementdetails.aspx?termid=9703")</f>
        <v>https://ceds.ed.gov/cedselementdetails.aspx?termid=9703</v>
      </c>
      <c r="N9" s="12" t="str">
        <f>HYPERLINK("https://ceds.ed.gov/elementComment.aspx?elementName=Academic Term Designator &amp;elementID=9703", "Click here to submit comment")</f>
        <v>Click here to submit comment</v>
      </c>
    </row>
    <row r="10" spans="1:14" ht="75" x14ac:dyDescent="0.25">
      <c r="A10" s="12" t="s">
        <v>43</v>
      </c>
      <c r="B10" s="12" t="s">
        <v>44</v>
      </c>
      <c r="C10" s="12" t="s">
        <v>12</v>
      </c>
      <c r="D10" s="12" t="s">
        <v>6370</v>
      </c>
      <c r="E10" s="12"/>
      <c r="F10" s="12" t="s">
        <v>45</v>
      </c>
      <c r="G10" s="12"/>
      <c r="H10" s="12"/>
      <c r="I10" s="12" t="s">
        <v>46</v>
      </c>
      <c r="J10" s="12"/>
      <c r="K10" s="12" t="s">
        <v>47</v>
      </c>
      <c r="L10" s="12" t="s">
        <v>6371</v>
      </c>
      <c r="M10" s="12" t="str">
        <f>HYPERLINK("https://ceds.ed.gov/cedselementdetails.aspx?termid=9702")</f>
        <v>https://ceds.ed.gov/cedselementdetails.aspx?termid=9702</v>
      </c>
      <c r="N10" s="12" t="str">
        <f>HYPERLINK("https://ceds.ed.gov/elementComment.aspx?elementName=Academic Year Designator &amp;elementID=9702", "Click here to submit comment")</f>
        <v>Click here to submit comment</v>
      </c>
    </row>
    <row r="11" spans="1:14" ht="375" x14ac:dyDescent="0.25">
      <c r="A11" s="12" t="s">
        <v>48</v>
      </c>
      <c r="B11" s="12" t="s">
        <v>49</v>
      </c>
      <c r="C11" s="13" t="s">
        <v>6722</v>
      </c>
      <c r="D11" s="12" t="s">
        <v>50</v>
      </c>
      <c r="E11" s="12"/>
      <c r="F11" s="12"/>
      <c r="G11" s="12"/>
      <c r="H11" s="12"/>
      <c r="I11" s="12" t="s">
        <v>51</v>
      </c>
      <c r="J11" s="12"/>
      <c r="K11" s="12" t="s">
        <v>52</v>
      </c>
      <c r="L11" s="12"/>
      <c r="M11" s="12" t="str">
        <f>HYPERLINK("https://ceds.ed.gov/cedselementdetails.aspx?termid=10243")</f>
        <v>https://ceds.ed.gov/cedselementdetails.aspx?termid=10243</v>
      </c>
      <c r="N11" s="12" t="str">
        <f>HYPERLINK("https://ceds.ed.gov/elementComment.aspx?elementName=Accommodations Needed Type &amp;elementID=10243", "Click here to submit comment")</f>
        <v>Click here to submit comment</v>
      </c>
    </row>
    <row r="12" spans="1:14" ht="45" x14ac:dyDescent="0.25">
      <c r="A12" s="12" t="s">
        <v>53</v>
      </c>
      <c r="B12" s="12" t="s">
        <v>54</v>
      </c>
      <c r="C12" s="12" t="s">
        <v>12</v>
      </c>
      <c r="D12" s="12" t="s">
        <v>55</v>
      </c>
      <c r="E12" s="12"/>
      <c r="F12" s="12" t="s">
        <v>22</v>
      </c>
      <c r="G12" s="12"/>
      <c r="H12" s="12"/>
      <c r="I12" s="12" t="s">
        <v>56</v>
      </c>
      <c r="J12" s="12"/>
      <c r="K12" s="12" t="s">
        <v>57</v>
      </c>
      <c r="L12" s="12"/>
      <c r="M12" s="12" t="str">
        <f>HYPERLINK("https://ceds.ed.gov/cedselementdetails.aspx?termid=9005")</f>
        <v>https://ceds.ed.gov/cedselementdetails.aspx?termid=9005</v>
      </c>
      <c r="N12" s="12" t="str">
        <f>HYPERLINK("https://ceds.ed.gov/elementComment.aspx?elementName=Accountability Report Title &amp;elementID=9005", "Click here to submit comment")</f>
        <v>Click here to submit comment</v>
      </c>
    </row>
    <row r="13" spans="1:14" ht="210" x14ac:dyDescent="0.25">
      <c r="A13" s="12" t="s">
        <v>58</v>
      </c>
      <c r="B13" s="12" t="s">
        <v>59</v>
      </c>
      <c r="C13" s="13" t="s">
        <v>6723</v>
      </c>
      <c r="D13" s="12" t="s">
        <v>60</v>
      </c>
      <c r="E13" s="12"/>
      <c r="F13" s="12"/>
      <c r="G13" s="12"/>
      <c r="H13" s="12" t="s">
        <v>61</v>
      </c>
      <c r="I13" s="12" t="s">
        <v>62</v>
      </c>
      <c r="J13" s="12"/>
      <c r="K13" s="12" t="s">
        <v>63</v>
      </c>
      <c r="L13" s="12" t="s">
        <v>64</v>
      </c>
      <c r="M13" s="12" t="str">
        <f>HYPERLINK("https://ceds.ed.gov/cedselementdetails.aspx?termid=9983")</f>
        <v>https://ceds.ed.gov/cedselementdetails.aspx?termid=9983</v>
      </c>
      <c r="N13" s="12" t="str">
        <f>HYPERLINK("https://ceds.ed.gov/elementComment.aspx?elementName=Accreditation Agency &amp;elementID=9983", "Click here to submit comment")</f>
        <v>Click here to submit comment</v>
      </c>
    </row>
    <row r="14" spans="1:14" ht="45" x14ac:dyDescent="0.25">
      <c r="A14" s="12" t="s">
        <v>65</v>
      </c>
      <c r="B14" s="12" t="s">
        <v>66</v>
      </c>
      <c r="C14" s="12" t="s">
        <v>12</v>
      </c>
      <c r="D14" s="12" t="s">
        <v>67</v>
      </c>
      <c r="E14" s="12"/>
      <c r="F14" s="12" t="s">
        <v>68</v>
      </c>
      <c r="G14" s="12"/>
      <c r="H14" s="12"/>
      <c r="I14" s="12" t="s">
        <v>69</v>
      </c>
      <c r="J14" s="12"/>
      <c r="K14" s="12" t="s">
        <v>70</v>
      </c>
      <c r="L14" s="12"/>
      <c r="M14" s="12" t="str">
        <f>HYPERLINK("https://ceds.ed.gov/cedselementdetails.aspx?termid=10500")</f>
        <v>https://ceds.ed.gov/cedselementdetails.aspx?termid=10500</v>
      </c>
      <c r="N14" s="12" t="str">
        <f>HYPERLINK("https://ceds.ed.gov/elementComment.aspx?elementName=Accreditation Agency Name &amp;elementID=10500", "Click here to submit comment")</f>
        <v>Click here to submit comment</v>
      </c>
    </row>
    <row r="15" spans="1:14" ht="75" x14ac:dyDescent="0.25">
      <c r="A15" s="12" t="s">
        <v>71</v>
      </c>
      <c r="B15" s="12" t="s">
        <v>72</v>
      </c>
      <c r="C15" s="12" t="s">
        <v>12</v>
      </c>
      <c r="D15" s="12" t="s">
        <v>6372</v>
      </c>
      <c r="E15" s="12"/>
      <c r="F15" s="12" t="s">
        <v>73</v>
      </c>
      <c r="G15" s="12"/>
      <c r="H15" s="12"/>
      <c r="I15" s="12" t="s">
        <v>74</v>
      </c>
      <c r="J15" s="12"/>
      <c r="K15" s="12" t="s">
        <v>75</v>
      </c>
      <c r="L15" s="12" t="s">
        <v>64</v>
      </c>
      <c r="M15" s="12" t="str">
        <f>HYPERLINK("https://ceds.ed.gov/cedselementdetails.aspx?termid=9840")</f>
        <v>https://ceds.ed.gov/cedselementdetails.aspx?termid=9840</v>
      </c>
      <c r="N15" s="12" t="str">
        <f>HYPERLINK("https://ceds.ed.gov/elementComment.aspx?elementName=Accreditation Award Date &amp;elementID=9840", "Click here to submit comment")</f>
        <v>Click here to submit comment</v>
      </c>
    </row>
    <row r="16" spans="1:14" ht="75" x14ac:dyDescent="0.25">
      <c r="A16" s="12" t="s">
        <v>76</v>
      </c>
      <c r="B16" s="12" t="s">
        <v>77</v>
      </c>
      <c r="C16" s="12" t="s">
        <v>12</v>
      </c>
      <c r="D16" s="12" t="s">
        <v>6372</v>
      </c>
      <c r="E16" s="12"/>
      <c r="F16" s="12" t="s">
        <v>73</v>
      </c>
      <c r="G16" s="12"/>
      <c r="H16" s="12"/>
      <c r="I16" s="12" t="s">
        <v>78</v>
      </c>
      <c r="J16" s="12"/>
      <c r="K16" s="12" t="s">
        <v>79</v>
      </c>
      <c r="L16" s="12" t="s">
        <v>64</v>
      </c>
      <c r="M16" s="12" t="str">
        <f>HYPERLINK("https://ceds.ed.gov/cedselementdetails.aspx?termid=9841")</f>
        <v>https://ceds.ed.gov/cedselementdetails.aspx?termid=9841</v>
      </c>
      <c r="N16" s="12" t="str">
        <f>HYPERLINK("https://ceds.ed.gov/elementComment.aspx?elementName=Accreditation Expiration Date &amp;elementID=9841", "Click here to submit comment")</f>
        <v>Click here to submit comment</v>
      </c>
    </row>
    <row r="17" spans="1:14" ht="90" x14ac:dyDescent="0.25">
      <c r="A17" s="12" t="s">
        <v>80</v>
      </c>
      <c r="B17" s="12" t="s">
        <v>81</v>
      </c>
      <c r="C17" s="12" t="s">
        <v>12</v>
      </c>
      <c r="D17" s="12" t="s">
        <v>6373</v>
      </c>
      <c r="E17" s="12"/>
      <c r="F17" s="12" t="s">
        <v>82</v>
      </c>
      <c r="G17" s="12"/>
      <c r="H17" s="12"/>
      <c r="I17" s="12" t="s">
        <v>83</v>
      </c>
      <c r="J17" s="12"/>
      <c r="K17" s="12" t="s">
        <v>84</v>
      </c>
      <c r="L17" s="12"/>
      <c r="M17" s="12" t="str">
        <f>HYPERLINK("https://ceds.ed.gov/cedselementdetails.aspx?termid=9898")</f>
        <v>https://ceds.ed.gov/cedselementdetails.aspx?termid=9898</v>
      </c>
      <c r="N17" s="12" t="str">
        <f>HYPERLINK("https://ceds.ed.gov/elementComment.aspx?elementName=Achievement Award Issuer Name &amp;elementID=9898", "Click here to submit comment")</f>
        <v>Click here to submit comment</v>
      </c>
    </row>
    <row r="18" spans="1:14" ht="90" x14ac:dyDescent="0.25">
      <c r="A18" s="12" t="s">
        <v>85</v>
      </c>
      <c r="B18" s="12" t="s">
        <v>86</v>
      </c>
      <c r="C18" s="12" t="s">
        <v>12</v>
      </c>
      <c r="D18" s="12" t="s">
        <v>6373</v>
      </c>
      <c r="E18" s="12"/>
      <c r="F18" s="12" t="s">
        <v>68</v>
      </c>
      <c r="G18" s="12"/>
      <c r="H18" s="12" t="s">
        <v>87</v>
      </c>
      <c r="I18" s="12" t="s">
        <v>88</v>
      </c>
      <c r="J18" s="12"/>
      <c r="K18" s="12" t="s">
        <v>89</v>
      </c>
      <c r="L18" s="12"/>
      <c r="M18" s="12" t="str">
        <f>HYPERLINK("https://ceds.ed.gov/cedselementdetails.aspx?termid=9900")</f>
        <v>https://ceds.ed.gov/cedselementdetails.aspx?termid=9900</v>
      </c>
      <c r="N18" s="12" t="str">
        <f>HYPERLINK("https://ceds.ed.gov/elementComment.aspx?elementName=Achievement Award Issuer Origin URL &amp;elementID=9900", "Click here to submit comment")</f>
        <v>Click here to submit comment</v>
      </c>
    </row>
    <row r="19" spans="1:14" ht="90" x14ac:dyDescent="0.25">
      <c r="A19" s="12" t="s">
        <v>90</v>
      </c>
      <c r="B19" s="12" t="s">
        <v>91</v>
      </c>
      <c r="C19" s="12" t="s">
        <v>12</v>
      </c>
      <c r="D19" s="12" t="s">
        <v>6373</v>
      </c>
      <c r="E19" s="12"/>
      <c r="F19" s="12" t="s">
        <v>92</v>
      </c>
      <c r="G19" s="12"/>
      <c r="H19" s="12" t="s">
        <v>93</v>
      </c>
      <c r="I19" s="12" t="s">
        <v>94</v>
      </c>
      <c r="J19" s="12"/>
      <c r="K19" s="12" t="s">
        <v>95</v>
      </c>
      <c r="L19" s="12"/>
      <c r="M19" s="12" t="str">
        <f>HYPERLINK("https://ceds.ed.gov/cedselementdetails.aspx?termid=10211")</f>
        <v>https://ceds.ed.gov/cedselementdetails.aspx?termid=10211</v>
      </c>
      <c r="N19" s="12" t="str">
        <f>HYPERLINK("https://ceds.ed.gov/elementComment.aspx?elementName=Achievement Category System &amp;elementID=10211", "Click here to submit comment")</f>
        <v>Click here to submit comment</v>
      </c>
    </row>
    <row r="20" spans="1:14" ht="285" x14ac:dyDescent="0.25">
      <c r="A20" s="12" t="s">
        <v>96</v>
      </c>
      <c r="B20" s="12" t="s">
        <v>97</v>
      </c>
      <c r="C20" s="12" t="s">
        <v>12</v>
      </c>
      <c r="D20" s="12" t="s">
        <v>6373</v>
      </c>
      <c r="E20" s="12" t="s">
        <v>98</v>
      </c>
      <c r="F20" s="12" t="s">
        <v>99</v>
      </c>
      <c r="G20" s="12"/>
      <c r="H20" s="12" t="s">
        <v>100</v>
      </c>
      <c r="I20" s="12" t="s">
        <v>101</v>
      </c>
      <c r="J20" s="12"/>
      <c r="K20" s="12" t="s">
        <v>102</v>
      </c>
      <c r="L20" s="12"/>
      <c r="M20" s="12" t="str">
        <f>HYPERLINK("https://ceds.ed.gov/cedselementdetails.aspx?termid=9892")</f>
        <v>https://ceds.ed.gov/cedselementdetails.aspx?termid=9892</v>
      </c>
      <c r="N20" s="12" t="str">
        <f>HYPERLINK("https://ceds.ed.gov/elementComment.aspx?elementName=Achievement Category Type &amp;elementID=9892", "Click here to submit comment")</f>
        <v>Click here to submit comment</v>
      </c>
    </row>
    <row r="21" spans="1:14" ht="90" x14ac:dyDescent="0.25">
      <c r="A21" s="12" t="s">
        <v>103</v>
      </c>
      <c r="B21" s="12" t="s">
        <v>104</v>
      </c>
      <c r="C21" s="12" t="s">
        <v>12</v>
      </c>
      <c r="D21" s="12" t="s">
        <v>6373</v>
      </c>
      <c r="E21" s="12"/>
      <c r="F21" s="12" t="s">
        <v>68</v>
      </c>
      <c r="G21" s="12"/>
      <c r="H21" s="12"/>
      <c r="I21" s="12" t="s">
        <v>105</v>
      </c>
      <c r="J21" s="12"/>
      <c r="K21" s="12" t="s">
        <v>106</v>
      </c>
      <c r="L21" s="12"/>
      <c r="M21" s="12" t="str">
        <f>HYPERLINK("https://ceds.ed.gov/cedselementdetails.aspx?termid=9896")</f>
        <v>https://ceds.ed.gov/cedselementdetails.aspx?termid=9896</v>
      </c>
      <c r="N21" s="12" t="str">
        <f>HYPERLINK("https://ceds.ed.gov/elementComment.aspx?elementName=Achievement Criteria &amp;elementID=9896", "Click here to submit comment")</f>
        <v>Click here to submit comment</v>
      </c>
    </row>
    <row r="22" spans="1:14" ht="90" x14ac:dyDescent="0.25">
      <c r="A22" s="12" t="s">
        <v>107</v>
      </c>
      <c r="B22" s="12" t="s">
        <v>108</v>
      </c>
      <c r="C22" s="12" t="s">
        <v>12</v>
      </c>
      <c r="D22" s="12" t="s">
        <v>6373</v>
      </c>
      <c r="E22" s="12"/>
      <c r="F22" s="12" t="s">
        <v>68</v>
      </c>
      <c r="G22" s="12"/>
      <c r="H22" s="12"/>
      <c r="I22" s="12" t="s">
        <v>109</v>
      </c>
      <c r="J22" s="12"/>
      <c r="K22" s="12" t="s">
        <v>110</v>
      </c>
      <c r="L22" s="12"/>
      <c r="M22" s="12" t="str">
        <f>HYPERLINK("https://ceds.ed.gov/cedselementdetails.aspx?termid=10113")</f>
        <v>https://ceds.ed.gov/cedselementdetails.aspx?termid=10113</v>
      </c>
      <c r="N22" s="12" t="str">
        <f>HYPERLINK("https://ceds.ed.gov/elementComment.aspx?elementName=Achievement Criteria URL &amp;elementID=10113", "Click here to submit comment")</f>
        <v>Click here to submit comment</v>
      </c>
    </row>
    <row r="23" spans="1:14" ht="90" x14ac:dyDescent="0.25">
      <c r="A23" s="12" t="s">
        <v>111</v>
      </c>
      <c r="B23" s="12" t="s">
        <v>112</v>
      </c>
      <c r="C23" s="12" t="s">
        <v>12</v>
      </c>
      <c r="D23" s="12" t="s">
        <v>6373</v>
      </c>
      <c r="E23" s="12"/>
      <c r="F23" s="12" t="s">
        <v>68</v>
      </c>
      <c r="G23" s="12"/>
      <c r="H23" s="12"/>
      <c r="I23" s="12" t="s">
        <v>113</v>
      </c>
      <c r="J23" s="12"/>
      <c r="K23" s="12" t="s">
        <v>114</v>
      </c>
      <c r="L23" s="12"/>
      <c r="M23" s="12" t="str">
        <f>HYPERLINK("https://ceds.ed.gov/cedselementdetails.aspx?termid=9895")</f>
        <v>https://ceds.ed.gov/cedselementdetails.aspx?termid=9895</v>
      </c>
      <c r="N23" s="12" t="str">
        <f>HYPERLINK("https://ceds.ed.gov/elementComment.aspx?elementName=Achievement Description &amp;elementID=9895", "Click here to submit comment")</f>
        <v>Click here to submit comment</v>
      </c>
    </row>
    <row r="24" spans="1:14" ht="90" x14ac:dyDescent="0.25">
      <c r="A24" s="12" t="s">
        <v>115</v>
      </c>
      <c r="B24" s="12" t="s">
        <v>116</v>
      </c>
      <c r="C24" s="12" t="s">
        <v>12</v>
      </c>
      <c r="D24" s="12" t="s">
        <v>6373</v>
      </c>
      <c r="E24" s="12"/>
      <c r="F24" s="12" t="s">
        <v>73</v>
      </c>
      <c r="G24" s="12"/>
      <c r="H24" s="12"/>
      <c r="I24" s="12" t="s">
        <v>117</v>
      </c>
      <c r="J24" s="12"/>
      <c r="K24" s="12" t="s">
        <v>118</v>
      </c>
      <c r="L24" s="12"/>
      <c r="M24" s="12" t="str">
        <f>HYPERLINK("https://ceds.ed.gov/cedselementdetails.aspx?termid=10121")</f>
        <v>https://ceds.ed.gov/cedselementdetails.aspx?termid=10121</v>
      </c>
      <c r="N24" s="12" t="str">
        <f>HYPERLINK("https://ceds.ed.gov/elementComment.aspx?elementName=Achievement End Date &amp;elementID=10121", "Click here to submit comment")</f>
        <v>Click here to submit comment</v>
      </c>
    </row>
    <row r="25" spans="1:14" ht="90" x14ac:dyDescent="0.25">
      <c r="A25" s="12" t="s">
        <v>119</v>
      </c>
      <c r="B25" s="12" t="s">
        <v>120</v>
      </c>
      <c r="C25" s="12" t="s">
        <v>12</v>
      </c>
      <c r="D25" s="12" t="s">
        <v>6373</v>
      </c>
      <c r="E25" s="12"/>
      <c r="F25" s="12" t="s">
        <v>68</v>
      </c>
      <c r="G25" s="12"/>
      <c r="H25" s="12"/>
      <c r="I25" s="12" t="s">
        <v>121</v>
      </c>
      <c r="J25" s="12"/>
      <c r="K25" s="12" t="s">
        <v>122</v>
      </c>
      <c r="L25" s="12"/>
      <c r="M25" s="12" t="str">
        <f>HYPERLINK("https://ceds.ed.gov/cedselementdetails.aspx?termid=9901")</f>
        <v>https://ceds.ed.gov/cedselementdetails.aspx?termid=9901</v>
      </c>
      <c r="N25" s="12" t="str">
        <f>HYPERLINK("https://ceds.ed.gov/elementComment.aspx?elementName=Achievement Evidence Statement &amp;elementID=9901", "Click here to submit comment")</f>
        <v>Click here to submit comment</v>
      </c>
    </row>
    <row r="26" spans="1:14" ht="90" x14ac:dyDescent="0.25">
      <c r="A26" s="12" t="s">
        <v>123</v>
      </c>
      <c r="B26" s="12" t="s">
        <v>124</v>
      </c>
      <c r="C26" s="12" t="s">
        <v>12</v>
      </c>
      <c r="D26" s="12" t="s">
        <v>6373</v>
      </c>
      <c r="E26" s="12"/>
      <c r="F26" s="12" t="s">
        <v>68</v>
      </c>
      <c r="G26" s="12"/>
      <c r="H26" s="12" t="s">
        <v>125</v>
      </c>
      <c r="I26" s="12" t="s">
        <v>126</v>
      </c>
      <c r="J26" s="12"/>
      <c r="K26" s="12" t="s">
        <v>127</v>
      </c>
      <c r="L26" s="12"/>
      <c r="M26" s="12" t="str">
        <f>HYPERLINK("https://ceds.ed.gov/cedselementdetails.aspx?termid=9894")</f>
        <v>https://ceds.ed.gov/cedselementdetails.aspx?termid=9894</v>
      </c>
      <c r="N26" s="12" t="str">
        <f>HYPERLINK("https://ceds.ed.gov/elementComment.aspx?elementName=Achievement Image URL &amp;elementID=9894", "Click here to submit comment")</f>
        <v>Click here to submit comment</v>
      </c>
    </row>
    <row r="27" spans="1:14" ht="90" x14ac:dyDescent="0.25">
      <c r="A27" s="12" t="s">
        <v>128</v>
      </c>
      <c r="B27" s="12" t="s">
        <v>129</v>
      </c>
      <c r="C27" s="12" t="s">
        <v>12</v>
      </c>
      <c r="D27" s="12" t="s">
        <v>6373</v>
      </c>
      <c r="E27" s="12"/>
      <c r="F27" s="12" t="s">
        <v>73</v>
      </c>
      <c r="G27" s="12"/>
      <c r="H27" s="12"/>
      <c r="I27" s="12" t="s">
        <v>130</v>
      </c>
      <c r="J27" s="12"/>
      <c r="K27" s="12" t="s">
        <v>131</v>
      </c>
      <c r="L27" s="12"/>
      <c r="M27" s="12" t="str">
        <f>HYPERLINK("https://ceds.ed.gov/cedselementdetails.aspx?termid=10120")</f>
        <v>https://ceds.ed.gov/cedselementdetails.aspx?termid=10120</v>
      </c>
      <c r="N27" s="12" t="str">
        <f>HYPERLINK("https://ceds.ed.gov/elementComment.aspx?elementName=Achievement Start Date &amp;elementID=10120", "Click here to submit comment")</f>
        <v>Click here to submit comment</v>
      </c>
    </row>
    <row r="28" spans="1:14" ht="90" x14ac:dyDescent="0.25">
      <c r="A28" s="12" t="s">
        <v>132</v>
      </c>
      <c r="B28" s="12" t="s">
        <v>133</v>
      </c>
      <c r="C28" s="12" t="s">
        <v>12</v>
      </c>
      <c r="D28" s="12" t="s">
        <v>6373</v>
      </c>
      <c r="E28" s="12"/>
      <c r="F28" s="12" t="s">
        <v>68</v>
      </c>
      <c r="G28" s="12"/>
      <c r="H28" s="12"/>
      <c r="I28" s="12" t="s">
        <v>134</v>
      </c>
      <c r="J28" s="12"/>
      <c r="K28" s="12" t="s">
        <v>135</v>
      </c>
      <c r="L28" s="12"/>
      <c r="M28" s="12" t="str">
        <f>HYPERLINK("https://ceds.ed.gov/cedselementdetails.aspx?termid=9893")</f>
        <v>https://ceds.ed.gov/cedselementdetails.aspx?termid=9893</v>
      </c>
      <c r="N28" s="12" t="str">
        <f>HYPERLINK("https://ceds.ed.gov/elementComment.aspx?elementName=Achievement Title &amp;elementID=9893", "Click here to submit comment")</f>
        <v>Click here to submit comment</v>
      </c>
    </row>
    <row r="29" spans="1:14" ht="120" x14ac:dyDescent="0.25">
      <c r="A29" s="12" t="s">
        <v>136</v>
      </c>
      <c r="B29" s="12" t="s">
        <v>137</v>
      </c>
      <c r="C29" s="12" t="s">
        <v>12</v>
      </c>
      <c r="D29" s="12" t="s">
        <v>6374</v>
      </c>
      <c r="E29" s="12"/>
      <c r="F29" s="12" t="s">
        <v>68</v>
      </c>
      <c r="G29" s="12"/>
      <c r="H29" s="12"/>
      <c r="I29" s="12" t="s">
        <v>138</v>
      </c>
      <c r="J29" s="12"/>
      <c r="K29" s="12" t="s">
        <v>139</v>
      </c>
      <c r="L29" s="12"/>
      <c r="M29" s="12" t="str">
        <f>HYPERLINK("https://ceds.ed.gov/cedselementdetails.aspx?termid=10505")</f>
        <v>https://ceds.ed.gov/cedselementdetails.aspx?termid=10505</v>
      </c>
      <c r="N29" s="12" t="str">
        <f>HYPERLINK("https://ceds.ed.gov/elementComment.aspx?elementName=Activity Description &amp;elementID=10505", "Click here to submit comment")</f>
        <v>Click here to submit comment</v>
      </c>
    </row>
    <row r="30" spans="1:14" ht="96" customHeight="1" x14ac:dyDescent="0.25">
      <c r="A30" s="18" t="s">
        <v>140</v>
      </c>
      <c r="B30" s="18" t="s">
        <v>141</v>
      </c>
      <c r="C30" s="18" t="s">
        <v>12</v>
      </c>
      <c r="D30" s="18" t="s">
        <v>6374</v>
      </c>
      <c r="E30" s="18"/>
      <c r="F30" s="18" t="s">
        <v>142</v>
      </c>
      <c r="G30" s="18"/>
      <c r="H30" s="12" t="s">
        <v>143</v>
      </c>
      <c r="I30" s="18" t="s">
        <v>145</v>
      </c>
      <c r="J30" s="18"/>
      <c r="K30" s="18" t="s">
        <v>146</v>
      </c>
      <c r="L30" s="18" t="s">
        <v>6369</v>
      </c>
      <c r="M30" s="18" t="str">
        <f>HYPERLINK("https://ceds.ed.gov/cedselementdetails.aspx?termid=9006")</f>
        <v>https://ceds.ed.gov/cedselementdetails.aspx?termid=9006</v>
      </c>
      <c r="N30" s="18" t="str">
        <f>HYPERLINK("https://ceds.ed.gov/elementComment.aspx?elementName=Activity Identifier &amp;elementID=9006", "Click here to submit comment")</f>
        <v>Click here to submit comment</v>
      </c>
    </row>
    <row r="31" spans="1:14" x14ac:dyDescent="0.25">
      <c r="A31" s="18"/>
      <c r="B31" s="18"/>
      <c r="C31" s="18"/>
      <c r="D31" s="18"/>
      <c r="E31" s="18"/>
      <c r="F31" s="18"/>
      <c r="G31" s="18"/>
      <c r="H31" s="12"/>
      <c r="I31" s="18"/>
      <c r="J31" s="18"/>
      <c r="K31" s="18"/>
      <c r="L31" s="18"/>
      <c r="M31" s="18"/>
      <c r="N31" s="18"/>
    </row>
    <row r="32" spans="1:14" ht="90" x14ac:dyDescent="0.25">
      <c r="A32" s="18"/>
      <c r="B32" s="18"/>
      <c r="C32" s="18"/>
      <c r="D32" s="18"/>
      <c r="E32" s="18"/>
      <c r="F32" s="18"/>
      <c r="G32" s="18"/>
      <c r="H32" s="12" t="s">
        <v>144</v>
      </c>
      <c r="I32" s="18"/>
      <c r="J32" s="18"/>
      <c r="K32" s="18"/>
      <c r="L32" s="18"/>
      <c r="M32" s="18"/>
      <c r="N32" s="18"/>
    </row>
    <row r="33" spans="1:14" ht="120" x14ac:dyDescent="0.25">
      <c r="A33" s="12" t="s">
        <v>147</v>
      </c>
      <c r="B33" s="12" t="s">
        <v>148</v>
      </c>
      <c r="C33" s="12" t="s">
        <v>12</v>
      </c>
      <c r="D33" s="12" t="s">
        <v>6374</v>
      </c>
      <c r="E33" s="12"/>
      <c r="F33" s="12" t="s">
        <v>73</v>
      </c>
      <c r="G33" s="12"/>
      <c r="H33" s="12"/>
      <c r="I33" s="12" t="s">
        <v>149</v>
      </c>
      <c r="J33" s="12"/>
      <c r="K33" s="12" t="s">
        <v>150</v>
      </c>
      <c r="L33" s="12" t="s">
        <v>6369</v>
      </c>
      <c r="M33" s="12" t="str">
        <f>HYPERLINK("https://ceds.ed.gov/cedselementdetails.aspx?termid=9007")</f>
        <v>https://ceds.ed.gov/cedselementdetails.aspx?termid=9007</v>
      </c>
      <c r="N33" s="12" t="str">
        <f>HYPERLINK("https://ceds.ed.gov/elementComment.aspx?elementName=Activity Involvement Begin Date &amp;elementID=9007", "Click here to submit comment")</f>
        <v>Click here to submit comment</v>
      </c>
    </row>
    <row r="34" spans="1:14" ht="120" x14ac:dyDescent="0.25">
      <c r="A34" s="12" t="s">
        <v>151</v>
      </c>
      <c r="B34" s="12" t="s">
        <v>152</v>
      </c>
      <c r="C34" s="12" t="s">
        <v>12</v>
      </c>
      <c r="D34" s="12" t="s">
        <v>6374</v>
      </c>
      <c r="E34" s="12"/>
      <c r="F34" s="12" t="s">
        <v>73</v>
      </c>
      <c r="G34" s="12"/>
      <c r="H34" s="12"/>
      <c r="I34" s="12" t="s">
        <v>153</v>
      </c>
      <c r="J34" s="12"/>
      <c r="K34" s="12" t="s">
        <v>154</v>
      </c>
      <c r="L34" s="12" t="s">
        <v>6369</v>
      </c>
      <c r="M34" s="12" t="str">
        <f>HYPERLINK("https://ceds.ed.gov/cedselementdetails.aspx?termid=9008")</f>
        <v>https://ceds.ed.gov/cedselementdetails.aspx?termid=9008</v>
      </c>
      <c r="N34" s="12" t="str">
        <f>HYPERLINK("https://ceds.ed.gov/elementComment.aspx?elementName=Activity Involvement End Date &amp;elementID=9008", "Click here to submit comment")</f>
        <v>Click here to submit comment</v>
      </c>
    </row>
    <row r="35" spans="1:14" ht="120" x14ac:dyDescent="0.25">
      <c r="A35" s="12" t="s">
        <v>155</v>
      </c>
      <c r="B35" s="12" t="s">
        <v>156</v>
      </c>
      <c r="C35" s="12" t="s">
        <v>12</v>
      </c>
      <c r="D35" s="12" t="s">
        <v>6374</v>
      </c>
      <c r="E35" s="12"/>
      <c r="F35" s="12" t="s">
        <v>157</v>
      </c>
      <c r="G35" s="12"/>
      <c r="H35" s="12"/>
      <c r="I35" s="12" t="s">
        <v>158</v>
      </c>
      <c r="J35" s="12"/>
      <c r="K35" s="12" t="s">
        <v>159</v>
      </c>
      <c r="L35" s="12"/>
      <c r="M35" s="12" t="str">
        <f>HYPERLINK("https://ceds.ed.gov/cedselementdetails.aspx?termid=10502")</f>
        <v>https://ceds.ed.gov/cedselementdetails.aspx?termid=10502</v>
      </c>
      <c r="N35" s="12" t="str">
        <f>HYPERLINK("https://ceds.ed.gov/elementComment.aspx?elementName=Activity Time Involved &amp;elementID=10502", "Click here to submit comment")</f>
        <v>Click here to submit comment</v>
      </c>
    </row>
    <row r="36" spans="1:14" ht="120" x14ac:dyDescent="0.25">
      <c r="A36" s="12" t="s">
        <v>160</v>
      </c>
      <c r="B36" s="12" t="s">
        <v>161</v>
      </c>
      <c r="C36" s="13" t="s">
        <v>6724</v>
      </c>
      <c r="D36" s="12" t="s">
        <v>6374</v>
      </c>
      <c r="E36" s="12"/>
      <c r="F36" s="12"/>
      <c r="G36" s="12"/>
      <c r="H36" s="12"/>
      <c r="I36" s="12" t="s">
        <v>162</v>
      </c>
      <c r="J36" s="12"/>
      <c r="K36" s="12" t="s">
        <v>163</v>
      </c>
      <c r="L36" s="12"/>
      <c r="M36" s="12" t="str">
        <f>HYPERLINK("https://ceds.ed.gov/cedselementdetails.aspx?termid=10503")</f>
        <v>https://ceds.ed.gov/cedselementdetails.aspx?termid=10503</v>
      </c>
      <c r="N36" s="12" t="str">
        <f>HYPERLINK("https://ceds.ed.gov/elementComment.aspx?elementName=Activity Time Measurement Type &amp;elementID=10503", "Click here to submit comment")</f>
        <v>Click here to submit comment</v>
      </c>
    </row>
    <row r="37" spans="1:14" ht="120" x14ac:dyDescent="0.25">
      <c r="A37" s="12" t="s">
        <v>164</v>
      </c>
      <c r="B37" s="12" t="s">
        <v>165</v>
      </c>
      <c r="C37" s="12" t="s">
        <v>12</v>
      </c>
      <c r="D37" s="12" t="s">
        <v>6374</v>
      </c>
      <c r="E37" s="12"/>
      <c r="F37" s="12" t="s">
        <v>99</v>
      </c>
      <c r="G37" s="12"/>
      <c r="H37" s="12"/>
      <c r="I37" s="12" t="s">
        <v>166</v>
      </c>
      <c r="J37" s="12"/>
      <c r="K37" s="12" t="s">
        <v>167</v>
      </c>
      <c r="L37" s="12" t="s">
        <v>6369</v>
      </c>
      <c r="M37" s="12" t="str">
        <f>HYPERLINK("https://ceds.ed.gov/cedselementdetails.aspx?termid=9009")</f>
        <v>https://ceds.ed.gov/cedselementdetails.aspx?termid=9009</v>
      </c>
      <c r="N37" s="12" t="str">
        <f>HYPERLINK("https://ceds.ed.gov/elementComment.aspx?elementName=Activity Title &amp;elementID=9009", "Click here to submit comment")</f>
        <v>Click here to submit comment</v>
      </c>
    </row>
    <row r="38" spans="1:14" ht="255" x14ac:dyDescent="0.25">
      <c r="A38" s="12" t="s">
        <v>168</v>
      </c>
      <c r="B38" s="12" t="s">
        <v>169</v>
      </c>
      <c r="C38" s="13" t="s">
        <v>6725</v>
      </c>
      <c r="D38" s="12" t="s">
        <v>6375</v>
      </c>
      <c r="E38" s="12"/>
      <c r="F38" s="12"/>
      <c r="G38" s="12"/>
      <c r="H38" s="12"/>
      <c r="I38" s="12" t="s">
        <v>170</v>
      </c>
      <c r="J38" s="12"/>
      <c r="K38" s="12" t="s">
        <v>171</v>
      </c>
      <c r="L38" s="12"/>
      <c r="M38" s="12" t="str">
        <f>HYPERLINK("https://ceds.ed.gov/cedselementdetails.aspx?termid=9589")</f>
        <v>https://ceds.ed.gov/cedselementdetails.aspx?termid=9589</v>
      </c>
      <c r="N38" s="12" t="str">
        <f>HYPERLINK("https://ceds.ed.gov/elementComment.aspx?elementName=Additional Credit Type &amp;elementID=9589", "Click here to submit comment")</f>
        <v>Click here to submit comment</v>
      </c>
    </row>
    <row r="39" spans="1:14" ht="409.5" x14ac:dyDescent="0.25">
      <c r="A39" s="12" t="s">
        <v>172</v>
      </c>
      <c r="B39" s="12" t="s">
        <v>173</v>
      </c>
      <c r="C39" s="12" t="s">
        <v>12</v>
      </c>
      <c r="D39" s="12" t="s">
        <v>6376</v>
      </c>
      <c r="E39" s="12"/>
      <c r="F39" s="12" t="s">
        <v>92</v>
      </c>
      <c r="G39" s="12"/>
      <c r="H39" s="12"/>
      <c r="I39" s="12" t="s">
        <v>174</v>
      </c>
      <c r="J39" s="12"/>
      <c r="K39" s="12" t="s">
        <v>175</v>
      </c>
      <c r="L39" s="12" t="s">
        <v>6377</v>
      </c>
      <c r="M39" s="12" t="str">
        <f>HYPERLINK("https://ceds.ed.gov/cedselementdetails.aspx?termid=9019")</f>
        <v>https://ceds.ed.gov/cedselementdetails.aspx?termid=9019</v>
      </c>
      <c r="N39" s="12" t="str">
        <f>HYPERLINK("https://ceds.ed.gov/elementComment.aspx?elementName=Address Apartment Room or Suite Number &amp;elementID=9019", "Click here to submit comment")</f>
        <v>Click here to submit comment</v>
      </c>
    </row>
    <row r="40" spans="1:14" ht="409.5" x14ac:dyDescent="0.25">
      <c r="A40" s="12" t="s">
        <v>176</v>
      </c>
      <c r="B40" s="12" t="s">
        <v>177</v>
      </c>
      <c r="C40" s="12" t="s">
        <v>12</v>
      </c>
      <c r="D40" s="12" t="s">
        <v>6376</v>
      </c>
      <c r="E40" s="12"/>
      <c r="F40" s="12" t="s">
        <v>92</v>
      </c>
      <c r="G40" s="12"/>
      <c r="H40" s="12"/>
      <c r="I40" s="12" t="s">
        <v>178</v>
      </c>
      <c r="J40" s="12"/>
      <c r="K40" s="12" t="s">
        <v>179</v>
      </c>
      <c r="L40" s="12" t="s">
        <v>6377</v>
      </c>
      <c r="M40" s="12" t="str">
        <f>HYPERLINK("https://ceds.ed.gov/cedselementdetails.aspx?termid=9040")</f>
        <v>https://ceds.ed.gov/cedselementdetails.aspx?termid=9040</v>
      </c>
      <c r="N40" s="12" t="str">
        <f>HYPERLINK("https://ceds.ed.gov/elementComment.aspx?elementName=Address City &amp;elementID=9040", "Click here to submit comment")</f>
        <v>Click here to submit comment</v>
      </c>
    </row>
    <row r="41" spans="1:14" ht="409.5" x14ac:dyDescent="0.25">
      <c r="A41" s="12" t="s">
        <v>180</v>
      </c>
      <c r="B41" s="12" t="s">
        <v>181</v>
      </c>
      <c r="C41" s="12" t="s">
        <v>12</v>
      </c>
      <c r="D41" s="12" t="s">
        <v>6378</v>
      </c>
      <c r="E41" s="12"/>
      <c r="F41" s="12" t="s">
        <v>92</v>
      </c>
      <c r="G41" s="12"/>
      <c r="H41" s="12"/>
      <c r="I41" s="12" t="s">
        <v>182</v>
      </c>
      <c r="J41" s="12"/>
      <c r="K41" s="12" t="s">
        <v>183</v>
      </c>
      <c r="L41" s="12" t="s">
        <v>6377</v>
      </c>
      <c r="M41" s="12" t="str">
        <f>HYPERLINK("https://ceds.ed.gov/cedselementdetails.aspx?termid=9190")</f>
        <v>https://ceds.ed.gov/cedselementdetails.aspx?termid=9190</v>
      </c>
      <c r="N41" s="12" t="str">
        <f>HYPERLINK("https://ceds.ed.gov/elementComment.aspx?elementName=Address County Name &amp;elementID=9190", "Click here to submit comment")</f>
        <v>Click here to submit comment</v>
      </c>
    </row>
    <row r="42" spans="1:14" ht="409.5" x14ac:dyDescent="0.25">
      <c r="A42" s="12" t="s">
        <v>184</v>
      </c>
      <c r="B42" s="12" t="s">
        <v>185</v>
      </c>
      <c r="C42" s="12" t="s">
        <v>12</v>
      </c>
      <c r="D42" s="12" t="s">
        <v>6376</v>
      </c>
      <c r="E42" s="12"/>
      <c r="F42" s="12" t="s">
        <v>186</v>
      </c>
      <c r="G42" s="12"/>
      <c r="H42" s="12"/>
      <c r="I42" s="12" t="s">
        <v>187</v>
      </c>
      <c r="J42" s="12"/>
      <c r="K42" s="12" t="s">
        <v>188</v>
      </c>
      <c r="L42" s="12" t="s">
        <v>6377</v>
      </c>
      <c r="M42" s="12" t="str">
        <f>HYPERLINK("https://ceds.ed.gov/cedselementdetails.aspx?termid=9214")</f>
        <v>https://ceds.ed.gov/cedselementdetails.aspx?termid=9214</v>
      </c>
      <c r="N42" s="12" t="str">
        <f>HYPERLINK("https://ceds.ed.gov/elementComment.aspx?elementName=Address Postal Code &amp;elementID=9214", "Click here to submit comment")</f>
        <v>Click here to submit comment</v>
      </c>
    </row>
    <row r="43" spans="1:14" ht="409.5" x14ac:dyDescent="0.25">
      <c r="A43" s="12" t="s">
        <v>189</v>
      </c>
      <c r="B43" s="12" t="s">
        <v>190</v>
      </c>
      <c r="C43" s="12" t="s">
        <v>12</v>
      </c>
      <c r="D43" s="12" t="s">
        <v>6376</v>
      </c>
      <c r="E43" s="12"/>
      <c r="F43" s="12" t="s">
        <v>142</v>
      </c>
      <c r="G43" s="12"/>
      <c r="H43" s="12"/>
      <c r="I43" s="12" t="s">
        <v>191</v>
      </c>
      <c r="J43" s="12"/>
      <c r="K43" s="12" t="s">
        <v>192</v>
      </c>
      <c r="L43" s="12" t="s">
        <v>6377</v>
      </c>
      <c r="M43" s="12" t="str">
        <f>HYPERLINK("https://ceds.ed.gov/cedselementdetails.aspx?termid=9269")</f>
        <v>https://ceds.ed.gov/cedselementdetails.aspx?termid=9269</v>
      </c>
      <c r="N43" s="12" t="str">
        <f>HYPERLINK("https://ceds.ed.gov/elementComment.aspx?elementName=Address Street Number and Name &amp;elementID=9269", "Click here to submit comment")</f>
        <v>Click here to submit comment</v>
      </c>
    </row>
    <row r="44" spans="1:14" ht="390" x14ac:dyDescent="0.25">
      <c r="A44" s="12" t="s">
        <v>193</v>
      </c>
      <c r="B44" s="12" t="s">
        <v>194</v>
      </c>
      <c r="C44" s="13" t="s">
        <v>6726</v>
      </c>
      <c r="D44" s="12" t="s">
        <v>6379</v>
      </c>
      <c r="E44" s="12"/>
      <c r="F44" s="12" t="s">
        <v>92</v>
      </c>
      <c r="G44" s="12"/>
      <c r="H44" s="12"/>
      <c r="I44" s="12" t="s">
        <v>195</v>
      </c>
      <c r="J44" s="12"/>
      <c r="K44" s="12" t="s">
        <v>196</v>
      </c>
      <c r="L44" s="12" t="s">
        <v>6380</v>
      </c>
      <c r="M44" s="12" t="str">
        <f>HYPERLINK("https://ceds.ed.gov/cedselementdetails.aspx?termid=9358")</f>
        <v>https://ceds.ed.gov/cedselementdetails.aspx?termid=9358</v>
      </c>
      <c r="N44" s="12" t="str">
        <f>HYPERLINK("https://ceds.ed.gov/elementComment.aspx?elementName=Address Type for Learner or Family &amp;elementID=9358", "Click here to submit comment")</f>
        <v>Click here to submit comment</v>
      </c>
    </row>
    <row r="45" spans="1:14" ht="409.5" x14ac:dyDescent="0.25">
      <c r="A45" s="12" t="s">
        <v>197</v>
      </c>
      <c r="B45" s="12" t="s">
        <v>198</v>
      </c>
      <c r="C45" s="13" t="s">
        <v>6727</v>
      </c>
      <c r="D45" s="12" t="s">
        <v>6381</v>
      </c>
      <c r="E45" s="12"/>
      <c r="F45" s="12" t="s">
        <v>92</v>
      </c>
      <c r="G45" s="12"/>
      <c r="H45" s="12"/>
      <c r="I45" s="12" t="s">
        <v>199</v>
      </c>
      <c r="J45" s="12"/>
      <c r="K45" s="12" t="s">
        <v>200</v>
      </c>
      <c r="L45" s="12" t="s">
        <v>6369</v>
      </c>
      <c r="M45" s="12" t="str">
        <f>HYPERLINK("https://ceds.ed.gov/cedselementdetails.aspx?termid=9644")</f>
        <v>https://ceds.ed.gov/cedselementdetails.aspx?termid=9644</v>
      </c>
      <c r="N45" s="12" t="str">
        <f>HYPERLINK("https://ceds.ed.gov/elementComment.aspx?elementName=Address Type for Organization &amp;elementID=9644", "Click here to submit comment")</f>
        <v>Click here to submit comment</v>
      </c>
    </row>
    <row r="46" spans="1:14" ht="315" x14ac:dyDescent="0.25">
      <c r="A46" s="12" t="s">
        <v>201</v>
      </c>
      <c r="B46" s="12" t="s">
        <v>202</v>
      </c>
      <c r="C46" s="13" t="s">
        <v>6728</v>
      </c>
      <c r="D46" s="12" t="s">
        <v>6382</v>
      </c>
      <c r="E46" s="12"/>
      <c r="F46" s="12" t="s">
        <v>92</v>
      </c>
      <c r="G46" s="12"/>
      <c r="H46" s="12"/>
      <c r="I46" s="12" t="s">
        <v>203</v>
      </c>
      <c r="J46" s="12"/>
      <c r="K46" s="12" t="s">
        <v>204</v>
      </c>
      <c r="L46" s="12" t="s">
        <v>205</v>
      </c>
      <c r="M46" s="12" t="str">
        <f>HYPERLINK("https://ceds.ed.gov/cedselementdetails.aspx?termid=9698")</f>
        <v>https://ceds.ed.gov/cedselementdetails.aspx?termid=9698</v>
      </c>
      <c r="N46" s="12" t="str">
        <f>HYPERLINK("https://ceds.ed.gov/elementComment.aspx?elementName=Address Type for Staff &amp;elementID=9698", "Click here to submit comment")</f>
        <v>Click here to submit comment</v>
      </c>
    </row>
    <row r="47" spans="1:14" ht="45" x14ac:dyDescent="0.25">
      <c r="A47" s="12" t="s">
        <v>206</v>
      </c>
      <c r="B47" s="12" t="s">
        <v>207</v>
      </c>
      <c r="C47" s="12" t="s">
        <v>6364</v>
      </c>
      <c r="D47" s="12" t="s">
        <v>6383</v>
      </c>
      <c r="E47" s="12"/>
      <c r="F47" s="12"/>
      <c r="G47" s="12"/>
      <c r="H47" s="12"/>
      <c r="I47" s="12" t="s">
        <v>208</v>
      </c>
      <c r="J47" s="12" t="s">
        <v>209</v>
      </c>
      <c r="K47" s="12" t="s">
        <v>210</v>
      </c>
      <c r="L47" s="12" t="s">
        <v>211</v>
      </c>
      <c r="M47" s="12" t="str">
        <f>HYPERLINK("https://ceds.ed.gov/cedselementdetails.aspx?termid=9433")</f>
        <v>https://ceds.ed.gov/cedselementdetails.aspx?termid=9433</v>
      </c>
      <c r="N47" s="12" t="str">
        <f>HYPERLINK("https://ceds.ed.gov/elementComment.aspx?elementName=Adequate Yearly Progress Appeal Changed Designation &amp;elementID=9433", "Click here to submit comment")</f>
        <v>Click here to submit comment</v>
      </c>
    </row>
    <row r="48" spans="1:14" ht="45" x14ac:dyDescent="0.25">
      <c r="A48" s="12" t="s">
        <v>212</v>
      </c>
      <c r="B48" s="12" t="s">
        <v>213</v>
      </c>
      <c r="C48" s="12" t="s">
        <v>12</v>
      </c>
      <c r="D48" s="12" t="s">
        <v>6383</v>
      </c>
      <c r="E48" s="12"/>
      <c r="F48" s="12" t="s">
        <v>73</v>
      </c>
      <c r="G48" s="12"/>
      <c r="H48" s="12"/>
      <c r="I48" s="12" t="s">
        <v>214</v>
      </c>
      <c r="J48" s="12" t="s">
        <v>215</v>
      </c>
      <c r="K48" s="12" t="s">
        <v>216</v>
      </c>
      <c r="L48" s="12" t="s">
        <v>211</v>
      </c>
      <c r="M48" s="12" t="str">
        <f>HYPERLINK("https://ceds.ed.gov/cedselementdetails.aspx?termid=9434")</f>
        <v>https://ceds.ed.gov/cedselementdetails.aspx?termid=9434</v>
      </c>
      <c r="N48" s="12" t="str">
        <f>HYPERLINK("https://ceds.ed.gov/elementComment.aspx?elementName=Adequate Yearly Progress Appeal Process Date &amp;elementID=9434", "Click here to submit comment")</f>
        <v>Click here to submit comment</v>
      </c>
    </row>
    <row r="49" spans="1:14" ht="75" x14ac:dyDescent="0.25">
      <c r="A49" s="12" t="s">
        <v>217</v>
      </c>
      <c r="B49" s="12" t="s">
        <v>218</v>
      </c>
      <c r="C49" s="13" t="s">
        <v>6729</v>
      </c>
      <c r="D49" s="12" t="s">
        <v>6384</v>
      </c>
      <c r="E49" s="12"/>
      <c r="F49" s="12"/>
      <c r="G49" s="12"/>
      <c r="H49" s="12"/>
      <c r="I49" s="12" t="s">
        <v>219</v>
      </c>
      <c r="J49" s="12" t="s">
        <v>220</v>
      </c>
      <c r="K49" s="12" t="s">
        <v>221</v>
      </c>
      <c r="L49" s="12" t="s">
        <v>222</v>
      </c>
      <c r="M49" s="12" t="str">
        <f>HYPERLINK("https://ceds.ed.gov/cedselementdetails.aspx?termid=9011")</f>
        <v>https://ceds.ed.gov/cedselementdetails.aspx?termid=9011</v>
      </c>
      <c r="N49" s="12" t="str">
        <f>HYPERLINK("https://ceds.ed.gov/elementComment.aspx?elementName=Adequate Yearly Progress Status &amp;elementID=9011", "Click here to submit comment")</f>
        <v>Click here to submit comment</v>
      </c>
    </row>
    <row r="50" spans="1:14" ht="60" x14ac:dyDescent="0.25">
      <c r="A50" s="12" t="s">
        <v>223</v>
      </c>
      <c r="B50" s="12" t="s">
        <v>224</v>
      </c>
      <c r="C50" s="13" t="s">
        <v>6730</v>
      </c>
      <c r="D50" s="12" t="s">
        <v>225</v>
      </c>
      <c r="E50" s="12"/>
      <c r="F50" s="12"/>
      <c r="G50" s="12"/>
      <c r="H50" s="12"/>
      <c r="I50" s="12" t="s">
        <v>226</v>
      </c>
      <c r="J50" s="12"/>
      <c r="K50" s="12" t="s">
        <v>227</v>
      </c>
      <c r="L50" s="12"/>
      <c r="M50" s="12" t="str">
        <f>HYPERLINK("https://ceds.ed.gov/cedselementdetails.aspx?termid=9012")</f>
        <v>https://ceds.ed.gov/cedselementdetails.aspx?termid=9012</v>
      </c>
      <c r="N50" s="12" t="str">
        <f>HYPERLINK("https://ceds.ed.gov/elementComment.aspx?elementName=Administrative Funding Control &amp;elementID=9012", "Click here to submit comment")</f>
        <v>Click here to submit comment</v>
      </c>
    </row>
    <row r="51" spans="1:14" ht="120" x14ac:dyDescent="0.25">
      <c r="A51" s="12" t="s">
        <v>228</v>
      </c>
      <c r="B51" s="12" t="s">
        <v>229</v>
      </c>
      <c r="C51" s="13" t="s">
        <v>6731</v>
      </c>
      <c r="D51" s="12" t="s">
        <v>230</v>
      </c>
      <c r="E51" s="12"/>
      <c r="F51" s="12"/>
      <c r="G51" s="12"/>
      <c r="H51" s="12" t="s">
        <v>231</v>
      </c>
      <c r="I51" s="12" t="s">
        <v>232</v>
      </c>
      <c r="J51" s="12"/>
      <c r="K51" s="12" t="s">
        <v>233</v>
      </c>
      <c r="L51" s="12" t="s">
        <v>64</v>
      </c>
      <c r="M51" s="12" t="str">
        <f>HYPERLINK("https://ceds.ed.gov/cedselementdetails.aspx?termid=9984")</f>
        <v>https://ceds.ed.gov/cedselementdetails.aspx?termid=9984</v>
      </c>
      <c r="N51" s="12" t="str">
        <f>HYPERLINK("https://ceds.ed.gov/elementComment.aspx?elementName=Administrative Policy Type &amp;elementID=9984", "Click here to submit comment")</f>
        <v>Click here to submit comment</v>
      </c>
    </row>
    <row r="52" spans="1:14" ht="90" x14ac:dyDescent="0.25">
      <c r="A52" s="12" t="s">
        <v>234</v>
      </c>
      <c r="B52" s="12" t="s">
        <v>235</v>
      </c>
      <c r="C52" s="13" t="s">
        <v>6732</v>
      </c>
      <c r="D52" s="12" t="s">
        <v>236</v>
      </c>
      <c r="E52" s="12"/>
      <c r="F52" s="12"/>
      <c r="G52" s="12"/>
      <c r="H52" s="12"/>
      <c r="I52" s="12" t="s">
        <v>237</v>
      </c>
      <c r="J52" s="12"/>
      <c r="K52" s="12" t="s">
        <v>238</v>
      </c>
      <c r="L52" s="12" t="s">
        <v>239</v>
      </c>
      <c r="M52" s="12" t="str">
        <f>HYPERLINK("https://ceds.ed.gov/cedselementdetails.aspx?termid=10558")</f>
        <v>https://ceds.ed.gov/cedselementdetails.aspx?termid=10558</v>
      </c>
      <c r="N52" s="12" t="str">
        <f>HYPERLINK("https://ceds.ed.gov/elementComment.aspx?elementName=Admission Consideration Level &amp;elementID=10558", "Click here to submit comment")</f>
        <v>Click here to submit comment</v>
      </c>
    </row>
    <row r="53" spans="1:14" ht="345" x14ac:dyDescent="0.25">
      <c r="A53" s="12" t="s">
        <v>240</v>
      </c>
      <c r="B53" s="12" t="s">
        <v>241</v>
      </c>
      <c r="C53" s="13" t="s">
        <v>6733</v>
      </c>
      <c r="D53" s="12" t="s">
        <v>236</v>
      </c>
      <c r="E53" s="12"/>
      <c r="F53" s="12"/>
      <c r="G53" s="12"/>
      <c r="H53" s="12"/>
      <c r="I53" s="12" t="s">
        <v>242</v>
      </c>
      <c r="J53" s="12"/>
      <c r="K53" s="12" t="s">
        <v>243</v>
      </c>
      <c r="L53" s="12" t="s">
        <v>239</v>
      </c>
      <c r="M53" s="12" t="str">
        <f>HYPERLINK("https://ceds.ed.gov/cedselementdetails.aspx?termid=10559")</f>
        <v>https://ceds.ed.gov/cedselementdetails.aspx?termid=10559</v>
      </c>
      <c r="N53" s="12" t="str">
        <f>HYPERLINK("https://ceds.ed.gov/elementComment.aspx?elementName=Admission Consideration Type &amp;elementID=10559", "Click here to submit comment")</f>
        <v>Click here to submit comment</v>
      </c>
    </row>
    <row r="54" spans="1:14" ht="135" x14ac:dyDescent="0.25">
      <c r="A54" s="12" t="s">
        <v>244</v>
      </c>
      <c r="B54" s="12" t="s">
        <v>245</v>
      </c>
      <c r="C54" s="13" t="s">
        <v>6734</v>
      </c>
      <c r="D54" s="12" t="s">
        <v>246</v>
      </c>
      <c r="E54" s="12"/>
      <c r="F54" s="12"/>
      <c r="G54" s="12"/>
      <c r="H54" s="12" t="s">
        <v>247</v>
      </c>
      <c r="I54" s="12" t="s">
        <v>248</v>
      </c>
      <c r="J54" s="12"/>
      <c r="K54" s="12" t="s">
        <v>249</v>
      </c>
      <c r="L54" s="12" t="s">
        <v>250</v>
      </c>
      <c r="M54" s="12" t="str">
        <f>HYPERLINK("https://ceds.ed.gov/cedselementdetails.aspx?termid=9736")</f>
        <v>https://ceds.ed.gov/cedselementdetails.aspx?termid=9736</v>
      </c>
      <c r="N54" s="12" t="str">
        <f>HYPERLINK("https://ceds.ed.gov/elementComment.aspx?elementName=Admitted Student &amp;elementID=9736", "Click here to submit comment")</f>
        <v>Click here to submit comment</v>
      </c>
    </row>
    <row r="55" spans="1:14" ht="150" x14ac:dyDescent="0.25">
      <c r="A55" s="12" t="s">
        <v>251</v>
      </c>
      <c r="B55" s="12" t="s">
        <v>252</v>
      </c>
      <c r="C55" s="13" t="s">
        <v>6735</v>
      </c>
      <c r="D55" s="12" t="s">
        <v>253</v>
      </c>
      <c r="E55" s="12"/>
      <c r="F55" s="12"/>
      <c r="G55" s="12"/>
      <c r="H55" s="12"/>
      <c r="I55" s="12" t="s">
        <v>254</v>
      </c>
      <c r="J55" s="12"/>
      <c r="K55" s="12" t="s">
        <v>255</v>
      </c>
      <c r="L55" s="12"/>
      <c r="M55" s="12" t="str">
        <f>HYPERLINK("https://ceds.ed.gov/cedselementdetails.aspx?termid=9775")</f>
        <v>https://ceds.ed.gov/cedselementdetails.aspx?termid=9775</v>
      </c>
      <c r="N55" s="12" t="str">
        <f>HYPERLINK("https://ceds.ed.gov/elementComment.aspx?elementName=Adult Education Certification Type &amp;elementID=9775", "Click here to submit comment")</f>
        <v>Click here to submit comment</v>
      </c>
    </row>
    <row r="56" spans="1:14" ht="75" x14ac:dyDescent="0.25">
      <c r="A56" s="12" t="s">
        <v>256</v>
      </c>
      <c r="B56" s="12" t="s">
        <v>257</v>
      </c>
      <c r="C56" s="13" t="s">
        <v>6736</v>
      </c>
      <c r="D56" s="12" t="s">
        <v>258</v>
      </c>
      <c r="E56" s="12"/>
      <c r="F56" s="12"/>
      <c r="G56" s="12"/>
      <c r="H56" s="12"/>
      <c r="I56" s="12" t="s">
        <v>259</v>
      </c>
      <c r="J56" s="12"/>
      <c r="K56" s="12" t="s">
        <v>260</v>
      </c>
      <c r="L56" s="12"/>
      <c r="M56" s="12" t="str">
        <f>HYPERLINK("https://ceds.ed.gov/cedselementdetails.aspx?termid=9765")</f>
        <v>https://ceds.ed.gov/cedselementdetails.aspx?termid=9765</v>
      </c>
      <c r="N56" s="12" t="str">
        <f>HYPERLINK("https://ceds.ed.gov/elementComment.aspx?elementName=Adult Education Instructional Program Type &amp;elementID=9765", "Click here to submit comment")</f>
        <v>Click here to submit comment</v>
      </c>
    </row>
    <row r="57" spans="1:14" ht="120" x14ac:dyDescent="0.25">
      <c r="A57" s="12" t="s">
        <v>261</v>
      </c>
      <c r="B57" s="12" t="s">
        <v>262</v>
      </c>
      <c r="C57" s="13" t="s">
        <v>6737</v>
      </c>
      <c r="D57" s="12" t="s">
        <v>258</v>
      </c>
      <c r="E57" s="12"/>
      <c r="F57" s="12"/>
      <c r="G57" s="12"/>
      <c r="H57" s="12"/>
      <c r="I57" s="12" t="s">
        <v>263</v>
      </c>
      <c r="J57" s="12"/>
      <c r="K57" s="12" t="s">
        <v>264</v>
      </c>
      <c r="L57" s="12"/>
      <c r="M57" s="12" t="str">
        <f>HYPERLINK("https://ceds.ed.gov/cedselementdetails.aspx?termid=9768")</f>
        <v>https://ceds.ed.gov/cedselementdetails.aspx?termid=9768</v>
      </c>
      <c r="N57" s="12" t="str">
        <f>HYPERLINK("https://ceds.ed.gov/elementComment.aspx?elementName=Adult Education Postsecondary Transition Action &amp;elementID=9768", "Click here to submit comment")</f>
        <v>Click here to submit comment</v>
      </c>
    </row>
    <row r="58" spans="1:14" ht="75" x14ac:dyDescent="0.25">
      <c r="A58" s="12" t="s">
        <v>265</v>
      </c>
      <c r="B58" s="12" t="s">
        <v>266</v>
      </c>
      <c r="C58" s="12" t="s">
        <v>12</v>
      </c>
      <c r="D58" s="12" t="s">
        <v>258</v>
      </c>
      <c r="E58" s="12"/>
      <c r="F58" s="12" t="s">
        <v>73</v>
      </c>
      <c r="G58" s="12"/>
      <c r="H58" s="12"/>
      <c r="I58" s="12" t="s">
        <v>267</v>
      </c>
      <c r="J58" s="12"/>
      <c r="K58" s="12" t="s">
        <v>268</v>
      </c>
      <c r="L58" s="12"/>
      <c r="M58" s="12" t="str">
        <f>HYPERLINK("https://ceds.ed.gov/cedselementdetails.aspx?termid=9769")</f>
        <v>https://ceds.ed.gov/cedselementdetails.aspx?termid=9769</v>
      </c>
      <c r="N58" s="12" t="str">
        <f>HYPERLINK("https://ceds.ed.gov/elementComment.aspx?elementName=Adult Education Postsecondary Transition Date &amp;elementID=9769", "Click here to submit comment")</f>
        <v>Click here to submit comment</v>
      </c>
    </row>
    <row r="59" spans="1:14" ht="195" x14ac:dyDescent="0.25">
      <c r="A59" s="12" t="s">
        <v>269</v>
      </c>
      <c r="B59" s="12" t="s">
        <v>270</v>
      </c>
      <c r="C59" s="13" t="s">
        <v>6738</v>
      </c>
      <c r="D59" s="12" t="s">
        <v>271</v>
      </c>
      <c r="E59" s="12"/>
      <c r="F59" s="12"/>
      <c r="G59" s="12"/>
      <c r="H59" s="12"/>
      <c r="I59" s="12" t="s">
        <v>272</v>
      </c>
      <c r="J59" s="12"/>
      <c r="K59" s="12" t="s">
        <v>273</v>
      </c>
      <c r="L59" s="12"/>
      <c r="M59" s="12" t="str">
        <f>HYPERLINK("https://ceds.ed.gov/cedselementdetails.aspx?termid=9779")</f>
        <v>https://ceds.ed.gov/cedselementdetails.aspx?termid=9779</v>
      </c>
      <c r="N59" s="12" t="str">
        <f>HYPERLINK("https://ceds.ed.gov/elementComment.aspx?elementName=Adult Education Provider Type &amp;elementID=9779", "Click here to submit comment")</f>
        <v>Click here to submit comment</v>
      </c>
    </row>
    <row r="60" spans="1:14" ht="240" x14ac:dyDescent="0.25">
      <c r="A60" s="12" t="s">
        <v>274</v>
      </c>
      <c r="B60" s="12" t="s">
        <v>275</v>
      </c>
      <c r="C60" s="13" t="s">
        <v>6739</v>
      </c>
      <c r="D60" s="12" t="s">
        <v>6385</v>
      </c>
      <c r="E60" s="12"/>
      <c r="F60" s="12"/>
      <c r="G60" s="12"/>
      <c r="H60" s="12"/>
      <c r="I60" s="12" t="s">
        <v>276</v>
      </c>
      <c r="J60" s="12"/>
      <c r="K60" s="12" t="s">
        <v>277</v>
      </c>
      <c r="L60" s="12"/>
      <c r="M60" s="12" t="str">
        <f>HYPERLINK("https://ceds.ed.gov/cedselementdetails.aspx?termid=9778")</f>
        <v>https://ceds.ed.gov/cedselementdetails.aspx?termid=9778</v>
      </c>
      <c r="N60" s="12" t="str">
        <f>HYPERLINK("https://ceds.ed.gov/elementComment.aspx?elementName=Adult Education Service Provider Identification System &amp;elementID=9778", "Click here to submit comment")</f>
        <v>Click here to submit comment</v>
      </c>
    </row>
    <row r="61" spans="1:14" ht="105" x14ac:dyDescent="0.25">
      <c r="A61" s="18" t="s">
        <v>278</v>
      </c>
      <c r="B61" s="18" t="s">
        <v>279</v>
      </c>
      <c r="C61" s="18" t="s">
        <v>12</v>
      </c>
      <c r="D61" s="18" t="s">
        <v>6385</v>
      </c>
      <c r="E61" s="18"/>
      <c r="F61" s="18" t="s">
        <v>142</v>
      </c>
      <c r="G61" s="18"/>
      <c r="H61" s="12" t="s">
        <v>143</v>
      </c>
      <c r="I61" s="18" t="s">
        <v>280</v>
      </c>
      <c r="J61" s="18"/>
      <c r="K61" s="18" t="s">
        <v>281</v>
      </c>
      <c r="L61" s="18"/>
      <c r="M61" s="18" t="str">
        <f>HYPERLINK("https://ceds.ed.gov/cedselementdetails.aspx?termid=9777")</f>
        <v>https://ceds.ed.gov/cedselementdetails.aspx?termid=9777</v>
      </c>
      <c r="N61" s="18" t="str">
        <f>HYPERLINK("https://ceds.ed.gov/elementComment.aspx?elementName=Adult Education Service Provider Identifier &amp;elementID=9777", "Click here to submit comment")</f>
        <v>Click here to submit comment</v>
      </c>
    </row>
    <row r="62" spans="1:14" x14ac:dyDescent="0.25">
      <c r="A62" s="18"/>
      <c r="B62" s="18"/>
      <c r="C62" s="18"/>
      <c r="D62" s="18"/>
      <c r="E62" s="18"/>
      <c r="F62" s="18"/>
      <c r="G62" s="18"/>
      <c r="H62" s="12"/>
      <c r="I62" s="18"/>
      <c r="J62" s="18"/>
      <c r="K62" s="18"/>
      <c r="L62" s="18"/>
      <c r="M62" s="18"/>
      <c r="N62" s="18"/>
    </row>
    <row r="63" spans="1:14" ht="90" x14ac:dyDescent="0.25">
      <c r="A63" s="18"/>
      <c r="B63" s="18"/>
      <c r="C63" s="18"/>
      <c r="D63" s="18"/>
      <c r="E63" s="18"/>
      <c r="F63" s="18"/>
      <c r="G63" s="18"/>
      <c r="H63" s="12" t="s">
        <v>144</v>
      </c>
      <c r="I63" s="18"/>
      <c r="J63" s="18"/>
      <c r="K63" s="18"/>
      <c r="L63" s="18"/>
      <c r="M63" s="18"/>
      <c r="N63" s="18"/>
    </row>
    <row r="64" spans="1:14" ht="165" x14ac:dyDescent="0.25">
      <c r="A64" s="12" t="s">
        <v>282</v>
      </c>
      <c r="B64" s="12" t="s">
        <v>283</v>
      </c>
      <c r="C64" s="13" t="s">
        <v>6740</v>
      </c>
      <c r="D64" s="12" t="s">
        <v>258</v>
      </c>
      <c r="E64" s="12"/>
      <c r="F64" s="12"/>
      <c r="G64" s="12"/>
      <c r="H64" s="12" t="s">
        <v>284</v>
      </c>
      <c r="I64" s="12" t="s">
        <v>285</v>
      </c>
      <c r="J64" s="12"/>
      <c r="K64" s="12" t="s">
        <v>286</v>
      </c>
      <c r="L64" s="12"/>
      <c r="M64" s="12" t="str">
        <f>HYPERLINK("https://ceds.ed.gov/cedselementdetails.aspx?termid=9766")</f>
        <v>https://ceds.ed.gov/cedselementdetails.aspx?termid=9766</v>
      </c>
      <c r="N64" s="12" t="str">
        <f>HYPERLINK("https://ceds.ed.gov/elementComment.aspx?elementName=Adult Education Special Program Type &amp;elementID=9766", "Click here to submit comment")</f>
        <v>Click here to submit comment</v>
      </c>
    </row>
    <row r="65" spans="1:14" ht="240" x14ac:dyDescent="0.25">
      <c r="A65" s="12" t="s">
        <v>287</v>
      </c>
      <c r="B65" s="12" t="s">
        <v>288</v>
      </c>
      <c r="C65" s="13" t="s">
        <v>6741</v>
      </c>
      <c r="D65" s="12" t="s">
        <v>289</v>
      </c>
      <c r="E65" s="12"/>
      <c r="F65" s="12"/>
      <c r="G65" s="12"/>
      <c r="H65" s="12"/>
      <c r="I65" s="12" t="s">
        <v>290</v>
      </c>
      <c r="J65" s="12"/>
      <c r="K65" s="12" t="s">
        <v>291</v>
      </c>
      <c r="L65" s="12"/>
      <c r="M65" s="12" t="str">
        <f>HYPERLINK("https://ceds.ed.gov/cedselementdetails.aspx?termid=9770")</f>
        <v>https://ceds.ed.gov/cedselementdetails.aspx?termid=9770</v>
      </c>
      <c r="N65" s="12" t="str">
        <f>HYPERLINK("https://ceds.ed.gov/elementComment.aspx?elementName=Adult Education Staff Classification &amp;elementID=9770", "Click here to submit comment")</f>
        <v>Click here to submit comment</v>
      </c>
    </row>
    <row r="66" spans="1:14" ht="105" x14ac:dyDescent="0.25">
      <c r="A66" s="12" t="s">
        <v>292</v>
      </c>
      <c r="B66" s="12" t="s">
        <v>293</v>
      </c>
      <c r="C66" s="13" t="s">
        <v>6742</v>
      </c>
      <c r="D66" s="12" t="s">
        <v>289</v>
      </c>
      <c r="E66" s="12"/>
      <c r="F66" s="12"/>
      <c r="G66" s="12"/>
      <c r="H66" s="12"/>
      <c r="I66" s="12" t="s">
        <v>294</v>
      </c>
      <c r="J66" s="12"/>
      <c r="K66" s="12" t="s">
        <v>295</v>
      </c>
      <c r="L66" s="12"/>
      <c r="M66" s="12" t="str">
        <f>HYPERLINK("https://ceds.ed.gov/cedselementdetails.aspx?termid=9771")</f>
        <v>https://ceds.ed.gov/cedselementdetails.aspx?termid=9771</v>
      </c>
      <c r="N66" s="12" t="str">
        <f>HYPERLINK("https://ceds.ed.gov/elementComment.aspx?elementName=Adult Education Staff Employment Status &amp;elementID=9771", "Click here to submit comment")</f>
        <v>Click here to submit comment</v>
      </c>
    </row>
    <row r="67" spans="1:14" ht="270" x14ac:dyDescent="0.25">
      <c r="A67" s="12" t="s">
        <v>296</v>
      </c>
      <c r="B67" s="12" t="s">
        <v>297</v>
      </c>
      <c r="C67" s="13" t="s">
        <v>6743</v>
      </c>
      <c r="D67" s="12" t="s">
        <v>258</v>
      </c>
      <c r="E67" s="12"/>
      <c r="F67" s="12"/>
      <c r="G67" s="12"/>
      <c r="H67" s="12"/>
      <c r="I67" s="12" t="s">
        <v>298</v>
      </c>
      <c r="J67" s="12"/>
      <c r="K67" s="12" t="s">
        <v>299</v>
      </c>
      <c r="L67" s="12"/>
      <c r="M67" s="12" t="str">
        <f>HYPERLINK("https://ceds.ed.gov/cedselementdetails.aspx?termid=9763")</f>
        <v>https://ceds.ed.gov/cedselementdetails.aspx?termid=9763</v>
      </c>
      <c r="N67" s="12" t="str">
        <f>HYPERLINK("https://ceds.ed.gov/elementComment.aspx?elementName=Adult Educational Functioning Level at Intake &amp;elementID=9763", "Click here to submit comment")</f>
        <v>Click here to submit comment</v>
      </c>
    </row>
    <row r="68" spans="1:14" ht="270" x14ac:dyDescent="0.25">
      <c r="A68" s="12" t="s">
        <v>300</v>
      </c>
      <c r="B68" s="12" t="s">
        <v>301</v>
      </c>
      <c r="C68" s="13" t="s">
        <v>6743</v>
      </c>
      <c r="D68" s="12" t="s">
        <v>258</v>
      </c>
      <c r="E68" s="12"/>
      <c r="F68" s="12"/>
      <c r="G68" s="12"/>
      <c r="H68" s="12"/>
      <c r="I68" s="12" t="s">
        <v>302</v>
      </c>
      <c r="J68" s="12"/>
      <c r="K68" s="12" t="s">
        <v>303</v>
      </c>
      <c r="L68" s="12"/>
      <c r="M68" s="12" t="str">
        <f>HYPERLINK("https://ceds.ed.gov/cedselementdetails.aspx?termid=9764")</f>
        <v>https://ceds.ed.gov/cedselementdetails.aspx?termid=9764</v>
      </c>
      <c r="N68" s="12" t="str">
        <f>HYPERLINK("https://ceds.ed.gov/elementComment.aspx?elementName=Adult Educational Functioning Level at Posttest &amp;elementID=9764", "Click here to submit comment")</f>
        <v>Click here to submit comment</v>
      </c>
    </row>
    <row r="69" spans="1:14" ht="409.5" x14ac:dyDescent="0.25">
      <c r="A69" s="12" t="s">
        <v>304</v>
      </c>
      <c r="B69" s="12" t="s">
        <v>305</v>
      </c>
      <c r="C69" s="13" t="s">
        <v>6744</v>
      </c>
      <c r="D69" s="12" t="s">
        <v>6386</v>
      </c>
      <c r="E69" s="12"/>
      <c r="F69" s="12" t="s">
        <v>99</v>
      </c>
      <c r="G69" s="12"/>
      <c r="H69" s="12"/>
      <c r="I69" s="12" t="s">
        <v>306</v>
      </c>
      <c r="J69" s="12" t="s">
        <v>307</v>
      </c>
      <c r="K69" s="12" t="s">
        <v>308</v>
      </c>
      <c r="L69" s="12"/>
      <c r="M69" s="12" t="str">
        <f>HYPERLINK("https://ceds.ed.gov/cedselementdetails.aspx?termid=10244")</f>
        <v>https://ceds.ed.gov/cedselementdetails.aspx?termid=10244</v>
      </c>
      <c r="N69" s="12" t="str">
        <f>HYPERLINK("https://ceds.ed.gov/elementComment.aspx?elementName=Advanced Placement Course Code &amp;elementID=10244", "Click here to submit comment")</f>
        <v>Click here to submit comment</v>
      </c>
    </row>
    <row r="70" spans="1:14" ht="60" x14ac:dyDescent="0.25">
      <c r="A70" s="12" t="s">
        <v>309</v>
      </c>
      <c r="B70" s="12" t="s">
        <v>310</v>
      </c>
      <c r="C70" s="12" t="s">
        <v>6364</v>
      </c>
      <c r="D70" s="12" t="s">
        <v>225</v>
      </c>
      <c r="E70" s="12"/>
      <c r="F70" s="12"/>
      <c r="G70" s="12"/>
      <c r="H70" s="12"/>
      <c r="I70" s="12" t="s">
        <v>311</v>
      </c>
      <c r="J70" s="12" t="s">
        <v>312</v>
      </c>
      <c r="K70" s="12" t="s">
        <v>313</v>
      </c>
      <c r="L70" s="12" t="s">
        <v>4</v>
      </c>
      <c r="M70" s="12" t="str">
        <f>HYPERLINK("https://ceds.ed.gov/cedselementdetails.aspx?termid=9017")</f>
        <v>https://ceds.ed.gov/cedselementdetails.aspx?termid=9017</v>
      </c>
      <c r="N70" s="12" t="str">
        <f>HYPERLINK("https://ceds.ed.gov/elementComment.aspx?elementName=Advanced Placement Course Self Selection &amp;elementID=9017", "Click here to submit comment")</f>
        <v>Click here to submit comment</v>
      </c>
    </row>
    <row r="71" spans="1:14" ht="90" x14ac:dyDescent="0.25">
      <c r="A71" s="12" t="s">
        <v>314</v>
      </c>
      <c r="B71" s="12" t="s">
        <v>315</v>
      </c>
      <c r="C71" s="12" t="s">
        <v>12</v>
      </c>
      <c r="D71" s="12" t="s">
        <v>316</v>
      </c>
      <c r="E71" s="12"/>
      <c r="F71" s="12" t="s">
        <v>317</v>
      </c>
      <c r="G71" s="12"/>
      <c r="H71" s="12"/>
      <c r="I71" s="12" t="s">
        <v>318</v>
      </c>
      <c r="J71" s="12" t="s">
        <v>319</v>
      </c>
      <c r="K71" s="12" t="s">
        <v>320</v>
      </c>
      <c r="L71" s="12" t="s">
        <v>25</v>
      </c>
      <c r="M71" s="12" t="str">
        <f>HYPERLINK("https://ceds.ed.gov/cedselementdetails.aspx?termid=9018")</f>
        <v>https://ceds.ed.gov/cedselementdetails.aspx?termid=9018</v>
      </c>
      <c r="N71" s="12" t="str">
        <f>HYPERLINK("https://ceds.ed.gov/elementComment.aspx?elementName=Advanced Placement Credits Awarded &amp;elementID=9018", "Click here to submit comment")</f>
        <v>Click here to submit comment</v>
      </c>
    </row>
    <row r="72" spans="1:14" ht="105" x14ac:dyDescent="0.25">
      <c r="A72" s="18" t="s">
        <v>321</v>
      </c>
      <c r="B72" s="18" t="s">
        <v>322</v>
      </c>
      <c r="C72" s="18" t="s">
        <v>12</v>
      </c>
      <c r="D72" s="18" t="s">
        <v>6387</v>
      </c>
      <c r="E72" s="18"/>
      <c r="F72" s="18" t="s">
        <v>142</v>
      </c>
      <c r="G72" s="18"/>
      <c r="H72" s="12" t="s">
        <v>143</v>
      </c>
      <c r="I72" s="18" t="s">
        <v>323</v>
      </c>
      <c r="J72" s="18"/>
      <c r="K72" s="18" t="s">
        <v>324</v>
      </c>
      <c r="L72" s="18"/>
      <c r="M72" s="18" t="str">
        <f>HYPERLINK("https://ceds.ed.gov/cedselementdetails.aspx?termid=10246")</f>
        <v>https://ceds.ed.gov/cedselementdetails.aspx?termid=10246</v>
      </c>
      <c r="N72" s="18" t="str">
        <f>HYPERLINK("https://ceds.ed.gov/elementComment.aspx?elementName=Agency Course Identifier &amp;elementID=10246", "Click here to submit comment")</f>
        <v>Click here to submit comment</v>
      </c>
    </row>
    <row r="73" spans="1:14" x14ac:dyDescent="0.25">
      <c r="A73" s="18"/>
      <c r="B73" s="18"/>
      <c r="C73" s="18"/>
      <c r="D73" s="18"/>
      <c r="E73" s="18"/>
      <c r="F73" s="18"/>
      <c r="G73" s="18"/>
      <c r="H73" s="12"/>
      <c r="I73" s="18"/>
      <c r="J73" s="18"/>
      <c r="K73" s="18"/>
      <c r="L73" s="18"/>
      <c r="M73" s="18"/>
      <c r="N73" s="18"/>
    </row>
    <row r="74" spans="1:14" ht="90" x14ac:dyDescent="0.25">
      <c r="A74" s="18"/>
      <c r="B74" s="18"/>
      <c r="C74" s="18"/>
      <c r="D74" s="18"/>
      <c r="E74" s="18"/>
      <c r="F74" s="18"/>
      <c r="G74" s="18"/>
      <c r="H74" s="12" t="s">
        <v>144</v>
      </c>
      <c r="I74" s="18"/>
      <c r="J74" s="18"/>
      <c r="K74" s="18"/>
      <c r="L74" s="18"/>
      <c r="M74" s="18"/>
      <c r="N74" s="18"/>
    </row>
    <row r="75" spans="1:14" ht="45" x14ac:dyDescent="0.25">
      <c r="A75" s="12" t="s">
        <v>325</v>
      </c>
      <c r="B75" s="12" t="s">
        <v>326</v>
      </c>
      <c r="C75" s="12" t="s">
        <v>12</v>
      </c>
      <c r="D75" s="12" t="s">
        <v>6388</v>
      </c>
      <c r="E75" s="12"/>
      <c r="F75" s="12" t="s">
        <v>327</v>
      </c>
      <c r="G75" s="12"/>
      <c r="H75" s="12"/>
      <c r="I75" s="12" t="s">
        <v>328</v>
      </c>
      <c r="J75" s="12"/>
      <c r="K75" s="12" t="s">
        <v>329</v>
      </c>
      <c r="L75" s="12"/>
      <c r="M75" s="12" t="str">
        <f>HYPERLINK("https://ceds.ed.gov/cedselementdetails.aspx?termid=10247")</f>
        <v>https://ceds.ed.gov/cedselementdetails.aspx?termid=10247</v>
      </c>
      <c r="N75" s="12" t="str">
        <f>HYPERLINK("https://ceds.ed.gov/elementComment.aspx?elementName=Allergy Reaction Description &amp;elementID=10247", "Click here to submit comment")</f>
        <v>Click here to submit comment</v>
      </c>
    </row>
    <row r="76" spans="1:14" ht="45" x14ac:dyDescent="0.25">
      <c r="A76" s="12" t="s">
        <v>330</v>
      </c>
      <c r="B76" s="12" t="s">
        <v>331</v>
      </c>
      <c r="C76" s="13" t="s">
        <v>6745</v>
      </c>
      <c r="D76" s="12" t="s">
        <v>6388</v>
      </c>
      <c r="E76" s="12"/>
      <c r="F76" s="12"/>
      <c r="G76" s="12"/>
      <c r="H76" s="12"/>
      <c r="I76" s="12" t="s">
        <v>332</v>
      </c>
      <c r="J76" s="12"/>
      <c r="K76" s="12" t="s">
        <v>333</v>
      </c>
      <c r="L76" s="12"/>
      <c r="M76" s="12" t="str">
        <f>HYPERLINK("https://ceds.ed.gov/cedselementdetails.aspx?termid=10248")</f>
        <v>https://ceds.ed.gov/cedselementdetails.aspx?termid=10248</v>
      </c>
      <c r="N76" s="12" t="str">
        <f>HYPERLINK("https://ceds.ed.gov/elementComment.aspx?elementName=Allergy Severity &amp;elementID=10248", "Click here to submit comment")</f>
        <v>Click here to submit comment</v>
      </c>
    </row>
    <row r="77" spans="1:14" ht="409.5" x14ac:dyDescent="0.25">
      <c r="A77" s="12" t="s">
        <v>334</v>
      </c>
      <c r="B77" s="12" t="s">
        <v>335</v>
      </c>
      <c r="C77" s="13" t="s">
        <v>6746</v>
      </c>
      <c r="D77" s="12" t="s">
        <v>6388</v>
      </c>
      <c r="E77" s="12"/>
      <c r="F77" s="12"/>
      <c r="G77" s="12"/>
      <c r="H77" s="12" t="s">
        <v>336</v>
      </c>
      <c r="I77" s="12" t="s">
        <v>337</v>
      </c>
      <c r="J77" s="12"/>
      <c r="K77" s="12" t="s">
        <v>338</v>
      </c>
      <c r="L77" s="12"/>
      <c r="M77" s="12" t="str">
        <f>HYPERLINK("https://ceds.ed.gov/cedselementdetails.aspx?termid=10249")</f>
        <v>https://ceds.ed.gov/cedselementdetails.aspx?termid=10249</v>
      </c>
      <c r="N77" s="12" t="str">
        <f>HYPERLINK("https://ceds.ed.gov/elementComment.aspx?elementName=Allergy Type &amp;elementID=10249", "Click here to submit comment")</f>
        <v>Click here to submit comment</v>
      </c>
    </row>
    <row r="78" spans="1:14" ht="60" x14ac:dyDescent="0.25">
      <c r="A78" s="12" t="s">
        <v>339</v>
      </c>
      <c r="B78" s="12" t="s">
        <v>340</v>
      </c>
      <c r="C78" s="12" t="s">
        <v>6364</v>
      </c>
      <c r="D78" s="12" t="s">
        <v>6383</v>
      </c>
      <c r="E78" s="12"/>
      <c r="F78" s="12"/>
      <c r="G78" s="12"/>
      <c r="H78" s="12"/>
      <c r="I78" s="12" t="s">
        <v>341</v>
      </c>
      <c r="J78" s="12" t="s">
        <v>342</v>
      </c>
      <c r="K78" s="12" t="s">
        <v>343</v>
      </c>
      <c r="L78" s="12" t="s">
        <v>222</v>
      </c>
      <c r="M78" s="12" t="str">
        <f>HYPERLINK("https://ceds.ed.gov/cedselementdetails.aspx?termid=9014")</f>
        <v>https://ceds.ed.gov/cedselementdetails.aspx?termid=9014</v>
      </c>
      <c r="N78" s="12" t="str">
        <f>HYPERLINK("https://ceds.ed.gov/elementComment.aspx?elementName=Alternate Adequate Yearly Progress Approach Indicator &amp;elementID=9014", "Click here to submit comment")</f>
        <v>Click here to submit comment</v>
      </c>
    </row>
    <row r="79" spans="1:14" ht="45" x14ac:dyDescent="0.25">
      <c r="A79" s="12" t="s">
        <v>344</v>
      </c>
      <c r="B79" s="12" t="s">
        <v>345</v>
      </c>
      <c r="C79" s="12" t="s">
        <v>12</v>
      </c>
      <c r="D79" s="12" t="s">
        <v>346</v>
      </c>
      <c r="E79" s="12"/>
      <c r="F79" s="12" t="s">
        <v>92</v>
      </c>
      <c r="G79" s="12"/>
      <c r="H79" s="12"/>
      <c r="I79" s="12" t="s">
        <v>347</v>
      </c>
      <c r="J79" s="12"/>
      <c r="K79" s="12" t="s">
        <v>348</v>
      </c>
      <c r="L79" s="12"/>
      <c r="M79" s="12" t="str">
        <f>HYPERLINK("https://ceds.ed.gov/cedselementdetails.aspx?termid=9591")</f>
        <v>https://ceds.ed.gov/cedselementdetails.aspx?termid=9591</v>
      </c>
      <c r="N79" s="12" t="str">
        <f>HYPERLINK("https://ceds.ed.gov/elementComment.aspx?elementName=Alternate Day Name &amp;elementID=9591", "Click here to submit comment")</f>
        <v>Click here to submit comment</v>
      </c>
    </row>
    <row r="80" spans="1:14" ht="60" x14ac:dyDescent="0.25">
      <c r="A80" s="12" t="s">
        <v>349</v>
      </c>
      <c r="B80" s="12" t="s">
        <v>350</v>
      </c>
      <c r="C80" s="13" t="s">
        <v>6747</v>
      </c>
      <c r="D80" s="12" t="s">
        <v>351</v>
      </c>
      <c r="E80" s="12"/>
      <c r="F80" s="12"/>
      <c r="G80" s="12"/>
      <c r="H80" s="12"/>
      <c r="I80" s="12" t="s">
        <v>352</v>
      </c>
      <c r="J80" s="12"/>
      <c r="K80" s="12" t="s">
        <v>353</v>
      </c>
      <c r="L80" s="12" t="s">
        <v>354</v>
      </c>
      <c r="M80" s="12" t="str">
        <f>HYPERLINK("https://ceds.ed.gov/cedselementdetails.aspx?termid=9751")</f>
        <v>https://ceds.ed.gov/cedselementdetails.aspx?termid=9751</v>
      </c>
      <c r="N80" s="12" t="str">
        <f>HYPERLINK("https://ceds.ed.gov/elementComment.aspx?elementName=Alternative Route to Certification or Licensure &amp;elementID=9751", "Click here to submit comment")</f>
        <v>Click here to submit comment</v>
      </c>
    </row>
    <row r="81" spans="1:14" ht="120" x14ac:dyDescent="0.25">
      <c r="A81" s="12" t="s">
        <v>355</v>
      </c>
      <c r="B81" s="12" t="s">
        <v>356</v>
      </c>
      <c r="C81" s="13" t="s">
        <v>6748</v>
      </c>
      <c r="D81" s="12" t="s">
        <v>225</v>
      </c>
      <c r="E81" s="12"/>
      <c r="F81" s="12"/>
      <c r="G81" s="12"/>
      <c r="H81" s="12"/>
      <c r="I81" s="12" t="s">
        <v>357</v>
      </c>
      <c r="J81" s="12"/>
      <c r="K81" s="12" t="s">
        <v>358</v>
      </c>
      <c r="L81" s="12" t="s">
        <v>4</v>
      </c>
      <c r="M81" s="12" t="str">
        <f>HYPERLINK("https://ceds.ed.gov/cedselementdetails.aspx?termid=9015")</f>
        <v>https://ceds.ed.gov/cedselementdetails.aspx?termid=9015</v>
      </c>
      <c r="N81" s="12" t="str">
        <f>HYPERLINK("https://ceds.ed.gov/elementComment.aspx?elementName=Alternative School Focus Type &amp;elementID=9015", "Click here to submit comment")</f>
        <v>Click here to submit comment</v>
      </c>
    </row>
    <row r="82" spans="1:14" ht="145.5" customHeight="1" x14ac:dyDescent="0.25">
      <c r="A82" s="18" t="s">
        <v>359</v>
      </c>
      <c r="B82" s="18" t="s">
        <v>360</v>
      </c>
      <c r="C82" s="20" t="s">
        <v>6749</v>
      </c>
      <c r="D82" s="18" t="s">
        <v>6389</v>
      </c>
      <c r="E82" s="18"/>
      <c r="F82" s="18"/>
      <c r="G82" s="18"/>
      <c r="H82" s="12" t="s">
        <v>361</v>
      </c>
      <c r="I82" s="18" t="s">
        <v>365</v>
      </c>
      <c r="J82" s="18"/>
      <c r="K82" s="18" t="s">
        <v>366</v>
      </c>
      <c r="L82" s="18" t="s">
        <v>6390</v>
      </c>
      <c r="M82" s="18" t="str">
        <f>HYPERLINK("https://ceds.ed.gov/cedselementdetails.aspx?termid=9655")</f>
        <v>https://ceds.ed.gov/cedselementdetails.aspx?termid=9655</v>
      </c>
      <c r="N82" s="18" t="str">
        <f>HYPERLINK("https://ceds.ed.gov/elementComment.aspx?elementName=American Indian or Alaska Native &amp;elementID=9655", "Click here to submit comment")</f>
        <v>Click here to submit comment</v>
      </c>
    </row>
    <row r="83" spans="1:14" x14ac:dyDescent="0.25">
      <c r="A83" s="18"/>
      <c r="B83" s="18"/>
      <c r="C83" s="18"/>
      <c r="D83" s="18"/>
      <c r="E83" s="18"/>
      <c r="F83" s="18"/>
      <c r="G83" s="18"/>
      <c r="H83" s="12"/>
      <c r="I83" s="18"/>
      <c r="J83" s="18"/>
      <c r="K83" s="18"/>
      <c r="L83" s="18"/>
      <c r="M83" s="18"/>
      <c r="N83" s="18"/>
    </row>
    <row r="84" spans="1:14" x14ac:dyDescent="0.25">
      <c r="A84" s="18"/>
      <c r="B84" s="18"/>
      <c r="C84" s="18"/>
      <c r="D84" s="18"/>
      <c r="E84" s="18"/>
      <c r="F84" s="18"/>
      <c r="G84" s="18"/>
      <c r="H84" s="12" t="s">
        <v>362</v>
      </c>
      <c r="I84" s="18"/>
      <c r="J84" s="18"/>
      <c r="K84" s="18"/>
      <c r="L84" s="18"/>
      <c r="M84" s="18"/>
      <c r="N84" s="18"/>
    </row>
    <row r="85" spans="1:14" ht="30" x14ac:dyDescent="0.25">
      <c r="A85" s="18"/>
      <c r="B85" s="18"/>
      <c r="C85" s="18"/>
      <c r="D85" s="18"/>
      <c r="E85" s="18"/>
      <c r="F85" s="18"/>
      <c r="G85" s="18"/>
      <c r="H85" s="12" t="s">
        <v>363</v>
      </c>
      <c r="I85" s="18"/>
      <c r="J85" s="18"/>
      <c r="K85" s="18"/>
      <c r="L85" s="18"/>
      <c r="M85" s="18"/>
      <c r="N85" s="18"/>
    </row>
    <row r="86" spans="1:14" x14ac:dyDescent="0.25">
      <c r="A86" s="18"/>
      <c r="B86" s="18"/>
      <c r="C86" s="18"/>
      <c r="D86" s="18"/>
      <c r="E86" s="18"/>
      <c r="F86" s="18"/>
      <c r="G86" s="18"/>
      <c r="H86" s="12" t="s">
        <v>364</v>
      </c>
      <c r="I86" s="18"/>
      <c r="J86" s="18"/>
      <c r="K86" s="18"/>
      <c r="L86" s="18"/>
      <c r="M86" s="18"/>
      <c r="N86" s="18"/>
    </row>
    <row r="87" spans="1:14" ht="45" x14ac:dyDescent="0.25">
      <c r="A87" s="12" t="s">
        <v>367</v>
      </c>
      <c r="B87" s="12" t="s">
        <v>368</v>
      </c>
      <c r="C87" s="12" t="s">
        <v>12</v>
      </c>
      <c r="D87" s="12" t="s">
        <v>33</v>
      </c>
      <c r="E87" s="12"/>
      <c r="F87" s="12" t="s">
        <v>317</v>
      </c>
      <c r="G87" s="12"/>
      <c r="H87" s="12" t="s">
        <v>369</v>
      </c>
      <c r="I87" s="12" t="s">
        <v>370</v>
      </c>
      <c r="J87" s="12"/>
      <c r="K87" s="12" t="s">
        <v>371</v>
      </c>
      <c r="L87" s="12" t="s">
        <v>37</v>
      </c>
      <c r="M87" s="12" t="str">
        <f>HYPERLINK("https://ceds.ed.gov/cedselementdetails.aspx?termid=9722")</f>
        <v>https://ceds.ed.gov/cedselementdetails.aspx?termid=9722</v>
      </c>
      <c r="N87" s="12" t="str">
        <f>HYPERLINK("https://ceds.ed.gov/elementComment.aspx?elementName=Annual Base Contractual Salary &amp;elementID=9722", "Click here to submit comment")</f>
        <v>Click here to submit comment</v>
      </c>
    </row>
    <row r="88" spans="1:14" ht="90" x14ac:dyDescent="0.25">
      <c r="A88" s="12" t="s">
        <v>372</v>
      </c>
      <c r="B88" s="12" t="s">
        <v>373</v>
      </c>
      <c r="C88" s="13" t="s">
        <v>6750</v>
      </c>
      <c r="D88" s="12" t="s">
        <v>6391</v>
      </c>
      <c r="E88" s="12"/>
      <c r="F88" s="12"/>
      <c r="G88" s="12"/>
      <c r="H88" s="12"/>
      <c r="I88" s="12" t="s">
        <v>374</v>
      </c>
      <c r="J88" s="12" t="s">
        <v>375</v>
      </c>
      <c r="K88" s="12" t="s">
        <v>376</v>
      </c>
      <c r="L88" s="12" t="s">
        <v>222</v>
      </c>
      <c r="M88" s="12" t="str">
        <f>HYPERLINK("https://ceds.ed.gov/cedselementdetails.aspx?termid=9572")</f>
        <v>https://ceds.ed.gov/cedselementdetails.aspx?termid=9572</v>
      </c>
      <c r="N88" s="12" t="str">
        <f>HYPERLINK("https://ceds.ed.gov/elementComment.aspx?elementName=Annual Measurable Achievement Objective AYP Progress Attainment Status for LEP Students &amp;elementID=9572", "Click here to submit comment")</f>
        <v>Click here to submit comment</v>
      </c>
    </row>
    <row r="89" spans="1:14" ht="105" x14ac:dyDescent="0.25">
      <c r="A89" s="12" t="s">
        <v>377</v>
      </c>
      <c r="B89" s="12" t="s">
        <v>378</v>
      </c>
      <c r="C89" s="13" t="s">
        <v>6750</v>
      </c>
      <c r="D89" s="12" t="s">
        <v>6384</v>
      </c>
      <c r="E89" s="12"/>
      <c r="F89" s="12"/>
      <c r="G89" s="12"/>
      <c r="H89" s="12"/>
      <c r="I89" s="12" t="s">
        <v>379</v>
      </c>
      <c r="J89" s="12" t="s">
        <v>380</v>
      </c>
      <c r="K89" s="12" t="s">
        <v>381</v>
      </c>
      <c r="L89" s="12" t="s">
        <v>222</v>
      </c>
      <c r="M89" s="12" t="str">
        <f>HYPERLINK("https://ceds.ed.gov/cedselementdetails.aspx?termid=9535")</f>
        <v>https://ceds.ed.gov/cedselementdetails.aspx?termid=9535</v>
      </c>
      <c r="N89" s="12" t="str">
        <f>HYPERLINK("https://ceds.ed.gov/elementComment.aspx?elementName=Annual Measurable Achievement Objective Proficiency Attainment Status for LEP Students &amp;elementID=9535", "Click here to submit comment")</f>
        <v>Click here to submit comment</v>
      </c>
    </row>
    <row r="90" spans="1:14" ht="105" x14ac:dyDescent="0.25">
      <c r="A90" s="12" t="s">
        <v>382</v>
      </c>
      <c r="B90" s="12" t="s">
        <v>383</v>
      </c>
      <c r="C90" s="13" t="s">
        <v>6750</v>
      </c>
      <c r="D90" s="12" t="s">
        <v>6384</v>
      </c>
      <c r="E90" s="12"/>
      <c r="F90" s="12"/>
      <c r="G90" s="12"/>
      <c r="H90" s="12"/>
      <c r="I90" s="12" t="s">
        <v>384</v>
      </c>
      <c r="J90" s="12" t="s">
        <v>385</v>
      </c>
      <c r="K90" s="12" t="s">
        <v>386</v>
      </c>
      <c r="L90" s="12" t="s">
        <v>222</v>
      </c>
      <c r="M90" s="12" t="str">
        <f>HYPERLINK("https://ceds.ed.gov/cedselementdetails.aspx?termid=9545")</f>
        <v>https://ceds.ed.gov/cedselementdetails.aspx?termid=9545</v>
      </c>
      <c r="N90" s="12" t="str">
        <f>HYPERLINK("https://ceds.ed.gov/elementComment.aspx?elementName=Annual Measurable Achievement Objective Progress Attainment Status for LEP Students &amp;elementID=9545", "Click here to submit comment")</f>
        <v>Click here to submit comment</v>
      </c>
    </row>
    <row r="91" spans="1:14" ht="45" x14ac:dyDescent="0.25">
      <c r="A91" s="12" t="s">
        <v>387</v>
      </c>
      <c r="B91" s="12" t="s">
        <v>388</v>
      </c>
      <c r="C91" s="12" t="s">
        <v>12</v>
      </c>
      <c r="D91" s="12" t="s">
        <v>389</v>
      </c>
      <c r="E91" s="12"/>
      <c r="F91" s="12" t="s">
        <v>157</v>
      </c>
      <c r="G91" s="12"/>
      <c r="H91" s="12"/>
      <c r="I91" s="12" t="s">
        <v>390</v>
      </c>
      <c r="J91" s="12"/>
      <c r="K91" s="12" t="s">
        <v>391</v>
      </c>
      <c r="L91" s="12"/>
      <c r="M91" s="12" t="str">
        <f>HYPERLINK("https://ceds.ed.gov/cedselementdetails.aspx?termid=10504")</f>
        <v>https://ceds.ed.gov/cedselementdetails.aspx?termid=10504</v>
      </c>
      <c r="N91" s="12" t="str">
        <f>HYPERLINK("https://ceds.ed.gov/elementComment.aspx?elementName=APIP Interaction Sequence Number &amp;elementID=10504", "Click here to submit comment")</f>
        <v>Click here to submit comment</v>
      </c>
    </row>
    <row r="92" spans="1:14" ht="45" x14ac:dyDescent="0.25">
      <c r="A92" s="12" t="s">
        <v>392</v>
      </c>
      <c r="B92" s="12" t="s">
        <v>393</v>
      </c>
      <c r="C92" s="12" t="s">
        <v>6364</v>
      </c>
      <c r="D92" s="12" t="s">
        <v>6383</v>
      </c>
      <c r="E92" s="12"/>
      <c r="F92" s="12"/>
      <c r="G92" s="12"/>
      <c r="H92" s="12"/>
      <c r="I92" s="12" t="s">
        <v>394</v>
      </c>
      <c r="J92" s="12" t="s">
        <v>395</v>
      </c>
      <c r="K92" s="12" t="s">
        <v>396</v>
      </c>
      <c r="L92" s="12" t="s">
        <v>211</v>
      </c>
      <c r="M92" s="12" t="str">
        <f>HYPERLINK("https://ceds.ed.gov/cedselementdetails.aspx?termid=9432")</f>
        <v>https://ceds.ed.gov/cedselementdetails.aspx?termid=9432</v>
      </c>
      <c r="N92" s="12" t="str">
        <f>HYPERLINK("https://ceds.ed.gov/elementComment.aspx?elementName=Appealed Adequate Yearly Progress Designation &amp;elementID=9432", "Click here to submit comment")</f>
        <v>Click here to submit comment</v>
      </c>
    </row>
    <row r="93" spans="1:14" ht="60" x14ac:dyDescent="0.25">
      <c r="A93" s="12" t="s">
        <v>397</v>
      </c>
      <c r="B93" s="12" t="s">
        <v>398</v>
      </c>
      <c r="C93" s="12" t="s">
        <v>12</v>
      </c>
      <c r="D93" s="12" t="s">
        <v>6392</v>
      </c>
      <c r="E93" s="12"/>
      <c r="F93" s="12" t="s">
        <v>73</v>
      </c>
      <c r="G93" s="12"/>
      <c r="H93" s="12"/>
      <c r="I93" s="12" t="s">
        <v>399</v>
      </c>
      <c r="J93" s="12"/>
      <c r="K93" s="12" t="s">
        <v>400</v>
      </c>
      <c r="L93" s="12" t="s">
        <v>6393</v>
      </c>
      <c r="M93" s="12" t="str">
        <f>HYPERLINK("https://ceds.ed.gov/cedselementdetails.aspx?termid=9323")</f>
        <v>https://ceds.ed.gov/cedselementdetails.aspx?termid=9323</v>
      </c>
      <c r="N93" s="12" t="str">
        <f>HYPERLINK("https://ceds.ed.gov/elementComment.aspx?elementName=Application Date &amp;elementID=9323", "Click here to submit comment")</f>
        <v>Click here to submit comment</v>
      </c>
    </row>
    <row r="94" spans="1:14" ht="145.5" customHeight="1" x14ac:dyDescent="0.25">
      <c r="A94" s="18" t="s">
        <v>401</v>
      </c>
      <c r="B94" s="18" t="s">
        <v>402</v>
      </c>
      <c r="C94" s="20" t="s">
        <v>6749</v>
      </c>
      <c r="D94" s="18" t="s">
        <v>6389</v>
      </c>
      <c r="E94" s="18"/>
      <c r="F94" s="18"/>
      <c r="G94" s="18"/>
      <c r="H94" s="12" t="s">
        <v>361</v>
      </c>
      <c r="I94" s="18" t="s">
        <v>403</v>
      </c>
      <c r="J94" s="18"/>
      <c r="K94" s="18" t="s">
        <v>401</v>
      </c>
      <c r="L94" s="18" t="s">
        <v>6390</v>
      </c>
      <c r="M94" s="18" t="str">
        <f>HYPERLINK("https://ceds.ed.gov/cedselementdetails.aspx?termid=9656")</f>
        <v>https://ceds.ed.gov/cedselementdetails.aspx?termid=9656</v>
      </c>
      <c r="N94" s="18" t="str">
        <f>HYPERLINK("https://ceds.ed.gov/elementComment.aspx?elementName=Asian &amp;elementID=9656", "Click here to submit comment")</f>
        <v>Click here to submit comment</v>
      </c>
    </row>
    <row r="95" spans="1:14" x14ac:dyDescent="0.25">
      <c r="A95" s="18"/>
      <c r="B95" s="18"/>
      <c r="C95" s="18"/>
      <c r="D95" s="18"/>
      <c r="E95" s="18"/>
      <c r="F95" s="18"/>
      <c r="G95" s="18"/>
      <c r="H95" s="12"/>
      <c r="I95" s="18"/>
      <c r="J95" s="18"/>
      <c r="K95" s="18"/>
      <c r="L95" s="18"/>
      <c r="M95" s="18"/>
      <c r="N95" s="18"/>
    </row>
    <row r="96" spans="1:14" x14ac:dyDescent="0.25">
      <c r="A96" s="18"/>
      <c r="B96" s="18"/>
      <c r="C96" s="18"/>
      <c r="D96" s="18"/>
      <c r="E96" s="18"/>
      <c r="F96" s="18"/>
      <c r="G96" s="18"/>
      <c r="H96" s="12" t="s">
        <v>362</v>
      </c>
      <c r="I96" s="18"/>
      <c r="J96" s="18"/>
      <c r="K96" s="18"/>
      <c r="L96" s="18"/>
      <c r="M96" s="18"/>
      <c r="N96" s="18"/>
    </row>
    <row r="97" spans="1:14" ht="30" x14ac:dyDescent="0.25">
      <c r="A97" s="18"/>
      <c r="B97" s="18"/>
      <c r="C97" s="18"/>
      <c r="D97" s="18"/>
      <c r="E97" s="18"/>
      <c r="F97" s="18"/>
      <c r="G97" s="18"/>
      <c r="H97" s="12" t="s">
        <v>363</v>
      </c>
      <c r="I97" s="18"/>
      <c r="J97" s="18"/>
      <c r="K97" s="18"/>
      <c r="L97" s="18"/>
      <c r="M97" s="18"/>
      <c r="N97" s="18"/>
    </row>
    <row r="98" spans="1:14" x14ac:dyDescent="0.25">
      <c r="A98" s="18"/>
      <c r="B98" s="18"/>
      <c r="C98" s="18"/>
      <c r="D98" s="18"/>
      <c r="E98" s="18"/>
      <c r="F98" s="18"/>
      <c r="G98" s="18"/>
      <c r="H98" s="12" t="s">
        <v>364</v>
      </c>
      <c r="I98" s="18"/>
      <c r="J98" s="18"/>
      <c r="K98" s="18"/>
      <c r="L98" s="18"/>
      <c r="M98" s="18"/>
      <c r="N98" s="18"/>
    </row>
    <row r="99" spans="1:14" ht="330" x14ac:dyDescent="0.25">
      <c r="A99" s="12" t="s">
        <v>404</v>
      </c>
      <c r="B99" s="12" t="s">
        <v>405</v>
      </c>
      <c r="C99" s="13" t="s">
        <v>6751</v>
      </c>
      <c r="D99" s="12" t="s">
        <v>6394</v>
      </c>
      <c r="E99" s="12"/>
      <c r="F99" s="12"/>
      <c r="G99" s="12"/>
      <c r="H99" s="12"/>
      <c r="I99" s="12" t="s">
        <v>406</v>
      </c>
      <c r="J99" s="12"/>
      <c r="K99" s="12" t="s">
        <v>407</v>
      </c>
      <c r="L99" s="12" t="s">
        <v>6395</v>
      </c>
      <c r="M99" s="12" t="str">
        <f>HYPERLINK("https://ceds.ed.gov/cedselementdetails.aspx?termid=9021")</f>
        <v>https://ceds.ed.gov/cedselementdetails.aspx?termid=9021</v>
      </c>
      <c r="N99" s="12" t="str">
        <f>HYPERLINK("https://ceds.ed.gov/elementComment.aspx?elementName=Assessment Academic Subject &amp;elementID=9021", "Click here to submit comment")</f>
        <v>Click here to submit comment</v>
      </c>
    </row>
    <row r="100" spans="1:14" ht="240" x14ac:dyDescent="0.25">
      <c r="A100" s="12" t="s">
        <v>408</v>
      </c>
      <c r="B100" s="12" t="s">
        <v>409</v>
      </c>
      <c r="C100" s="13" t="s">
        <v>6752</v>
      </c>
      <c r="D100" s="12" t="s">
        <v>6396</v>
      </c>
      <c r="E100" s="12"/>
      <c r="F100" s="12"/>
      <c r="G100" s="12"/>
      <c r="H100" s="12"/>
      <c r="I100" s="12" t="s">
        <v>410</v>
      </c>
      <c r="J100" s="12"/>
      <c r="K100" s="12" t="s">
        <v>411</v>
      </c>
      <c r="L100" s="12" t="s">
        <v>6397</v>
      </c>
      <c r="M100" s="12" t="str">
        <f>HYPERLINK("https://ceds.ed.gov/cedselementdetails.aspx?termid=9374")</f>
        <v>https://ceds.ed.gov/cedselementdetails.aspx?termid=9374</v>
      </c>
      <c r="N100" s="12" t="str">
        <f>HYPERLINK("https://ceds.ed.gov/elementComment.aspx?elementName=Assessment Accommodation Category &amp;elementID=9374", "Click here to submit comment")</f>
        <v>Click here to submit comment</v>
      </c>
    </row>
    <row r="101" spans="1:14" ht="75" x14ac:dyDescent="0.25">
      <c r="A101" s="12" t="s">
        <v>412</v>
      </c>
      <c r="B101" s="12" t="s">
        <v>413</v>
      </c>
      <c r="C101" s="12" t="s">
        <v>12</v>
      </c>
      <c r="D101" s="12" t="s">
        <v>6398</v>
      </c>
      <c r="E101" s="12"/>
      <c r="F101" s="12" t="s">
        <v>92</v>
      </c>
      <c r="G101" s="12"/>
      <c r="H101" s="12"/>
      <c r="I101" s="12" t="s">
        <v>414</v>
      </c>
      <c r="J101" s="12"/>
      <c r="K101" s="12" t="s">
        <v>415</v>
      </c>
      <c r="L101" s="12"/>
      <c r="M101" s="12" t="str">
        <f>HYPERLINK("https://ceds.ed.gov/cedselementdetails.aspx?termid=10116")</f>
        <v>https://ceds.ed.gov/cedselementdetails.aspx?termid=10116</v>
      </c>
      <c r="N101" s="12" t="str">
        <f>HYPERLINK("https://ceds.ed.gov/elementComment.aspx?elementName=Assessment Accommodation Other Description &amp;elementID=10116", "Click here to submit comment")</f>
        <v>Click here to submit comment</v>
      </c>
    </row>
    <row r="102" spans="1:14" ht="409.5" x14ac:dyDescent="0.25">
      <c r="A102" s="12" t="s">
        <v>416</v>
      </c>
      <c r="B102" s="12" t="s">
        <v>417</v>
      </c>
      <c r="C102" s="13" t="s">
        <v>6753</v>
      </c>
      <c r="D102" s="12" t="s">
        <v>418</v>
      </c>
      <c r="E102" s="12"/>
      <c r="F102" s="12"/>
      <c r="G102" s="12"/>
      <c r="H102" s="12"/>
      <c r="I102" s="12" t="s">
        <v>419</v>
      </c>
      <c r="J102" s="12"/>
      <c r="K102" s="12" t="s">
        <v>420</v>
      </c>
      <c r="L102" s="12" t="s">
        <v>6397</v>
      </c>
      <c r="M102" s="12" t="str">
        <f>HYPERLINK("https://ceds.ed.gov/cedselementdetails.aspx?termid=9376")</f>
        <v>https://ceds.ed.gov/cedselementdetails.aspx?termid=9376</v>
      </c>
      <c r="N102" s="12" t="str">
        <f>HYPERLINK("https://ceds.ed.gov/elementComment.aspx?elementName=Assessment Accommodation Type &amp;elementID=9376", "Click here to submit comment")</f>
        <v>Click here to submit comment</v>
      </c>
    </row>
    <row r="103" spans="1:14" ht="75" x14ac:dyDescent="0.25">
      <c r="A103" s="12" t="s">
        <v>421</v>
      </c>
      <c r="B103" s="12" t="s">
        <v>422</v>
      </c>
      <c r="C103" s="12" t="s">
        <v>12</v>
      </c>
      <c r="D103" s="12" t="s">
        <v>423</v>
      </c>
      <c r="E103" s="12"/>
      <c r="F103" s="12" t="s">
        <v>99</v>
      </c>
      <c r="G103" s="12"/>
      <c r="H103" s="12" t="s">
        <v>424</v>
      </c>
      <c r="I103" s="12" t="s">
        <v>425</v>
      </c>
      <c r="J103" s="12"/>
      <c r="K103" s="12" t="s">
        <v>426</v>
      </c>
      <c r="L103" s="12"/>
      <c r="M103" s="12" t="str">
        <f>HYPERLINK("https://ceds.ed.gov/cedselementdetails.aspx?termid=9968")</f>
        <v>https://ceds.ed.gov/cedselementdetails.aspx?termid=9968</v>
      </c>
      <c r="N103" s="12" t="str">
        <f>HYPERLINK("https://ceds.ed.gov/elementComment.aspx?elementName=Assessment Administration Assessment Family &amp;elementID=9968", "Click here to submit comment")</f>
        <v>Click here to submit comment</v>
      </c>
    </row>
    <row r="104" spans="1:14" ht="45" x14ac:dyDescent="0.25">
      <c r="A104" s="12" t="s">
        <v>427</v>
      </c>
      <c r="B104" s="12" t="s">
        <v>428</v>
      </c>
      <c r="C104" s="12" t="s">
        <v>12</v>
      </c>
      <c r="D104" s="12" t="s">
        <v>423</v>
      </c>
      <c r="E104" s="12"/>
      <c r="F104" s="12" t="s">
        <v>92</v>
      </c>
      <c r="G104" s="12"/>
      <c r="H104" s="12"/>
      <c r="I104" s="12" t="s">
        <v>429</v>
      </c>
      <c r="J104" s="12"/>
      <c r="K104" s="12" t="s">
        <v>430</v>
      </c>
      <c r="L104" s="12"/>
      <c r="M104" s="12" t="str">
        <f>HYPERLINK("https://ceds.ed.gov/cedselementdetails.aspx?termid=9962")</f>
        <v>https://ceds.ed.gov/cedselementdetails.aspx?termid=9962</v>
      </c>
      <c r="N104" s="12" t="str">
        <f>HYPERLINK("https://ceds.ed.gov/elementComment.aspx?elementName=Assessment Administration Code &amp;elementID=9962", "Click here to submit comment")</f>
        <v>Click here to submit comment</v>
      </c>
    </row>
    <row r="105" spans="1:14" ht="45" x14ac:dyDescent="0.25">
      <c r="A105" s="12" t="s">
        <v>431</v>
      </c>
      <c r="B105" s="12" t="s">
        <v>432</v>
      </c>
      <c r="C105" s="12" t="s">
        <v>12</v>
      </c>
      <c r="D105" s="12" t="s">
        <v>423</v>
      </c>
      <c r="E105" s="12"/>
      <c r="F105" s="12" t="s">
        <v>73</v>
      </c>
      <c r="G105" s="12"/>
      <c r="H105" s="12"/>
      <c r="I105" s="12" t="s">
        <v>433</v>
      </c>
      <c r="J105" s="12"/>
      <c r="K105" s="12" t="s">
        <v>434</v>
      </c>
      <c r="L105" s="12"/>
      <c r="M105" s="12" t="str">
        <f>HYPERLINK("https://ceds.ed.gov/cedselementdetails.aspx?termid=9965")</f>
        <v>https://ceds.ed.gov/cedselementdetails.aspx?termid=9965</v>
      </c>
      <c r="N105" s="12" t="str">
        <f>HYPERLINK("https://ceds.ed.gov/elementComment.aspx?elementName=Assessment Administration Finish Date &amp;elementID=9965", "Click here to submit comment")</f>
        <v>Click here to submit comment</v>
      </c>
    </row>
    <row r="106" spans="1:14" ht="45" x14ac:dyDescent="0.25">
      <c r="A106" s="12" t="s">
        <v>435</v>
      </c>
      <c r="B106" s="12" t="s">
        <v>436</v>
      </c>
      <c r="C106" s="12" t="s">
        <v>12</v>
      </c>
      <c r="D106" s="12" t="s">
        <v>423</v>
      </c>
      <c r="E106" s="12"/>
      <c r="F106" s="12" t="s">
        <v>437</v>
      </c>
      <c r="G106" s="12"/>
      <c r="H106" s="12"/>
      <c r="I106" s="12" t="s">
        <v>438</v>
      </c>
      <c r="J106" s="12"/>
      <c r="K106" s="12" t="s">
        <v>439</v>
      </c>
      <c r="L106" s="12"/>
      <c r="M106" s="12" t="str">
        <f>HYPERLINK("https://ceds.ed.gov/cedselementdetails.aspx?termid=9966")</f>
        <v>https://ceds.ed.gov/cedselementdetails.aspx?termid=9966</v>
      </c>
      <c r="N106" s="12" t="str">
        <f>HYPERLINK("https://ceds.ed.gov/elementComment.aspx?elementName=Assessment Administration Finish Time &amp;elementID=9966", "Click here to submit comment")</f>
        <v>Click here to submit comment</v>
      </c>
    </row>
    <row r="107" spans="1:14" ht="45" x14ac:dyDescent="0.25">
      <c r="A107" s="12" t="s">
        <v>440</v>
      </c>
      <c r="B107" s="12" t="s">
        <v>441</v>
      </c>
      <c r="C107" s="12" t="s">
        <v>12</v>
      </c>
      <c r="D107" s="12" t="s">
        <v>423</v>
      </c>
      <c r="E107" s="12"/>
      <c r="F107" s="12" t="s">
        <v>92</v>
      </c>
      <c r="G107" s="12"/>
      <c r="H107" s="12"/>
      <c r="I107" s="12" t="s">
        <v>442</v>
      </c>
      <c r="J107" s="12"/>
      <c r="K107" s="12" t="s">
        <v>443</v>
      </c>
      <c r="L107" s="12"/>
      <c r="M107" s="12" t="str">
        <f>HYPERLINK("https://ceds.ed.gov/cedselementdetails.aspx?termid=9978")</f>
        <v>https://ceds.ed.gov/cedselementdetails.aspx?termid=9978</v>
      </c>
      <c r="N107" s="12" t="str">
        <f>HYPERLINK("https://ceds.ed.gov/elementComment.aspx?elementName=Assessment Administration Name &amp;elementID=9978", "Click here to submit comment")</f>
        <v>Click here to submit comment</v>
      </c>
    </row>
    <row r="108" spans="1:14" ht="45" x14ac:dyDescent="0.25">
      <c r="A108" s="12" t="s">
        <v>444</v>
      </c>
      <c r="B108" s="12" t="s">
        <v>445</v>
      </c>
      <c r="C108" s="12" t="s">
        <v>12</v>
      </c>
      <c r="D108" s="12" t="s">
        <v>423</v>
      </c>
      <c r="E108" s="12"/>
      <c r="F108" s="12" t="s">
        <v>99</v>
      </c>
      <c r="G108" s="12"/>
      <c r="H108" s="12"/>
      <c r="I108" s="12" t="s">
        <v>446</v>
      </c>
      <c r="J108" s="12"/>
      <c r="K108" s="12" t="s">
        <v>447</v>
      </c>
      <c r="L108" s="12"/>
      <c r="M108" s="12" t="str">
        <f>HYPERLINK("https://ceds.ed.gov/cedselementdetails.aspx?termid=9967")</f>
        <v>https://ceds.ed.gov/cedselementdetails.aspx?termid=9967</v>
      </c>
      <c r="N108" s="12" t="str">
        <f>HYPERLINK("https://ceds.ed.gov/elementComment.aspx?elementName=Assessment Administration Organization Name &amp;elementID=9967", "Click here to submit comment")</f>
        <v>Click here to submit comment</v>
      </c>
    </row>
    <row r="109" spans="1:14" ht="45" x14ac:dyDescent="0.25">
      <c r="A109" s="12" t="s">
        <v>448</v>
      </c>
      <c r="B109" s="12" t="s">
        <v>449</v>
      </c>
      <c r="C109" s="12" t="s">
        <v>12</v>
      </c>
      <c r="D109" s="12" t="s">
        <v>423</v>
      </c>
      <c r="E109" s="12"/>
      <c r="F109" s="12" t="s">
        <v>68</v>
      </c>
      <c r="G109" s="12"/>
      <c r="H109" s="12"/>
      <c r="I109" s="12" t="s">
        <v>450</v>
      </c>
      <c r="J109" s="12"/>
      <c r="K109" s="12" t="s">
        <v>451</v>
      </c>
      <c r="L109" s="12"/>
      <c r="M109" s="12" t="str">
        <f>HYPERLINK("https://ceds.ed.gov/cedselementdetails.aspx?termid=10506")</f>
        <v>https://ceds.ed.gov/cedselementdetails.aspx?termid=10506</v>
      </c>
      <c r="N109" s="12" t="str">
        <f>HYPERLINK("https://ceds.ed.gov/elementComment.aspx?elementName=Assessment Administration Period Description &amp;elementID=10506", "Click here to submit comment")</f>
        <v>Click here to submit comment</v>
      </c>
    </row>
    <row r="110" spans="1:14" ht="45" x14ac:dyDescent="0.25">
      <c r="A110" s="12" t="s">
        <v>452</v>
      </c>
      <c r="B110" s="12" t="s">
        <v>453</v>
      </c>
      <c r="C110" s="12" t="s">
        <v>12</v>
      </c>
      <c r="D110" s="12" t="s">
        <v>423</v>
      </c>
      <c r="E110" s="12"/>
      <c r="F110" s="12" t="s">
        <v>73</v>
      </c>
      <c r="G110" s="12"/>
      <c r="H110" s="12"/>
      <c r="I110" s="12" t="s">
        <v>454</v>
      </c>
      <c r="J110" s="12"/>
      <c r="K110" s="12" t="s">
        <v>455</v>
      </c>
      <c r="L110" s="12"/>
      <c r="M110" s="12" t="str">
        <f>HYPERLINK("https://ceds.ed.gov/cedselementdetails.aspx?termid=9963")</f>
        <v>https://ceds.ed.gov/cedselementdetails.aspx?termid=9963</v>
      </c>
      <c r="N110" s="12" t="str">
        <f>HYPERLINK("https://ceds.ed.gov/elementComment.aspx?elementName=Assessment Administration Start Date &amp;elementID=9963", "Click here to submit comment")</f>
        <v>Click here to submit comment</v>
      </c>
    </row>
    <row r="111" spans="1:14" ht="45" x14ac:dyDescent="0.25">
      <c r="A111" s="12" t="s">
        <v>456</v>
      </c>
      <c r="B111" s="12" t="s">
        <v>457</v>
      </c>
      <c r="C111" s="12" t="s">
        <v>12</v>
      </c>
      <c r="D111" s="12" t="s">
        <v>423</v>
      </c>
      <c r="E111" s="12"/>
      <c r="F111" s="12" t="s">
        <v>437</v>
      </c>
      <c r="G111" s="12"/>
      <c r="H111" s="12"/>
      <c r="I111" s="12" t="s">
        <v>458</v>
      </c>
      <c r="J111" s="12"/>
      <c r="K111" s="12" t="s">
        <v>459</v>
      </c>
      <c r="L111" s="12"/>
      <c r="M111" s="12" t="str">
        <f>HYPERLINK("https://ceds.ed.gov/cedselementdetails.aspx?termid=9964")</f>
        <v>https://ceds.ed.gov/cedselementdetails.aspx?termid=9964</v>
      </c>
      <c r="N111" s="12" t="str">
        <f>HYPERLINK("https://ceds.ed.gov/elementComment.aspx?elementName=Assessment Administration Start Time &amp;elementID=9964", "Click here to submit comment")</f>
        <v>Click here to submit comment</v>
      </c>
    </row>
    <row r="112" spans="1:14" ht="45" x14ac:dyDescent="0.25">
      <c r="A112" s="12" t="s">
        <v>460</v>
      </c>
      <c r="B112" s="12" t="s">
        <v>461</v>
      </c>
      <c r="C112" s="12" t="s">
        <v>12</v>
      </c>
      <c r="D112" s="12" t="s">
        <v>462</v>
      </c>
      <c r="E112" s="12"/>
      <c r="F112" s="12" t="s">
        <v>327</v>
      </c>
      <c r="G112" s="12"/>
      <c r="H112" s="12"/>
      <c r="I112" s="12" t="s">
        <v>463</v>
      </c>
      <c r="J112" s="12"/>
      <c r="K112" s="12" t="s">
        <v>464</v>
      </c>
      <c r="L112" s="12"/>
      <c r="M112" s="12" t="str">
        <f>HYPERLINK("https://ceds.ed.gov/cedselementdetails.aspx?termid=10154")</f>
        <v>https://ceds.ed.gov/cedselementdetails.aspx?termid=10154</v>
      </c>
      <c r="N112" s="12" t="str">
        <f>HYPERLINK("https://ceds.ed.gov/elementComment.aspx?elementName=Assessment Asset Content Mime Type &amp;elementID=10154", "Click here to submit comment")</f>
        <v>Click here to submit comment</v>
      </c>
    </row>
    <row r="113" spans="1:14" ht="45" x14ac:dyDescent="0.25">
      <c r="A113" s="12" t="s">
        <v>465</v>
      </c>
      <c r="B113" s="12" t="s">
        <v>466</v>
      </c>
      <c r="C113" s="12" t="s">
        <v>12</v>
      </c>
      <c r="D113" s="12" t="s">
        <v>462</v>
      </c>
      <c r="E113" s="12"/>
      <c r="F113" s="12" t="s">
        <v>68</v>
      </c>
      <c r="G113" s="12"/>
      <c r="H113" s="12"/>
      <c r="I113" s="12" t="s">
        <v>467</v>
      </c>
      <c r="J113" s="12"/>
      <c r="K113" s="12" t="s">
        <v>468</v>
      </c>
      <c r="L113" s="12"/>
      <c r="M113" s="12" t="str">
        <f>HYPERLINK("https://ceds.ed.gov/cedselementdetails.aspx?termid=10155")</f>
        <v>https://ceds.ed.gov/cedselementdetails.aspx?termid=10155</v>
      </c>
      <c r="N113" s="12" t="str">
        <f>HYPERLINK("https://ceds.ed.gov/elementComment.aspx?elementName=Assessment Asset Content URL &amp;elementID=10155", "Click here to submit comment")</f>
        <v>Click here to submit comment</v>
      </c>
    </row>
    <row r="114" spans="1:14" ht="45" x14ac:dyDescent="0.25">
      <c r="A114" s="12" t="s">
        <v>469</v>
      </c>
      <c r="B114" s="12" t="s">
        <v>470</v>
      </c>
      <c r="C114" s="12" t="s">
        <v>12</v>
      </c>
      <c r="D114" s="12" t="s">
        <v>462</v>
      </c>
      <c r="E114" s="12"/>
      <c r="F114" s="12" t="s">
        <v>327</v>
      </c>
      <c r="G114" s="12"/>
      <c r="H114" s="12"/>
      <c r="I114" s="12" t="s">
        <v>471</v>
      </c>
      <c r="J114" s="12"/>
      <c r="K114" s="12" t="s">
        <v>472</v>
      </c>
      <c r="L114" s="12"/>
      <c r="M114" s="12" t="str">
        <f>HYPERLINK("https://ceds.ed.gov/cedselementdetails.aspx?termid=10153")</f>
        <v>https://ceds.ed.gov/cedselementdetails.aspx?termid=10153</v>
      </c>
      <c r="N114" s="12" t="str">
        <f>HYPERLINK("https://ceds.ed.gov/elementComment.aspx?elementName=Assessment Asset Content XML &amp;elementID=10153", "Click here to submit comment")</f>
        <v>Click here to submit comment</v>
      </c>
    </row>
    <row r="115" spans="1:14" ht="105" x14ac:dyDescent="0.25">
      <c r="A115" s="18" t="s">
        <v>473</v>
      </c>
      <c r="B115" s="18" t="s">
        <v>474</v>
      </c>
      <c r="C115" s="18" t="s">
        <v>12</v>
      </c>
      <c r="D115" s="18" t="s">
        <v>462</v>
      </c>
      <c r="E115" s="18"/>
      <c r="F115" s="18" t="s">
        <v>142</v>
      </c>
      <c r="G115" s="18"/>
      <c r="H115" s="12" t="s">
        <v>143</v>
      </c>
      <c r="I115" s="18" t="s">
        <v>475</v>
      </c>
      <c r="J115" s="18"/>
      <c r="K115" s="18" t="s">
        <v>476</v>
      </c>
      <c r="L115" s="18"/>
      <c r="M115" s="18" t="str">
        <f>HYPERLINK("https://ceds.ed.gov/cedselementdetails.aspx?termid=10149")</f>
        <v>https://ceds.ed.gov/cedselementdetails.aspx?termid=10149</v>
      </c>
      <c r="N115" s="18" t="str">
        <f>HYPERLINK("https://ceds.ed.gov/elementComment.aspx?elementName=Assessment Asset Identifier &amp;elementID=10149", "Click here to submit comment")</f>
        <v>Click here to submit comment</v>
      </c>
    </row>
    <row r="116" spans="1:14" x14ac:dyDescent="0.25">
      <c r="A116" s="18"/>
      <c r="B116" s="18"/>
      <c r="C116" s="18"/>
      <c r="D116" s="18"/>
      <c r="E116" s="18"/>
      <c r="F116" s="18"/>
      <c r="G116" s="18"/>
      <c r="H116" s="12"/>
      <c r="I116" s="18"/>
      <c r="J116" s="18"/>
      <c r="K116" s="18"/>
      <c r="L116" s="18"/>
      <c r="M116" s="18"/>
      <c r="N116" s="18"/>
    </row>
    <row r="117" spans="1:14" ht="90" x14ac:dyDescent="0.25">
      <c r="A117" s="18"/>
      <c r="B117" s="18"/>
      <c r="C117" s="18"/>
      <c r="D117" s="18"/>
      <c r="E117" s="18"/>
      <c r="F117" s="18"/>
      <c r="G117" s="18"/>
      <c r="H117" s="12" t="s">
        <v>144</v>
      </c>
      <c r="I117" s="18"/>
      <c r="J117" s="18"/>
      <c r="K117" s="18"/>
      <c r="L117" s="18"/>
      <c r="M117" s="18"/>
      <c r="N117" s="18"/>
    </row>
    <row r="118" spans="1:14" ht="105" x14ac:dyDescent="0.25">
      <c r="A118" s="12" t="s">
        <v>477</v>
      </c>
      <c r="B118" s="12" t="s">
        <v>478</v>
      </c>
      <c r="C118" s="13" t="s">
        <v>6754</v>
      </c>
      <c r="D118" s="12" t="s">
        <v>462</v>
      </c>
      <c r="E118" s="12"/>
      <c r="F118" s="12"/>
      <c r="G118" s="12"/>
      <c r="H118" s="12"/>
      <c r="I118" s="12" t="s">
        <v>479</v>
      </c>
      <c r="J118" s="12"/>
      <c r="K118" s="12" t="s">
        <v>480</v>
      </c>
      <c r="L118" s="12"/>
      <c r="M118" s="12" t="str">
        <f>HYPERLINK("https://ceds.ed.gov/cedselementdetails.aspx?termid=10150")</f>
        <v>https://ceds.ed.gov/cedselementdetails.aspx?termid=10150</v>
      </c>
      <c r="N118" s="12" t="str">
        <f>HYPERLINK("https://ceds.ed.gov/elementComment.aspx?elementName=Assessment Asset Identifier Type &amp;elementID=10150", "Click here to submit comment")</f>
        <v>Click here to submit comment</v>
      </c>
    </row>
    <row r="119" spans="1:14" ht="45" x14ac:dyDescent="0.25">
      <c r="A119" s="12" t="s">
        <v>481</v>
      </c>
      <c r="B119" s="12" t="s">
        <v>482</v>
      </c>
      <c r="C119" s="12" t="s">
        <v>12</v>
      </c>
      <c r="D119" s="12" t="s">
        <v>462</v>
      </c>
      <c r="E119" s="12"/>
      <c r="F119" s="12" t="s">
        <v>99</v>
      </c>
      <c r="G119" s="12"/>
      <c r="H119" s="12"/>
      <c r="I119" s="12" t="s">
        <v>483</v>
      </c>
      <c r="J119" s="12"/>
      <c r="K119" s="12" t="s">
        <v>484</v>
      </c>
      <c r="L119" s="12"/>
      <c r="M119" s="12" t="str">
        <f>HYPERLINK("https://ceds.ed.gov/cedselementdetails.aspx?termid=10151")</f>
        <v>https://ceds.ed.gov/cedselementdetails.aspx?termid=10151</v>
      </c>
      <c r="N119" s="12" t="str">
        <f>HYPERLINK("https://ceds.ed.gov/elementComment.aspx?elementName=Assessment Asset Name &amp;elementID=10151", "Click here to submit comment")</f>
        <v>Click here to submit comment</v>
      </c>
    </row>
    <row r="120" spans="1:14" ht="45" x14ac:dyDescent="0.25">
      <c r="A120" s="12" t="s">
        <v>485</v>
      </c>
      <c r="B120" s="12" t="s">
        <v>486</v>
      </c>
      <c r="C120" s="12" t="s">
        <v>12</v>
      </c>
      <c r="D120" s="12" t="s">
        <v>462</v>
      </c>
      <c r="E120" s="12"/>
      <c r="F120" s="12" t="s">
        <v>99</v>
      </c>
      <c r="G120" s="12"/>
      <c r="H120" s="12"/>
      <c r="I120" s="12" t="s">
        <v>487</v>
      </c>
      <c r="J120" s="12"/>
      <c r="K120" s="12" t="s">
        <v>488</v>
      </c>
      <c r="L120" s="12"/>
      <c r="M120" s="12" t="str">
        <f>HYPERLINK("https://ceds.ed.gov/cedselementdetails.aspx?termid=10152")</f>
        <v>https://ceds.ed.gov/cedselementdetails.aspx?termid=10152</v>
      </c>
      <c r="N120" s="12" t="str">
        <f>HYPERLINK("https://ceds.ed.gov/elementComment.aspx?elementName=Assessment Asset Owner &amp;elementID=10152", "Click here to submit comment")</f>
        <v>Click here to submit comment</v>
      </c>
    </row>
    <row r="121" spans="1:14" ht="45" x14ac:dyDescent="0.25">
      <c r="A121" s="12" t="s">
        <v>489</v>
      </c>
      <c r="B121" s="12" t="s">
        <v>490</v>
      </c>
      <c r="C121" s="12" t="s">
        <v>12</v>
      </c>
      <c r="D121" s="12" t="s">
        <v>462</v>
      </c>
      <c r="E121" s="12"/>
      <c r="F121" s="12" t="s">
        <v>73</v>
      </c>
      <c r="G121" s="12"/>
      <c r="H121" s="12"/>
      <c r="I121" s="12" t="s">
        <v>491</v>
      </c>
      <c r="J121" s="12"/>
      <c r="K121" s="12" t="s">
        <v>492</v>
      </c>
      <c r="L121" s="12"/>
      <c r="M121" s="12" t="str">
        <f>HYPERLINK("https://ceds.ed.gov/cedselementdetails.aspx?termid=10148")</f>
        <v>https://ceds.ed.gov/cedselementdetails.aspx?termid=10148</v>
      </c>
      <c r="N121" s="12" t="str">
        <f>HYPERLINK("https://ceds.ed.gov/elementComment.aspx?elementName=Assessment Asset Published Date &amp;elementID=10148", "Click here to submit comment")</f>
        <v>Click here to submit comment</v>
      </c>
    </row>
    <row r="122" spans="1:14" ht="409.5" x14ac:dyDescent="0.25">
      <c r="A122" s="12" t="s">
        <v>493</v>
      </c>
      <c r="B122" s="12" t="s">
        <v>494</v>
      </c>
      <c r="C122" s="13" t="s">
        <v>6755</v>
      </c>
      <c r="D122" s="12" t="s">
        <v>462</v>
      </c>
      <c r="E122" s="12"/>
      <c r="F122" s="12"/>
      <c r="G122" s="12"/>
      <c r="H122" s="12" t="s">
        <v>495</v>
      </c>
      <c r="I122" s="12" t="s">
        <v>496</v>
      </c>
      <c r="J122" s="12"/>
      <c r="K122" s="12" t="s">
        <v>497</v>
      </c>
      <c r="L122" s="12"/>
      <c r="M122" s="12" t="str">
        <f>HYPERLINK("https://ceds.ed.gov/cedselementdetails.aspx?termid=10147")</f>
        <v>https://ceds.ed.gov/cedselementdetails.aspx?termid=10147</v>
      </c>
      <c r="N122" s="12" t="str">
        <f>HYPERLINK("https://ceds.ed.gov/elementComment.aspx?elementName=Assessment Asset Type &amp;elementID=10147", "Click here to submit comment")</f>
        <v>Click here to submit comment</v>
      </c>
    </row>
    <row r="123" spans="1:14" ht="150" x14ac:dyDescent="0.25">
      <c r="A123" s="12" t="s">
        <v>498</v>
      </c>
      <c r="B123" s="12" t="s">
        <v>499</v>
      </c>
      <c r="C123" s="12" t="s">
        <v>12</v>
      </c>
      <c r="D123" s="12" t="s">
        <v>462</v>
      </c>
      <c r="E123" s="12"/>
      <c r="F123" s="12" t="s">
        <v>92</v>
      </c>
      <c r="G123" s="12"/>
      <c r="H123" s="12" t="s">
        <v>500</v>
      </c>
      <c r="I123" s="12" t="s">
        <v>501</v>
      </c>
      <c r="J123" s="12"/>
      <c r="K123" s="12" t="s">
        <v>502</v>
      </c>
      <c r="L123" s="12"/>
      <c r="M123" s="12" t="str">
        <f>HYPERLINK("https://ceds.ed.gov/cedselementdetails.aspx?termid=10146")</f>
        <v>https://ceds.ed.gov/cedselementdetails.aspx?termid=10146</v>
      </c>
      <c r="N123" s="12" t="str">
        <f>HYPERLINK("https://ceds.ed.gov/elementComment.aspx?elementName=Assessment Asset Version &amp;elementID=10146", "Click here to submit comment")</f>
        <v>Click here to submit comment</v>
      </c>
    </row>
    <row r="124" spans="1:14" ht="165" x14ac:dyDescent="0.25">
      <c r="A124" s="12" t="s">
        <v>503</v>
      </c>
      <c r="B124" s="12" t="s">
        <v>504</v>
      </c>
      <c r="C124" s="13" t="s">
        <v>6756</v>
      </c>
      <c r="D124" s="12" t="s">
        <v>505</v>
      </c>
      <c r="E124" s="12"/>
      <c r="F124" s="12"/>
      <c r="G124" s="12"/>
      <c r="H124" s="12"/>
      <c r="I124" s="12" t="s">
        <v>506</v>
      </c>
      <c r="J124" s="12"/>
      <c r="K124" s="12" t="s">
        <v>507</v>
      </c>
      <c r="L124" s="12" t="s">
        <v>6399</v>
      </c>
      <c r="M124" s="12" t="str">
        <f>HYPERLINK("https://ceds.ed.gov/cedselementdetails.aspx?termid=9598")</f>
        <v>https://ceds.ed.gov/cedselementdetails.aspx?termid=9598</v>
      </c>
      <c r="N124" s="12" t="str">
        <f>HYPERLINK("https://ceds.ed.gov/elementComment.aspx?elementName=Assessment Content Standard Type &amp;elementID=9598", "Click here to submit comment")</f>
        <v>Click here to submit comment</v>
      </c>
    </row>
    <row r="125" spans="1:14" ht="60" x14ac:dyDescent="0.25">
      <c r="A125" s="18" t="s">
        <v>508</v>
      </c>
      <c r="B125" s="18" t="s">
        <v>509</v>
      </c>
      <c r="C125" s="20" t="s">
        <v>6757</v>
      </c>
      <c r="D125" s="18" t="s">
        <v>6400</v>
      </c>
      <c r="E125" s="18" t="s">
        <v>98</v>
      </c>
      <c r="F125" s="18"/>
      <c r="G125" s="18"/>
      <c r="H125" s="12" t="s">
        <v>510</v>
      </c>
      <c r="I125" s="18" t="s">
        <v>515</v>
      </c>
      <c r="J125" s="18"/>
      <c r="K125" s="18" t="s">
        <v>516</v>
      </c>
      <c r="L125" s="18" t="s">
        <v>6401</v>
      </c>
      <c r="M125" s="18" t="str">
        <f>HYPERLINK("https://ceds.ed.gov/cedselementdetails.aspx?termid=10003")</f>
        <v>https://ceds.ed.gov/cedselementdetails.aspx?termid=10003</v>
      </c>
      <c r="N125" s="18" t="str">
        <f>HYPERLINK("https://ceds.ed.gov/elementComment.aspx?elementName=Assessment Early Learning Developmental Domain &amp;elementID=10003", "Click here to submit comment")</f>
        <v>Click here to submit comment</v>
      </c>
    </row>
    <row r="126" spans="1:14" x14ac:dyDescent="0.25">
      <c r="A126" s="18"/>
      <c r="B126" s="18"/>
      <c r="C126" s="18"/>
      <c r="D126" s="18"/>
      <c r="E126" s="18"/>
      <c r="F126" s="18"/>
      <c r="G126" s="18"/>
      <c r="H126" s="12"/>
      <c r="I126" s="18"/>
      <c r="J126" s="18"/>
      <c r="K126" s="18"/>
      <c r="L126" s="18"/>
      <c r="M126" s="18"/>
      <c r="N126" s="18"/>
    </row>
    <row r="127" spans="1:14" ht="30" x14ac:dyDescent="0.25">
      <c r="A127" s="18"/>
      <c r="B127" s="18"/>
      <c r="C127" s="18"/>
      <c r="D127" s="18"/>
      <c r="E127" s="18"/>
      <c r="F127" s="18"/>
      <c r="G127" s="18"/>
      <c r="H127" s="12" t="s">
        <v>511</v>
      </c>
      <c r="I127" s="18"/>
      <c r="J127" s="18"/>
      <c r="K127" s="18"/>
      <c r="L127" s="18"/>
      <c r="M127" s="18"/>
      <c r="N127" s="18"/>
    </row>
    <row r="128" spans="1:14" ht="45" x14ac:dyDescent="0.25">
      <c r="A128" s="18"/>
      <c r="B128" s="18"/>
      <c r="C128" s="18"/>
      <c r="D128" s="18"/>
      <c r="E128" s="18"/>
      <c r="F128" s="18"/>
      <c r="G128" s="18"/>
      <c r="H128" s="12" t="s">
        <v>512</v>
      </c>
      <c r="I128" s="18"/>
      <c r="J128" s="18"/>
      <c r="K128" s="18"/>
      <c r="L128" s="18"/>
      <c r="M128" s="18"/>
      <c r="N128" s="18"/>
    </row>
    <row r="129" spans="1:14" ht="75" x14ac:dyDescent="0.25">
      <c r="A129" s="18"/>
      <c r="B129" s="18"/>
      <c r="C129" s="18"/>
      <c r="D129" s="18"/>
      <c r="E129" s="18"/>
      <c r="F129" s="18"/>
      <c r="G129" s="18"/>
      <c r="H129" s="12" t="s">
        <v>513</v>
      </c>
      <c r="I129" s="18"/>
      <c r="J129" s="18"/>
      <c r="K129" s="18"/>
      <c r="L129" s="18"/>
      <c r="M129" s="18"/>
      <c r="N129" s="18"/>
    </row>
    <row r="130" spans="1:14" x14ac:dyDescent="0.25">
      <c r="A130" s="18"/>
      <c r="B130" s="18"/>
      <c r="C130" s="18"/>
      <c r="D130" s="18"/>
      <c r="E130" s="18"/>
      <c r="F130" s="18"/>
      <c r="G130" s="18"/>
      <c r="H130" s="12"/>
      <c r="I130" s="18"/>
      <c r="J130" s="18"/>
      <c r="K130" s="18"/>
      <c r="L130" s="18"/>
      <c r="M130" s="18"/>
      <c r="N130" s="18"/>
    </row>
    <row r="131" spans="1:14" ht="105" x14ac:dyDescent="0.25">
      <c r="A131" s="18"/>
      <c r="B131" s="18"/>
      <c r="C131" s="18"/>
      <c r="D131" s="18"/>
      <c r="E131" s="18"/>
      <c r="F131" s="18"/>
      <c r="G131" s="18"/>
      <c r="H131" s="12" t="s">
        <v>514</v>
      </c>
      <c r="I131" s="18"/>
      <c r="J131" s="18"/>
      <c r="K131" s="18"/>
      <c r="L131" s="18"/>
      <c r="M131" s="18"/>
      <c r="N131" s="18"/>
    </row>
    <row r="132" spans="1:14" ht="60" x14ac:dyDescent="0.25">
      <c r="A132" s="12" t="s">
        <v>517</v>
      </c>
      <c r="B132" s="12" t="s">
        <v>518</v>
      </c>
      <c r="C132" s="12" t="s">
        <v>12</v>
      </c>
      <c r="D132" s="12" t="s">
        <v>519</v>
      </c>
      <c r="E132" s="12"/>
      <c r="F132" s="12" t="s">
        <v>92</v>
      </c>
      <c r="G132" s="12"/>
      <c r="H132" s="12" t="s">
        <v>520</v>
      </c>
      <c r="I132" s="12" t="s">
        <v>521</v>
      </c>
      <c r="J132" s="12"/>
      <c r="K132" s="12" t="s">
        <v>522</v>
      </c>
      <c r="L132" s="12"/>
      <c r="M132" s="12" t="str">
        <f>HYPERLINK("https://ceds.ed.gov/cedselementdetails.aspx?termid=9934")</f>
        <v>https://ceds.ed.gov/cedselementdetails.aspx?termid=9934</v>
      </c>
      <c r="N132" s="12" t="str">
        <f>HYPERLINK("https://ceds.ed.gov/elementComment.aspx?elementName=Assessment Family Short Name &amp;elementID=9934", "Click here to submit comment")</f>
        <v>Click here to submit comment</v>
      </c>
    </row>
    <row r="133" spans="1:14" ht="90" x14ac:dyDescent="0.25">
      <c r="A133" s="12" t="s">
        <v>523</v>
      </c>
      <c r="B133" s="12" t="s">
        <v>524</v>
      </c>
      <c r="C133" s="12" t="s">
        <v>12</v>
      </c>
      <c r="D133" s="12" t="s">
        <v>519</v>
      </c>
      <c r="E133" s="12"/>
      <c r="F133" s="12" t="s">
        <v>99</v>
      </c>
      <c r="G133" s="12"/>
      <c r="H133" s="12"/>
      <c r="I133" s="12" t="s">
        <v>525</v>
      </c>
      <c r="J133" s="12"/>
      <c r="K133" s="12" t="s">
        <v>526</v>
      </c>
      <c r="L133" s="12"/>
      <c r="M133" s="12" t="str">
        <f>HYPERLINK("https://ceds.ed.gov/cedselementdetails.aspx?termid=9933")</f>
        <v>https://ceds.ed.gov/cedselementdetails.aspx?termid=9933</v>
      </c>
      <c r="N133" s="12" t="str">
        <f>HYPERLINK("https://ceds.ed.gov/elementComment.aspx?elementName=Assessment Family Title &amp;elementID=9933", "Click here to submit comment")</f>
        <v>Click here to submit comment</v>
      </c>
    </row>
    <row r="134" spans="1:14" ht="75" x14ac:dyDescent="0.25">
      <c r="A134" s="12" t="s">
        <v>527</v>
      </c>
      <c r="B134" s="12" t="s">
        <v>528</v>
      </c>
      <c r="C134" s="12" t="s">
        <v>12</v>
      </c>
      <c r="D134" s="12" t="s">
        <v>529</v>
      </c>
      <c r="E134" s="12"/>
      <c r="F134" s="12" t="s">
        <v>327</v>
      </c>
      <c r="G134" s="12"/>
      <c r="H134" s="12"/>
      <c r="I134" s="12" t="s">
        <v>530</v>
      </c>
      <c r="J134" s="12"/>
      <c r="K134" s="12" t="s">
        <v>531</v>
      </c>
      <c r="L134" s="12"/>
      <c r="M134" s="12" t="str">
        <f>HYPERLINK("https://ceds.ed.gov/cedselementdetails.aspx?termid=10136")</f>
        <v>https://ceds.ed.gov/cedselementdetails.aspx?termid=10136</v>
      </c>
      <c r="N134" s="12" t="str">
        <f>HYPERLINK("https://ceds.ed.gov/elementComment.aspx?elementName=Assessment Form Accommodation List &amp;elementID=10136", "Click here to submit comment")</f>
        <v>Click here to submit comment</v>
      </c>
    </row>
    <row r="135" spans="1:14" ht="45" x14ac:dyDescent="0.25">
      <c r="A135" s="12" t="s">
        <v>532</v>
      </c>
      <c r="B135" s="12" t="s">
        <v>533</v>
      </c>
      <c r="C135" s="12" t="s">
        <v>6364</v>
      </c>
      <c r="D135" s="12" t="s">
        <v>529</v>
      </c>
      <c r="E135" s="12"/>
      <c r="F135" s="12"/>
      <c r="G135" s="12"/>
      <c r="H135" s="12"/>
      <c r="I135" s="12" t="s">
        <v>534</v>
      </c>
      <c r="J135" s="12"/>
      <c r="K135" s="12" t="s">
        <v>535</v>
      </c>
      <c r="L135" s="12"/>
      <c r="M135" s="12" t="str">
        <f>HYPERLINK("https://ceds.ed.gov/cedselementdetails.aspx?termid=10507")</f>
        <v>https://ceds.ed.gov/cedselementdetails.aspx?termid=10507</v>
      </c>
      <c r="N135" s="12" t="str">
        <f>HYPERLINK("https://ceds.ed.gov/elementComment.aspx?elementName=Assessment Form Adaptive Indicator &amp;elementID=10507", "Click here to submit comment")</f>
        <v>Click here to submit comment</v>
      </c>
    </row>
    <row r="136" spans="1:14" ht="75" x14ac:dyDescent="0.25">
      <c r="A136" s="18" t="s">
        <v>536</v>
      </c>
      <c r="B136" s="18" t="s">
        <v>537</v>
      </c>
      <c r="C136" s="18" t="s">
        <v>12</v>
      </c>
      <c r="D136" s="18" t="s">
        <v>6402</v>
      </c>
      <c r="E136" s="18"/>
      <c r="F136" s="18" t="s">
        <v>142</v>
      </c>
      <c r="G136" s="18"/>
      <c r="H136" s="12" t="s">
        <v>538</v>
      </c>
      <c r="I136" s="18" t="s">
        <v>539</v>
      </c>
      <c r="J136" s="18"/>
      <c r="K136" s="18" t="s">
        <v>540</v>
      </c>
      <c r="L136" s="18"/>
      <c r="M136" s="18" t="str">
        <f>HYPERLINK("https://ceds.ed.gov/cedselementdetails.aspx?termid=10508")</f>
        <v>https://ceds.ed.gov/cedselementdetails.aspx?termid=10508</v>
      </c>
      <c r="N136" s="18" t="str">
        <f>HYPERLINK("https://ceds.ed.gov/elementComment.aspx?elementName=Assessment Form Algorithm Identifier &amp;elementID=10508", "Click here to submit comment")</f>
        <v>Click here to submit comment</v>
      </c>
    </row>
    <row r="137" spans="1:14" x14ac:dyDescent="0.25">
      <c r="A137" s="18"/>
      <c r="B137" s="18"/>
      <c r="C137" s="18"/>
      <c r="D137" s="18"/>
      <c r="E137" s="18"/>
      <c r="F137" s="18"/>
      <c r="G137" s="18"/>
      <c r="H137" s="12"/>
      <c r="I137" s="18"/>
      <c r="J137" s="18"/>
      <c r="K137" s="18"/>
      <c r="L137" s="18"/>
      <c r="M137" s="18"/>
      <c r="N137" s="18"/>
    </row>
    <row r="138" spans="1:14" ht="105" x14ac:dyDescent="0.25">
      <c r="A138" s="18"/>
      <c r="B138" s="18"/>
      <c r="C138" s="18"/>
      <c r="D138" s="18"/>
      <c r="E138" s="18"/>
      <c r="F138" s="18"/>
      <c r="G138" s="18"/>
      <c r="H138" s="12" t="s">
        <v>143</v>
      </c>
      <c r="I138" s="18"/>
      <c r="J138" s="18"/>
      <c r="K138" s="18"/>
      <c r="L138" s="18"/>
      <c r="M138" s="18"/>
      <c r="N138" s="18"/>
    </row>
    <row r="139" spans="1:14" x14ac:dyDescent="0.25">
      <c r="A139" s="18"/>
      <c r="B139" s="18"/>
      <c r="C139" s="18"/>
      <c r="D139" s="18"/>
      <c r="E139" s="18"/>
      <c r="F139" s="18"/>
      <c r="G139" s="18"/>
      <c r="H139" s="12"/>
      <c r="I139" s="18"/>
      <c r="J139" s="18"/>
      <c r="K139" s="18"/>
      <c r="L139" s="18"/>
      <c r="M139" s="18"/>
      <c r="N139" s="18"/>
    </row>
    <row r="140" spans="1:14" ht="90" x14ac:dyDescent="0.25">
      <c r="A140" s="18"/>
      <c r="B140" s="18"/>
      <c r="C140" s="18"/>
      <c r="D140" s="18"/>
      <c r="E140" s="18"/>
      <c r="F140" s="18"/>
      <c r="G140" s="18"/>
      <c r="H140" s="12" t="s">
        <v>144</v>
      </c>
      <c r="I140" s="18"/>
      <c r="J140" s="18"/>
      <c r="K140" s="18"/>
      <c r="L140" s="18"/>
      <c r="M140" s="18"/>
      <c r="N140" s="18"/>
    </row>
    <row r="141" spans="1:14" ht="75" x14ac:dyDescent="0.25">
      <c r="A141" s="12" t="s">
        <v>541</v>
      </c>
      <c r="B141" s="12" t="s">
        <v>542</v>
      </c>
      <c r="C141" s="12" t="s">
        <v>12</v>
      </c>
      <c r="D141" s="12" t="s">
        <v>529</v>
      </c>
      <c r="E141" s="12"/>
      <c r="F141" s="12" t="s">
        <v>142</v>
      </c>
      <c r="G141" s="12"/>
      <c r="H141" s="12" t="s">
        <v>538</v>
      </c>
      <c r="I141" s="12" t="s">
        <v>543</v>
      </c>
      <c r="J141" s="12"/>
      <c r="K141" s="12" t="s">
        <v>544</v>
      </c>
      <c r="L141" s="12"/>
      <c r="M141" s="12" t="str">
        <f>HYPERLINK("https://ceds.ed.gov/cedselementdetails.aspx?termid=10509")</f>
        <v>https://ceds.ed.gov/cedselementdetails.aspx?termid=10509</v>
      </c>
      <c r="N141" s="12" t="str">
        <f>HYPERLINK("https://ceds.ed.gov/elementComment.aspx?elementName=Assessment Form Algorithm Version &amp;elementID=10509", "Click here to submit comment")</f>
        <v>Click here to submit comment</v>
      </c>
    </row>
    <row r="142" spans="1:14" ht="75" x14ac:dyDescent="0.25">
      <c r="A142" s="18" t="s">
        <v>545</v>
      </c>
      <c r="B142" s="18" t="s">
        <v>546</v>
      </c>
      <c r="C142" s="18" t="s">
        <v>12</v>
      </c>
      <c r="D142" s="18" t="s">
        <v>529</v>
      </c>
      <c r="E142" s="18"/>
      <c r="F142" s="18" t="s">
        <v>142</v>
      </c>
      <c r="G142" s="18"/>
      <c r="H142" s="12" t="s">
        <v>547</v>
      </c>
      <c r="I142" s="18" t="s">
        <v>549</v>
      </c>
      <c r="J142" s="18"/>
      <c r="K142" s="18" t="s">
        <v>550</v>
      </c>
      <c r="L142" s="18"/>
      <c r="M142" s="18" t="str">
        <f>HYPERLINK("https://ceds.ed.gov/cedselementdetails.aspx?termid=10510")</f>
        <v>https://ceds.ed.gov/cedselementdetails.aspx?termid=10510</v>
      </c>
      <c r="N142" s="18" t="str">
        <f>HYPERLINK("https://ceds.ed.gov/elementComment.aspx?elementName=Assessment Form GUID &amp;elementID=10510", "Click here to submit comment")</f>
        <v>Click here to submit comment</v>
      </c>
    </row>
    <row r="143" spans="1:14" x14ac:dyDescent="0.25">
      <c r="A143" s="18"/>
      <c r="B143" s="18"/>
      <c r="C143" s="18"/>
      <c r="D143" s="18"/>
      <c r="E143" s="18"/>
      <c r="F143" s="18"/>
      <c r="G143" s="18"/>
      <c r="H143" s="12"/>
      <c r="I143" s="18"/>
      <c r="J143" s="18"/>
      <c r="K143" s="18"/>
      <c r="L143" s="18"/>
      <c r="M143" s="18"/>
      <c r="N143" s="18"/>
    </row>
    <row r="144" spans="1:14" ht="60" x14ac:dyDescent="0.25">
      <c r="A144" s="18"/>
      <c r="B144" s="18"/>
      <c r="C144" s="18"/>
      <c r="D144" s="18"/>
      <c r="E144" s="18"/>
      <c r="F144" s="18"/>
      <c r="G144" s="18"/>
      <c r="H144" s="12" t="s">
        <v>548</v>
      </c>
      <c r="I144" s="18"/>
      <c r="J144" s="18"/>
      <c r="K144" s="18"/>
      <c r="L144" s="18"/>
      <c r="M144" s="18"/>
      <c r="N144" s="18"/>
    </row>
    <row r="145" spans="1:14" ht="45" x14ac:dyDescent="0.25">
      <c r="A145" s="12" t="s">
        <v>551</v>
      </c>
      <c r="B145" s="12" t="s">
        <v>552</v>
      </c>
      <c r="C145" s="12" t="s">
        <v>12</v>
      </c>
      <c r="D145" s="12" t="s">
        <v>529</v>
      </c>
      <c r="E145" s="12"/>
      <c r="F145" s="12" t="s">
        <v>73</v>
      </c>
      <c r="G145" s="12"/>
      <c r="H145" s="12"/>
      <c r="I145" s="12" t="s">
        <v>553</v>
      </c>
      <c r="J145" s="12"/>
      <c r="K145" s="12" t="s">
        <v>554</v>
      </c>
      <c r="L145" s="12"/>
      <c r="M145" s="12" t="str">
        <f>HYPERLINK("https://ceds.ed.gov/cedselementdetails.aspx?termid=10138")</f>
        <v>https://ceds.ed.gov/cedselementdetails.aspx?termid=10138</v>
      </c>
      <c r="N145" s="12" t="str">
        <f>HYPERLINK("https://ceds.ed.gov/elementComment.aspx?elementName=Assessment Form Intended Administration End Date &amp;elementID=10138", "Click here to submit comment")</f>
        <v>Click here to submit comment</v>
      </c>
    </row>
    <row r="146" spans="1:14" ht="105" x14ac:dyDescent="0.25">
      <c r="A146" s="12" t="s">
        <v>555</v>
      </c>
      <c r="B146" s="12" t="s">
        <v>556</v>
      </c>
      <c r="C146" s="12" t="s">
        <v>12</v>
      </c>
      <c r="D146" s="12" t="s">
        <v>529</v>
      </c>
      <c r="E146" s="12"/>
      <c r="F146" s="12" t="s">
        <v>142</v>
      </c>
      <c r="G146" s="12"/>
      <c r="H146" s="12"/>
      <c r="I146" s="12" t="s">
        <v>557</v>
      </c>
      <c r="J146" s="12"/>
      <c r="K146" s="12" t="s">
        <v>558</v>
      </c>
      <c r="L146" s="12" t="s">
        <v>6403</v>
      </c>
      <c r="M146" s="12" t="str">
        <f>HYPERLINK("https://ceds.ed.gov/cedselementdetails.aspx?termid=9024")</f>
        <v>https://ceds.ed.gov/cedselementdetails.aspx?termid=9024</v>
      </c>
      <c r="N146" s="12" t="str">
        <f>HYPERLINK("https://ceds.ed.gov/elementComment.aspx?elementName=Assessment Form Name &amp;elementID=9024", "Click here to submit comment")</f>
        <v>Click here to submit comment</v>
      </c>
    </row>
    <row r="147" spans="1:14" ht="60" x14ac:dyDescent="0.25">
      <c r="A147" s="12" t="s">
        <v>559</v>
      </c>
      <c r="B147" s="12" t="s">
        <v>560</v>
      </c>
      <c r="C147" s="12" t="s">
        <v>12</v>
      </c>
      <c r="D147" s="12" t="s">
        <v>6404</v>
      </c>
      <c r="E147" s="12"/>
      <c r="F147" s="12" t="s">
        <v>92</v>
      </c>
      <c r="G147" s="12"/>
      <c r="H147" s="12"/>
      <c r="I147" s="12" t="s">
        <v>561</v>
      </c>
      <c r="J147" s="12"/>
      <c r="K147" s="12" t="s">
        <v>562</v>
      </c>
      <c r="L147" s="12" t="s">
        <v>6397</v>
      </c>
      <c r="M147" s="12" t="str">
        <f>HYPERLINK("https://ceds.ed.gov/cedselementdetails.aspx?termid=9365")</f>
        <v>https://ceds.ed.gov/cedselementdetails.aspx?termid=9365</v>
      </c>
      <c r="N147" s="12" t="str">
        <f>HYPERLINK("https://ceds.ed.gov/elementComment.aspx?elementName=Assessment Form Number &amp;elementID=9365", "Click here to submit comment")</f>
        <v>Click here to submit comment</v>
      </c>
    </row>
    <row r="148" spans="1:14" ht="45" x14ac:dyDescent="0.25">
      <c r="A148" s="12" t="s">
        <v>563</v>
      </c>
      <c r="B148" s="12" t="s">
        <v>564</v>
      </c>
      <c r="C148" s="12" t="s">
        <v>12</v>
      </c>
      <c r="D148" s="12" t="s">
        <v>529</v>
      </c>
      <c r="E148" s="12"/>
      <c r="F148" s="12" t="s">
        <v>327</v>
      </c>
      <c r="G148" s="12"/>
      <c r="H148" s="12"/>
      <c r="I148" s="12" t="s">
        <v>565</v>
      </c>
      <c r="J148" s="12"/>
      <c r="K148" s="12" t="s">
        <v>566</v>
      </c>
      <c r="L148" s="12"/>
      <c r="M148" s="12" t="str">
        <f>HYPERLINK("https://ceds.ed.gov/cedselementdetails.aspx?termid=10139")</f>
        <v>https://ceds.ed.gov/cedselementdetails.aspx?termid=10139</v>
      </c>
      <c r="N148" s="12" t="str">
        <f>HYPERLINK("https://ceds.ed.gov/elementComment.aspx?elementName=Assessment Form Platforms Supported &amp;elementID=10139", "Click here to submit comment")</f>
        <v>Click here to submit comment</v>
      </c>
    </row>
    <row r="149" spans="1:14" ht="75" x14ac:dyDescent="0.25">
      <c r="A149" s="18" t="s">
        <v>567</v>
      </c>
      <c r="B149" s="18" t="s">
        <v>568</v>
      </c>
      <c r="C149" s="18" t="s">
        <v>12</v>
      </c>
      <c r="D149" s="18" t="s">
        <v>569</v>
      </c>
      <c r="E149" s="18"/>
      <c r="F149" s="18" t="s">
        <v>142</v>
      </c>
      <c r="G149" s="18"/>
      <c r="H149" s="12" t="s">
        <v>547</v>
      </c>
      <c r="I149" s="18" t="s">
        <v>570</v>
      </c>
      <c r="J149" s="18"/>
      <c r="K149" s="18" t="s">
        <v>571</v>
      </c>
      <c r="L149" s="18"/>
      <c r="M149" s="18" t="str">
        <f>HYPERLINK("https://ceds.ed.gov/cedselementdetails.aspx?termid=9981")</f>
        <v>https://ceds.ed.gov/cedselementdetails.aspx?termid=9981</v>
      </c>
      <c r="N149" s="18" t="str">
        <f>HYPERLINK("https://ceds.ed.gov/elementComment.aspx?elementName=Assessment Form Section GUID &amp;elementID=9981", "Click here to submit comment")</f>
        <v>Click here to submit comment</v>
      </c>
    </row>
    <row r="150" spans="1:14" x14ac:dyDescent="0.25">
      <c r="A150" s="18"/>
      <c r="B150" s="18"/>
      <c r="C150" s="18"/>
      <c r="D150" s="18"/>
      <c r="E150" s="18"/>
      <c r="F150" s="18"/>
      <c r="G150" s="18"/>
      <c r="H150" s="12"/>
      <c r="I150" s="18"/>
      <c r="J150" s="18"/>
      <c r="K150" s="18"/>
      <c r="L150" s="18"/>
      <c r="M150" s="18"/>
      <c r="N150" s="18"/>
    </row>
    <row r="151" spans="1:14" ht="60" x14ac:dyDescent="0.25">
      <c r="A151" s="18"/>
      <c r="B151" s="18"/>
      <c r="C151" s="18"/>
      <c r="D151" s="18"/>
      <c r="E151" s="18"/>
      <c r="F151" s="18"/>
      <c r="G151" s="18"/>
      <c r="H151" s="12" t="s">
        <v>548</v>
      </c>
      <c r="I151" s="18"/>
      <c r="J151" s="18"/>
      <c r="K151" s="18"/>
      <c r="L151" s="18"/>
      <c r="M151" s="18"/>
      <c r="N151" s="18"/>
    </row>
    <row r="152" spans="1:14" ht="105" x14ac:dyDescent="0.25">
      <c r="A152" s="18" t="s">
        <v>572</v>
      </c>
      <c r="B152" s="18" t="s">
        <v>573</v>
      </c>
      <c r="C152" s="18" t="s">
        <v>12</v>
      </c>
      <c r="D152" s="18" t="s">
        <v>569</v>
      </c>
      <c r="E152" s="18"/>
      <c r="F152" s="18" t="s">
        <v>142</v>
      </c>
      <c r="G152" s="18"/>
      <c r="H152" s="12" t="s">
        <v>143</v>
      </c>
      <c r="I152" s="18" t="s">
        <v>574</v>
      </c>
      <c r="J152" s="18"/>
      <c r="K152" s="18" t="s">
        <v>575</v>
      </c>
      <c r="L152" s="18"/>
      <c r="M152" s="18" t="str">
        <f>HYPERLINK("https://ceds.ed.gov/cedselementdetails.aspx?termid=10142")</f>
        <v>https://ceds.ed.gov/cedselementdetails.aspx?termid=10142</v>
      </c>
      <c r="N152" s="18" t="str">
        <f>HYPERLINK("https://ceds.ed.gov/elementComment.aspx?elementName=Assessment Form Section Identifier &amp;elementID=10142", "Click here to submit comment")</f>
        <v>Click here to submit comment</v>
      </c>
    </row>
    <row r="153" spans="1:14" x14ac:dyDescent="0.25">
      <c r="A153" s="18"/>
      <c r="B153" s="18"/>
      <c r="C153" s="18"/>
      <c r="D153" s="18"/>
      <c r="E153" s="18"/>
      <c r="F153" s="18"/>
      <c r="G153" s="18"/>
      <c r="H153" s="12"/>
      <c r="I153" s="18"/>
      <c r="J153" s="18"/>
      <c r="K153" s="18"/>
      <c r="L153" s="18"/>
      <c r="M153" s="18"/>
      <c r="N153" s="18"/>
    </row>
    <row r="154" spans="1:14" ht="90" x14ac:dyDescent="0.25">
      <c r="A154" s="18"/>
      <c r="B154" s="18"/>
      <c r="C154" s="18"/>
      <c r="D154" s="18"/>
      <c r="E154" s="18"/>
      <c r="F154" s="18"/>
      <c r="G154" s="18"/>
      <c r="H154" s="12" t="s">
        <v>144</v>
      </c>
      <c r="I154" s="18"/>
      <c r="J154" s="18"/>
      <c r="K154" s="18"/>
      <c r="L154" s="18"/>
      <c r="M154" s="18"/>
      <c r="N154" s="18"/>
    </row>
    <row r="155" spans="1:14" ht="60" x14ac:dyDescent="0.25">
      <c r="A155" s="12" t="s">
        <v>576</v>
      </c>
      <c r="B155" s="12" t="s">
        <v>577</v>
      </c>
      <c r="C155" s="12" t="s">
        <v>6364</v>
      </c>
      <c r="D155" s="12" t="s">
        <v>578</v>
      </c>
      <c r="E155" s="12"/>
      <c r="F155" s="12"/>
      <c r="G155" s="12"/>
      <c r="H155" s="12"/>
      <c r="I155" s="12" t="s">
        <v>579</v>
      </c>
      <c r="J155" s="12"/>
      <c r="K155" s="12" t="s">
        <v>580</v>
      </c>
      <c r="L155" s="12"/>
      <c r="M155" s="12" t="str">
        <f>HYPERLINK("https://ceds.ed.gov/cedselementdetails.aspx?termid=10511")</f>
        <v>https://ceds.ed.gov/cedselementdetails.aspx?termid=10511</v>
      </c>
      <c r="N155" s="12" t="str">
        <f>HYPERLINK("https://ceds.ed.gov/elementComment.aspx?elementName=Assessment Form Section Item Field Test Indicator &amp;elementID=10511", "Click here to submit comment")</f>
        <v>Click here to submit comment</v>
      </c>
    </row>
    <row r="156" spans="1:14" ht="150" x14ac:dyDescent="0.25">
      <c r="A156" s="12" t="s">
        <v>581</v>
      </c>
      <c r="B156" s="12" t="s">
        <v>582</v>
      </c>
      <c r="C156" s="12" t="s">
        <v>6364</v>
      </c>
      <c r="D156" s="12" t="s">
        <v>569</v>
      </c>
      <c r="E156" s="12"/>
      <c r="F156" s="12"/>
      <c r="G156" s="12"/>
      <c r="H156" s="12"/>
      <c r="I156" s="12" t="s">
        <v>583</v>
      </c>
      <c r="J156" s="12"/>
      <c r="K156" s="12" t="s">
        <v>584</v>
      </c>
      <c r="L156" s="12"/>
      <c r="M156" s="12" t="str">
        <f>HYPERLINK("https://ceds.ed.gov/cedselementdetails.aspx?termid=10145")</f>
        <v>https://ceds.ed.gov/cedselementdetails.aspx?termid=10145</v>
      </c>
      <c r="N156" s="12" t="str">
        <f>HYPERLINK("https://ceds.ed.gov/elementComment.aspx?elementName=Assessment Form Section Reentry &amp;elementID=10145", "Click here to submit comment")</f>
        <v>Click here to submit comment</v>
      </c>
    </row>
    <row r="157" spans="1:14" ht="60" x14ac:dyDescent="0.25">
      <c r="A157" s="12" t="s">
        <v>585</v>
      </c>
      <c r="B157" s="12" t="s">
        <v>586</v>
      </c>
      <c r="C157" s="12" t="s">
        <v>6364</v>
      </c>
      <c r="D157" s="12" t="s">
        <v>569</v>
      </c>
      <c r="E157" s="12"/>
      <c r="F157" s="12"/>
      <c r="G157" s="12"/>
      <c r="H157" s="12"/>
      <c r="I157" s="12" t="s">
        <v>587</v>
      </c>
      <c r="J157" s="12"/>
      <c r="K157" s="12" t="s">
        <v>588</v>
      </c>
      <c r="L157" s="12"/>
      <c r="M157" s="12" t="str">
        <f>HYPERLINK("https://ceds.ed.gov/cedselementdetails.aspx?termid=10144")</f>
        <v>https://ceds.ed.gov/cedselementdetails.aspx?termid=10144</v>
      </c>
      <c r="N157" s="12" t="str">
        <f>HYPERLINK("https://ceds.ed.gov/elementComment.aspx?elementName=Assessment Form Section Sealed &amp;elementID=10144", "Click here to submit comment")</f>
        <v>Click here to submit comment</v>
      </c>
    </row>
    <row r="158" spans="1:14" ht="45" x14ac:dyDescent="0.25">
      <c r="A158" s="12" t="s">
        <v>589</v>
      </c>
      <c r="B158" s="12" t="s">
        <v>590</v>
      </c>
      <c r="C158" s="12" t="s">
        <v>12</v>
      </c>
      <c r="D158" s="12" t="s">
        <v>569</v>
      </c>
      <c r="E158" s="12"/>
      <c r="F158" s="12" t="s">
        <v>157</v>
      </c>
      <c r="G158" s="12"/>
      <c r="H158" s="12"/>
      <c r="I158" s="12" t="s">
        <v>591</v>
      </c>
      <c r="J158" s="12"/>
      <c r="K158" s="12" t="s">
        <v>592</v>
      </c>
      <c r="L158" s="12"/>
      <c r="M158" s="12" t="str">
        <f>HYPERLINK("https://ceds.ed.gov/cedselementdetails.aspx?termid=9980")</f>
        <v>https://ceds.ed.gov/cedselementdetails.aspx?termid=9980</v>
      </c>
      <c r="N158" s="12" t="str">
        <f>HYPERLINK("https://ceds.ed.gov/elementComment.aspx?elementName=Assessment Form Section Sequence Number &amp;elementID=9980", "Click here to submit comment")</f>
        <v>Click here to submit comment</v>
      </c>
    </row>
    <row r="159" spans="1:14" ht="60" x14ac:dyDescent="0.25">
      <c r="A159" s="12" t="s">
        <v>593</v>
      </c>
      <c r="B159" s="12" t="s">
        <v>594</v>
      </c>
      <c r="C159" s="12" t="s">
        <v>12</v>
      </c>
      <c r="D159" s="12" t="s">
        <v>569</v>
      </c>
      <c r="E159" s="12"/>
      <c r="F159" s="12" t="s">
        <v>437</v>
      </c>
      <c r="G159" s="12"/>
      <c r="H159" s="12"/>
      <c r="I159" s="12" t="s">
        <v>595</v>
      </c>
      <c r="J159" s="12"/>
      <c r="K159" s="12" t="s">
        <v>596</v>
      </c>
      <c r="L159" s="12"/>
      <c r="M159" s="12" t="str">
        <f>HYPERLINK("https://ceds.ed.gov/cedselementdetails.aspx?termid=10143")</f>
        <v>https://ceds.ed.gov/cedselementdetails.aspx?termid=10143</v>
      </c>
      <c r="N159" s="12" t="str">
        <f>HYPERLINK("https://ceds.ed.gov/elementComment.aspx?elementName=Assessment Form Section Time Limit &amp;elementID=10143", "Click here to submit comment")</f>
        <v>Click here to submit comment</v>
      </c>
    </row>
    <row r="160" spans="1:14" ht="45" x14ac:dyDescent="0.25">
      <c r="A160" s="12" t="s">
        <v>597</v>
      </c>
      <c r="B160" s="12" t="s">
        <v>598</v>
      </c>
      <c r="C160" s="12" t="s">
        <v>12</v>
      </c>
      <c r="D160" s="12" t="s">
        <v>569</v>
      </c>
      <c r="E160" s="12"/>
      <c r="F160" s="12" t="s">
        <v>92</v>
      </c>
      <c r="G160" s="12"/>
      <c r="H160" s="12"/>
      <c r="I160" s="12" t="s">
        <v>599</v>
      </c>
      <c r="J160" s="12"/>
      <c r="K160" s="12" t="s">
        <v>600</v>
      </c>
      <c r="L160" s="12"/>
      <c r="M160" s="12" t="str">
        <f>HYPERLINK("https://ceds.ed.gov/cedselementdetails.aspx?termid=10140")</f>
        <v>https://ceds.ed.gov/cedselementdetails.aspx?termid=10140</v>
      </c>
      <c r="N160" s="12" t="str">
        <f>HYPERLINK("https://ceds.ed.gov/elementComment.aspx?elementName=Assessment Form Section Version &amp;elementID=10140", "Click here to submit comment")</f>
        <v>Click here to submit comment</v>
      </c>
    </row>
    <row r="161" spans="1:14" ht="60" x14ac:dyDescent="0.25">
      <c r="A161" s="12" t="s">
        <v>601</v>
      </c>
      <c r="B161" s="12" t="s">
        <v>602</v>
      </c>
      <c r="C161" s="12" t="s">
        <v>6364</v>
      </c>
      <c r="D161" s="12" t="s">
        <v>505</v>
      </c>
      <c r="E161" s="12"/>
      <c r="F161" s="12"/>
      <c r="G161" s="12"/>
      <c r="H161" s="12"/>
      <c r="I161" s="12" t="s">
        <v>603</v>
      </c>
      <c r="J161" s="12"/>
      <c r="K161" s="12" t="s">
        <v>604</v>
      </c>
      <c r="L161" s="12"/>
      <c r="M161" s="12" t="str">
        <f>HYPERLINK("https://ceds.ed.gov/cedselementdetails.aspx?termid=10181")</f>
        <v>https://ceds.ed.gov/cedselementdetails.aspx?termid=10181</v>
      </c>
      <c r="N161" s="12" t="str">
        <f>HYPERLINK("https://ceds.ed.gov/elementComment.aspx?elementName=Assessment Form Subtest Container Only &amp;elementID=10181", "Click here to submit comment")</f>
        <v>Click here to submit comment</v>
      </c>
    </row>
    <row r="162" spans="1:14" ht="150" x14ac:dyDescent="0.25">
      <c r="A162" s="12" t="s">
        <v>605</v>
      </c>
      <c r="B162" s="12" t="s">
        <v>606</v>
      </c>
      <c r="C162" s="12" t="s">
        <v>12</v>
      </c>
      <c r="D162" s="12" t="s">
        <v>607</v>
      </c>
      <c r="E162" s="12"/>
      <c r="F162" s="12" t="s">
        <v>157</v>
      </c>
      <c r="G162" s="12"/>
      <c r="H162" s="12"/>
      <c r="I162" s="12" t="s">
        <v>608</v>
      </c>
      <c r="J162" s="12"/>
      <c r="K162" s="12" t="s">
        <v>609</v>
      </c>
      <c r="L162" s="12"/>
      <c r="M162" s="12" t="str">
        <f>HYPERLINK("https://ceds.ed.gov/cedselementdetails.aspx?termid=10013")</f>
        <v>https://ceds.ed.gov/cedselementdetails.aspx?termid=10013</v>
      </c>
      <c r="N162" s="12" t="str">
        <f>HYPERLINK("https://ceds.ed.gov/elementComment.aspx?elementName=Assessment Form Subtest Item Weight Correct &amp;elementID=10013", "Click here to submit comment")</f>
        <v>Click here to submit comment</v>
      </c>
    </row>
    <row r="163" spans="1:14" ht="90" x14ac:dyDescent="0.25">
      <c r="A163" s="12" t="s">
        <v>610</v>
      </c>
      <c r="B163" s="12" t="s">
        <v>611</v>
      </c>
      <c r="C163" s="12" t="s">
        <v>12</v>
      </c>
      <c r="D163" s="12" t="s">
        <v>607</v>
      </c>
      <c r="E163" s="12"/>
      <c r="F163" s="12" t="s">
        <v>157</v>
      </c>
      <c r="G163" s="12"/>
      <c r="H163" s="12"/>
      <c r="I163" s="12" t="s">
        <v>612</v>
      </c>
      <c r="J163" s="12"/>
      <c r="K163" s="12" t="s">
        <v>613</v>
      </c>
      <c r="L163" s="12"/>
      <c r="M163" s="12" t="str">
        <f>HYPERLINK("https://ceds.ed.gov/cedselementdetails.aspx?termid=10014")</f>
        <v>https://ceds.ed.gov/cedselementdetails.aspx?termid=10014</v>
      </c>
      <c r="N163" s="12" t="str">
        <f>HYPERLINK("https://ceds.ed.gov/elementComment.aspx?elementName=Assessment Form Subtest Item Weight Incorrect &amp;elementID=10014", "Click here to submit comment")</f>
        <v>Click here to submit comment</v>
      </c>
    </row>
    <row r="164" spans="1:14" ht="105" x14ac:dyDescent="0.25">
      <c r="A164" s="12" t="s">
        <v>614</v>
      </c>
      <c r="B164" s="12" t="s">
        <v>615</v>
      </c>
      <c r="C164" s="12" t="s">
        <v>12</v>
      </c>
      <c r="D164" s="12" t="s">
        <v>607</v>
      </c>
      <c r="E164" s="12"/>
      <c r="F164" s="12" t="s">
        <v>157</v>
      </c>
      <c r="G164" s="12"/>
      <c r="H164" s="12"/>
      <c r="I164" s="12" t="s">
        <v>616</v>
      </c>
      <c r="J164" s="12"/>
      <c r="K164" s="12" t="s">
        <v>617</v>
      </c>
      <c r="L164" s="12"/>
      <c r="M164" s="12" t="str">
        <f>HYPERLINK("https://ceds.ed.gov/cedselementdetails.aspx?termid=10015")</f>
        <v>https://ceds.ed.gov/cedselementdetails.aspx?termid=10015</v>
      </c>
      <c r="N164" s="12" t="str">
        <f>HYPERLINK("https://ceds.ed.gov/elementComment.aspx?elementName=Assessment Form Subtest Item Weight Not Attempted &amp;elementID=10015", "Click here to submit comment")</f>
        <v>Click here to submit comment</v>
      </c>
    </row>
    <row r="165" spans="1:14" ht="60" x14ac:dyDescent="0.25">
      <c r="A165" s="12" t="s">
        <v>618</v>
      </c>
      <c r="B165" s="12" t="s">
        <v>619</v>
      </c>
      <c r="C165" s="12" t="s">
        <v>12</v>
      </c>
      <c r="D165" s="12" t="s">
        <v>505</v>
      </c>
      <c r="E165" s="12"/>
      <c r="F165" s="12" t="s">
        <v>620</v>
      </c>
      <c r="G165" s="12"/>
      <c r="H165" s="12"/>
      <c r="I165" s="12" t="s">
        <v>621</v>
      </c>
      <c r="J165" s="12"/>
      <c r="K165" s="12" t="s">
        <v>622</v>
      </c>
      <c r="L165" s="12"/>
      <c r="M165" s="12" t="str">
        <f>HYPERLINK("https://ceds.ed.gov/cedselementdetails.aspx?termid=10180")</f>
        <v>https://ceds.ed.gov/cedselementdetails.aspx?termid=10180</v>
      </c>
      <c r="N165" s="12" t="str">
        <f>HYPERLINK("https://ceds.ed.gov/elementComment.aspx?elementName=Assessment Form Subtest Tier &amp;elementID=10180", "Click here to submit comment")</f>
        <v>Click here to submit comment</v>
      </c>
    </row>
    <row r="166" spans="1:14" ht="45" x14ac:dyDescent="0.25">
      <c r="A166" s="12" t="s">
        <v>623</v>
      </c>
      <c r="B166" s="12" t="s">
        <v>624</v>
      </c>
      <c r="C166" s="12" t="s">
        <v>12</v>
      </c>
      <c r="D166" s="12" t="s">
        <v>529</v>
      </c>
      <c r="E166" s="12"/>
      <c r="F166" s="12" t="s">
        <v>92</v>
      </c>
      <c r="G166" s="12"/>
      <c r="H166" s="12"/>
      <c r="I166" s="12" t="s">
        <v>625</v>
      </c>
      <c r="J166" s="12"/>
      <c r="K166" s="12" t="s">
        <v>626</v>
      </c>
      <c r="L166" s="12"/>
      <c r="M166" s="12" t="str">
        <f>HYPERLINK("https://ceds.ed.gov/cedselementdetails.aspx?termid=10134")</f>
        <v>https://ceds.ed.gov/cedselementdetails.aspx?termid=10134</v>
      </c>
      <c r="N166" s="12" t="str">
        <f>HYPERLINK("https://ceds.ed.gov/elementComment.aspx?elementName=Assessment Form Version &amp;elementID=10134", "Click here to submit comment")</f>
        <v>Click here to submit comment</v>
      </c>
    </row>
    <row r="167" spans="1:14" ht="75" x14ac:dyDescent="0.25">
      <c r="A167" s="18" t="s">
        <v>627</v>
      </c>
      <c r="B167" s="18" t="s">
        <v>628</v>
      </c>
      <c r="C167" s="18" t="s">
        <v>12</v>
      </c>
      <c r="D167" s="18" t="s">
        <v>519</v>
      </c>
      <c r="E167" s="18"/>
      <c r="F167" s="18" t="s">
        <v>142</v>
      </c>
      <c r="G167" s="18"/>
      <c r="H167" s="12" t="s">
        <v>547</v>
      </c>
      <c r="I167" s="18" t="s">
        <v>629</v>
      </c>
      <c r="J167" s="18"/>
      <c r="K167" s="18" t="s">
        <v>630</v>
      </c>
      <c r="L167" s="18"/>
      <c r="M167" s="18" t="str">
        <f>HYPERLINK("https://ceds.ed.gov/cedselementdetails.aspx?termid=9982")</f>
        <v>https://ceds.ed.gov/cedselementdetails.aspx?termid=9982</v>
      </c>
      <c r="N167" s="18" t="str">
        <f>HYPERLINK("https://ceds.ed.gov/elementComment.aspx?elementName=Assessment GUID &amp;elementID=9982", "Click here to submit comment")</f>
        <v>Click here to submit comment</v>
      </c>
    </row>
    <row r="168" spans="1:14" x14ac:dyDescent="0.25">
      <c r="A168" s="18"/>
      <c r="B168" s="18"/>
      <c r="C168" s="18"/>
      <c r="D168" s="18"/>
      <c r="E168" s="18"/>
      <c r="F168" s="18"/>
      <c r="G168" s="18"/>
      <c r="H168" s="12"/>
      <c r="I168" s="18"/>
      <c r="J168" s="18"/>
      <c r="K168" s="18"/>
      <c r="L168" s="18"/>
      <c r="M168" s="18"/>
      <c r="N168" s="18"/>
    </row>
    <row r="169" spans="1:14" ht="60" x14ac:dyDescent="0.25">
      <c r="A169" s="18"/>
      <c r="B169" s="18"/>
      <c r="C169" s="18"/>
      <c r="D169" s="18"/>
      <c r="E169" s="18"/>
      <c r="F169" s="18"/>
      <c r="G169" s="18"/>
      <c r="H169" s="12" t="s">
        <v>548</v>
      </c>
      <c r="I169" s="18"/>
      <c r="J169" s="18"/>
      <c r="K169" s="18"/>
      <c r="L169" s="18"/>
      <c r="M169" s="18"/>
      <c r="N169" s="18"/>
    </row>
    <row r="170" spans="1:14" ht="165" x14ac:dyDescent="0.25">
      <c r="A170" s="12" t="s">
        <v>631</v>
      </c>
      <c r="B170" s="12" t="s">
        <v>632</v>
      </c>
      <c r="C170" s="13" t="s">
        <v>6758</v>
      </c>
      <c r="D170" s="12" t="s">
        <v>6405</v>
      </c>
      <c r="E170" s="12"/>
      <c r="F170" s="12"/>
      <c r="G170" s="12"/>
      <c r="H170" s="12"/>
      <c r="I170" s="12" t="s">
        <v>633</v>
      </c>
      <c r="J170" s="12"/>
      <c r="K170" s="12" t="s">
        <v>634</v>
      </c>
      <c r="L170" s="12" t="s">
        <v>6406</v>
      </c>
      <c r="M170" s="12" t="str">
        <f>HYPERLINK("https://ceds.ed.gov/cedselementdetails.aspx?termid=9158")</f>
        <v>https://ceds.ed.gov/cedselementdetails.aspx?termid=9158</v>
      </c>
      <c r="N170" s="12" t="str">
        <f>HYPERLINK("https://ceds.ed.gov/elementComment.aspx?elementName=Assessment Identification System &amp;elementID=9158", "Click here to submit comment")</f>
        <v>Click here to submit comment</v>
      </c>
    </row>
    <row r="171" spans="1:14" ht="105" x14ac:dyDescent="0.25">
      <c r="A171" s="18" t="s">
        <v>635</v>
      </c>
      <c r="B171" s="18" t="s">
        <v>636</v>
      </c>
      <c r="C171" s="18" t="s">
        <v>12</v>
      </c>
      <c r="D171" s="18" t="s">
        <v>6407</v>
      </c>
      <c r="E171" s="18"/>
      <c r="F171" s="18" t="s">
        <v>142</v>
      </c>
      <c r="G171" s="18"/>
      <c r="H171" s="12" t="s">
        <v>143</v>
      </c>
      <c r="I171" s="18" t="s">
        <v>637</v>
      </c>
      <c r="J171" s="18"/>
      <c r="K171" s="18" t="s">
        <v>638</v>
      </c>
      <c r="L171" s="18" t="s">
        <v>6408</v>
      </c>
      <c r="M171" s="18" t="str">
        <f>HYPERLINK("https://ceds.ed.gov/cedselementdetails.aspx?termid=9152")</f>
        <v>https://ceds.ed.gov/cedselementdetails.aspx?termid=9152</v>
      </c>
      <c r="N171" s="18" t="str">
        <f>HYPERLINK("https://ceds.ed.gov/elementComment.aspx?elementName=Assessment Identifier &amp;elementID=9152", "Click here to submit comment")</f>
        <v>Click here to submit comment</v>
      </c>
    </row>
    <row r="172" spans="1:14" x14ac:dyDescent="0.25">
      <c r="A172" s="18"/>
      <c r="B172" s="18"/>
      <c r="C172" s="18"/>
      <c r="D172" s="18"/>
      <c r="E172" s="18"/>
      <c r="F172" s="18"/>
      <c r="G172" s="18"/>
      <c r="H172" s="12"/>
      <c r="I172" s="18"/>
      <c r="J172" s="18"/>
      <c r="K172" s="18"/>
      <c r="L172" s="18"/>
      <c r="M172" s="18"/>
      <c r="N172" s="18"/>
    </row>
    <row r="173" spans="1:14" ht="90" x14ac:dyDescent="0.25">
      <c r="A173" s="18"/>
      <c r="B173" s="18"/>
      <c r="C173" s="18"/>
      <c r="D173" s="18"/>
      <c r="E173" s="18"/>
      <c r="F173" s="18"/>
      <c r="G173" s="18"/>
      <c r="H173" s="12" t="s">
        <v>144</v>
      </c>
      <c r="I173" s="18"/>
      <c r="J173" s="18"/>
      <c r="K173" s="18"/>
      <c r="L173" s="18"/>
      <c r="M173" s="18"/>
      <c r="N173" s="18"/>
    </row>
    <row r="174" spans="1:14" ht="45" x14ac:dyDescent="0.25">
      <c r="A174" s="12" t="s">
        <v>639</v>
      </c>
      <c r="B174" s="12" t="s">
        <v>640</v>
      </c>
      <c r="C174" s="12" t="s">
        <v>6364</v>
      </c>
      <c r="D174" s="12" t="s">
        <v>641</v>
      </c>
      <c r="E174" s="12"/>
      <c r="F174" s="12"/>
      <c r="G174" s="12"/>
      <c r="H174" s="12"/>
      <c r="I174" s="12" t="s">
        <v>642</v>
      </c>
      <c r="J174" s="12"/>
      <c r="K174" s="12" t="s">
        <v>643</v>
      </c>
      <c r="L174" s="12"/>
      <c r="M174" s="12" t="str">
        <f>HYPERLINK("https://ceds.ed.gov/cedselementdetails.aspx?termid=10111")</f>
        <v>https://ceds.ed.gov/cedselementdetails.aspx?termid=10111</v>
      </c>
      <c r="N174" s="12" t="str">
        <f>HYPERLINK("https://ceds.ed.gov/elementComment.aspx?elementName=Assessment Item Adaptive Indicator &amp;elementID=10111", "Click here to submit comment")</f>
        <v>Click here to submit comment</v>
      </c>
    </row>
    <row r="175" spans="1:14" ht="45" x14ac:dyDescent="0.25">
      <c r="A175" s="12" t="s">
        <v>644</v>
      </c>
      <c r="B175" s="12" t="s">
        <v>645</v>
      </c>
      <c r="C175" s="12" t="s">
        <v>12</v>
      </c>
      <c r="D175" s="12" t="s">
        <v>646</v>
      </c>
      <c r="E175" s="12"/>
      <c r="F175" s="12" t="s">
        <v>437</v>
      </c>
      <c r="G175" s="12"/>
      <c r="H175" s="12"/>
      <c r="I175" s="12" t="s">
        <v>647</v>
      </c>
      <c r="J175" s="12"/>
      <c r="K175" s="12" t="s">
        <v>648</v>
      </c>
      <c r="L175" s="12" t="s">
        <v>6409</v>
      </c>
      <c r="M175" s="12" t="str">
        <f>HYPERLINK("https://ceds.ed.gov/cedselementdetails.aspx?termid=9395")</f>
        <v>https://ceds.ed.gov/cedselementdetails.aspx?termid=9395</v>
      </c>
      <c r="N175" s="12" t="str">
        <f>HYPERLINK("https://ceds.ed.gov/elementComment.aspx?elementName=Assessment Item Allotted Time &amp;elementID=9395", "Click here to submit comment")</f>
        <v>Click here to submit comment</v>
      </c>
    </row>
    <row r="176" spans="1:14" ht="195" x14ac:dyDescent="0.25">
      <c r="A176" s="12" t="s">
        <v>649</v>
      </c>
      <c r="B176" s="12" t="s">
        <v>650</v>
      </c>
      <c r="C176" s="12" t="s">
        <v>12</v>
      </c>
      <c r="D176" s="12" t="s">
        <v>641</v>
      </c>
      <c r="E176" s="12"/>
      <c r="F176" s="12" t="s">
        <v>327</v>
      </c>
      <c r="G176" s="12"/>
      <c r="H176" s="12"/>
      <c r="I176" s="12" t="s">
        <v>651</v>
      </c>
      <c r="J176" s="12"/>
      <c r="K176" s="12" t="s">
        <v>652</v>
      </c>
      <c r="L176" s="12"/>
      <c r="M176" s="12" t="str">
        <f>HYPERLINK("https://ceds.ed.gov/cedselementdetails.aspx?termid=10110")</f>
        <v>https://ceds.ed.gov/cedselementdetails.aspx?termid=10110</v>
      </c>
      <c r="N176" s="12" t="str">
        <f>HYPERLINK("https://ceds.ed.gov/elementComment.aspx?elementName=Assessment Item APIP Item Body XML &amp;elementID=10110", "Click here to submit comment")</f>
        <v>Click here to submit comment</v>
      </c>
    </row>
    <row r="177" spans="1:14" ht="150" x14ac:dyDescent="0.25">
      <c r="A177" s="12" t="s">
        <v>653</v>
      </c>
      <c r="B177" s="12" t="s">
        <v>654</v>
      </c>
      <c r="C177" s="12" t="s">
        <v>12</v>
      </c>
      <c r="D177" s="12" t="s">
        <v>641</v>
      </c>
      <c r="E177" s="12"/>
      <c r="F177" s="12" t="s">
        <v>327</v>
      </c>
      <c r="G177" s="12"/>
      <c r="H177" s="12"/>
      <c r="I177" s="12" t="s">
        <v>655</v>
      </c>
      <c r="J177" s="12"/>
      <c r="K177" s="12" t="s">
        <v>656</v>
      </c>
      <c r="L177" s="12"/>
      <c r="M177" s="12" t="str">
        <f>HYPERLINK("https://ceds.ed.gov/cedselementdetails.aspx?termid=10109")</f>
        <v>https://ceds.ed.gov/cedselementdetails.aspx?termid=10109</v>
      </c>
      <c r="N177" s="12" t="str">
        <f>HYPERLINK("https://ceds.ed.gov/elementComment.aspx?elementName=Assessment Item APIP Modal Feedback XML &amp;elementID=10109", "Click here to submit comment")</f>
        <v>Click here to submit comment</v>
      </c>
    </row>
    <row r="178" spans="1:14" ht="105" x14ac:dyDescent="0.25">
      <c r="A178" s="12" t="s">
        <v>657</v>
      </c>
      <c r="B178" s="12" t="s">
        <v>658</v>
      </c>
      <c r="C178" s="12" t="s">
        <v>12</v>
      </c>
      <c r="D178" s="12" t="s">
        <v>641</v>
      </c>
      <c r="E178" s="12"/>
      <c r="F178" s="12" t="s">
        <v>327</v>
      </c>
      <c r="G178" s="12"/>
      <c r="H178" s="12"/>
      <c r="I178" s="12" t="s">
        <v>659</v>
      </c>
      <c r="J178" s="12"/>
      <c r="K178" s="12" t="s">
        <v>660</v>
      </c>
      <c r="L178" s="12"/>
      <c r="M178" s="12" t="str">
        <f>HYPERLINK("https://ceds.ed.gov/cedselementdetails.aspx?termid=10106")</f>
        <v>https://ceds.ed.gov/cedselementdetails.aspx?termid=10106</v>
      </c>
      <c r="N178" s="12" t="str">
        <f>HYPERLINK("https://ceds.ed.gov/elementComment.aspx?elementName=Assessment Item APIP Outcome Declaration XML &amp;elementID=10106", "Click here to submit comment")</f>
        <v>Click here to submit comment</v>
      </c>
    </row>
    <row r="179" spans="1:14" ht="90" x14ac:dyDescent="0.25">
      <c r="A179" s="12" t="s">
        <v>661</v>
      </c>
      <c r="B179" s="12" t="s">
        <v>662</v>
      </c>
      <c r="C179" s="12" t="s">
        <v>12</v>
      </c>
      <c r="D179" s="12" t="s">
        <v>641</v>
      </c>
      <c r="E179" s="12"/>
      <c r="F179" s="12" t="s">
        <v>327</v>
      </c>
      <c r="G179" s="12"/>
      <c r="H179" s="12"/>
      <c r="I179" s="12" t="s">
        <v>663</v>
      </c>
      <c r="J179" s="12"/>
      <c r="K179" s="12" t="s">
        <v>664</v>
      </c>
      <c r="L179" s="12"/>
      <c r="M179" s="12" t="str">
        <f>HYPERLINK("https://ceds.ed.gov/cedselementdetails.aspx?termid=10105")</f>
        <v>https://ceds.ed.gov/cedselementdetails.aspx?termid=10105</v>
      </c>
      <c r="N179" s="12" t="str">
        <f>HYPERLINK("https://ceds.ed.gov/elementComment.aspx?elementName=Assessment Item APIP Response Declaration XML &amp;elementID=10105", "Click here to submit comment")</f>
        <v>Click here to submit comment</v>
      </c>
    </row>
    <row r="180" spans="1:14" ht="180" x14ac:dyDescent="0.25">
      <c r="A180" s="12" t="s">
        <v>665</v>
      </c>
      <c r="B180" s="12" t="s">
        <v>666</v>
      </c>
      <c r="C180" s="12" t="s">
        <v>12</v>
      </c>
      <c r="D180" s="12" t="s">
        <v>641</v>
      </c>
      <c r="E180" s="12"/>
      <c r="F180" s="12" t="s">
        <v>68</v>
      </c>
      <c r="G180" s="12"/>
      <c r="H180" s="12"/>
      <c r="I180" s="12" t="s">
        <v>667</v>
      </c>
      <c r="J180" s="12"/>
      <c r="K180" s="12" t="s">
        <v>668</v>
      </c>
      <c r="L180" s="12"/>
      <c r="M180" s="12" t="str">
        <f>HYPERLINK("https://ceds.ed.gov/cedselementdetails.aspx?termid=10103")</f>
        <v>https://ceds.ed.gov/cedselementdetails.aspx?termid=10103</v>
      </c>
      <c r="N180" s="12" t="str">
        <f>HYPERLINK("https://ceds.ed.gov/elementComment.aspx?elementName=Assessment Item APIP Response Processing Template URL &amp;elementID=10103", "Click here to submit comment")</f>
        <v>Click here to submit comment</v>
      </c>
    </row>
    <row r="181" spans="1:14" ht="180" x14ac:dyDescent="0.25">
      <c r="A181" s="12" t="s">
        <v>669</v>
      </c>
      <c r="B181" s="12" t="s">
        <v>670</v>
      </c>
      <c r="C181" s="12" t="s">
        <v>12</v>
      </c>
      <c r="D181" s="12" t="s">
        <v>641</v>
      </c>
      <c r="E181" s="12"/>
      <c r="F181" s="12" t="s">
        <v>327</v>
      </c>
      <c r="G181" s="12"/>
      <c r="H181" s="12"/>
      <c r="I181" s="12" t="s">
        <v>671</v>
      </c>
      <c r="J181" s="12"/>
      <c r="K181" s="12" t="s">
        <v>672</v>
      </c>
      <c r="L181" s="12"/>
      <c r="M181" s="12" t="str">
        <f>HYPERLINK("https://ceds.ed.gov/cedselementdetails.aspx?termid=10104")</f>
        <v>https://ceds.ed.gov/cedselementdetails.aspx?termid=10104</v>
      </c>
      <c r="N181" s="12" t="str">
        <f>HYPERLINK("https://ceds.ed.gov/elementComment.aspx?elementName=Assessment Item APIP Response Processing XML &amp;elementID=10104", "Click here to submit comment")</f>
        <v>Click here to submit comment</v>
      </c>
    </row>
    <row r="182" spans="1:14" ht="180" x14ac:dyDescent="0.25">
      <c r="A182" s="12" t="s">
        <v>673</v>
      </c>
      <c r="B182" s="12" t="s">
        <v>674</v>
      </c>
      <c r="C182" s="12" t="s">
        <v>12</v>
      </c>
      <c r="D182" s="12" t="s">
        <v>641</v>
      </c>
      <c r="E182" s="12"/>
      <c r="F182" s="12" t="s">
        <v>327</v>
      </c>
      <c r="G182" s="12"/>
      <c r="H182" s="12"/>
      <c r="I182" s="12" t="s">
        <v>675</v>
      </c>
      <c r="J182" s="12"/>
      <c r="K182" s="12" t="s">
        <v>676</v>
      </c>
      <c r="L182" s="12"/>
      <c r="M182" s="12" t="str">
        <f>HYPERLINK("https://ceds.ed.gov/cedselementdetails.aspx?termid=10107")</f>
        <v>https://ceds.ed.gov/cedselementdetails.aspx?termid=10107</v>
      </c>
      <c r="N182" s="12" t="str">
        <f>HYPERLINK("https://ceds.ed.gov/elementComment.aspx?elementName=Assessment Item APIP Template Declaration XML &amp;elementID=10107", "Click here to submit comment")</f>
        <v>Click here to submit comment</v>
      </c>
    </row>
    <row r="183" spans="1:14" ht="165" x14ac:dyDescent="0.25">
      <c r="A183" s="12" t="s">
        <v>677</v>
      </c>
      <c r="B183" s="12" t="s">
        <v>678</v>
      </c>
      <c r="C183" s="12" t="s">
        <v>12</v>
      </c>
      <c r="D183" s="12" t="s">
        <v>641</v>
      </c>
      <c r="E183" s="12"/>
      <c r="F183" s="12" t="s">
        <v>327</v>
      </c>
      <c r="G183" s="12"/>
      <c r="H183" s="12"/>
      <c r="I183" s="12" t="s">
        <v>679</v>
      </c>
      <c r="J183" s="12"/>
      <c r="K183" s="12" t="s">
        <v>680</v>
      </c>
      <c r="L183" s="12"/>
      <c r="M183" s="12" t="str">
        <f>HYPERLINK("https://ceds.ed.gov/cedselementdetails.aspx?termid=10108")</f>
        <v>https://ceds.ed.gov/cedselementdetails.aspx?termid=10108</v>
      </c>
      <c r="N183" s="12" t="str">
        <f>HYPERLINK("https://ceds.ed.gov/elementComment.aspx?elementName=Assessment Item APIP Template Processing XML &amp;elementID=10108", "Click here to submit comment")</f>
        <v>Click here to submit comment</v>
      </c>
    </row>
    <row r="184" spans="1:14" ht="105" x14ac:dyDescent="0.25">
      <c r="A184" s="18" t="s">
        <v>681</v>
      </c>
      <c r="B184" s="18" t="s">
        <v>682</v>
      </c>
      <c r="C184" s="18" t="s">
        <v>12</v>
      </c>
      <c r="D184" s="18" t="s">
        <v>646</v>
      </c>
      <c r="E184" s="18"/>
      <c r="F184" s="18" t="s">
        <v>142</v>
      </c>
      <c r="G184" s="18"/>
      <c r="H184" s="12" t="s">
        <v>143</v>
      </c>
      <c r="I184" s="18" t="s">
        <v>683</v>
      </c>
      <c r="J184" s="18"/>
      <c r="K184" s="18" t="s">
        <v>684</v>
      </c>
      <c r="L184" s="18"/>
      <c r="M184" s="18" t="str">
        <f>HYPERLINK("https://ceds.ed.gov/cedselementdetails.aspx?termid=10132")</f>
        <v>https://ceds.ed.gov/cedselementdetails.aspx?termid=10132</v>
      </c>
      <c r="N184" s="18" t="str">
        <f>HYPERLINK("https://ceds.ed.gov/elementComment.aspx?elementName=Assessment Item Bank Identifier &amp;elementID=10132", "Click here to submit comment")</f>
        <v>Click here to submit comment</v>
      </c>
    </row>
    <row r="185" spans="1:14" x14ac:dyDescent="0.25">
      <c r="A185" s="18"/>
      <c r="B185" s="18"/>
      <c r="C185" s="18"/>
      <c r="D185" s="18"/>
      <c r="E185" s="18"/>
      <c r="F185" s="18"/>
      <c r="G185" s="18"/>
      <c r="H185" s="12"/>
      <c r="I185" s="18"/>
      <c r="J185" s="18"/>
      <c r="K185" s="18"/>
      <c r="L185" s="18"/>
      <c r="M185" s="18"/>
      <c r="N185" s="18"/>
    </row>
    <row r="186" spans="1:14" ht="90" x14ac:dyDescent="0.25">
      <c r="A186" s="18"/>
      <c r="B186" s="18"/>
      <c r="C186" s="18"/>
      <c r="D186" s="18"/>
      <c r="E186" s="18"/>
      <c r="F186" s="18"/>
      <c r="G186" s="18"/>
      <c r="H186" s="12" t="s">
        <v>144</v>
      </c>
      <c r="I186" s="18"/>
      <c r="J186" s="18"/>
      <c r="K186" s="18"/>
      <c r="L186" s="18"/>
      <c r="M186" s="18"/>
      <c r="N186" s="18"/>
    </row>
    <row r="187" spans="1:14" ht="45" x14ac:dyDescent="0.25">
      <c r="A187" s="12" t="s">
        <v>685</v>
      </c>
      <c r="B187" s="12" t="s">
        <v>686</v>
      </c>
      <c r="C187" s="12" t="s">
        <v>12</v>
      </c>
      <c r="D187" s="12" t="s">
        <v>646</v>
      </c>
      <c r="E187" s="12"/>
      <c r="F187" s="12" t="s">
        <v>99</v>
      </c>
      <c r="G187" s="12"/>
      <c r="H187" s="12"/>
      <c r="I187" s="12" t="s">
        <v>687</v>
      </c>
      <c r="J187" s="12"/>
      <c r="K187" s="12" t="s">
        <v>688</v>
      </c>
      <c r="L187" s="12"/>
      <c r="M187" s="12" t="str">
        <f>HYPERLINK("https://ceds.ed.gov/cedselementdetails.aspx?termid=10133")</f>
        <v>https://ceds.ed.gov/cedselementdetails.aspx?termid=10133</v>
      </c>
      <c r="N187" s="12" t="str">
        <f>HYPERLINK("https://ceds.ed.gov/elementComment.aspx?elementName=Assessment Item Bank Name &amp;elementID=10133", "Click here to submit comment")</f>
        <v>Click here to submit comment</v>
      </c>
    </row>
    <row r="188" spans="1:14" ht="90" x14ac:dyDescent="0.25">
      <c r="A188" s="12" t="s">
        <v>689</v>
      </c>
      <c r="B188" s="12" t="s">
        <v>690</v>
      </c>
      <c r="C188" s="12" t="s">
        <v>12</v>
      </c>
      <c r="D188" s="12" t="s">
        <v>389</v>
      </c>
      <c r="E188" s="12"/>
      <c r="F188" s="12" t="s">
        <v>327</v>
      </c>
      <c r="G188" s="12"/>
      <c r="H188" s="12"/>
      <c r="I188" s="12" t="s">
        <v>691</v>
      </c>
      <c r="J188" s="12"/>
      <c r="K188" s="12" t="s">
        <v>692</v>
      </c>
      <c r="L188" s="12"/>
      <c r="M188" s="12" t="str">
        <f>HYPERLINK("https://ceds.ed.gov/cedselementdetails.aspx?termid=10100")</f>
        <v>https://ceds.ed.gov/cedselementdetails.aspx?termid=10100</v>
      </c>
      <c r="N188" s="12" t="str">
        <f>HYPERLINK("https://ceds.ed.gov/elementComment.aspx?elementName=Assessment Item Body Associate Interaction XML &amp;elementID=10100", "Click here to submit comment")</f>
        <v>Click here to submit comment</v>
      </c>
    </row>
    <row r="189" spans="1:14" ht="120" x14ac:dyDescent="0.25">
      <c r="A189" s="12" t="s">
        <v>693</v>
      </c>
      <c r="B189" s="12" t="s">
        <v>694</v>
      </c>
      <c r="C189" s="12" t="s">
        <v>12</v>
      </c>
      <c r="D189" s="12" t="s">
        <v>389</v>
      </c>
      <c r="E189" s="12"/>
      <c r="F189" s="12" t="s">
        <v>327</v>
      </c>
      <c r="G189" s="12"/>
      <c r="H189" s="12"/>
      <c r="I189" s="12" t="s">
        <v>695</v>
      </c>
      <c r="J189" s="12"/>
      <c r="K189" s="12" t="s">
        <v>696</v>
      </c>
      <c r="L189" s="12"/>
      <c r="M189" s="12" t="str">
        <f>HYPERLINK("https://ceds.ed.gov/cedselementdetails.aspx?termid=10090")</f>
        <v>https://ceds.ed.gov/cedselementdetails.aspx?termid=10090</v>
      </c>
      <c r="N189" s="12" t="str">
        <f>HYPERLINK("https://ceds.ed.gov/elementComment.aspx?elementName=Assessment Item Body Choice Interaction XML &amp;elementID=10090", "Click here to submit comment")</f>
        <v>Click here to submit comment</v>
      </c>
    </row>
    <row r="190" spans="1:14" ht="90" x14ac:dyDescent="0.25">
      <c r="A190" s="12" t="s">
        <v>697</v>
      </c>
      <c r="B190" s="12" t="s">
        <v>698</v>
      </c>
      <c r="C190" s="12" t="s">
        <v>12</v>
      </c>
      <c r="D190" s="12" t="s">
        <v>699</v>
      </c>
      <c r="E190" s="12"/>
      <c r="F190" s="12" t="s">
        <v>327</v>
      </c>
      <c r="G190" s="12"/>
      <c r="H190" s="12"/>
      <c r="I190" s="12" t="s">
        <v>700</v>
      </c>
      <c r="J190" s="12"/>
      <c r="K190" s="12" t="s">
        <v>701</v>
      </c>
      <c r="L190" s="12"/>
      <c r="M190" s="12" t="str">
        <f>HYPERLINK("https://ceds.ed.gov/cedselementdetails.aspx?termid=10079")</f>
        <v>https://ceds.ed.gov/cedselementdetails.aspx?termid=10079</v>
      </c>
      <c r="N190" s="12" t="str">
        <f>HYPERLINK("https://ceds.ed.gov/elementComment.aspx?elementName=Assessment Item Body Custom Interaction XML &amp;elementID=10079", "Click here to submit comment")</f>
        <v>Click here to submit comment</v>
      </c>
    </row>
    <row r="191" spans="1:14" ht="150" x14ac:dyDescent="0.25">
      <c r="A191" s="12" t="s">
        <v>702</v>
      </c>
      <c r="B191" s="12" t="s">
        <v>703</v>
      </c>
      <c r="C191" s="12" t="s">
        <v>12</v>
      </c>
      <c r="D191" s="12" t="s">
        <v>389</v>
      </c>
      <c r="E191" s="12"/>
      <c r="F191" s="12" t="s">
        <v>327</v>
      </c>
      <c r="G191" s="12"/>
      <c r="H191" s="12"/>
      <c r="I191" s="12" t="s">
        <v>704</v>
      </c>
      <c r="J191" s="12"/>
      <c r="K191" s="12" t="s">
        <v>705</v>
      </c>
      <c r="L191" s="12"/>
      <c r="M191" s="12" t="str">
        <f>HYPERLINK("https://ceds.ed.gov/cedselementdetails.aspx?termid=10080")</f>
        <v>https://ceds.ed.gov/cedselementdetails.aspx?termid=10080</v>
      </c>
      <c r="N191" s="12" t="str">
        <f>HYPERLINK("https://ceds.ed.gov/elementComment.aspx?elementName=Assessment Item Body Drawing Interaction XML &amp;elementID=10080", "Click here to submit comment")</f>
        <v>Click here to submit comment</v>
      </c>
    </row>
    <row r="192" spans="1:14" ht="195" x14ac:dyDescent="0.25">
      <c r="A192" s="12" t="s">
        <v>706</v>
      </c>
      <c r="B192" s="12" t="s">
        <v>707</v>
      </c>
      <c r="C192" s="12" t="s">
        <v>12</v>
      </c>
      <c r="D192" s="12" t="s">
        <v>389</v>
      </c>
      <c r="E192" s="12"/>
      <c r="F192" s="12" t="s">
        <v>327</v>
      </c>
      <c r="G192" s="12"/>
      <c r="H192" s="12"/>
      <c r="I192" s="12" t="s">
        <v>708</v>
      </c>
      <c r="J192" s="12"/>
      <c r="K192" s="12" t="s">
        <v>709</v>
      </c>
      <c r="L192" s="12"/>
      <c r="M192" s="12" t="str">
        <f>HYPERLINK("https://ceds.ed.gov/cedselementdetails.aspx?termid=10098")</f>
        <v>https://ceds.ed.gov/cedselementdetails.aspx?termid=10098</v>
      </c>
      <c r="N192" s="12" t="str">
        <f>HYPERLINK("https://ceds.ed.gov/elementComment.aspx?elementName=Assessment Item Body End Attempt Interaction XML &amp;elementID=10098", "Click here to submit comment")</f>
        <v>Click here to submit comment</v>
      </c>
    </row>
    <row r="193" spans="1:14" ht="75" x14ac:dyDescent="0.25">
      <c r="A193" s="12" t="s">
        <v>710</v>
      </c>
      <c r="B193" s="12" t="s">
        <v>711</v>
      </c>
      <c r="C193" s="12" t="s">
        <v>12</v>
      </c>
      <c r="D193" s="12" t="s">
        <v>389</v>
      </c>
      <c r="E193" s="12"/>
      <c r="F193" s="12" t="s">
        <v>327</v>
      </c>
      <c r="G193" s="12"/>
      <c r="H193" s="12"/>
      <c r="I193" s="12" t="s">
        <v>712</v>
      </c>
      <c r="J193" s="12"/>
      <c r="K193" s="12" t="s">
        <v>713</v>
      </c>
      <c r="L193" s="12"/>
      <c r="M193" s="12" t="str">
        <f>HYPERLINK("https://ceds.ed.gov/cedselementdetails.aspx?termid=10097")</f>
        <v>https://ceds.ed.gov/cedselementdetails.aspx?termid=10097</v>
      </c>
      <c r="N193" s="12" t="str">
        <f>HYPERLINK("https://ceds.ed.gov/elementComment.aspx?elementName=Assessment Item Body Extended Text Interaction XML &amp;elementID=10097", "Click here to submit comment")</f>
        <v>Click here to submit comment</v>
      </c>
    </row>
    <row r="194" spans="1:14" ht="120" x14ac:dyDescent="0.25">
      <c r="A194" s="12" t="s">
        <v>714</v>
      </c>
      <c r="B194" s="12" t="s">
        <v>715</v>
      </c>
      <c r="C194" s="12" t="s">
        <v>12</v>
      </c>
      <c r="D194" s="12" t="s">
        <v>389</v>
      </c>
      <c r="E194" s="12"/>
      <c r="F194" s="12" t="s">
        <v>327</v>
      </c>
      <c r="G194" s="12"/>
      <c r="H194" s="12"/>
      <c r="I194" s="12" t="s">
        <v>716</v>
      </c>
      <c r="J194" s="12"/>
      <c r="K194" s="12" t="s">
        <v>717</v>
      </c>
      <c r="L194" s="12"/>
      <c r="M194" s="12" t="str">
        <f>HYPERLINK("https://ceds.ed.gov/cedselementdetails.aspx?termid=10081")</f>
        <v>https://ceds.ed.gov/cedselementdetails.aspx?termid=10081</v>
      </c>
      <c r="N194" s="12" t="str">
        <f>HYPERLINK("https://ceds.ed.gov/elementComment.aspx?elementName=Assessment Item Body Gap Match Interaction XML &amp;elementID=10081", "Click here to submit comment")</f>
        <v>Click here to submit comment</v>
      </c>
    </row>
    <row r="195" spans="1:14" ht="409.5" x14ac:dyDescent="0.25">
      <c r="A195" s="12" t="s">
        <v>718</v>
      </c>
      <c r="B195" s="12" t="s">
        <v>719</v>
      </c>
      <c r="C195" s="12" t="s">
        <v>12</v>
      </c>
      <c r="D195" s="12" t="s">
        <v>389</v>
      </c>
      <c r="E195" s="12"/>
      <c r="F195" s="12" t="s">
        <v>327</v>
      </c>
      <c r="G195" s="12"/>
      <c r="H195" s="12"/>
      <c r="I195" s="12" t="s">
        <v>720</v>
      </c>
      <c r="J195" s="12"/>
      <c r="K195" s="12" t="s">
        <v>721</v>
      </c>
      <c r="L195" s="12"/>
      <c r="M195" s="12" t="str">
        <f>HYPERLINK("https://ceds.ed.gov/cedselementdetails.aspx?termid=10083")</f>
        <v>https://ceds.ed.gov/cedselementdetails.aspx?termid=10083</v>
      </c>
      <c r="N195" s="12" t="str">
        <f>HYPERLINK("https://ceds.ed.gov/elementComment.aspx?elementName=Assessment Item Body Graphic Gap Match Interaction XML &amp;elementID=10083", "Click here to submit comment")</f>
        <v>Click here to submit comment</v>
      </c>
    </row>
    <row r="196" spans="1:14" ht="240" x14ac:dyDescent="0.25">
      <c r="A196" s="12" t="s">
        <v>722</v>
      </c>
      <c r="B196" s="12" t="s">
        <v>723</v>
      </c>
      <c r="C196" s="12" t="s">
        <v>12</v>
      </c>
      <c r="D196" s="12" t="s">
        <v>389</v>
      </c>
      <c r="E196" s="12"/>
      <c r="F196" s="12" t="s">
        <v>327</v>
      </c>
      <c r="G196" s="12"/>
      <c r="H196" s="12"/>
      <c r="I196" s="12" t="s">
        <v>724</v>
      </c>
      <c r="J196" s="12"/>
      <c r="K196" s="12" t="s">
        <v>725</v>
      </c>
      <c r="L196" s="12"/>
      <c r="M196" s="12" t="str">
        <f>HYPERLINK("https://ceds.ed.gov/cedselementdetails.aspx?termid=10085")</f>
        <v>https://ceds.ed.gov/cedselementdetails.aspx?termid=10085</v>
      </c>
      <c r="N196" s="12" t="str">
        <f>HYPERLINK("https://ceds.ed.gov/elementComment.aspx?elementName=Assessment Item Body Graphic Order Interaction XML &amp;elementID=10085", "Click here to submit comment")</f>
        <v>Click here to submit comment</v>
      </c>
    </row>
    <row r="197" spans="1:14" ht="225" x14ac:dyDescent="0.25">
      <c r="A197" s="12" t="s">
        <v>726</v>
      </c>
      <c r="B197" s="12" t="s">
        <v>727</v>
      </c>
      <c r="C197" s="12" t="s">
        <v>12</v>
      </c>
      <c r="D197" s="12" t="s">
        <v>389</v>
      </c>
      <c r="E197" s="12"/>
      <c r="F197" s="12" t="s">
        <v>327</v>
      </c>
      <c r="G197" s="12"/>
      <c r="H197" s="12"/>
      <c r="I197" s="12" t="s">
        <v>728</v>
      </c>
      <c r="J197" s="12"/>
      <c r="K197" s="12" t="s">
        <v>729</v>
      </c>
      <c r="L197" s="12"/>
      <c r="M197" s="12" t="str">
        <f>HYPERLINK("https://ceds.ed.gov/cedselementdetails.aspx?termid=10084")</f>
        <v>https://ceds.ed.gov/cedselementdetails.aspx?termid=10084</v>
      </c>
      <c r="N197" s="12" t="str">
        <f>HYPERLINK("https://ceds.ed.gov/elementComment.aspx?elementName=Assessment Item Body Hot Spot Interaction XML &amp;elementID=10084", "Click here to submit comment")</f>
        <v>Click here to submit comment</v>
      </c>
    </row>
    <row r="198" spans="1:14" ht="225" x14ac:dyDescent="0.25">
      <c r="A198" s="12" t="s">
        <v>730</v>
      </c>
      <c r="B198" s="12" t="s">
        <v>731</v>
      </c>
      <c r="C198" s="12" t="s">
        <v>12</v>
      </c>
      <c r="D198" s="12" t="s">
        <v>389</v>
      </c>
      <c r="E198" s="12"/>
      <c r="F198" s="12" t="s">
        <v>327</v>
      </c>
      <c r="G198" s="12"/>
      <c r="H198" s="12"/>
      <c r="I198" s="12" t="s">
        <v>732</v>
      </c>
      <c r="J198" s="12"/>
      <c r="K198" s="12" t="s">
        <v>733</v>
      </c>
      <c r="L198" s="12"/>
      <c r="M198" s="12" t="str">
        <f>HYPERLINK("https://ceds.ed.gov/cedselementdetails.aspx?termid=10093")</f>
        <v>https://ceds.ed.gov/cedselementdetails.aspx?termid=10093</v>
      </c>
      <c r="N198" s="12" t="str">
        <f>HYPERLINK("https://ceds.ed.gov/elementComment.aspx?elementName=Assessment Item Body Hottext Interaction XML &amp;elementID=10093", "Click here to submit comment")</f>
        <v>Click here to submit comment</v>
      </c>
    </row>
    <row r="199" spans="1:14" ht="135" x14ac:dyDescent="0.25">
      <c r="A199" s="12" t="s">
        <v>734</v>
      </c>
      <c r="B199" s="12" t="s">
        <v>735</v>
      </c>
      <c r="C199" s="12" t="s">
        <v>12</v>
      </c>
      <c r="D199" s="12" t="s">
        <v>389</v>
      </c>
      <c r="E199" s="12"/>
      <c r="F199" s="12" t="s">
        <v>327</v>
      </c>
      <c r="G199" s="12"/>
      <c r="H199" s="12"/>
      <c r="I199" s="12" t="s">
        <v>736</v>
      </c>
      <c r="J199" s="12"/>
      <c r="K199" s="12" t="s">
        <v>737</v>
      </c>
      <c r="L199" s="12"/>
      <c r="M199" s="12" t="str">
        <f>HYPERLINK("https://ceds.ed.gov/cedselementdetails.aspx?termid=10091")</f>
        <v>https://ceds.ed.gov/cedselementdetails.aspx?termid=10091</v>
      </c>
      <c r="N199" s="12" t="str">
        <f>HYPERLINK("https://ceds.ed.gov/elementComment.aspx?elementName=Assessment Item Body Inline Choice Interaction XML &amp;elementID=10091", "Click here to submit comment")</f>
        <v>Click here to submit comment</v>
      </c>
    </row>
    <row r="200" spans="1:14" ht="165" x14ac:dyDescent="0.25">
      <c r="A200" s="12" t="s">
        <v>738</v>
      </c>
      <c r="B200" s="12" t="s">
        <v>739</v>
      </c>
      <c r="C200" s="12" t="s">
        <v>12</v>
      </c>
      <c r="D200" s="12" t="s">
        <v>389</v>
      </c>
      <c r="E200" s="12"/>
      <c r="F200" s="12" t="s">
        <v>327</v>
      </c>
      <c r="G200" s="12"/>
      <c r="H200" s="12"/>
      <c r="I200" s="12" t="s">
        <v>740</v>
      </c>
      <c r="J200" s="12"/>
      <c r="K200" s="12" t="s">
        <v>741</v>
      </c>
      <c r="L200" s="12"/>
      <c r="M200" s="12" t="str">
        <f>HYPERLINK("https://ceds.ed.gov/cedselementdetails.aspx?termid=10082")</f>
        <v>https://ceds.ed.gov/cedselementdetails.aspx?termid=10082</v>
      </c>
      <c r="N200" s="12" t="str">
        <f>HYPERLINK("https://ceds.ed.gov/elementComment.aspx?elementName=Assessment Item Body Match Interaction XML &amp;elementID=10082", "Click here to submit comment")</f>
        <v>Click here to submit comment</v>
      </c>
    </row>
    <row r="201" spans="1:14" ht="165" x14ac:dyDescent="0.25">
      <c r="A201" s="12" t="s">
        <v>742</v>
      </c>
      <c r="B201" s="12" t="s">
        <v>743</v>
      </c>
      <c r="C201" s="12" t="s">
        <v>12</v>
      </c>
      <c r="D201" s="12" t="s">
        <v>389</v>
      </c>
      <c r="E201" s="12"/>
      <c r="F201" s="12" t="s">
        <v>327</v>
      </c>
      <c r="G201" s="12"/>
      <c r="H201" s="12"/>
      <c r="I201" s="12" t="s">
        <v>744</v>
      </c>
      <c r="J201" s="12"/>
      <c r="K201" s="12" t="s">
        <v>745</v>
      </c>
      <c r="L201" s="12"/>
      <c r="M201" s="12" t="str">
        <f>HYPERLINK("https://ceds.ed.gov/cedselementdetails.aspx?termid=10092")</f>
        <v>https://ceds.ed.gov/cedselementdetails.aspx?termid=10092</v>
      </c>
      <c r="N201" s="12" t="str">
        <f>HYPERLINK("https://ceds.ed.gov/elementComment.aspx?elementName=Assessment Item Body Media Interaction XML &amp;elementID=10092", "Click here to submit comment")</f>
        <v>Click here to submit comment</v>
      </c>
    </row>
    <row r="202" spans="1:14" ht="195" x14ac:dyDescent="0.25">
      <c r="A202" s="12" t="s">
        <v>746</v>
      </c>
      <c r="B202" s="12" t="s">
        <v>747</v>
      </c>
      <c r="C202" s="12" t="s">
        <v>12</v>
      </c>
      <c r="D202" s="12" t="s">
        <v>389</v>
      </c>
      <c r="E202" s="12"/>
      <c r="F202" s="12" t="s">
        <v>327</v>
      </c>
      <c r="G202" s="12"/>
      <c r="H202" s="12"/>
      <c r="I202" s="12" t="s">
        <v>748</v>
      </c>
      <c r="J202" s="12"/>
      <c r="K202" s="12" t="s">
        <v>749</v>
      </c>
      <c r="L202" s="12"/>
      <c r="M202" s="12" t="str">
        <f>HYPERLINK("https://ceds.ed.gov/cedselementdetails.aspx?termid=10094")</f>
        <v>https://ceds.ed.gov/cedselementdetails.aspx?termid=10094</v>
      </c>
      <c r="N202" s="12" t="str">
        <f>HYPERLINK("https://ceds.ed.gov/elementComment.aspx?elementName=Assessment Item Body Order Interaction XML &amp;elementID=10094", "Click here to submit comment")</f>
        <v>Click here to submit comment</v>
      </c>
    </row>
    <row r="203" spans="1:14" ht="210" x14ac:dyDescent="0.25">
      <c r="A203" s="12" t="s">
        <v>750</v>
      </c>
      <c r="B203" s="12" t="s">
        <v>751</v>
      </c>
      <c r="C203" s="12" t="s">
        <v>12</v>
      </c>
      <c r="D203" s="12" t="s">
        <v>389</v>
      </c>
      <c r="E203" s="12"/>
      <c r="F203" s="12" t="s">
        <v>327</v>
      </c>
      <c r="G203" s="12"/>
      <c r="H203" s="12"/>
      <c r="I203" s="12" t="s">
        <v>752</v>
      </c>
      <c r="J203" s="12"/>
      <c r="K203" s="12" t="s">
        <v>753</v>
      </c>
      <c r="L203" s="12"/>
      <c r="M203" s="12" t="str">
        <f>HYPERLINK("https://ceds.ed.gov/cedselementdetails.aspx?termid=10095")</f>
        <v>https://ceds.ed.gov/cedselementdetails.aspx?termid=10095</v>
      </c>
      <c r="N203" s="12" t="str">
        <f>HYPERLINK("https://ceds.ed.gov/elementComment.aspx?elementName=Assessment Item Body Position Object Interaction XML &amp;elementID=10095", "Click here to submit comment")</f>
        <v>Click here to submit comment</v>
      </c>
    </row>
    <row r="204" spans="1:14" ht="240" x14ac:dyDescent="0.25">
      <c r="A204" s="12" t="s">
        <v>754</v>
      </c>
      <c r="B204" s="12" t="s">
        <v>755</v>
      </c>
      <c r="C204" s="12" t="s">
        <v>12</v>
      </c>
      <c r="D204" s="12" t="s">
        <v>389</v>
      </c>
      <c r="E204" s="12"/>
      <c r="F204" s="12" t="s">
        <v>327</v>
      </c>
      <c r="G204" s="12"/>
      <c r="H204" s="12"/>
      <c r="I204" s="12" t="s">
        <v>756</v>
      </c>
      <c r="J204" s="12"/>
      <c r="K204" s="12" t="s">
        <v>757</v>
      </c>
      <c r="L204" s="12"/>
      <c r="M204" s="12" t="str">
        <f>HYPERLINK("https://ceds.ed.gov/cedselementdetails.aspx?termid=10088")</f>
        <v>https://ceds.ed.gov/cedselementdetails.aspx?termid=10088</v>
      </c>
      <c r="N204" s="12" t="str">
        <f>HYPERLINK("https://ceds.ed.gov/elementComment.aspx?elementName=Assessment Item Body Select Point Interaction &amp;elementID=10088", "Click here to submit comment")</f>
        <v>Click here to submit comment</v>
      </c>
    </row>
    <row r="205" spans="1:14" ht="195" x14ac:dyDescent="0.25">
      <c r="A205" s="12" t="s">
        <v>758</v>
      </c>
      <c r="B205" s="12" t="s">
        <v>759</v>
      </c>
      <c r="C205" s="12" t="s">
        <v>12</v>
      </c>
      <c r="D205" s="12" t="s">
        <v>389</v>
      </c>
      <c r="E205" s="12"/>
      <c r="F205" s="12" t="s">
        <v>327</v>
      </c>
      <c r="G205" s="12"/>
      <c r="H205" s="12"/>
      <c r="I205" s="12" t="s">
        <v>760</v>
      </c>
      <c r="J205" s="12"/>
      <c r="K205" s="12" t="s">
        <v>761</v>
      </c>
      <c r="L205" s="12"/>
      <c r="M205" s="12" t="str">
        <f>HYPERLINK("https://ceds.ed.gov/cedselementdetails.aspx?termid=10087")</f>
        <v>https://ceds.ed.gov/cedselementdetails.aspx?termid=10087</v>
      </c>
      <c r="N205" s="12" t="str">
        <f>HYPERLINK("https://ceds.ed.gov/elementComment.aspx?elementName=Assessment Item Body Select Point Interaction XML &amp;elementID=10087", "Click here to submit comment")</f>
        <v>Click here to submit comment</v>
      </c>
    </row>
    <row r="206" spans="1:14" ht="135" x14ac:dyDescent="0.25">
      <c r="A206" s="12" t="s">
        <v>762</v>
      </c>
      <c r="B206" s="12" t="s">
        <v>763</v>
      </c>
      <c r="C206" s="12" t="s">
        <v>12</v>
      </c>
      <c r="D206" s="12" t="s">
        <v>389</v>
      </c>
      <c r="E206" s="12"/>
      <c r="F206" s="12" t="s">
        <v>327</v>
      </c>
      <c r="G206" s="12"/>
      <c r="H206" s="12"/>
      <c r="I206" s="12" t="s">
        <v>764</v>
      </c>
      <c r="J206" s="12"/>
      <c r="K206" s="12" t="s">
        <v>765</v>
      </c>
      <c r="L206" s="12"/>
      <c r="M206" s="12" t="str">
        <f>HYPERLINK("https://ceds.ed.gov/cedselementdetails.aspx?termid=10089")</f>
        <v>https://ceds.ed.gov/cedselementdetails.aspx?termid=10089</v>
      </c>
      <c r="N206" s="12" t="str">
        <f>HYPERLINK("https://ceds.ed.gov/elementComment.aspx?elementName=Assessment Item Body Slider Interaction XML &amp;elementID=10089", "Click here to submit comment")</f>
        <v>Click here to submit comment</v>
      </c>
    </row>
    <row r="207" spans="1:14" ht="60" x14ac:dyDescent="0.25">
      <c r="A207" s="12" t="s">
        <v>766</v>
      </c>
      <c r="B207" s="12" t="s">
        <v>767</v>
      </c>
      <c r="C207" s="12" t="s">
        <v>12</v>
      </c>
      <c r="D207" s="12" t="s">
        <v>646</v>
      </c>
      <c r="E207" s="12"/>
      <c r="F207" s="12" t="s">
        <v>327</v>
      </c>
      <c r="G207" s="12"/>
      <c r="H207" s="12"/>
      <c r="I207" s="12" t="s">
        <v>768</v>
      </c>
      <c r="J207" s="12"/>
      <c r="K207" s="12" t="s">
        <v>769</v>
      </c>
      <c r="L207" s="12"/>
      <c r="M207" s="12" t="str">
        <f>HYPERLINK("https://ceds.ed.gov/cedselementdetails.aspx?termid=10233")</f>
        <v>https://ceds.ed.gov/cedselementdetails.aspx?termid=10233</v>
      </c>
      <c r="N207" s="12" t="str">
        <f>HYPERLINK("https://ceds.ed.gov/elementComment.aspx?elementName=Assessment Item Body Text &amp;elementID=10233", "Click here to submit comment")</f>
        <v>Click here to submit comment</v>
      </c>
    </row>
    <row r="208" spans="1:14" ht="135" x14ac:dyDescent="0.25">
      <c r="A208" s="12" t="s">
        <v>770</v>
      </c>
      <c r="B208" s="12" t="s">
        <v>771</v>
      </c>
      <c r="C208" s="12" t="s">
        <v>12</v>
      </c>
      <c r="D208" s="12" t="s">
        <v>389</v>
      </c>
      <c r="E208" s="12"/>
      <c r="F208" s="12" t="s">
        <v>327</v>
      </c>
      <c r="G208" s="12"/>
      <c r="H208" s="12"/>
      <c r="I208" s="12" t="s">
        <v>772</v>
      </c>
      <c r="J208" s="12"/>
      <c r="K208" s="12" t="s">
        <v>773</v>
      </c>
      <c r="L208" s="12"/>
      <c r="M208" s="12" t="str">
        <f>HYPERLINK("https://ceds.ed.gov/cedselementdetails.aspx?termid=10096")</f>
        <v>https://ceds.ed.gov/cedselementdetails.aspx?termid=10096</v>
      </c>
      <c r="N208" s="12" t="str">
        <f>HYPERLINK("https://ceds.ed.gov/elementComment.aspx?elementName=Assessment Item Body Text Entry Interaction XML &amp;elementID=10096", "Click here to submit comment")</f>
        <v>Click here to submit comment</v>
      </c>
    </row>
    <row r="209" spans="1:14" ht="105" x14ac:dyDescent="0.25">
      <c r="A209" s="12" t="s">
        <v>774</v>
      </c>
      <c r="B209" s="12" t="s">
        <v>775</v>
      </c>
      <c r="C209" s="12" t="s">
        <v>12</v>
      </c>
      <c r="D209" s="12" t="s">
        <v>389</v>
      </c>
      <c r="E209" s="12"/>
      <c r="F209" s="12" t="s">
        <v>327</v>
      </c>
      <c r="G209" s="12"/>
      <c r="H209" s="12"/>
      <c r="I209" s="12" t="s">
        <v>776</v>
      </c>
      <c r="J209" s="12"/>
      <c r="K209" s="12" t="s">
        <v>777</v>
      </c>
      <c r="L209" s="12"/>
      <c r="M209" s="12" t="str">
        <f>HYPERLINK("https://ceds.ed.gov/cedselementdetails.aspx?termid=10099")</f>
        <v>https://ceds.ed.gov/cedselementdetails.aspx?termid=10099</v>
      </c>
      <c r="N209" s="12" t="str">
        <f>HYPERLINK("https://ceds.ed.gov/elementComment.aspx?elementName=Assessment Item Body Upload Interaction XML &amp;elementID=10099", "Click here to submit comment")</f>
        <v>Click here to submit comment</v>
      </c>
    </row>
    <row r="210" spans="1:14" ht="390" x14ac:dyDescent="0.25">
      <c r="A210" s="12" t="s">
        <v>778</v>
      </c>
      <c r="B210" s="12" t="s">
        <v>779</v>
      </c>
      <c r="C210" s="13" t="s">
        <v>6759</v>
      </c>
      <c r="D210" s="12" t="s">
        <v>780</v>
      </c>
      <c r="E210" s="12"/>
      <c r="F210" s="12"/>
      <c r="G210" s="12"/>
      <c r="H210" s="12"/>
      <c r="I210" s="12" t="s">
        <v>781</v>
      </c>
      <c r="J210" s="12"/>
      <c r="K210" s="12" t="s">
        <v>782</v>
      </c>
      <c r="L210" s="12" t="s">
        <v>6409</v>
      </c>
      <c r="M210" s="12" t="str">
        <f>HYPERLINK("https://ceds.ed.gov/cedselementdetails.aspx?termid=9384")</f>
        <v>https://ceds.ed.gov/cedselementdetails.aspx?termid=9384</v>
      </c>
      <c r="N210" s="12" t="str">
        <f>HYPERLINK("https://ceds.ed.gov/elementComment.aspx?elementName=Assessment Item Characteristic Type &amp;elementID=9384", "Click here to submit comment")</f>
        <v>Click here to submit comment</v>
      </c>
    </row>
    <row r="211" spans="1:14" ht="45" x14ac:dyDescent="0.25">
      <c r="A211" s="12" t="s">
        <v>783</v>
      </c>
      <c r="B211" s="12" t="s">
        <v>784</v>
      </c>
      <c r="C211" s="12" t="s">
        <v>12</v>
      </c>
      <c r="D211" s="12" t="s">
        <v>780</v>
      </c>
      <c r="E211" s="12"/>
      <c r="F211" s="12" t="s">
        <v>92</v>
      </c>
      <c r="G211" s="12"/>
      <c r="H211" s="12"/>
      <c r="I211" s="12" t="s">
        <v>785</v>
      </c>
      <c r="J211" s="12"/>
      <c r="K211" s="12" t="s">
        <v>786</v>
      </c>
      <c r="L211" s="12"/>
      <c r="M211" s="12" t="str">
        <f>HYPERLINK("https://ceds.ed.gov/cedselementdetails.aspx?termid=9685")</f>
        <v>https://ceds.ed.gov/cedselementdetails.aspx?termid=9685</v>
      </c>
      <c r="N211" s="12" t="str">
        <f>HYPERLINK("https://ceds.ed.gov/elementComment.aspx?elementName=Assessment Item Characteristic Value &amp;elementID=9685", "Click here to submit comment")</f>
        <v>Click here to submit comment</v>
      </c>
    </row>
    <row r="212" spans="1:14" ht="45" x14ac:dyDescent="0.25">
      <c r="A212" s="12" t="s">
        <v>787</v>
      </c>
      <c r="B212" s="12" t="s">
        <v>788</v>
      </c>
      <c r="C212" s="12" t="s">
        <v>12</v>
      </c>
      <c r="D212" s="12" t="s">
        <v>646</v>
      </c>
      <c r="E212" s="12"/>
      <c r="F212" s="12" t="s">
        <v>789</v>
      </c>
      <c r="G212" s="12"/>
      <c r="H212" s="12"/>
      <c r="I212" s="12" t="s">
        <v>790</v>
      </c>
      <c r="J212" s="12"/>
      <c r="K212" s="12" t="s">
        <v>791</v>
      </c>
      <c r="L212" s="12" t="s">
        <v>6409</v>
      </c>
      <c r="M212" s="12" t="str">
        <f>HYPERLINK("https://ceds.ed.gov/cedselementdetails.aspx?termid=9383")</f>
        <v>https://ceds.ed.gov/cedselementdetails.aspx?termid=9383</v>
      </c>
      <c r="N212" s="12" t="str">
        <f>HYPERLINK("https://ceds.ed.gov/elementComment.aspx?elementName=Assessment Item Difficulty &amp;elementID=9383", "Click here to submit comment")</f>
        <v>Click here to submit comment</v>
      </c>
    </row>
    <row r="213" spans="1:14" ht="45" x14ac:dyDescent="0.25">
      <c r="A213" s="12" t="s">
        <v>792</v>
      </c>
      <c r="B213" s="12" t="s">
        <v>793</v>
      </c>
      <c r="C213" s="12" t="s">
        <v>12</v>
      </c>
      <c r="D213" s="12" t="s">
        <v>646</v>
      </c>
      <c r="E213" s="12"/>
      <c r="F213" s="12" t="s">
        <v>794</v>
      </c>
      <c r="G213" s="12"/>
      <c r="H213" s="12"/>
      <c r="I213" s="12" t="s">
        <v>795</v>
      </c>
      <c r="J213" s="12"/>
      <c r="K213" s="12" t="s">
        <v>796</v>
      </c>
      <c r="L213" s="12" t="s">
        <v>6409</v>
      </c>
      <c r="M213" s="12" t="str">
        <f>HYPERLINK("https://ceds.ed.gov/cedselementdetails.aspx?termid=9390")</f>
        <v>https://ceds.ed.gov/cedselementdetails.aspx?termid=9390</v>
      </c>
      <c r="N213" s="12" t="str">
        <f>HYPERLINK("https://ceds.ed.gov/elementComment.aspx?elementName=Assessment Item Distractor Analysis &amp;elementID=9390", "Click here to submit comment")</f>
        <v>Click here to submit comment</v>
      </c>
    </row>
    <row r="214" spans="1:14" ht="105" x14ac:dyDescent="0.25">
      <c r="A214" s="18" t="s">
        <v>797</v>
      </c>
      <c r="B214" s="18" t="s">
        <v>798</v>
      </c>
      <c r="C214" s="18" t="s">
        <v>12</v>
      </c>
      <c r="D214" s="18" t="s">
        <v>646</v>
      </c>
      <c r="E214" s="18"/>
      <c r="F214" s="18" t="s">
        <v>142</v>
      </c>
      <c r="G214" s="18"/>
      <c r="H214" s="12" t="s">
        <v>143</v>
      </c>
      <c r="I214" s="18" t="s">
        <v>799</v>
      </c>
      <c r="J214" s="18"/>
      <c r="K214" s="18" t="s">
        <v>800</v>
      </c>
      <c r="L214" s="18" t="s">
        <v>6409</v>
      </c>
      <c r="M214" s="18" t="str">
        <f>HYPERLINK("https://ceds.ed.gov/cedselementdetails.aspx?termid=9623")</f>
        <v>https://ceds.ed.gov/cedselementdetails.aspx?termid=9623</v>
      </c>
      <c r="N214" s="18" t="str">
        <f>HYPERLINK("https://ceds.ed.gov/elementComment.aspx?elementName=Assessment Item Identifier &amp;elementID=9623", "Click here to submit comment")</f>
        <v>Click here to submit comment</v>
      </c>
    </row>
    <row r="215" spans="1:14" x14ac:dyDescent="0.25">
      <c r="A215" s="18"/>
      <c r="B215" s="18"/>
      <c r="C215" s="18"/>
      <c r="D215" s="18"/>
      <c r="E215" s="18"/>
      <c r="F215" s="18"/>
      <c r="G215" s="18"/>
      <c r="H215" s="12"/>
      <c r="I215" s="18"/>
      <c r="J215" s="18"/>
      <c r="K215" s="18"/>
      <c r="L215" s="18"/>
      <c r="M215" s="18"/>
      <c r="N215" s="18"/>
    </row>
    <row r="216" spans="1:14" ht="90" x14ac:dyDescent="0.25">
      <c r="A216" s="18"/>
      <c r="B216" s="18"/>
      <c r="C216" s="18"/>
      <c r="D216" s="18"/>
      <c r="E216" s="18"/>
      <c r="F216" s="18"/>
      <c r="G216" s="18"/>
      <c r="H216" s="12" t="s">
        <v>144</v>
      </c>
      <c r="I216" s="18"/>
      <c r="J216" s="18"/>
      <c r="K216" s="18"/>
      <c r="L216" s="18"/>
      <c r="M216" s="18"/>
      <c r="N216" s="18"/>
    </row>
    <row r="217" spans="1:14" ht="409.5" x14ac:dyDescent="0.25">
      <c r="A217" s="12" t="s">
        <v>801</v>
      </c>
      <c r="B217" s="12" t="s">
        <v>802</v>
      </c>
      <c r="C217" s="13" t="s">
        <v>6760</v>
      </c>
      <c r="D217" s="12" t="s">
        <v>389</v>
      </c>
      <c r="E217" s="12"/>
      <c r="F217" s="12"/>
      <c r="G217" s="12"/>
      <c r="H217" s="12"/>
      <c r="I217" s="12" t="s">
        <v>803</v>
      </c>
      <c r="J217" s="12"/>
      <c r="K217" s="12" t="s">
        <v>804</v>
      </c>
      <c r="L217" s="12"/>
      <c r="M217" s="12" t="str">
        <f>HYPERLINK("https://ceds.ed.gov/cedselementdetails.aspx?termid=10117")</f>
        <v>https://ceds.ed.gov/cedselementdetails.aspx?termid=10117</v>
      </c>
      <c r="N217" s="12" t="str">
        <f>HYPERLINK("https://ceds.ed.gov/elementComment.aspx?elementName=Assessment Item Interaction Type &amp;elementID=10117", "Click here to submit comment")</f>
        <v>Click here to submit comment</v>
      </c>
    </row>
    <row r="218" spans="1:14" ht="60" x14ac:dyDescent="0.25">
      <c r="A218" s="12" t="s">
        <v>805</v>
      </c>
      <c r="B218" s="12" t="s">
        <v>806</v>
      </c>
      <c r="C218" s="12" t="s">
        <v>6364</v>
      </c>
      <c r="D218" s="12" t="s">
        <v>646</v>
      </c>
      <c r="E218" s="12"/>
      <c r="F218" s="12"/>
      <c r="G218" s="12"/>
      <c r="H218" s="12"/>
      <c r="I218" s="12" t="s">
        <v>807</v>
      </c>
      <c r="J218" s="12"/>
      <c r="K218" s="12" t="s">
        <v>808</v>
      </c>
      <c r="L218" s="12"/>
      <c r="M218" s="12" t="str">
        <f>HYPERLINK("https://ceds.ed.gov/cedselementdetails.aspx?termid=10227")</f>
        <v>https://ceds.ed.gov/cedselementdetails.aspx?termid=10227</v>
      </c>
      <c r="N218" s="12" t="str">
        <f>HYPERLINK("https://ceds.ed.gov/elementComment.aspx?elementName=Assessment Item Linking Item Indicator &amp;elementID=10227", "Click here to submit comment")</f>
        <v>Click here to submit comment</v>
      </c>
    </row>
    <row r="219" spans="1:14" ht="45" x14ac:dyDescent="0.25">
      <c r="A219" s="12" t="s">
        <v>809</v>
      </c>
      <c r="B219" s="12" t="s">
        <v>810</v>
      </c>
      <c r="C219" s="12" t="s">
        <v>12</v>
      </c>
      <c r="D219" s="12" t="s">
        <v>646</v>
      </c>
      <c r="E219" s="12"/>
      <c r="F219" s="12" t="s">
        <v>68</v>
      </c>
      <c r="G219" s="12"/>
      <c r="H219" s="12"/>
      <c r="I219" s="12" t="s">
        <v>811</v>
      </c>
      <c r="J219" s="12"/>
      <c r="K219" s="12" t="s">
        <v>812</v>
      </c>
      <c r="L219" s="12"/>
      <c r="M219" s="12" t="str">
        <f>HYPERLINK("https://ceds.ed.gov/cedselementdetails.aspx?termid=9683")</f>
        <v>https://ceds.ed.gov/cedselementdetails.aspx?termid=9683</v>
      </c>
      <c r="N219" s="12" t="str">
        <f>HYPERLINK("https://ceds.ed.gov/elementComment.aspx?elementName=Assessment Item Maximum Score &amp;elementID=9683", "Click here to submit comment")</f>
        <v>Click here to submit comment</v>
      </c>
    </row>
    <row r="220" spans="1:14" ht="45" x14ac:dyDescent="0.25">
      <c r="A220" s="12" t="s">
        <v>813</v>
      </c>
      <c r="B220" s="12" t="s">
        <v>814</v>
      </c>
      <c r="C220" s="12" t="s">
        <v>12</v>
      </c>
      <c r="D220" s="12" t="s">
        <v>646</v>
      </c>
      <c r="E220" s="12"/>
      <c r="F220" s="12" t="s">
        <v>68</v>
      </c>
      <c r="G220" s="12"/>
      <c r="H220" s="12"/>
      <c r="I220" s="12" t="s">
        <v>815</v>
      </c>
      <c r="J220" s="12"/>
      <c r="K220" s="12" t="s">
        <v>816</v>
      </c>
      <c r="L220" s="12"/>
      <c r="M220" s="12" t="str">
        <f>HYPERLINK("https://ceds.ed.gov/cedselementdetails.aspx?termid=9684")</f>
        <v>https://ceds.ed.gov/cedselementdetails.aspx?termid=9684</v>
      </c>
      <c r="N220" s="12" t="str">
        <f>HYPERLINK("https://ceds.ed.gov/elementComment.aspx?elementName=Assessment Item Minimum Score &amp;elementID=9684", "Click here to submit comment")</f>
        <v>Click here to submit comment</v>
      </c>
    </row>
    <row r="221" spans="1:14" ht="45" x14ac:dyDescent="0.25">
      <c r="A221" s="12" t="s">
        <v>817</v>
      </c>
      <c r="B221" s="12" t="s">
        <v>818</v>
      </c>
      <c r="C221" s="12" t="s">
        <v>6364</v>
      </c>
      <c r="D221" s="12" t="s">
        <v>819</v>
      </c>
      <c r="E221" s="12"/>
      <c r="F221" s="12"/>
      <c r="G221" s="12"/>
      <c r="H221" s="12"/>
      <c r="I221" s="12" t="s">
        <v>820</v>
      </c>
      <c r="J221" s="12"/>
      <c r="K221" s="12" t="s">
        <v>821</v>
      </c>
      <c r="L221" s="12"/>
      <c r="M221" s="12" t="str">
        <f>HYPERLINK("https://ceds.ed.gov/cedselementdetails.aspx?termid=10183")</f>
        <v>https://ceds.ed.gov/cedselementdetails.aspx?termid=10183</v>
      </c>
      <c r="N221" s="12" t="str">
        <f>HYPERLINK("https://ceds.ed.gov/elementComment.aspx?elementName=Assessment Item Possible Response Correct Indicator &amp;elementID=10183", "Click here to submit comment")</f>
        <v>Click here to submit comment</v>
      </c>
    </row>
    <row r="222" spans="1:14" ht="120" x14ac:dyDescent="0.25">
      <c r="A222" s="12" t="s">
        <v>822</v>
      </c>
      <c r="B222" s="12" t="s">
        <v>823</v>
      </c>
      <c r="C222" s="12" t="s">
        <v>12</v>
      </c>
      <c r="D222" s="12" t="s">
        <v>819</v>
      </c>
      <c r="E222" s="12"/>
      <c r="F222" s="12" t="s">
        <v>68</v>
      </c>
      <c r="G222" s="12"/>
      <c r="H222" s="12" t="s">
        <v>824</v>
      </c>
      <c r="I222" s="12" t="s">
        <v>825</v>
      </c>
      <c r="J222" s="12"/>
      <c r="K222" s="12" t="s">
        <v>826</v>
      </c>
      <c r="L222" s="12" t="s">
        <v>827</v>
      </c>
      <c r="M222" s="12" t="str">
        <f>HYPERLINK("https://ceds.ed.gov/cedselementdetails.aspx?termid=9904")</f>
        <v>https://ceds.ed.gov/cedselementdetails.aspx?termid=9904</v>
      </c>
      <c r="N222" s="12" t="str">
        <f>HYPERLINK("https://ceds.ed.gov/elementComment.aspx?elementName=Assessment Item Possible Response Feedback Message &amp;elementID=9904", "Click here to submit comment")</f>
        <v>Click here to submit comment</v>
      </c>
    </row>
    <row r="223" spans="1:14" ht="60" x14ac:dyDescent="0.25">
      <c r="A223" s="12" t="s">
        <v>828</v>
      </c>
      <c r="B223" s="12" t="s">
        <v>829</v>
      </c>
      <c r="C223" s="12" t="s">
        <v>12</v>
      </c>
      <c r="D223" s="12" t="s">
        <v>819</v>
      </c>
      <c r="E223" s="12"/>
      <c r="F223" s="12" t="s">
        <v>327</v>
      </c>
      <c r="G223" s="12"/>
      <c r="H223" s="12"/>
      <c r="I223" s="12" t="s">
        <v>830</v>
      </c>
      <c r="J223" s="12"/>
      <c r="K223" s="12" t="s">
        <v>831</v>
      </c>
      <c r="L223" s="12"/>
      <c r="M223" s="12" t="str">
        <f>HYPERLINK("https://ceds.ed.gov/cedselementdetails.aspx?termid=10235")</f>
        <v>https://ceds.ed.gov/cedselementdetails.aspx?termid=10235</v>
      </c>
      <c r="N223" s="12" t="str">
        <f>HYPERLINK("https://ceds.ed.gov/elementComment.aspx?elementName=Assessment Item Possible Response Option &amp;elementID=10235", "Click here to submit comment")</f>
        <v>Click here to submit comment</v>
      </c>
    </row>
    <row r="224" spans="1:14" ht="45" x14ac:dyDescent="0.25">
      <c r="A224" s="12" t="s">
        <v>832</v>
      </c>
      <c r="B224" s="12" t="s">
        <v>833</v>
      </c>
      <c r="C224" s="12" t="s">
        <v>12</v>
      </c>
      <c r="D224" s="12" t="s">
        <v>819</v>
      </c>
      <c r="E224" s="12"/>
      <c r="F224" s="12" t="s">
        <v>317</v>
      </c>
      <c r="G224" s="12"/>
      <c r="H224" s="12"/>
      <c r="I224" s="12" t="s">
        <v>834</v>
      </c>
      <c r="J224" s="12"/>
      <c r="K224" s="12" t="s">
        <v>835</v>
      </c>
      <c r="L224" s="12"/>
      <c r="M224" s="12" t="str">
        <f>HYPERLINK("https://ceds.ed.gov/cedselementdetails.aspx?termid=9905")</f>
        <v>https://ceds.ed.gov/cedselementdetails.aspx?termid=9905</v>
      </c>
      <c r="N224" s="12" t="str">
        <f>HYPERLINK("https://ceds.ed.gov/elementComment.aspx?elementName=Assessment Item Possible Response Sequence Number &amp;elementID=9905", "Click here to submit comment")</f>
        <v>Click here to submit comment</v>
      </c>
    </row>
    <row r="225" spans="1:14" ht="60" x14ac:dyDescent="0.25">
      <c r="A225" s="12" t="s">
        <v>836</v>
      </c>
      <c r="B225" s="12" t="s">
        <v>837</v>
      </c>
      <c r="C225" s="12" t="s">
        <v>12</v>
      </c>
      <c r="D225" s="12" t="s">
        <v>819</v>
      </c>
      <c r="E225" s="12"/>
      <c r="F225" s="12" t="s">
        <v>68</v>
      </c>
      <c r="G225" s="12"/>
      <c r="H225" s="12"/>
      <c r="I225" s="12" t="s">
        <v>838</v>
      </c>
      <c r="J225" s="12"/>
      <c r="K225" s="12" t="s">
        <v>839</v>
      </c>
      <c r="L225" s="12"/>
      <c r="M225" s="12" t="str">
        <f>HYPERLINK("https://ceds.ed.gov/cedselementdetails.aspx?termid=9908")</f>
        <v>https://ceds.ed.gov/cedselementdetails.aspx?termid=9908</v>
      </c>
      <c r="N225" s="12" t="str">
        <f>HYPERLINK("https://ceds.ed.gov/elementComment.aspx?elementName=Assessment Item Possible Response Value &amp;elementID=9908", "Click here to submit comment")</f>
        <v>Click here to submit comment</v>
      </c>
    </row>
    <row r="226" spans="1:14" ht="45" x14ac:dyDescent="0.25">
      <c r="A226" s="12" t="s">
        <v>840</v>
      </c>
      <c r="B226" s="12" t="s">
        <v>841</v>
      </c>
      <c r="C226" s="12" t="s">
        <v>6364</v>
      </c>
      <c r="D226" s="12" t="s">
        <v>646</v>
      </c>
      <c r="E226" s="12"/>
      <c r="F226" s="12"/>
      <c r="G226" s="12"/>
      <c r="H226" s="12"/>
      <c r="I226" s="12" t="s">
        <v>842</v>
      </c>
      <c r="J226" s="12"/>
      <c r="K226" s="12" t="s">
        <v>843</v>
      </c>
      <c r="L226" s="12"/>
      <c r="M226" s="12" t="str">
        <f>HYPERLINK("https://ceds.ed.gov/cedselementdetails.aspx?termid=10229")</f>
        <v>https://ceds.ed.gov/cedselementdetails.aspx?termid=10229</v>
      </c>
      <c r="N226" s="12" t="str">
        <f>HYPERLINK("https://ceds.ed.gov/elementComment.aspx?elementName=Assessment Item Release Status &amp;elementID=10229", "Click here to submit comment")</f>
        <v>Click here to submit comment</v>
      </c>
    </row>
    <row r="227" spans="1:14" ht="60" x14ac:dyDescent="0.25">
      <c r="A227" s="12" t="s">
        <v>844</v>
      </c>
      <c r="B227" s="12" t="s">
        <v>845</v>
      </c>
      <c r="C227" s="12" t="s">
        <v>12</v>
      </c>
      <c r="D227" s="12" t="s">
        <v>846</v>
      </c>
      <c r="E227" s="12"/>
      <c r="F227" s="12" t="s">
        <v>92</v>
      </c>
      <c r="G227" s="12"/>
      <c r="H227" s="12" t="s">
        <v>847</v>
      </c>
      <c r="I227" s="12" t="s">
        <v>848</v>
      </c>
      <c r="J227" s="12"/>
      <c r="K227" s="12" t="s">
        <v>849</v>
      </c>
      <c r="L227" s="12" t="s">
        <v>6409</v>
      </c>
      <c r="M227" s="12" t="str">
        <f>HYPERLINK("https://ceds.ed.gov/cedselementdetails.aspx?termid=9397")</f>
        <v>https://ceds.ed.gov/cedselementdetails.aspx?termid=9397</v>
      </c>
      <c r="N227" s="12" t="str">
        <f>HYPERLINK("https://ceds.ed.gov/elementComment.aspx?elementName=Assessment Item Response Aid Set Used &amp;elementID=9397", "Click here to submit comment")</f>
        <v>Click here to submit comment</v>
      </c>
    </row>
    <row r="228" spans="1:14" ht="45" x14ac:dyDescent="0.25">
      <c r="A228" s="12" t="s">
        <v>850</v>
      </c>
      <c r="B228" s="12" t="s">
        <v>851</v>
      </c>
      <c r="C228" s="12" t="s">
        <v>12</v>
      </c>
      <c r="D228" s="12" t="s">
        <v>846</v>
      </c>
      <c r="E228" s="12"/>
      <c r="F228" s="12" t="s">
        <v>794</v>
      </c>
      <c r="G228" s="12"/>
      <c r="H228" s="12"/>
      <c r="I228" s="12" t="s">
        <v>852</v>
      </c>
      <c r="J228" s="12"/>
      <c r="K228" s="12" t="s">
        <v>853</v>
      </c>
      <c r="L228" s="12" t="s">
        <v>6409</v>
      </c>
      <c r="M228" s="12" t="str">
        <f>HYPERLINK("https://ceds.ed.gov/cedselementdetails.aspx?termid=9385")</f>
        <v>https://ceds.ed.gov/cedselementdetails.aspx?termid=9385</v>
      </c>
      <c r="N228" s="12" t="str">
        <f>HYPERLINK("https://ceds.ed.gov/elementComment.aspx?elementName=Assessment Item Response Choice Pattern &amp;elementID=9385", "Click here to submit comment")</f>
        <v>Click here to submit comment</v>
      </c>
    </row>
    <row r="229" spans="1:14" ht="60" x14ac:dyDescent="0.25">
      <c r="A229" s="12" t="s">
        <v>854</v>
      </c>
      <c r="B229" s="12" t="s">
        <v>855</v>
      </c>
      <c r="C229" s="12" t="s">
        <v>12</v>
      </c>
      <c r="D229" s="12" t="s">
        <v>846</v>
      </c>
      <c r="E229" s="12"/>
      <c r="F229" s="12" t="s">
        <v>68</v>
      </c>
      <c r="G229" s="12"/>
      <c r="H229" s="12"/>
      <c r="I229" s="12" t="s">
        <v>856</v>
      </c>
      <c r="J229" s="12"/>
      <c r="K229" s="12" t="s">
        <v>857</v>
      </c>
      <c r="L229" s="12" t="s">
        <v>827</v>
      </c>
      <c r="M229" s="12" t="str">
        <f>HYPERLINK("https://ceds.ed.gov/cedselementdetails.aspx?termid=9891")</f>
        <v>https://ceds.ed.gov/cedselementdetails.aspx?termid=9891</v>
      </c>
      <c r="N229" s="12" t="str">
        <f>HYPERLINK("https://ceds.ed.gov/elementComment.aspx?elementName=Assessment Item Response Descriptive Feedback &amp;elementID=9891", "Click here to submit comment")</f>
        <v>Click here to submit comment</v>
      </c>
    </row>
    <row r="230" spans="1:14" ht="60" x14ac:dyDescent="0.25">
      <c r="A230" s="12" t="s">
        <v>858</v>
      </c>
      <c r="B230" s="12" t="s">
        <v>859</v>
      </c>
      <c r="C230" s="12" t="s">
        <v>12</v>
      </c>
      <c r="D230" s="12" t="s">
        <v>846</v>
      </c>
      <c r="E230" s="12"/>
      <c r="F230" s="12" t="s">
        <v>860</v>
      </c>
      <c r="G230" s="12"/>
      <c r="H230" s="12"/>
      <c r="I230" s="12" t="s">
        <v>861</v>
      </c>
      <c r="J230" s="12"/>
      <c r="K230" s="12" t="s">
        <v>862</v>
      </c>
      <c r="L230" s="12"/>
      <c r="M230" s="12" t="str">
        <f>HYPERLINK("https://ceds.ed.gov/cedselementdetails.aspx?termid=10512")</f>
        <v>https://ceds.ed.gov/cedselementdetails.aspx?termid=10512</v>
      </c>
      <c r="N230" s="12" t="str">
        <f>HYPERLINK("https://ceds.ed.gov/elementComment.aspx?elementName=Assessment Item Response Descriptive Feedback Date &amp;elementID=10512", "Click here to submit comment")</f>
        <v>Click here to submit comment</v>
      </c>
    </row>
    <row r="231" spans="1:14" ht="60" x14ac:dyDescent="0.25">
      <c r="A231" s="12" t="s">
        <v>863</v>
      </c>
      <c r="B231" s="12" t="s">
        <v>864</v>
      </c>
      <c r="C231" s="12" t="s">
        <v>12</v>
      </c>
      <c r="D231" s="12" t="s">
        <v>846</v>
      </c>
      <c r="E231" s="12"/>
      <c r="F231" s="12" t="s">
        <v>865</v>
      </c>
      <c r="G231" s="12"/>
      <c r="H231" s="12"/>
      <c r="I231" s="12" t="s">
        <v>866</v>
      </c>
      <c r="J231" s="12"/>
      <c r="K231" s="12" t="s">
        <v>867</v>
      </c>
      <c r="L231" s="12" t="s">
        <v>6409</v>
      </c>
      <c r="M231" s="12" t="str">
        <f>HYPERLINK("https://ceds.ed.gov/cedselementdetails.aspx?termid=9394")</f>
        <v>https://ceds.ed.gov/cedselementdetails.aspx?termid=9394</v>
      </c>
      <c r="N231" s="12" t="str">
        <f>HYPERLINK("https://ceds.ed.gov/elementComment.aspx?elementName=Assessment Item Response Duration &amp;elementID=9394", "Click here to submit comment")</f>
        <v>Click here to submit comment</v>
      </c>
    </row>
    <row r="232" spans="1:14" ht="105" x14ac:dyDescent="0.25">
      <c r="A232" s="12" t="s">
        <v>868</v>
      </c>
      <c r="B232" s="12" t="s">
        <v>869</v>
      </c>
      <c r="C232" s="12" t="s">
        <v>12</v>
      </c>
      <c r="D232" s="12" t="s">
        <v>846</v>
      </c>
      <c r="E232" s="12"/>
      <c r="F232" s="12" t="s">
        <v>865</v>
      </c>
      <c r="G232" s="12"/>
      <c r="H232" s="12" t="s">
        <v>870</v>
      </c>
      <c r="I232" s="12" t="s">
        <v>871</v>
      </c>
      <c r="J232" s="12"/>
      <c r="K232" s="12" t="s">
        <v>872</v>
      </c>
      <c r="L232" s="12"/>
      <c r="M232" s="12" t="str">
        <f>HYPERLINK("https://ceds.ed.gov/cedselementdetails.aspx?termid=9958")</f>
        <v>https://ceds.ed.gov/cedselementdetails.aspx?termid=9958</v>
      </c>
      <c r="N232" s="12" t="str">
        <f>HYPERLINK("https://ceds.ed.gov/elementComment.aspx?elementName=Assessment Item Response First Attempt Duration &amp;elementID=9958", "Click here to submit comment")</f>
        <v>Click here to submit comment</v>
      </c>
    </row>
    <row r="233" spans="1:14" ht="135" x14ac:dyDescent="0.25">
      <c r="A233" s="12" t="s">
        <v>873</v>
      </c>
      <c r="B233" s="12" t="s">
        <v>874</v>
      </c>
      <c r="C233" s="12" t="s">
        <v>12</v>
      </c>
      <c r="D233" s="12" t="s">
        <v>846</v>
      </c>
      <c r="E233" s="12"/>
      <c r="F233" s="12" t="s">
        <v>317</v>
      </c>
      <c r="G233" s="12"/>
      <c r="H233" s="12"/>
      <c r="I233" s="12" t="s">
        <v>875</v>
      </c>
      <c r="J233" s="12"/>
      <c r="K233" s="12" t="s">
        <v>876</v>
      </c>
      <c r="L233" s="12"/>
      <c r="M233" s="12" t="str">
        <f>HYPERLINK("https://ceds.ed.gov/cedselementdetails.aspx?termid=9956")</f>
        <v>https://ceds.ed.gov/cedselementdetails.aspx?termid=9956</v>
      </c>
      <c r="N233" s="12" t="str">
        <f>HYPERLINK("https://ceds.ed.gov/elementComment.aspx?elementName=Assessment Item Response Hint Count &amp;elementID=9956", "Click here to submit comment")</f>
        <v>Click here to submit comment</v>
      </c>
    </row>
    <row r="234" spans="1:14" ht="135" x14ac:dyDescent="0.25">
      <c r="A234" s="12" t="s">
        <v>877</v>
      </c>
      <c r="B234" s="12" t="s">
        <v>878</v>
      </c>
      <c r="C234" s="12" t="s">
        <v>6364</v>
      </c>
      <c r="D234" s="12" t="s">
        <v>846</v>
      </c>
      <c r="E234" s="12"/>
      <c r="F234" s="12"/>
      <c r="G234" s="12"/>
      <c r="H234" s="12" t="s">
        <v>879</v>
      </c>
      <c r="I234" s="12" t="s">
        <v>880</v>
      </c>
      <c r="J234" s="12"/>
      <c r="K234" s="12" t="s">
        <v>881</v>
      </c>
      <c r="L234" s="12"/>
      <c r="M234" s="12" t="str">
        <f>HYPERLINK("https://ceds.ed.gov/cedselementdetails.aspx?termid=9957")</f>
        <v>https://ceds.ed.gov/cedselementdetails.aspx?termid=9957</v>
      </c>
      <c r="N234" s="12" t="str">
        <f>HYPERLINK("https://ceds.ed.gov/elementComment.aspx?elementName=Assessment Item Response Hint Included Answer &amp;elementID=9957", "Click here to submit comment")</f>
        <v>Click here to submit comment</v>
      </c>
    </row>
    <row r="235" spans="1:14" ht="135" x14ac:dyDescent="0.25">
      <c r="A235" s="12" t="s">
        <v>882</v>
      </c>
      <c r="B235" s="12" t="s">
        <v>883</v>
      </c>
      <c r="C235" s="12" t="s">
        <v>6364</v>
      </c>
      <c r="D235" s="12" t="s">
        <v>846</v>
      </c>
      <c r="E235" s="12"/>
      <c r="F235" s="12"/>
      <c r="G235" s="12"/>
      <c r="H235" s="12"/>
      <c r="I235" s="12" t="s">
        <v>884</v>
      </c>
      <c r="J235" s="12"/>
      <c r="K235" s="12" t="s">
        <v>885</v>
      </c>
      <c r="L235" s="12"/>
      <c r="M235" s="12" t="str">
        <f>HYPERLINK("https://ceds.ed.gov/cedselementdetails.aspx?termid=9955")</f>
        <v>https://ceds.ed.gov/cedselementdetails.aspx?termid=9955</v>
      </c>
      <c r="N235" s="12" t="str">
        <f>HYPERLINK("https://ceds.ed.gov/elementComment.aspx?elementName=Assessment Item Response Scaffolding Item Flag &amp;elementID=9955", "Click here to submit comment")</f>
        <v>Click here to submit comment</v>
      </c>
    </row>
    <row r="236" spans="1:14" ht="90" x14ac:dyDescent="0.25">
      <c r="A236" s="12" t="s">
        <v>886</v>
      </c>
      <c r="B236" s="12" t="s">
        <v>887</v>
      </c>
      <c r="C236" s="13" t="s">
        <v>6761</v>
      </c>
      <c r="D236" s="12" t="s">
        <v>846</v>
      </c>
      <c r="E236" s="12"/>
      <c r="F236" s="12"/>
      <c r="G236" s="12"/>
      <c r="H236" s="12"/>
      <c r="I236" s="12" t="s">
        <v>888</v>
      </c>
      <c r="J236" s="12"/>
      <c r="K236" s="12" t="s">
        <v>889</v>
      </c>
      <c r="L236" s="12"/>
      <c r="M236" s="12" t="str">
        <f>HYPERLINK("https://ceds.ed.gov/cedselementdetails.aspx?termid=10513")</f>
        <v>https://ceds.ed.gov/cedselementdetails.aspx?termid=10513</v>
      </c>
      <c r="N236" s="12" t="str">
        <f>HYPERLINK("https://ceds.ed.gov/elementComment.aspx?elementName=Assessment Item Response Score Status &amp;elementID=10513", "Click here to submit comment")</f>
        <v>Click here to submit comment</v>
      </c>
    </row>
    <row r="237" spans="1:14" ht="45" x14ac:dyDescent="0.25">
      <c r="A237" s="12" t="s">
        <v>890</v>
      </c>
      <c r="B237" s="12" t="s">
        <v>891</v>
      </c>
      <c r="C237" s="12" t="s">
        <v>12</v>
      </c>
      <c r="D237" s="12" t="s">
        <v>846</v>
      </c>
      <c r="E237" s="12"/>
      <c r="F237" s="12" t="s">
        <v>99</v>
      </c>
      <c r="G237" s="12"/>
      <c r="H237" s="12"/>
      <c r="I237" s="12" t="s">
        <v>892</v>
      </c>
      <c r="J237" s="12"/>
      <c r="K237" s="12" t="s">
        <v>893</v>
      </c>
      <c r="L237" s="12" t="s">
        <v>827</v>
      </c>
      <c r="M237" s="12" t="str">
        <f>HYPERLINK("https://ceds.ed.gov/cedselementdetails.aspx?termid=9700")</f>
        <v>https://ceds.ed.gov/cedselementdetails.aspx?termid=9700</v>
      </c>
      <c r="N237" s="12" t="str">
        <f>HYPERLINK("https://ceds.ed.gov/elementComment.aspx?elementName=Assessment Item Response Score Value &amp;elementID=9700", "Click here to submit comment")</f>
        <v>Click here to submit comment</v>
      </c>
    </row>
    <row r="238" spans="1:14" ht="150" x14ac:dyDescent="0.25">
      <c r="A238" s="12" t="s">
        <v>894</v>
      </c>
      <c r="B238" s="12" t="s">
        <v>895</v>
      </c>
      <c r="C238" s="12" t="s">
        <v>12</v>
      </c>
      <c r="D238" s="12" t="s">
        <v>646</v>
      </c>
      <c r="E238" s="12"/>
      <c r="F238" s="12" t="s">
        <v>68</v>
      </c>
      <c r="G238" s="12"/>
      <c r="H238" s="12" t="s">
        <v>896</v>
      </c>
      <c r="I238" s="12" t="s">
        <v>897</v>
      </c>
      <c r="J238" s="12"/>
      <c r="K238" s="12" t="s">
        <v>898</v>
      </c>
      <c r="L238" s="12"/>
      <c r="M238" s="12" t="str">
        <f>HYPERLINK("https://ceds.ed.gov/cedselementdetails.aspx?termid=9970")</f>
        <v>https://ceds.ed.gov/cedselementdetails.aspx?termid=9970</v>
      </c>
      <c r="N238" s="12" t="str">
        <f>HYPERLINK("https://ceds.ed.gov/elementComment.aspx?elementName=Assessment Item Response Security Issue &amp;elementID=9970", "Click here to submit comment")</f>
        <v>Click here to submit comment</v>
      </c>
    </row>
    <row r="239" spans="1:14" ht="45" x14ac:dyDescent="0.25">
      <c r="A239" s="12" t="s">
        <v>899</v>
      </c>
      <c r="B239" s="12" t="s">
        <v>900</v>
      </c>
      <c r="C239" s="12" t="s">
        <v>12</v>
      </c>
      <c r="D239" s="12" t="s">
        <v>846</v>
      </c>
      <c r="E239" s="12"/>
      <c r="F239" s="12" t="s">
        <v>73</v>
      </c>
      <c r="G239" s="12"/>
      <c r="H239" s="12"/>
      <c r="I239" s="12" t="s">
        <v>901</v>
      </c>
      <c r="J239" s="12"/>
      <c r="K239" s="12" t="s">
        <v>902</v>
      </c>
      <c r="L239" s="12"/>
      <c r="M239" s="12" t="str">
        <f>HYPERLINK("https://ceds.ed.gov/cedselementdetails.aspx?termid=9960")</f>
        <v>https://ceds.ed.gov/cedselementdetails.aspx?termid=9960</v>
      </c>
      <c r="N239" s="12" t="str">
        <f>HYPERLINK("https://ceds.ed.gov/elementComment.aspx?elementName=Assessment Item Response Start Date &amp;elementID=9960", "Click here to submit comment")</f>
        <v>Click here to submit comment</v>
      </c>
    </row>
    <row r="240" spans="1:14" ht="45" x14ac:dyDescent="0.25">
      <c r="A240" s="12" t="s">
        <v>903</v>
      </c>
      <c r="B240" s="12" t="s">
        <v>904</v>
      </c>
      <c r="C240" s="12" t="s">
        <v>12</v>
      </c>
      <c r="D240" s="12" t="s">
        <v>846</v>
      </c>
      <c r="E240" s="12"/>
      <c r="F240" s="12" t="s">
        <v>865</v>
      </c>
      <c r="G240" s="12"/>
      <c r="H240" s="12"/>
      <c r="I240" s="12" t="s">
        <v>905</v>
      </c>
      <c r="J240" s="12"/>
      <c r="K240" s="12" t="s">
        <v>906</v>
      </c>
      <c r="L240" s="12"/>
      <c r="M240" s="12" t="str">
        <f>HYPERLINK("https://ceds.ed.gov/cedselementdetails.aspx?termid=9959")</f>
        <v>https://ceds.ed.gov/cedselementdetails.aspx?termid=9959</v>
      </c>
      <c r="N240" s="12" t="str">
        <f>HYPERLINK("https://ceds.ed.gov/elementComment.aspx?elementName=Assessment Item Response Start Time &amp;elementID=9959", "Click here to submit comment")</f>
        <v>Click here to submit comment</v>
      </c>
    </row>
    <row r="241" spans="1:14" ht="180" x14ac:dyDescent="0.25">
      <c r="A241" s="12" t="s">
        <v>907</v>
      </c>
      <c r="B241" s="12" t="s">
        <v>908</v>
      </c>
      <c r="C241" s="13" t="s">
        <v>6762</v>
      </c>
      <c r="D241" s="12" t="s">
        <v>846</v>
      </c>
      <c r="E241" s="12"/>
      <c r="F241" s="12"/>
      <c r="G241" s="12"/>
      <c r="H241" s="12"/>
      <c r="I241" s="12" t="s">
        <v>909</v>
      </c>
      <c r="J241" s="12"/>
      <c r="K241" s="12" t="s">
        <v>910</v>
      </c>
      <c r="L241" s="12" t="s">
        <v>6409</v>
      </c>
      <c r="M241" s="12" t="str">
        <f>HYPERLINK("https://ceds.ed.gov/cedselementdetails.aspx?termid=9396")</f>
        <v>https://ceds.ed.gov/cedselementdetails.aspx?termid=9396</v>
      </c>
      <c r="N241" s="12" t="str">
        <f>HYPERLINK("https://ceds.ed.gov/elementComment.aspx?elementName=Assessment Item Response Status &amp;elementID=9396", "Click here to submit comment")</f>
        <v>Click here to submit comment</v>
      </c>
    </row>
    <row r="242" spans="1:14" ht="165" x14ac:dyDescent="0.25">
      <c r="A242" s="12" t="s">
        <v>911</v>
      </c>
      <c r="B242" s="12" t="s">
        <v>912</v>
      </c>
      <c r="C242" s="12" t="s">
        <v>12</v>
      </c>
      <c r="D242" s="12" t="s">
        <v>913</v>
      </c>
      <c r="E242" s="12"/>
      <c r="F242" s="12" t="s">
        <v>157</v>
      </c>
      <c r="G242" s="12"/>
      <c r="H242" s="12"/>
      <c r="I242" s="12" t="s">
        <v>914</v>
      </c>
      <c r="J242" s="12"/>
      <c r="K242" s="12" t="s">
        <v>915</v>
      </c>
      <c r="L242" s="12"/>
      <c r="M242" s="12" t="str">
        <f>HYPERLINK("https://ceds.ed.gov/cedselementdetails.aspx?termid=10230")</f>
        <v>https://ceds.ed.gov/cedselementdetails.aspx?termid=10230</v>
      </c>
      <c r="N242" s="12" t="str">
        <f>HYPERLINK("https://ceds.ed.gov/elementComment.aspx?elementName=Assessment Item Response Theory DIF Value &amp;elementID=10230", "Click here to submit comment")</f>
        <v>Click here to submit comment</v>
      </c>
    </row>
    <row r="243" spans="1:14" ht="90" x14ac:dyDescent="0.25">
      <c r="A243" s="12" t="s">
        <v>916</v>
      </c>
      <c r="B243" s="12" t="s">
        <v>917</v>
      </c>
      <c r="C243" s="13" t="s">
        <v>6763</v>
      </c>
      <c r="D243" s="12" t="s">
        <v>913</v>
      </c>
      <c r="E243" s="12"/>
      <c r="F243" s="12"/>
      <c r="G243" s="12"/>
      <c r="H243" s="12"/>
      <c r="I243" s="12" t="s">
        <v>918</v>
      </c>
      <c r="J243" s="12"/>
      <c r="K243" s="12" t="s">
        <v>919</v>
      </c>
      <c r="L243" s="12"/>
      <c r="M243" s="12" t="str">
        <f>HYPERLINK("https://ceds.ed.gov/cedselementdetails.aspx?termid=10232")</f>
        <v>https://ceds.ed.gov/cedselementdetails.aspx?termid=10232</v>
      </c>
      <c r="N243" s="12" t="str">
        <f>HYPERLINK("https://ceds.ed.gov/elementComment.aspx?elementName=Assessment Item Response Theory Kappa Algorithm &amp;elementID=10232", "Click here to submit comment")</f>
        <v>Click here to submit comment</v>
      </c>
    </row>
    <row r="244" spans="1:14" ht="45" x14ac:dyDescent="0.25">
      <c r="A244" s="12" t="s">
        <v>920</v>
      </c>
      <c r="B244" s="12" t="s">
        <v>921</v>
      </c>
      <c r="C244" s="12" t="s">
        <v>12</v>
      </c>
      <c r="D244" s="12" t="s">
        <v>913</v>
      </c>
      <c r="E244" s="12"/>
      <c r="F244" s="12" t="s">
        <v>157</v>
      </c>
      <c r="G244" s="12"/>
      <c r="H244" s="12"/>
      <c r="I244" s="12" t="s">
        <v>922</v>
      </c>
      <c r="J244" s="12"/>
      <c r="K244" s="12" t="s">
        <v>923</v>
      </c>
      <c r="L244" s="12"/>
      <c r="M244" s="12" t="str">
        <f>HYPERLINK("https://ceds.ed.gov/cedselementdetails.aspx?termid=10231")</f>
        <v>https://ceds.ed.gov/cedselementdetails.aspx?termid=10231</v>
      </c>
      <c r="N244" s="12" t="str">
        <f>HYPERLINK("https://ceds.ed.gov/elementComment.aspx?elementName=Assessment Item Response Theory Kappa Value &amp;elementID=10231", "Click here to submit comment")</f>
        <v>Click here to submit comment</v>
      </c>
    </row>
    <row r="245" spans="1:14" ht="120" x14ac:dyDescent="0.25">
      <c r="A245" s="12" t="s">
        <v>924</v>
      </c>
      <c r="B245" s="12" t="s">
        <v>925</v>
      </c>
      <c r="C245" s="12" t="s">
        <v>12</v>
      </c>
      <c r="D245" s="12" t="s">
        <v>913</v>
      </c>
      <c r="E245" s="12"/>
      <c r="F245" s="12" t="s">
        <v>157</v>
      </c>
      <c r="G245" s="12"/>
      <c r="H245" s="12"/>
      <c r="I245" s="12" t="s">
        <v>926</v>
      </c>
      <c r="J245" s="12"/>
      <c r="K245" s="12" t="s">
        <v>927</v>
      </c>
      <c r="L245" s="12"/>
      <c r="M245" s="12" t="str">
        <f>HYPERLINK("https://ceds.ed.gov/cedselementdetails.aspx?termid=10217")</f>
        <v>https://ceds.ed.gov/cedselementdetails.aspx?termid=10217</v>
      </c>
      <c r="N245" s="12" t="str">
        <f>HYPERLINK("https://ceds.ed.gov/elementComment.aspx?elementName=Assessment Item Response Theory Parameter A &amp;elementID=10217", "Click here to submit comment")</f>
        <v>Click here to submit comment</v>
      </c>
    </row>
    <row r="246" spans="1:14" ht="75" x14ac:dyDescent="0.25">
      <c r="A246" s="12" t="s">
        <v>928</v>
      </c>
      <c r="B246" s="12" t="s">
        <v>929</v>
      </c>
      <c r="C246" s="12" t="s">
        <v>12</v>
      </c>
      <c r="D246" s="12" t="s">
        <v>913</v>
      </c>
      <c r="E246" s="12"/>
      <c r="F246" s="12" t="s">
        <v>157</v>
      </c>
      <c r="G246" s="12"/>
      <c r="H246" s="12"/>
      <c r="I246" s="12" t="s">
        <v>930</v>
      </c>
      <c r="J246" s="12"/>
      <c r="K246" s="12" t="s">
        <v>931</v>
      </c>
      <c r="L246" s="12"/>
      <c r="M246" s="12" t="str">
        <f>HYPERLINK("https://ceds.ed.gov/cedselementdetails.aspx?termid=10218")</f>
        <v>https://ceds.ed.gov/cedselementdetails.aspx?termid=10218</v>
      </c>
      <c r="N246" s="12" t="str">
        <f>HYPERLINK("https://ceds.ed.gov/elementComment.aspx?elementName=Assessment Item Response Theory Parameter B &amp;elementID=10218", "Click here to submit comment")</f>
        <v>Click here to submit comment</v>
      </c>
    </row>
    <row r="247" spans="1:14" ht="120" x14ac:dyDescent="0.25">
      <c r="A247" s="12" t="s">
        <v>932</v>
      </c>
      <c r="B247" s="12" t="s">
        <v>933</v>
      </c>
      <c r="C247" s="12" t="s">
        <v>12</v>
      </c>
      <c r="D247" s="12" t="s">
        <v>913</v>
      </c>
      <c r="E247" s="12"/>
      <c r="F247" s="12" t="s">
        <v>157</v>
      </c>
      <c r="G247" s="12"/>
      <c r="H247" s="12"/>
      <c r="I247" s="12" t="s">
        <v>934</v>
      </c>
      <c r="J247" s="12"/>
      <c r="K247" s="12" t="s">
        <v>935</v>
      </c>
      <c r="L247" s="12"/>
      <c r="M247" s="12" t="str">
        <f>HYPERLINK("https://ceds.ed.gov/cedselementdetails.aspx?termid=10220")</f>
        <v>https://ceds.ed.gov/cedselementdetails.aspx?termid=10220</v>
      </c>
      <c r="N247" s="12" t="str">
        <f>HYPERLINK("https://ceds.ed.gov/elementComment.aspx?elementName=Assessment Item Response Theory Parameter C &amp;elementID=10220", "Click here to submit comment")</f>
        <v>Click here to submit comment</v>
      </c>
    </row>
    <row r="248" spans="1:14" ht="90" x14ac:dyDescent="0.25">
      <c r="A248" s="12" t="s">
        <v>936</v>
      </c>
      <c r="B248" s="12" t="s">
        <v>937</v>
      </c>
      <c r="C248" s="12" t="s">
        <v>12</v>
      </c>
      <c r="D248" s="12" t="s">
        <v>913</v>
      </c>
      <c r="E248" s="12"/>
      <c r="F248" s="12" t="s">
        <v>157</v>
      </c>
      <c r="G248" s="12"/>
      <c r="H248" s="12"/>
      <c r="I248" s="12" t="s">
        <v>938</v>
      </c>
      <c r="J248" s="12"/>
      <c r="K248" s="12" t="s">
        <v>939</v>
      </c>
      <c r="L248" s="12"/>
      <c r="M248" s="12" t="str">
        <f>HYPERLINK("https://ceds.ed.gov/cedselementdetails.aspx?termid=10221")</f>
        <v>https://ceds.ed.gov/cedselementdetails.aspx?termid=10221</v>
      </c>
      <c r="N248" s="12" t="str">
        <f>HYPERLINK("https://ceds.ed.gov/elementComment.aspx?elementName=Assessment Item Response Theory Parameter D1 &amp;elementID=10221", "Click here to submit comment")</f>
        <v>Click here to submit comment</v>
      </c>
    </row>
    <row r="249" spans="1:14" ht="90" x14ac:dyDescent="0.25">
      <c r="A249" s="12" t="s">
        <v>940</v>
      </c>
      <c r="B249" s="12" t="s">
        <v>941</v>
      </c>
      <c r="C249" s="12" t="s">
        <v>12</v>
      </c>
      <c r="D249" s="12" t="s">
        <v>913</v>
      </c>
      <c r="E249" s="12"/>
      <c r="F249" s="12" t="s">
        <v>157</v>
      </c>
      <c r="G249" s="12"/>
      <c r="H249" s="12"/>
      <c r="I249" s="12" t="s">
        <v>942</v>
      </c>
      <c r="J249" s="12"/>
      <c r="K249" s="12" t="s">
        <v>943</v>
      </c>
      <c r="L249" s="12"/>
      <c r="M249" s="12" t="str">
        <f>HYPERLINK("https://ceds.ed.gov/cedselementdetails.aspx?termid=10222")</f>
        <v>https://ceds.ed.gov/cedselementdetails.aspx?termid=10222</v>
      </c>
      <c r="N249" s="12" t="str">
        <f>HYPERLINK("https://ceds.ed.gov/elementComment.aspx?elementName=Assessment Item Response Theory Parameter D2 &amp;elementID=10222", "Click here to submit comment")</f>
        <v>Click here to submit comment</v>
      </c>
    </row>
    <row r="250" spans="1:14" ht="90" x14ac:dyDescent="0.25">
      <c r="A250" s="12" t="s">
        <v>944</v>
      </c>
      <c r="B250" s="12" t="s">
        <v>945</v>
      </c>
      <c r="C250" s="12" t="s">
        <v>12</v>
      </c>
      <c r="D250" s="12" t="s">
        <v>913</v>
      </c>
      <c r="E250" s="12"/>
      <c r="F250" s="12" t="s">
        <v>157</v>
      </c>
      <c r="G250" s="12"/>
      <c r="H250" s="12"/>
      <c r="I250" s="12" t="s">
        <v>946</v>
      </c>
      <c r="J250" s="12"/>
      <c r="K250" s="12" t="s">
        <v>947</v>
      </c>
      <c r="L250" s="12"/>
      <c r="M250" s="12" t="str">
        <f>HYPERLINK("https://ceds.ed.gov/cedselementdetails.aspx?termid=10223")</f>
        <v>https://ceds.ed.gov/cedselementdetails.aspx?termid=10223</v>
      </c>
      <c r="N250" s="12" t="str">
        <f>HYPERLINK("https://ceds.ed.gov/elementComment.aspx?elementName=Assessment Item Response Theory Parameter D3 &amp;elementID=10223", "Click here to submit comment")</f>
        <v>Click here to submit comment</v>
      </c>
    </row>
    <row r="251" spans="1:14" ht="90" x14ac:dyDescent="0.25">
      <c r="A251" s="12" t="s">
        <v>948</v>
      </c>
      <c r="B251" s="12" t="s">
        <v>949</v>
      </c>
      <c r="C251" s="12" t="s">
        <v>12</v>
      </c>
      <c r="D251" s="12" t="s">
        <v>913</v>
      </c>
      <c r="E251" s="12"/>
      <c r="F251" s="12" t="s">
        <v>157</v>
      </c>
      <c r="G251" s="12"/>
      <c r="H251" s="12"/>
      <c r="I251" s="12" t="s">
        <v>950</v>
      </c>
      <c r="J251" s="12"/>
      <c r="K251" s="12" t="s">
        <v>951</v>
      </c>
      <c r="L251" s="12"/>
      <c r="M251" s="12" t="str">
        <f>HYPERLINK("https://ceds.ed.gov/cedselementdetails.aspx?termid=10224")</f>
        <v>https://ceds.ed.gov/cedselementdetails.aspx?termid=10224</v>
      </c>
      <c r="N251" s="12" t="str">
        <f>HYPERLINK("https://ceds.ed.gov/elementComment.aspx?elementName=Assessment Item Response Theory Parameter D4 &amp;elementID=10224", "Click here to submit comment")</f>
        <v>Click here to submit comment</v>
      </c>
    </row>
    <row r="252" spans="1:14" ht="90" x14ac:dyDescent="0.25">
      <c r="A252" s="12" t="s">
        <v>952</v>
      </c>
      <c r="B252" s="12" t="s">
        <v>953</v>
      </c>
      <c r="C252" s="12" t="s">
        <v>12</v>
      </c>
      <c r="D252" s="12" t="s">
        <v>913</v>
      </c>
      <c r="E252" s="12"/>
      <c r="F252" s="12" t="s">
        <v>157</v>
      </c>
      <c r="G252" s="12"/>
      <c r="H252" s="12"/>
      <c r="I252" s="12" t="s">
        <v>954</v>
      </c>
      <c r="J252" s="12"/>
      <c r="K252" s="12" t="s">
        <v>955</v>
      </c>
      <c r="L252" s="12"/>
      <c r="M252" s="12" t="str">
        <f>HYPERLINK("https://ceds.ed.gov/cedselementdetails.aspx?termid=10225")</f>
        <v>https://ceds.ed.gov/cedselementdetails.aspx?termid=10225</v>
      </c>
      <c r="N252" s="12" t="str">
        <f>HYPERLINK("https://ceds.ed.gov/elementComment.aspx?elementName=Assessment Item Response Theory Parameter D5 &amp;elementID=10225", "Click here to submit comment")</f>
        <v>Click here to submit comment</v>
      </c>
    </row>
    <row r="253" spans="1:14" ht="90" x14ac:dyDescent="0.25">
      <c r="A253" s="12" t="s">
        <v>956</v>
      </c>
      <c r="B253" s="12" t="s">
        <v>957</v>
      </c>
      <c r="C253" s="12" t="s">
        <v>12</v>
      </c>
      <c r="D253" s="12" t="s">
        <v>913</v>
      </c>
      <c r="E253" s="12"/>
      <c r="F253" s="12" t="s">
        <v>157</v>
      </c>
      <c r="G253" s="12"/>
      <c r="H253" s="12"/>
      <c r="I253" s="12" t="s">
        <v>958</v>
      </c>
      <c r="J253" s="12"/>
      <c r="K253" s="12" t="s">
        <v>959</v>
      </c>
      <c r="L253" s="12"/>
      <c r="M253" s="12" t="str">
        <f>HYPERLINK("https://ceds.ed.gov/cedselementdetails.aspx?termid=10226")</f>
        <v>https://ceds.ed.gov/cedselementdetails.aspx?termid=10226</v>
      </c>
      <c r="N253" s="12" t="str">
        <f>HYPERLINK("https://ceds.ed.gov/elementComment.aspx?elementName=Assessment Item Response Theory Parameter D6 &amp;elementID=10226", "Click here to submit comment")</f>
        <v>Click here to submit comment</v>
      </c>
    </row>
    <row r="254" spans="1:14" ht="120" x14ac:dyDescent="0.25">
      <c r="A254" s="12" t="s">
        <v>960</v>
      </c>
      <c r="B254" s="12" t="s">
        <v>961</v>
      </c>
      <c r="C254" s="13" t="s">
        <v>6764</v>
      </c>
      <c r="D254" s="12" t="s">
        <v>913</v>
      </c>
      <c r="E254" s="12"/>
      <c r="F254" s="12"/>
      <c r="G254" s="12"/>
      <c r="H254" s="12"/>
      <c r="I254" s="12" t="s">
        <v>962</v>
      </c>
      <c r="J254" s="12"/>
      <c r="K254" s="12" t="s">
        <v>963</v>
      </c>
      <c r="L254" s="12"/>
      <c r="M254" s="12" t="str">
        <f>HYPERLINK("https://ceds.ed.gov/cedselementdetails.aspx?termid=10219")</f>
        <v>https://ceds.ed.gov/cedselementdetails.aspx?termid=10219</v>
      </c>
      <c r="N254" s="12" t="str">
        <f>HYPERLINK("https://ceds.ed.gov/elementComment.aspx?elementName=Assessment Item Response Theory Parameter Difficulty Category &amp;elementID=10219", "Click here to submit comment")</f>
        <v>Click here to submit comment</v>
      </c>
    </row>
    <row r="255" spans="1:14" ht="60" x14ac:dyDescent="0.25">
      <c r="A255" s="12" t="s">
        <v>964</v>
      </c>
      <c r="B255" s="12" t="s">
        <v>965</v>
      </c>
      <c r="C255" s="12" t="s">
        <v>12</v>
      </c>
      <c r="D255" s="12" t="s">
        <v>913</v>
      </c>
      <c r="E255" s="12"/>
      <c r="F255" s="12" t="s">
        <v>157</v>
      </c>
      <c r="G255" s="12"/>
      <c r="H255" s="12"/>
      <c r="I255" s="12" t="s">
        <v>966</v>
      </c>
      <c r="J255" s="12"/>
      <c r="K255" s="12" t="s">
        <v>967</v>
      </c>
      <c r="L255" s="12"/>
      <c r="M255" s="12" t="str">
        <f>HYPERLINK("https://ceds.ed.gov/cedselementdetails.aspx?termid=10228")</f>
        <v>https://ceds.ed.gov/cedselementdetails.aspx?termid=10228</v>
      </c>
      <c r="N255" s="12" t="str">
        <f>HYPERLINK("https://ceds.ed.gov/elementComment.aspx?elementName=Assessment Item Response Theory Point Biserial Correlation Value &amp;elementID=10228", "Click here to submit comment")</f>
        <v>Click here to submit comment</v>
      </c>
    </row>
    <row r="256" spans="1:14" ht="45" x14ac:dyDescent="0.25">
      <c r="A256" s="12" t="s">
        <v>968</v>
      </c>
      <c r="B256" s="12" t="s">
        <v>969</v>
      </c>
      <c r="C256" s="12" t="s">
        <v>12</v>
      </c>
      <c r="D256" s="12" t="s">
        <v>846</v>
      </c>
      <c r="E256" s="12"/>
      <c r="F256" s="12" t="s">
        <v>68</v>
      </c>
      <c r="G256" s="12"/>
      <c r="H256" s="12"/>
      <c r="I256" s="12" t="s">
        <v>970</v>
      </c>
      <c r="J256" s="12"/>
      <c r="K256" s="12" t="s">
        <v>971</v>
      </c>
      <c r="L256" s="12" t="s">
        <v>827</v>
      </c>
      <c r="M256" s="12" t="str">
        <f>HYPERLINK("https://ceds.ed.gov/cedselementdetails.aspx?termid=10069")</f>
        <v>https://ceds.ed.gov/cedselementdetails.aspx?termid=10069</v>
      </c>
      <c r="N256" s="12" t="str">
        <f>HYPERLINK("https://ceds.ed.gov/elementComment.aspx?elementName=Assessment Item Response Value &amp;elementID=10069", "Click here to submit comment")</f>
        <v>Click here to submit comment</v>
      </c>
    </row>
    <row r="257" spans="1:14" ht="60" x14ac:dyDescent="0.25">
      <c r="A257" s="12" t="s">
        <v>972</v>
      </c>
      <c r="B257" s="12" t="s">
        <v>973</v>
      </c>
      <c r="C257" s="12" t="s">
        <v>12</v>
      </c>
      <c r="D257" s="12" t="s">
        <v>641</v>
      </c>
      <c r="E257" s="12"/>
      <c r="F257" s="12" t="s">
        <v>327</v>
      </c>
      <c r="G257" s="12"/>
      <c r="H257" s="12" t="s">
        <v>974</v>
      </c>
      <c r="I257" s="12" t="s">
        <v>975</v>
      </c>
      <c r="J257" s="12"/>
      <c r="K257" s="12" t="s">
        <v>976</v>
      </c>
      <c r="L257" s="12"/>
      <c r="M257" s="12" t="str">
        <f>HYPERLINK("https://ceds.ed.gov/cedselementdetails.aspx?termid=10250")</f>
        <v>https://ceds.ed.gov/cedselementdetails.aspx?termid=10250</v>
      </c>
      <c r="N257" s="12" t="str">
        <f>HYPERLINK("https://ceds.ed.gov/elementComment.aspx?elementName=Assessment Item Result XML &amp;elementID=10250", "Click here to submit comment")</f>
        <v>Click here to submit comment</v>
      </c>
    </row>
    <row r="258" spans="1:14" ht="45" x14ac:dyDescent="0.25">
      <c r="A258" s="12" t="s">
        <v>977</v>
      </c>
      <c r="B258" s="12" t="s">
        <v>978</v>
      </c>
      <c r="C258" s="12" t="s">
        <v>12</v>
      </c>
      <c r="D258" s="12" t="s">
        <v>646</v>
      </c>
      <c r="E258" s="12"/>
      <c r="F258" s="12" t="s">
        <v>327</v>
      </c>
      <c r="G258" s="12"/>
      <c r="H258" s="12"/>
      <c r="I258" s="12" t="s">
        <v>979</v>
      </c>
      <c r="J258" s="12"/>
      <c r="K258" s="12" t="s">
        <v>980</v>
      </c>
      <c r="L258" s="12" t="s">
        <v>6409</v>
      </c>
      <c r="M258" s="12" t="str">
        <f>HYPERLINK("https://ceds.ed.gov/cedselementdetails.aspx?termid=9392")</f>
        <v>https://ceds.ed.gov/cedselementdetails.aspx?termid=9392</v>
      </c>
      <c r="N258" s="12" t="str">
        <f>HYPERLINK("https://ceds.ed.gov/elementComment.aspx?elementName=Assessment Item Stem &amp;elementID=9392", "Click here to submit comment")</f>
        <v>Click here to submit comment</v>
      </c>
    </row>
    <row r="259" spans="1:14" ht="90" x14ac:dyDescent="0.25">
      <c r="A259" s="12" t="s">
        <v>981</v>
      </c>
      <c r="B259" s="12" t="s">
        <v>982</v>
      </c>
      <c r="C259" s="12" t="s">
        <v>12</v>
      </c>
      <c r="D259" s="12" t="s">
        <v>646</v>
      </c>
      <c r="E259" s="12"/>
      <c r="F259" s="12" t="s">
        <v>327</v>
      </c>
      <c r="G259" s="12"/>
      <c r="H259" s="12"/>
      <c r="I259" s="12" t="s">
        <v>983</v>
      </c>
      <c r="J259" s="12"/>
      <c r="K259" s="12" t="s">
        <v>984</v>
      </c>
      <c r="L259" s="12"/>
      <c r="M259" s="12" t="str">
        <f>HYPERLINK("https://ceds.ed.gov/cedselementdetails.aspx?termid=10234")</f>
        <v>https://ceds.ed.gov/cedselementdetails.aspx?termid=10234</v>
      </c>
      <c r="N259" s="12" t="str">
        <f>HYPERLINK("https://ceds.ed.gov/elementComment.aspx?elementName=Assessment Item Stimulus &amp;elementID=10234", "Click here to submit comment")</f>
        <v>Click here to submit comment</v>
      </c>
    </row>
    <row r="260" spans="1:14" ht="300" x14ac:dyDescent="0.25">
      <c r="A260" s="12" t="s">
        <v>985</v>
      </c>
      <c r="B260" s="12" t="s">
        <v>986</v>
      </c>
      <c r="C260" s="13" t="s">
        <v>6765</v>
      </c>
      <c r="D260" s="12" t="s">
        <v>646</v>
      </c>
      <c r="E260" s="12"/>
      <c r="F260" s="12"/>
      <c r="G260" s="12"/>
      <c r="H260" s="12"/>
      <c r="I260" s="12" t="s">
        <v>987</v>
      </c>
      <c r="J260" s="12"/>
      <c r="K260" s="12" t="s">
        <v>988</v>
      </c>
      <c r="L260" s="12"/>
      <c r="M260" s="12" t="str">
        <f>HYPERLINK("https://ceds.ed.gov/cedselementdetails.aspx?termid=9907")</f>
        <v>https://ceds.ed.gov/cedselementdetails.aspx?termid=9907</v>
      </c>
      <c r="N260" s="12" t="str">
        <f>HYPERLINK("https://ceds.ed.gov/elementComment.aspx?elementName=Assessment Item Text Complexity System &amp;elementID=9907", "Click here to submit comment")</f>
        <v>Click here to submit comment</v>
      </c>
    </row>
    <row r="261" spans="1:14" ht="75" x14ac:dyDescent="0.25">
      <c r="A261" s="12" t="s">
        <v>989</v>
      </c>
      <c r="B261" s="12" t="s">
        <v>990</v>
      </c>
      <c r="C261" s="12" t="s">
        <v>12</v>
      </c>
      <c r="D261" s="12" t="s">
        <v>646</v>
      </c>
      <c r="E261" s="12"/>
      <c r="F261" s="12" t="s">
        <v>92</v>
      </c>
      <c r="G261" s="12"/>
      <c r="H261" s="12"/>
      <c r="I261" s="12" t="s">
        <v>991</v>
      </c>
      <c r="J261" s="12"/>
      <c r="K261" s="12" t="s">
        <v>992</v>
      </c>
      <c r="L261" s="12"/>
      <c r="M261" s="12" t="str">
        <f>HYPERLINK("https://ceds.ed.gov/cedselementdetails.aspx?termid=9906")</f>
        <v>https://ceds.ed.gov/cedselementdetails.aspx?termid=9906</v>
      </c>
      <c r="N261" s="12" t="str">
        <f>HYPERLINK("https://ceds.ed.gov/elementComment.aspx?elementName=Assessment Item Text Complexity Value &amp;elementID=9906", "Click here to submit comment")</f>
        <v>Click here to submit comment</v>
      </c>
    </row>
    <row r="262" spans="1:14" ht="315" x14ac:dyDescent="0.25">
      <c r="A262" s="12" t="s">
        <v>993</v>
      </c>
      <c r="B262" s="12" t="s">
        <v>994</v>
      </c>
      <c r="C262" s="13" t="s">
        <v>6766</v>
      </c>
      <c r="D262" s="12" t="s">
        <v>646</v>
      </c>
      <c r="E262" s="12"/>
      <c r="F262" s="12"/>
      <c r="G262" s="12"/>
      <c r="H262" s="12"/>
      <c r="I262" s="12" t="s">
        <v>995</v>
      </c>
      <c r="J262" s="12"/>
      <c r="K262" s="12" t="s">
        <v>996</v>
      </c>
      <c r="L262" s="12" t="s">
        <v>6409</v>
      </c>
      <c r="M262" s="12" t="str">
        <f>HYPERLINK("https://ceds.ed.gov/cedselementdetails.aspx?termid=9382")</f>
        <v>https://ceds.ed.gov/cedselementdetails.aspx?termid=9382</v>
      </c>
      <c r="N262" s="12" t="str">
        <f>HYPERLINK("https://ceds.ed.gov/elementComment.aspx?elementName=Assessment Item Type &amp;elementID=9382", "Click here to submit comment")</f>
        <v>Click here to submit comment</v>
      </c>
    </row>
    <row r="263" spans="1:14" ht="90" x14ac:dyDescent="0.25">
      <c r="A263" s="12" t="s">
        <v>997</v>
      </c>
      <c r="B263" s="12" t="s">
        <v>998</v>
      </c>
      <c r="C263" s="14" t="s">
        <v>999</v>
      </c>
      <c r="D263" s="12" t="s">
        <v>529</v>
      </c>
      <c r="E263" s="12" t="s">
        <v>98</v>
      </c>
      <c r="F263" s="12"/>
      <c r="G263" s="12"/>
      <c r="H263" s="14" t="s">
        <v>1000</v>
      </c>
      <c r="I263" s="12" t="s">
        <v>1001</v>
      </c>
      <c r="J263" s="12"/>
      <c r="K263" s="12" t="s">
        <v>1002</v>
      </c>
      <c r="L263" s="12"/>
      <c r="M263" s="12" t="str">
        <f>HYPERLINK("https://ceds.ed.gov/cedselementdetails.aspx?termid=10073")</f>
        <v>https://ceds.ed.gov/cedselementdetails.aspx?termid=10073</v>
      </c>
      <c r="N263" s="12" t="str">
        <f>HYPERLINK("https://ceds.ed.gov/elementComment.aspx?elementName=Assessment Language &amp;elementID=10073", "Click here to submit comment")</f>
        <v>Click here to submit comment</v>
      </c>
    </row>
    <row r="264" spans="1:14" ht="360" x14ac:dyDescent="0.25">
      <c r="A264" s="12" t="s">
        <v>1003</v>
      </c>
      <c r="B264" s="12" t="s">
        <v>1004</v>
      </c>
      <c r="C264" s="13" t="s">
        <v>6767</v>
      </c>
      <c r="D264" s="12" t="s">
        <v>6410</v>
      </c>
      <c r="E264" s="12"/>
      <c r="F264" s="12"/>
      <c r="G264" s="12"/>
      <c r="H264" s="12"/>
      <c r="I264" s="12" t="s">
        <v>1005</v>
      </c>
      <c r="J264" s="12"/>
      <c r="K264" s="12" t="s">
        <v>1006</v>
      </c>
      <c r="L264" s="12" t="s">
        <v>6411</v>
      </c>
      <c r="M264" s="12" t="str">
        <f>HYPERLINK("https://ceds.ed.gov/cedselementdetails.aspx?termid=9177")</f>
        <v>https://ceds.ed.gov/cedselementdetails.aspx?termid=9177</v>
      </c>
      <c r="N264" s="12" t="str">
        <f>HYPERLINK("https://ceds.ed.gov/elementComment.aspx?elementName=Assessment Level for Which Designed &amp;elementID=9177", "Click here to submit comment")</f>
        <v>Click here to submit comment</v>
      </c>
    </row>
    <row r="265" spans="1:14" ht="90" x14ac:dyDescent="0.25">
      <c r="A265" s="12" t="s">
        <v>1007</v>
      </c>
      <c r="B265" s="12" t="s">
        <v>1008</v>
      </c>
      <c r="C265" s="13" t="s">
        <v>6768</v>
      </c>
      <c r="D265" s="12" t="s">
        <v>1009</v>
      </c>
      <c r="E265" s="12"/>
      <c r="F265" s="12"/>
      <c r="G265" s="12"/>
      <c r="H265" s="12"/>
      <c r="I265" s="12" t="s">
        <v>1010</v>
      </c>
      <c r="J265" s="12"/>
      <c r="K265" s="12" t="s">
        <v>1011</v>
      </c>
      <c r="L265" s="12"/>
      <c r="M265" s="12" t="str">
        <f>HYPERLINK("https://ceds.ed.gov/cedselementdetails.aspx?termid=10045")</f>
        <v>https://ceds.ed.gov/cedselementdetails.aspx?termid=10045</v>
      </c>
      <c r="N265" s="12" t="str">
        <f>HYPERLINK("https://ceds.ed.gov/elementComment.aspx?elementName=Assessment Need Alternative Representation Type &amp;elementID=10045", "Click here to submit comment")</f>
        <v>Click here to submit comment</v>
      </c>
    </row>
    <row r="266" spans="1:14" ht="60" x14ac:dyDescent="0.25">
      <c r="A266" s="12" t="s">
        <v>1012</v>
      </c>
      <c r="B266" s="12" t="s">
        <v>1013</v>
      </c>
      <c r="C266" s="12" t="s">
        <v>12</v>
      </c>
      <c r="D266" s="12" t="s">
        <v>1014</v>
      </c>
      <c r="E266" s="12"/>
      <c r="F266" s="12" t="s">
        <v>1015</v>
      </c>
      <c r="G266" s="12"/>
      <c r="H266" s="12"/>
      <c r="I266" s="12" t="s">
        <v>1016</v>
      </c>
      <c r="J266" s="12"/>
      <c r="K266" s="12" t="s">
        <v>1017</v>
      </c>
      <c r="L266" s="12"/>
      <c r="M266" s="12" t="str">
        <f>HYPERLINK("https://ceds.ed.gov/cedselementdetails.aspx?termid=10059")</f>
        <v>https://ceds.ed.gov/cedselementdetails.aspx?termid=10059</v>
      </c>
      <c r="N266" s="12" t="str">
        <f>HYPERLINK("https://ceds.ed.gov/elementComment.aspx?elementName=Assessment Need Background Color &amp;elementID=10059", "Click here to submit comment")</f>
        <v>Click here to submit comment</v>
      </c>
    </row>
    <row r="267" spans="1:14" ht="45" x14ac:dyDescent="0.25">
      <c r="A267" s="12" t="s">
        <v>1018</v>
      </c>
      <c r="B267" s="12" t="s">
        <v>1019</v>
      </c>
      <c r="C267" s="12" t="s">
        <v>12</v>
      </c>
      <c r="D267" s="12" t="s">
        <v>1020</v>
      </c>
      <c r="E267" s="12"/>
      <c r="F267" s="12" t="s">
        <v>1021</v>
      </c>
      <c r="G267" s="12"/>
      <c r="H267" s="12"/>
      <c r="I267" s="12" t="s">
        <v>1022</v>
      </c>
      <c r="J267" s="12"/>
      <c r="K267" s="12" t="s">
        <v>1023</v>
      </c>
      <c r="L267" s="12"/>
      <c r="M267" s="12" t="str">
        <f>HYPERLINK("https://ceds.ed.gov/cedselementdetails.aspx?termid=10040")</f>
        <v>https://ceds.ed.gov/cedselementdetails.aspx?termid=10040</v>
      </c>
      <c r="N267" s="12" t="str">
        <f>HYPERLINK("https://ceds.ed.gov/elementComment.aspx?elementName=Assessment Need Braille Dot Pressure &amp;elementID=10040", "Click here to submit comment")</f>
        <v>Click here to submit comment</v>
      </c>
    </row>
    <row r="268" spans="1:14" ht="60" x14ac:dyDescent="0.25">
      <c r="A268" s="12" t="s">
        <v>1024</v>
      </c>
      <c r="B268" s="12" t="s">
        <v>1025</v>
      </c>
      <c r="C268" s="13" t="s">
        <v>6769</v>
      </c>
      <c r="D268" s="12" t="s">
        <v>1020</v>
      </c>
      <c r="E268" s="12"/>
      <c r="F268" s="12"/>
      <c r="G268" s="12"/>
      <c r="H268" s="12"/>
      <c r="I268" s="12" t="s">
        <v>1026</v>
      </c>
      <c r="J268" s="12"/>
      <c r="K268" s="12" t="s">
        <v>1027</v>
      </c>
      <c r="L268" s="12"/>
      <c r="M268" s="12" t="str">
        <f>HYPERLINK("https://ceds.ed.gov/cedselementdetails.aspx?termid=10035")</f>
        <v>https://ceds.ed.gov/cedselementdetails.aspx?termid=10035</v>
      </c>
      <c r="N268" s="12" t="str">
        <f>HYPERLINK("https://ceds.ed.gov/elementComment.aspx?elementName=Assessment Need Braille Grade Type &amp;elementID=10035", "Click here to submit comment")</f>
        <v>Click here to submit comment</v>
      </c>
    </row>
    <row r="269" spans="1:14" ht="105" x14ac:dyDescent="0.25">
      <c r="A269" s="12" t="s">
        <v>1028</v>
      </c>
      <c r="B269" s="12" t="s">
        <v>1029</v>
      </c>
      <c r="C269" s="13" t="s">
        <v>6770</v>
      </c>
      <c r="D269" s="12" t="s">
        <v>1020</v>
      </c>
      <c r="E269" s="12"/>
      <c r="F269" s="12"/>
      <c r="G269" s="12"/>
      <c r="H269" s="12"/>
      <c r="I269" s="12" t="s">
        <v>1030</v>
      </c>
      <c r="J269" s="12"/>
      <c r="K269" s="12" t="s">
        <v>1031</v>
      </c>
      <c r="L269" s="12"/>
      <c r="M269" s="12" t="str">
        <f>HYPERLINK("https://ceds.ed.gov/cedselementdetails.aspx?termid=10038")</f>
        <v>https://ceds.ed.gov/cedselementdetails.aspx?termid=10038</v>
      </c>
      <c r="N269" s="12" t="str">
        <f>HYPERLINK("https://ceds.ed.gov/elementComment.aspx?elementName=Assessment Need Braille Mark Type &amp;elementID=10038", "Click here to submit comment")</f>
        <v>Click here to submit comment</v>
      </c>
    </row>
    <row r="270" spans="1:14" ht="60" x14ac:dyDescent="0.25">
      <c r="A270" s="12" t="s">
        <v>1032</v>
      </c>
      <c r="B270" s="12" t="s">
        <v>1033</v>
      </c>
      <c r="C270" s="13" t="s">
        <v>6771</v>
      </c>
      <c r="D270" s="12" t="s">
        <v>1020</v>
      </c>
      <c r="E270" s="12"/>
      <c r="F270" s="12"/>
      <c r="G270" s="12"/>
      <c r="H270" s="12"/>
      <c r="I270" s="12" t="s">
        <v>1034</v>
      </c>
      <c r="J270" s="12"/>
      <c r="K270" s="12" t="s">
        <v>1035</v>
      </c>
      <c r="L270" s="12"/>
      <c r="M270" s="12" t="str">
        <f>HYPERLINK("https://ceds.ed.gov/cedselementdetails.aspx?termid=10041")</f>
        <v>https://ceds.ed.gov/cedselementdetails.aspx?termid=10041</v>
      </c>
      <c r="N270" s="12" t="str">
        <f>HYPERLINK("https://ceds.ed.gov/elementComment.aspx?elementName=Assessment Need Braille Status Cell Type &amp;elementID=10041", "Click here to submit comment")</f>
        <v>Click here to submit comment</v>
      </c>
    </row>
    <row r="271" spans="1:14" ht="75" x14ac:dyDescent="0.25">
      <c r="A271" s="12" t="s">
        <v>1036</v>
      </c>
      <c r="B271" s="12" t="s">
        <v>1037</v>
      </c>
      <c r="C271" s="12" t="s">
        <v>6364</v>
      </c>
      <c r="D271" s="12" t="s">
        <v>1009</v>
      </c>
      <c r="E271" s="12"/>
      <c r="F271" s="12"/>
      <c r="G271" s="12"/>
      <c r="H271" s="12"/>
      <c r="I271" s="12" t="s">
        <v>1038</v>
      </c>
      <c r="J271" s="12"/>
      <c r="K271" s="12" t="s">
        <v>1039</v>
      </c>
      <c r="L271" s="12"/>
      <c r="M271" s="12" t="str">
        <f>HYPERLINK("https://ceds.ed.gov/cedselementdetails.aspx?termid=10050")</f>
        <v>https://ceds.ed.gov/cedselementdetails.aspx?termid=10050</v>
      </c>
      <c r="N271" s="12" t="str">
        <f>HYPERLINK("https://ceds.ed.gov/elementComment.aspx?elementName=Assessment Need Directions Only &amp;elementID=10050", "Click here to submit comment")</f>
        <v>Click here to submit comment</v>
      </c>
    </row>
    <row r="272" spans="1:14" ht="60" x14ac:dyDescent="0.25">
      <c r="A272" s="12" t="s">
        <v>1040</v>
      </c>
      <c r="B272" s="12" t="s">
        <v>1041</v>
      </c>
      <c r="C272" s="12" t="s">
        <v>12</v>
      </c>
      <c r="D272" s="12" t="s">
        <v>1014</v>
      </c>
      <c r="E272" s="12"/>
      <c r="F272" s="12" t="s">
        <v>1015</v>
      </c>
      <c r="G272" s="12"/>
      <c r="H272" s="12"/>
      <c r="I272" s="12" t="s">
        <v>1042</v>
      </c>
      <c r="J272" s="12"/>
      <c r="K272" s="12" t="s">
        <v>1043</v>
      </c>
      <c r="L272" s="12"/>
      <c r="M272" s="12" t="str">
        <f>HYPERLINK("https://ceds.ed.gov/cedselementdetails.aspx?termid=10058")</f>
        <v>https://ceds.ed.gov/cedselementdetails.aspx?termid=10058</v>
      </c>
      <c r="N272" s="12" t="str">
        <f>HYPERLINK("https://ceds.ed.gov/elementComment.aspx?elementName=Assessment Need Foreground Color &amp;elementID=10058", "Click here to submit comment")</f>
        <v>Click here to submit comment</v>
      </c>
    </row>
    <row r="273" spans="1:14" ht="75" x14ac:dyDescent="0.25">
      <c r="A273" s="12" t="s">
        <v>1044</v>
      </c>
      <c r="B273" s="12" t="s">
        <v>1045</v>
      </c>
      <c r="C273" s="13" t="s">
        <v>6772</v>
      </c>
      <c r="D273" s="12" t="s">
        <v>1009</v>
      </c>
      <c r="E273" s="12"/>
      <c r="F273" s="12"/>
      <c r="G273" s="12"/>
      <c r="H273" s="12"/>
      <c r="I273" s="12" t="s">
        <v>1046</v>
      </c>
      <c r="J273" s="12"/>
      <c r="K273" s="12" t="s">
        <v>1047</v>
      </c>
      <c r="L273" s="12"/>
      <c r="M273" s="12" t="str">
        <f>HYPERLINK("https://ceds.ed.gov/cedselementdetails.aspx?termid=10026")</f>
        <v>https://ceds.ed.gov/cedselementdetails.aspx?termid=10026</v>
      </c>
      <c r="N273" s="12" t="str">
        <f>HYPERLINK("https://ceds.ed.gov/elementComment.aspx?elementName=Assessment Need Hazard Type &amp;elementID=10026", "Click here to submit comment")</f>
        <v>Click here to submit comment</v>
      </c>
    </row>
    <row r="274" spans="1:14" ht="60" x14ac:dyDescent="0.25">
      <c r="A274" s="12" t="s">
        <v>1048</v>
      </c>
      <c r="B274" s="12" t="s">
        <v>1049</v>
      </c>
      <c r="C274" s="13" t="s">
        <v>6773</v>
      </c>
      <c r="D274" s="12" t="s">
        <v>1014</v>
      </c>
      <c r="E274" s="12"/>
      <c r="F274" s="12"/>
      <c r="G274" s="12"/>
      <c r="H274" s="12"/>
      <c r="I274" s="12" t="s">
        <v>1050</v>
      </c>
      <c r="J274" s="12"/>
      <c r="K274" s="12" t="s">
        <v>1051</v>
      </c>
      <c r="L274" s="12"/>
      <c r="M274" s="12" t="str">
        <f>HYPERLINK("https://ceds.ed.gov/cedselementdetails.aspx?termid=10060")</f>
        <v>https://ceds.ed.gov/cedselementdetails.aspx?termid=10060</v>
      </c>
      <c r="N274" s="12" t="str">
        <f>HYPERLINK("https://ceds.ed.gov/elementComment.aspx?elementName=Assessment Need Increased Whitespacing Type &amp;elementID=10060", "Click here to submit comment")</f>
        <v>Click here to submit comment</v>
      </c>
    </row>
    <row r="275" spans="1:14" ht="60" x14ac:dyDescent="0.25">
      <c r="A275" s="12" t="s">
        <v>1052</v>
      </c>
      <c r="B275" s="12" t="s">
        <v>1053</v>
      </c>
      <c r="C275" s="12" t="s">
        <v>6364</v>
      </c>
      <c r="D275" s="12" t="s">
        <v>1020</v>
      </c>
      <c r="E275" s="12"/>
      <c r="F275" s="12"/>
      <c r="G275" s="12"/>
      <c r="H275" s="12"/>
      <c r="I275" s="12" t="s">
        <v>1054</v>
      </c>
      <c r="J275" s="12"/>
      <c r="K275" s="12" t="s">
        <v>1055</v>
      </c>
      <c r="L275" s="12"/>
      <c r="M275" s="12" t="str">
        <f>HYPERLINK("https://ceds.ed.gov/cedselementdetails.aspx?termid=10033")</f>
        <v>https://ceds.ed.gov/cedselementdetails.aspx?termid=10033</v>
      </c>
      <c r="N275" s="12" t="str">
        <f>HYPERLINK("https://ceds.ed.gov/elementComment.aspx?elementName=Assessment Need Invert Color Choice &amp;elementID=10033", "Click here to submit comment")</f>
        <v>Click here to submit comment</v>
      </c>
    </row>
    <row r="276" spans="1:14" ht="90" x14ac:dyDescent="0.25">
      <c r="A276" s="12" t="s">
        <v>1056</v>
      </c>
      <c r="B276" s="12" t="s">
        <v>1057</v>
      </c>
      <c r="C276" s="14" t="s">
        <v>999</v>
      </c>
      <c r="D276" s="12" t="s">
        <v>1009</v>
      </c>
      <c r="E276" s="12" t="s">
        <v>98</v>
      </c>
      <c r="F276" s="12"/>
      <c r="G276" s="12"/>
      <c r="H276" s="14" t="s">
        <v>1000</v>
      </c>
      <c r="I276" s="12" t="s">
        <v>1058</v>
      </c>
      <c r="J276" s="12"/>
      <c r="K276" s="12" t="s">
        <v>1059</v>
      </c>
      <c r="L276" s="12"/>
      <c r="M276" s="12" t="str">
        <f>HYPERLINK("https://ceds.ed.gov/cedselementdetails.aspx?termid=10042")</f>
        <v>https://ceds.ed.gov/cedselementdetails.aspx?termid=10042</v>
      </c>
      <c r="N276" s="12" t="str">
        <f>HYPERLINK("https://ceds.ed.gov/elementComment.aspx?elementName=Assessment Need Item Translation Display Language Type &amp;elementID=10042", "Click here to submit comment")</f>
        <v>Click here to submit comment</v>
      </c>
    </row>
    <row r="277" spans="1:14" ht="90" x14ac:dyDescent="0.25">
      <c r="A277" s="12" t="s">
        <v>1060</v>
      </c>
      <c r="B277" s="12" t="s">
        <v>1061</v>
      </c>
      <c r="C277" s="14" t="s">
        <v>999</v>
      </c>
      <c r="D277" s="12" t="s">
        <v>1009</v>
      </c>
      <c r="E277" s="12" t="s">
        <v>98</v>
      </c>
      <c r="F277" s="12"/>
      <c r="G277" s="12"/>
      <c r="H277" s="14" t="s">
        <v>1000</v>
      </c>
      <c r="I277" s="12" t="s">
        <v>1062</v>
      </c>
      <c r="J277" s="12"/>
      <c r="K277" s="12" t="s">
        <v>1063</v>
      </c>
      <c r="L277" s="12"/>
      <c r="M277" s="12" t="str">
        <f>HYPERLINK("https://ceds.ed.gov/cedselementdetails.aspx?termid=10043")</f>
        <v>https://ceds.ed.gov/cedselementdetails.aspx?termid=10043</v>
      </c>
      <c r="N277" s="12" t="str">
        <f>HYPERLINK("https://ceds.ed.gov/elementComment.aspx?elementName=Assessment Need Keyword Translation Language Type &amp;elementID=10043", "Click here to submit comment")</f>
        <v>Click here to submit comment</v>
      </c>
    </row>
    <row r="278" spans="1:14" ht="90" x14ac:dyDescent="0.25">
      <c r="A278" s="12" t="s">
        <v>1064</v>
      </c>
      <c r="B278" s="12" t="s">
        <v>1065</v>
      </c>
      <c r="C278" s="14" t="s">
        <v>999</v>
      </c>
      <c r="D278" s="12" t="s">
        <v>1066</v>
      </c>
      <c r="E278" s="12" t="s">
        <v>98</v>
      </c>
      <c r="F278" s="12"/>
      <c r="G278" s="12"/>
      <c r="H278" s="14" t="s">
        <v>1000</v>
      </c>
      <c r="I278" s="12" t="s">
        <v>1067</v>
      </c>
      <c r="J278" s="12"/>
      <c r="K278" s="12" t="s">
        <v>1068</v>
      </c>
      <c r="L278" s="12"/>
      <c r="M278" s="12" t="str">
        <f>HYPERLINK("https://ceds.ed.gov/cedselementdetails.aspx?termid=10025")</f>
        <v>https://ceds.ed.gov/cedselementdetails.aspx?termid=10025</v>
      </c>
      <c r="N278" s="12" t="str">
        <f>HYPERLINK("https://ceds.ed.gov/elementComment.aspx?elementName=Assessment Need Language Type &amp;elementID=10025", "Click here to submit comment")</f>
        <v>Click here to submit comment</v>
      </c>
    </row>
    <row r="279" spans="1:14" ht="60" x14ac:dyDescent="0.25">
      <c r="A279" s="12" t="s">
        <v>1069</v>
      </c>
      <c r="B279" s="12" t="s">
        <v>1070</v>
      </c>
      <c r="C279" s="12" t="s">
        <v>12</v>
      </c>
      <c r="D279" s="12" t="s">
        <v>1020</v>
      </c>
      <c r="E279" s="12"/>
      <c r="F279" s="12" t="s">
        <v>1015</v>
      </c>
      <c r="G279" s="12"/>
      <c r="H279" s="12"/>
      <c r="I279" s="12" t="s">
        <v>1071</v>
      </c>
      <c r="J279" s="12"/>
      <c r="K279" s="12" t="s">
        <v>1072</v>
      </c>
      <c r="L279" s="12"/>
      <c r="M279" s="12" t="str">
        <f>HYPERLINK("https://ceds.ed.gov/cedselementdetails.aspx?termid=10056")</f>
        <v>https://ceds.ed.gov/cedselementdetails.aspx?termid=10056</v>
      </c>
      <c r="N279" s="12" t="str">
        <f>HYPERLINK("https://ceds.ed.gov/elementComment.aspx?elementName=Assessment Need Line Reader Highlight Color &amp;elementID=10056", "Click here to submit comment")</f>
        <v>Click here to submit comment</v>
      </c>
    </row>
    <row r="280" spans="1:14" ht="75" x14ac:dyDescent="0.25">
      <c r="A280" s="12" t="s">
        <v>1073</v>
      </c>
      <c r="B280" s="12" t="s">
        <v>1074</v>
      </c>
      <c r="C280" s="13" t="s">
        <v>6774</v>
      </c>
      <c r="D280" s="12" t="s">
        <v>1020</v>
      </c>
      <c r="E280" s="12"/>
      <c r="F280" s="12"/>
      <c r="G280" s="12"/>
      <c r="H280" s="12"/>
      <c r="I280" s="12" t="s">
        <v>1075</v>
      </c>
      <c r="J280" s="12"/>
      <c r="K280" s="12" t="s">
        <v>1076</v>
      </c>
      <c r="L280" s="12"/>
      <c r="M280" s="12" t="str">
        <f>HYPERLINK("https://ceds.ed.gov/cedselementdetails.aspx?termid=10029")</f>
        <v>https://ceds.ed.gov/cedselementdetails.aspx?termid=10029</v>
      </c>
      <c r="N280" s="12" t="str">
        <f>HYPERLINK("https://ceds.ed.gov/elementComment.aspx?elementName=Assessment Need Link Indication Type &amp;elementID=10029", "Click here to submit comment")</f>
        <v>Click here to submit comment</v>
      </c>
    </row>
    <row r="281" spans="1:14" ht="60" x14ac:dyDescent="0.25">
      <c r="A281" s="12" t="s">
        <v>1077</v>
      </c>
      <c r="B281" s="12" t="s">
        <v>1078</v>
      </c>
      <c r="C281" s="12" t="s">
        <v>12</v>
      </c>
      <c r="D281" s="12" t="s">
        <v>1020</v>
      </c>
      <c r="E281" s="12"/>
      <c r="F281" s="12" t="s">
        <v>1021</v>
      </c>
      <c r="G281" s="12"/>
      <c r="H281" s="12"/>
      <c r="I281" s="12" t="s">
        <v>1079</v>
      </c>
      <c r="J281" s="12"/>
      <c r="K281" s="12" t="s">
        <v>1080</v>
      </c>
      <c r="L281" s="12"/>
      <c r="M281" s="12" t="str">
        <f>HYPERLINK("https://ceds.ed.gov/cedselementdetails.aspx?termid=10034")</f>
        <v>https://ceds.ed.gov/cedselementdetails.aspx?termid=10034</v>
      </c>
      <c r="N281" s="12" t="str">
        <f>HYPERLINK("https://ceds.ed.gov/elementComment.aspx?elementName=Assessment Need Magnification &amp;elementID=10034", "Click here to submit comment")</f>
        <v>Click here to submit comment</v>
      </c>
    </row>
    <row r="282" spans="1:14" ht="75" x14ac:dyDescent="0.25">
      <c r="A282" s="12" t="s">
        <v>1081</v>
      </c>
      <c r="B282" s="12" t="s">
        <v>1082</v>
      </c>
      <c r="C282" s="13" t="s">
        <v>6775</v>
      </c>
      <c r="D282" s="12" t="s">
        <v>1020</v>
      </c>
      <c r="E282" s="12"/>
      <c r="F282" s="12"/>
      <c r="G282" s="12"/>
      <c r="H282" s="12"/>
      <c r="I282" s="12" t="s">
        <v>1083</v>
      </c>
      <c r="J282" s="12"/>
      <c r="K282" s="12" t="s">
        <v>1084</v>
      </c>
      <c r="L282" s="12"/>
      <c r="M282" s="12" t="str">
        <f>HYPERLINK("https://ceds.ed.gov/cedselementdetails.aspx?termid=10051")</f>
        <v>https://ceds.ed.gov/cedselementdetails.aspx?termid=10051</v>
      </c>
      <c r="N282" s="12" t="str">
        <f>HYPERLINK("https://ceds.ed.gov/elementComment.aspx?elementName=Assessment Need Masking Type &amp;elementID=10051", "Click here to submit comment")</f>
        <v>Click here to submit comment</v>
      </c>
    </row>
    <row r="283" spans="1:14" ht="45" x14ac:dyDescent="0.25">
      <c r="A283" s="12" t="s">
        <v>1085</v>
      </c>
      <c r="B283" s="12" t="s">
        <v>1086</v>
      </c>
      <c r="C283" s="12" t="s">
        <v>12</v>
      </c>
      <c r="D283" s="12" t="s">
        <v>1020</v>
      </c>
      <c r="E283" s="12"/>
      <c r="F283" s="12" t="s">
        <v>1087</v>
      </c>
      <c r="G283" s="12"/>
      <c r="H283" s="12"/>
      <c r="I283" s="12" t="s">
        <v>1088</v>
      </c>
      <c r="J283" s="12"/>
      <c r="K283" s="12" t="s">
        <v>1089</v>
      </c>
      <c r="L283" s="12"/>
      <c r="M283" s="12" t="str">
        <f>HYPERLINK("https://ceds.ed.gov/cedselementdetails.aspx?termid=10037")</f>
        <v>https://ceds.ed.gov/cedselementdetails.aspx?termid=10037</v>
      </c>
      <c r="N283" s="12" t="str">
        <f>HYPERLINK("https://ceds.ed.gov/elementComment.aspx?elementName=Assessment Need Number of Braille Cells &amp;elementID=10037", "Click here to submit comment")</f>
        <v>Click here to submit comment</v>
      </c>
    </row>
    <row r="284" spans="1:14" ht="45" x14ac:dyDescent="0.25">
      <c r="A284" s="12" t="s">
        <v>1090</v>
      </c>
      <c r="B284" s="12" t="s">
        <v>1091</v>
      </c>
      <c r="C284" s="13" t="s">
        <v>6776</v>
      </c>
      <c r="D284" s="12" t="s">
        <v>1020</v>
      </c>
      <c r="E284" s="12"/>
      <c r="F284" s="12"/>
      <c r="G284" s="12"/>
      <c r="H284" s="12"/>
      <c r="I284" s="12" t="s">
        <v>1092</v>
      </c>
      <c r="J284" s="12"/>
      <c r="K284" s="12" t="s">
        <v>1093</v>
      </c>
      <c r="L284" s="12"/>
      <c r="M284" s="12" t="str">
        <f>HYPERLINK("https://ceds.ed.gov/cedselementdetails.aspx?termid=10036")</f>
        <v>https://ceds.ed.gov/cedselementdetails.aspx?termid=10036</v>
      </c>
      <c r="N284" s="12" t="str">
        <f>HYPERLINK("https://ceds.ed.gov/elementComment.aspx?elementName=Assessment Need Number of Braille Dots Type &amp;elementID=10036", "Click here to submit comment")</f>
        <v>Click here to submit comment</v>
      </c>
    </row>
    <row r="285" spans="1:14" ht="60" x14ac:dyDescent="0.25">
      <c r="A285" s="12" t="s">
        <v>1094</v>
      </c>
      <c r="B285" s="12" t="s">
        <v>1095</v>
      </c>
      <c r="C285" s="12" t="s">
        <v>12</v>
      </c>
      <c r="D285" s="12" t="s">
        <v>1014</v>
      </c>
      <c r="E285" s="12"/>
      <c r="F285" s="12" t="s">
        <v>1015</v>
      </c>
      <c r="G285" s="12"/>
      <c r="H285" s="12"/>
      <c r="I285" s="12" t="s">
        <v>1096</v>
      </c>
      <c r="J285" s="12"/>
      <c r="K285" s="12" t="s">
        <v>1097</v>
      </c>
      <c r="L285" s="12"/>
      <c r="M285" s="12" t="str">
        <f>HYPERLINK("https://ceds.ed.gov/cedselementdetails.aspx?termid=10057")</f>
        <v>https://ceds.ed.gov/cedselementdetails.aspx?termid=10057</v>
      </c>
      <c r="N285" s="12" t="str">
        <f>HYPERLINK("https://ceds.ed.gov/elementComment.aspx?elementName=Assessment Need Overlay Color &amp;elementID=10057", "Click here to submit comment")</f>
        <v>Click here to submit comment</v>
      </c>
    </row>
    <row r="286" spans="1:14" ht="45" x14ac:dyDescent="0.25">
      <c r="A286" s="12" t="s">
        <v>1098</v>
      </c>
      <c r="B286" s="12" t="s">
        <v>1099</v>
      </c>
      <c r="C286" s="12" t="s">
        <v>12</v>
      </c>
      <c r="D286" s="12" t="s">
        <v>1020</v>
      </c>
      <c r="E286" s="12"/>
      <c r="F286" s="12" t="s">
        <v>1021</v>
      </c>
      <c r="G286" s="12"/>
      <c r="H286" s="12"/>
      <c r="I286" s="12" t="s">
        <v>1100</v>
      </c>
      <c r="J286" s="12"/>
      <c r="K286" s="12" t="s">
        <v>1101</v>
      </c>
      <c r="L286" s="12"/>
      <c r="M286" s="12" t="str">
        <f>HYPERLINK("https://ceds.ed.gov/cedselementdetails.aspx?termid=10031")</f>
        <v>https://ceds.ed.gov/cedselementdetails.aspx?termid=10031</v>
      </c>
      <c r="N286" s="12" t="str">
        <f>HYPERLINK("https://ceds.ed.gov/elementComment.aspx?elementName=Assessment Need Pitch &amp;elementID=10031", "Click here to submit comment")</f>
        <v>Click here to submit comment</v>
      </c>
    </row>
    <row r="287" spans="1:14" ht="60" x14ac:dyDescent="0.25">
      <c r="A287" s="12" t="s">
        <v>1102</v>
      </c>
      <c r="B287" s="12" t="s">
        <v>1103</v>
      </c>
      <c r="C287" s="12" t="s">
        <v>6364</v>
      </c>
      <c r="D287" s="12" t="s">
        <v>1020</v>
      </c>
      <c r="E287" s="12"/>
      <c r="F287" s="12"/>
      <c r="G287" s="12"/>
      <c r="H287" s="12"/>
      <c r="I287" s="12" t="s">
        <v>1104</v>
      </c>
      <c r="J287" s="12"/>
      <c r="K287" s="12" t="s">
        <v>1105</v>
      </c>
      <c r="L287" s="12"/>
      <c r="M287" s="12" t="str">
        <f>HYPERLINK("https://ceds.ed.gov/cedselementdetails.aspx?termid=10048")</f>
        <v>https://ceds.ed.gov/cedselementdetails.aspx?termid=10048</v>
      </c>
      <c r="N287" s="12" t="str">
        <f>HYPERLINK("https://ceds.ed.gov/elementComment.aspx?elementName=Assessment Need Read At Start Preference &amp;elementID=10048", "Click here to submit comment")</f>
        <v>Click here to submit comment</v>
      </c>
    </row>
    <row r="288" spans="1:14" ht="45" x14ac:dyDescent="0.25">
      <c r="A288" s="12" t="s">
        <v>1106</v>
      </c>
      <c r="B288" s="12" t="s">
        <v>1107</v>
      </c>
      <c r="C288" s="13" t="s">
        <v>6777</v>
      </c>
      <c r="D288" s="12" t="s">
        <v>1020</v>
      </c>
      <c r="E288" s="12"/>
      <c r="F288" s="12"/>
      <c r="G288" s="12"/>
      <c r="H288" s="12"/>
      <c r="I288" s="12" t="s">
        <v>1108</v>
      </c>
      <c r="J288" s="12"/>
      <c r="K288" s="12" t="s">
        <v>1109</v>
      </c>
      <c r="L288" s="12"/>
      <c r="M288" s="12" t="str">
        <f>HYPERLINK("https://ceds.ed.gov/cedselementdetails.aspx?termid=10044")</f>
        <v>https://ceds.ed.gov/cedselementdetails.aspx?termid=10044</v>
      </c>
      <c r="N288" s="12" t="str">
        <f>HYPERLINK("https://ceds.ed.gov/elementComment.aspx?elementName=Assessment Need Signing Type &amp;elementID=10044", "Click here to submit comment")</f>
        <v>Click here to submit comment</v>
      </c>
    </row>
    <row r="289" spans="1:14" ht="105" x14ac:dyDescent="0.25">
      <c r="A289" s="12" t="s">
        <v>1110</v>
      </c>
      <c r="B289" s="12" t="s">
        <v>1111</v>
      </c>
      <c r="C289" s="12" t="s">
        <v>12</v>
      </c>
      <c r="D289" s="12" t="s">
        <v>1020</v>
      </c>
      <c r="E289" s="12"/>
      <c r="F289" s="12" t="s">
        <v>68</v>
      </c>
      <c r="G289" s="12"/>
      <c r="H289" s="12"/>
      <c r="I289" s="12" t="s">
        <v>1112</v>
      </c>
      <c r="J289" s="12"/>
      <c r="K289" s="12" t="s">
        <v>1113</v>
      </c>
      <c r="L289" s="12"/>
      <c r="M289" s="12" t="str">
        <f>HYPERLINK("https://ceds.ed.gov/cedselementdetails.aspx?termid=10053")</f>
        <v>https://ceds.ed.gov/cedselementdetails.aspx?termid=10053</v>
      </c>
      <c r="N289" s="12" t="str">
        <f>HYPERLINK("https://ceds.ed.gov/elementComment.aspx?elementName=Assessment Need Sound File URL &amp;elementID=10053", "Click here to submit comment")</f>
        <v>Click here to submit comment</v>
      </c>
    </row>
    <row r="290" spans="1:14" ht="45" x14ac:dyDescent="0.25">
      <c r="A290" s="12" t="s">
        <v>1114</v>
      </c>
      <c r="B290" s="12" t="s">
        <v>1115</v>
      </c>
      <c r="C290" s="12" t="s">
        <v>12</v>
      </c>
      <c r="D290" s="12" t="s">
        <v>1020</v>
      </c>
      <c r="E290" s="12"/>
      <c r="F290" s="12" t="s">
        <v>1087</v>
      </c>
      <c r="G290" s="12"/>
      <c r="H290" s="12"/>
      <c r="I290" s="12" t="s">
        <v>1116</v>
      </c>
      <c r="J290" s="12"/>
      <c r="K290" s="12" t="s">
        <v>1117</v>
      </c>
      <c r="L290" s="12"/>
      <c r="M290" s="12" t="str">
        <f>HYPERLINK("https://ceds.ed.gov/cedselementdetails.aspx?termid=10030")</f>
        <v>https://ceds.ed.gov/cedselementdetails.aspx?termid=10030</v>
      </c>
      <c r="N290" s="12" t="str">
        <f>HYPERLINK("https://ceds.ed.gov/elementComment.aspx?elementName=Assessment Need Speech Rate &amp;elementID=10030", "Click here to submit comment")</f>
        <v>Click here to submit comment</v>
      </c>
    </row>
    <row r="291" spans="1:14" ht="45" x14ac:dyDescent="0.25">
      <c r="A291" s="12" t="s">
        <v>1118</v>
      </c>
      <c r="B291" s="12" t="s">
        <v>1119</v>
      </c>
      <c r="C291" s="13" t="s">
        <v>6778</v>
      </c>
      <c r="D291" s="12" t="s">
        <v>1020</v>
      </c>
      <c r="E291" s="12"/>
      <c r="F291" s="12"/>
      <c r="G291" s="12"/>
      <c r="H291" s="12"/>
      <c r="I291" s="12" t="s">
        <v>1120</v>
      </c>
      <c r="J291" s="12"/>
      <c r="K291" s="12" t="s">
        <v>1121</v>
      </c>
      <c r="L291" s="12"/>
      <c r="M291" s="12" t="str">
        <f>HYPERLINK("https://ceds.ed.gov/cedselementdetails.aspx?termid=10046")</f>
        <v>https://ceds.ed.gov/cedselementdetails.aspx?termid=10046</v>
      </c>
      <c r="N291" s="12" t="str">
        <f>HYPERLINK("https://ceds.ed.gov/elementComment.aspx?elementName=Assessment Need Spoken Source Preference Type &amp;elementID=10046", "Click here to submit comment")</f>
        <v>Click here to submit comment</v>
      </c>
    </row>
    <row r="292" spans="1:14" ht="180" x14ac:dyDescent="0.25">
      <c r="A292" s="12" t="s">
        <v>1122</v>
      </c>
      <c r="B292" s="12" t="s">
        <v>1123</v>
      </c>
      <c r="C292" s="13" t="s">
        <v>6779</v>
      </c>
      <c r="D292" s="12" t="s">
        <v>1009</v>
      </c>
      <c r="E292" s="12"/>
      <c r="F292" s="12"/>
      <c r="G292" s="12"/>
      <c r="H292" s="12"/>
      <c r="I292" s="12" t="s">
        <v>1124</v>
      </c>
      <c r="J292" s="12"/>
      <c r="K292" s="12" t="s">
        <v>1125</v>
      </c>
      <c r="L292" s="12"/>
      <c r="M292" s="12" t="str">
        <f>HYPERLINK("https://ceds.ed.gov/cedselementdetails.aspx?termid=10027")</f>
        <v>https://ceds.ed.gov/cedselementdetails.aspx?termid=10027</v>
      </c>
      <c r="N292" s="12" t="str">
        <f>HYPERLINK("https://ceds.ed.gov/elementComment.aspx?elementName=Assessment Need Support Tool Type &amp;elementID=10027", "Click here to submit comment")</f>
        <v>Click here to submit comment</v>
      </c>
    </row>
    <row r="293" spans="1:14" ht="105" x14ac:dyDescent="0.25">
      <c r="A293" s="12" t="s">
        <v>1126</v>
      </c>
      <c r="B293" s="12" t="s">
        <v>1127</v>
      </c>
      <c r="C293" s="12" t="s">
        <v>12</v>
      </c>
      <c r="D293" s="12" t="s">
        <v>1020</v>
      </c>
      <c r="E293" s="12"/>
      <c r="F293" s="12" t="s">
        <v>327</v>
      </c>
      <c r="G293" s="12"/>
      <c r="H293" s="12"/>
      <c r="I293" s="12" t="s">
        <v>1128</v>
      </c>
      <c r="J293" s="12"/>
      <c r="K293" s="12" t="s">
        <v>1129</v>
      </c>
      <c r="L293" s="12"/>
      <c r="M293" s="12" t="str">
        <f>HYPERLINK("https://ceds.ed.gov/cedselementdetails.aspx?termid=10052")</f>
        <v>https://ceds.ed.gov/cedselementdetails.aspx?termid=10052</v>
      </c>
      <c r="N293" s="12" t="str">
        <f>HYPERLINK("https://ceds.ed.gov/elementComment.aspx?elementName=Assessment Need Text Messaging String &amp;elementID=10052", "Click here to submit comment")</f>
        <v>Click here to submit comment</v>
      </c>
    </row>
    <row r="294" spans="1:14" ht="105" x14ac:dyDescent="0.25">
      <c r="A294" s="12" t="s">
        <v>1130</v>
      </c>
      <c r="B294" s="12" t="s">
        <v>1131</v>
      </c>
      <c r="C294" s="12" t="s">
        <v>12</v>
      </c>
      <c r="D294" s="12" t="s">
        <v>1132</v>
      </c>
      <c r="E294" s="12"/>
      <c r="F294" s="12" t="s">
        <v>1133</v>
      </c>
      <c r="G294" s="12"/>
      <c r="H294" s="12"/>
      <c r="I294" s="12" t="s">
        <v>1134</v>
      </c>
      <c r="J294" s="12"/>
      <c r="K294" s="12" t="s">
        <v>1135</v>
      </c>
      <c r="L294" s="12"/>
      <c r="M294" s="12" t="str">
        <f>HYPERLINK("https://ceds.ed.gov/cedselementdetails.aspx?termid=10055")</f>
        <v>https://ceds.ed.gov/cedselementdetails.aspx?termid=10055</v>
      </c>
      <c r="N294" s="12" t="str">
        <f>HYPERLINK("https://ceds.ed.gov/elementComment.aspx?elementName=Assessment Need Time Multiplier &amp;elementID=10055", "Click here to submit comment")</f>
        <v>Click here to submit comment</v>
      </c>
    </row>
    <row r="295" spans="1:14" ht="45" x14ac:dyDescent="0.25">
      <c r="A295" s="12" t="s">
        <v>1136</v>
      </c>
      <c r="B295" s="12" t="s">
        <v>1137</v>
      </c>
      <c r="C295" s="12" t="s">
        <v>12</v>
      </c>
      <c r="D295" s="12" t="s">
        <v>1066</v>
      </c>
      <c r="E295" s="12"/>
      <c r="F295" s="12" t="s">
        <v>327</v>
      </c>
      <c r="G295" s="12"/>
      <c r="H295" s="12"/>
      <c r="I295" s="12" t="s">
        <v>1138</v>
      </c>
      <c r="J295" s="12"/>
      <c r="K295" s="12" t="s">
        <v>1139</v>
      </c>
      <c r="L295" s="12"/>
      <c r="M295" s="12" t="str">
        <f>HYPERLINK("https://ceds.ed.gov/cedselementdetails.aspx?termid=10101")</f>
        <v>https://ceds.ed.gov/cedselementdetails.aspx?termid=10101</v>
      </c>
      <c r="N295" s="12" t="str">
        <f>HYPERLINK("https://ceds.ed.gov/elementComment.aspx?elementName=Assessment Need Type &amp;elementID=10101", "Click here to submit comment")</f>
        <v>Click here to submit comment</v>
      </c>
    </row>
    <row r="296" spans="1:14" ht="75" x14ac:dyDescent="0.25">
      <c r="A296" s="12" t="s">
        <v>1140</v>
      </c>
      <c r="B296" s="12" t="s">
        <v>1141</v>
      </c>
      <c r="C296" s="13" t="s">
        <v>6780</v>
      </c>
      <c r="D296" s="12" t="s">
        <v>1020</v>
      </c>
      <c r="E296" s="12"/>
      <c r="F296" s="12"/>
      <c r="G296" s="12"/>
      <c r="H296" s="12"/>
      <c r="I296" s="12" t="s">
        <v>1142</v>
      </c>
      <c r="J296" s="12"/>
      <c r="K296" s="12" t="s">
        <v>1143</v>
      </c>
      <c r="L296" s="12"/>
      <c r="M296" s="12" t="str">
        <f>HYPERLINK("https://ceds.ed.gov/cedselementdetails.aspx?termid=10028")</f>
        <v>https://ceds.ed.gov/cedselementdetails.aspx?termid=10028</v>
      </c>
      <c r="N296" s="12" t="str">
        <f>HYPERLINK("https://ceds.ed.gov/elementComment.aspx?elementName=Assessment Need Usage Type &amp;elementID=10028", "Click here to submit comment")</f>
        <v>Click here to submit comment</v>
      </c>
    </row>
    <row r="297" spans="1:14" ht="75" x14ac:dyDescent="0.25">
      <c r="A297" s="12" t="s">
        <v>1144</v>
      </c>
      <c r="B297" s="12" t="s">
        <v>1145</v>
      </c>
      <c r="C297" s="13" t="s">
        <v>6781</v>
      </c>
      <c r="D297" s="12" t="s">
        <v>1009</v>
      </c>
      <c r="E297" s="12"/>
      <c r="F297" s="12"/>
      <c r="G297" s="12"/>
      <c r="H297" s="12"/>
      <c r="I297" s="12" t="s">
        <v>1146</v>
      </c>
      <c r="J297" s="12"/>
      <c r="K297" s="12" t="s">
        <v>1147</v>
      </c>
      <c r="L297" s="12"/>
      <c r="M297" s="12" t="str">
        <f>HYPERLINK("https://ceds.ed.gov/cedselementdetails.aspx?termid=10049")</f>
        <v>https://ceds.ed.gov/cedselementdetails.aspx?termid=10049</v>
      </c>
      <c r="N297" s="12" t="str">
        <f>HYPERLINK("https://ceds.ed.gov/elementComment.aspx?elementName=Assessment Need User Spoken Preference Type &amp;elementID=10049", "Click here to submit comment")</f>
        <v>Click here to submit comment</v>
      </c>
    </row>
    <row r="298" spans="1:14" ht="45" x14ac:dyDescent="0.25">
      <c r="A298" s="12" t="s">
        <v>1148</v>
      </c>
      <c r="B298" s="12" t="s">
        <v>1149</v>
      </c>
      <c r="C298" s="12" t="s">
        <v>12</v>
      </c>
      <c r="D298" s="12" t="s">
        <v>1020</v>
      </c>
      <c r="E298" s="12"/>
      <c r="F298" s="12" t="s">
        <v>1021</v>
      </c>
      <c r="G298" s="12"/>
      <c r="H298" s="12"/>
      <c r="I298" s="12" t="s">
        <v>1150</v>
      </c>
      <c r="J298" s="12"/>
      <c r="K298" s="12" t="s">
        <v>1151</v>
      </c>
      <c r="L298" s="12"/>
      <c r="M298" s="12" t="str">
        <f>HYPERLINK("https://ceds.ed.gov/cedselementdetails.aspx?termid=10032")</f>
        <v>https://ceds.ed.gov/cedselementdetails.aspx?termid=10032</v>
      </c>
      <c r="N298" s="12" t="str">
        <f>HYPERLINK("https://ceds.ed.gov/elementComment.aspx?elementName=Assessment Need Volume &amp;elementID=10032", "Click here to submit comment")</f>
        <v>Click here to submit comment</v>
      </c>
    </row>
    <row r="299" spans="1:14" ht="45" x14ac:dyDescent="0.25">
      <c r="A299" s="12" t="s">
        <v>1152</v>
      </c>
      <c r="B299" s="12" t="s">
        <v>1153</v>
      </c>
      <c r="C299" s="12" t="s">
        <v>12</v>
      </c>
      <c r="D299" s="12" t="s">
        <v>519</v>
      </c>
      <c r="E299" s="12"/>
      <c r="F299" s="12" t="s">
        <v>794</v>
      </c>
      <c r="G299" s="12"/>
      <c r="H299" s="12"/>
      <c r="I299" s="12" t="s">
        <v>1154</v>
      </c>
      <c r="J299" s="12"/>
      <c r="K299" s="12" t="s">
        <v>1155</v>
      </c>
      <c r="L299" s="12" t="s">
        <v>6409</v>
      </c>
      <c r="M299" s="12" t="str">
        <f>HYPERLINK("https://ceds.ed.gov/cedselementdetails.aspx?termid=9373")</f>
        <v>https://ceds.ed.gov/cedselementdetails.aspx?termid=9373</v>
      </c>
      <c r="N299" s="12" t="str">
        <f>HYPERLINK("https://ceds.ed.gov/elementComment.aspx?elementName=Assessment Objective &amp;elementID=9373", "Click here to submit comment")</f>
        <v>Click here to submit comment</v>
      </c>
    </row>
    <row r="300" spans="1:14" ht="45" x14ac:dyDescent="0.25">
      <c r="A300" s="12" t="s">
        <v>1156</v>
      </c>
      <c r="B300" s="12" t="s">
        <v>1157</v>
      </c>
      <c r="C300" s="12" t="s">
        <v>12</v>
      </c>
      <c r="D300" s="12" t="s">
        <v>418</v>
      </c>
      <c r="E300" s="12"/>
      <c r="F300" s="12" t="s">
        <v>68</v>
      </c>
      <c r="G300" s="12"/>
      <c r="H300" s="12"/>
      <c r="I300" s="12" t="s">
        <v>1158</v>
      </c>
      <c r="J300" s="12"/>
      <c r="K300" s="12" t="s">
        <v>1159</v>
      </c>
      <c r="L300" s="12"/>
      <c r="M300" s="12" t="str">
        <f>HYPERLINK("https://ceds.ed.gov/cedselementdetails.aspx?termid=10514")</f>
        <v>https://ceds.ed.gov/cedselementdetails.aspx?termid=10514</v>
      </c>
      <c r="N300" s="12" t="str">
        <f>HYPERLINK("https://ceds.ed.gov/elementComment.aspx?elementName=Assessment Participant Session Database Name &amp;elementID=10514", "Click here to submit comment")</f>
        <v>Click here to submit comment</v>
      </c>
    </row>
    <row r="301" spans="1:14" ht="45" x14ac:dyDescent="0.25">
      <c r="A301" s="12" t="s">
        <v>1160</v>
      </c>
      <c r="B301" s="12" t="s">
        <v>1161</v>
      </c>
      <c r="C301" s="12" t="s">
        <v>12</v>
      </c>
      <c r="D301" s="12" t="s">
        <v>418</v>
      </c>
      <c r="E301" s="12"/>
      <c r="F301" s="12" t="s">
        <v>68</v>
      </c>
      <c r="G301" s="12"/>
      <c r="H301" s="12" t="s">
        <v>1162</v>
      </c>
      <c r="I301" s="12" t="s">
        <v>1163</v>
      </c>
      <c r="J301" s="12"/>
      <c r="K301" s="12" t="s">
        <v>1164</v>
      </c>
      <c r="L301" s="12"/>
      <c r="M301" s="12" t="str">
        <f>HYPERLINK("https://ceds.ed.gov/cedselementdetails.aspx?termid=10006")</f>
        <v>https://ceds.ed.gov/cedselementdetails.aspx?termid=10006</v>
      </c>
      <c r="N301" s="12" t="str">
        <f>HYPERLINK("https://ceds.ed.gov/elementComment.aspx?elementName=Assessment Participant Session Delivery Device Details &amp;elementID=10006", "Click here to submit comment")</f>
        <v>Click here to submit comment</v>
      </c>
    </row>
    <row r="302" spans="1:14" ht="75" x14ac:dyDescent="0.25">
      <c r="A302" s="18" t="s">
        <v>1165</v>
      </c>
      <c r="B302" s="18" t="s">
        <v>1166</v>
      </c>
      <c r="C302" s="18" t="s">
        <v>12</v>
      </c>
      <c r="D302" s="18" t="s">
        <v>418</v>
      </c>
      <c r="E302" s="18"/>
      <c r="F302" s="18" t="s">
        <v>142</v>
      </c>
      <c r="G302" s="18"/>
      <c r="H302" s="12" t="s">
        <v>547</v>
      </c>
      <c r="I302" s="18" t="s">
        <v>1167</v>
      </c>
      <c r="J302" s="18"/>
      <c r="K302" s="18" t="s">
        <v>1168</v>
      </c>
      <c r="L302" s="18"/>
      <c r="M302" s="18" t="str">
        <f>HYPERLINK("https://ceds.ed.gov/cedselementdetails.aspx?termid=10515")</f>
        <v>https://ceds.ed.gov/cedselementdetails.aspx?termid=10515</v>
      </c>
      <c r="N302" s="18" t="str">
        <f>HYPERLINK("https://ceds.ed.gov/elementComment.aspx?elementName=Assessment Participant Session GUID &amp;elementID=10515", "Click here to submit comment")</f>
        <v>Click here to submit comment</v>
      </c>
    </row>
    <row r="303" spans="1:14" x14ac:dyDescent="0.25">
      <c r="A303" s="18"/>
      <c r="B303" s="18"/>
      <c r="C303" s="18"/>
      <c r="D303" s="18"/>
      <c r="E303" s="18"/>
      <c r="F303" s="18"/>
      <c r="G303" s="18"/>
      <c r="H303" s="12"/>
      <c r="I303" s="18"/>
      <c r="J303" s="18"/>
      <c r="K303" s="18"/>
      <c r="L303" s="18"/>
      <c r="M303" s="18"/>
      <c r="N303" s="18"/>
    </row>
    <row r="304" spans="1:14" ht="60" x14ac:dyDescent="0.25">
      <c r="A304" s="18"/>
      <c r="B304" s="18"/>
      <c r="C304" s="18"/>
      <c r="D304" s="18"/>
      <c r="E304" s="18"/>
      <c r="F304" s="18"/>
      <c r="G304" s="18"/>
      <c r="H304" s="12" t="s">
        <v>548</v>
      </c>
      <c r="I304" s="18"/>
      <c r="J304" s="18"/>
      <c r="K304" s="18"/>
      <c r="L304" s="18"/>
      <c r="M304" s="18"/>
      <c r="N304" s="18"/>
    </row>
    <row r="305" spans="1:14" ht="90" x14ac:dyDescent="0.25">
      <c r="A305" s="12" t="s">
        <v>1169</v>
      </c>
      <c r="B305" s="12" t="s">
        <v>1170</v>
      </c>
      <c r="C305" s="14" t="s">
        <v>999</v>
      </c>
      <c r="D305" s="12" t="s">
        <v>418</v>
      </c>
      <c r="E305" s="12" t="s">
        <v>98</v>
      </c>
      <c r="F305" s="12"/>
      <c r="G305" s="12"/>
      <c r="H305" s="14" t="s">
        <v>1000</v>
      </c>
      <c r="I305" s="12" t="s">
        <v>1171</v>
      </c>
      <c r="J305" s="12"/>
      <c r="K305" s="12" t="s">
        <v>1172</v>
      </c>
      <c r="L305" s="12" t="s">
        <v>6397</v>
      </c>
      <c r="M305" s="12" t="str">
        <f>HYPERLINK("https://ceds.ed.gov/cedselementdetails.aspx?termid=9370")</f>
        <v>https://ceds.ed.gov/cedselementdetails.aspx?termid=9370</v>
      </c>
      <c r="N305" s="12" t="str">
        <f>HYPERLINK("https://ceds.ed.gov/elementComment.aspx?elementName=Assessment Participant Session Language &amp;elementID=9370", "Click here to submit comment")</f>
        <v>Click here to submit comment</v>
      </c>
    </row>
    <row r="306" spans="1:14" ht="120" x14ac:dyDescent="0.25">
      <c r="A306" s="12" t="s">
        <v>1173</v>
      </c>
      <c r="B306" s="12" t="s">
        <v>1174</v>
      </c>
      <c r="C306" s="13" t="s">
        <v>6782</v>
      </c>
      <c r="D306" s="12" t="s">
        <v>6398</v>
      </c>
      <c r="E306" s="12"/>
      <c r="F306" s="12"/>
      <c r="G306" s="12"/>
      <c r="H306" s="12"/>
      <c r="I306" s="12" t="s">
        <v>1175</v>
      </c>
      <c r="J306" s="12"/>
      <c r="K306" s="12" t="s">
        <v>1176</v>
      </c>
      <c r="L306" s="12" t="s">
        <v>6409</v>
      </c>
      <c r="M306" s="12" t="str">
        <f>HYPERLINK("https://ceds.ed.gov/cedselementdetails.aspx?termid=9377")</f>
        <v>https://ceds.ed.gov/cedselementdetails.aspx?termid=9377</v>
      </c>
      <c r="N306" s="12" t="str">
        <f>HYPERLINK("https://ceds.ed.gov/elementComment.aspx?elementName=Assessment Participant Session Platform Type &amp;elementID=9377", "Click here to submit comment")</f>
        <v>Click here to submit comment</v>
      </c>
    </row>
    <row r="307" spans="1:14" ht="135" x14ac:dyDescent="0.25">
      <c r="A307" s="12" t="s">
        <v>1177</v>
      </c>
      <c r="B307" s="12" t="s">
        <v>1178</v>
      </c>
      <c r="C307" s="12" t="s">
        <v>12</v>
      </c>
      <c r="D307" s="12" t="s">
        <v>418</v>
      </c>
      <c r="E307" s="12"/>
      <c r="F307" s="12" t="s">
        <v>1179</v>
      </c>
      <c r="G307" s="12"/>
      <c r="H307" s="12" t="s">
        <v>1180</v>
      </c>
      <c r="I307" s="12" t="s">
        <v>1181</v>
      </c>
      <c r="J307" s="12"/>
      <c r="K307" s="12" t="s">
        <v>1182</v>
      </c>
      <c r="L307" s="12"/>
      <c r="M307" s="12" t="str">
        <f>HYPERLINK("https://ceds.ed.gov/cedselementdetails.aspx?termid=10112")</f>
        <v>https://ceds.ed.gov/cedselementdetails.aspx?termid=10112</v>
      </c>
      <c r="N307" s="12" t="str">
        <f>HYPERLINK("https://ceds.ed.gov/elementComment.aspx?elementName=Assessment Participant Session Platform User Agent &amp;elementID=10112", "Click here to submit comment")</f>
        <v>Click here to submit comment</v>
      </c>
    </row>
    <row r="308" spans="1:14" ht="75" x14ac:dyDescent="0.25">
      <c r="A308" s="12" t="s">
        <v>1183</v>
      </c>
      <c r="B308" s="12" t="s">
        <v>1184</v>
      </c>
      <c r="C308" s="12" t="s">
        <v>12</v>
      </c>
      <c r="D308" s="12" t="s">
        <v>418</v>
      </c>
      <c r="E308" s="12"/>
      <c r="F308" s="12" t="s">
        <v>327</v>
      </c>
      <c r="G308" s="12"/>
      <c r="H308" s="12"/>
      <c r="I308" s="12" t="s">
        <v>1185</v>
      </c>
      <c r="J308" s="12"/>
      <c r="K308" s="12" t="s">
        <v>1186</v>
      </c>
      <c r="L308" s="12"/>
      <c r="M308" s="12" t="str">
        <f>HYPERLINK("https://ceds.ed.gov/cedselementdetails.aspx?termid=10102")</f>
        <v>https://ceds.ed.gov/cedselementdetails.aspx?termid=10102</v>
      </c>
      <c r="N308" s="12" t="str">
        <f>HYPERLINK("https://ceds.ed.gov/elementComment.aspx?elementName=Assessment Participant Session Security Issue &amp;elementID=10102", "Click here to submit comment")</f>
        <v>Click here to submit comment</v>
      </c>
    </row>
    <row r="309" spans="1:14" ht="45" x14ac:dyDescent="0.25">
      <c r="A309" s="12" t="s">
        <v>1187</v>
      </c>
      <c r="B309" s="12" t="s">
        <v>1188</v>
      </c>
      <c r="C309" s="12" t="s">
        <v>12</v>
      </c>
      <c r="D309" s="12" t="s">
        <v>418</v>
      </c>
      <c r="E309" s="12"/>
      <c r="F309" s="12" t="s">
        <v>92</v>
      </c>
      <c r="G309" s="12"/>
      <c r="H309" s="12"/>
      <c r="I309" s="12" t="s">
        <v>1189</v>
      </c>
      <c r="J309" s="12"/>
      <c r="K309" s="12" t="s">
        <v>1190</v>
      </c>
      <c r="L309" s="12" t="s">
        <v>6397</v>
      </c>
      <c r="M309" s="12" t="str">
        <f>HYPERLINK("https://ceds.ed.gov/cedselementdetails.aspx?termid=9398")</f>
        <v>https://ceds.ed.gov/cedselementdetails.aspx?termid=9398</v>
      </c>
      <c r="N309" s="12" t="str">
        <f>HYPERLINK("https://ceds.ed.gov/elementComment.aspx?elementName=Assessment Participant Session Time Assessed &amp;elementID=9398", "Click here to submit comment")</f>
        <v>Click here to submit comment</v>
      </c>
    </row>
    <row r="310" spans="1:14" ht="150" x14ac:dyDescent="0.25">
      <c r="A310" s="12" t="s">
        <v>1191</v>
      </c>
      <c r="B310" s="12" t="s">
        <v>1192</v>
      </c>
      <c r="C310" s="12" t="s">
        <v>12</v>
      </c>
      <c r="D310" s="12" t="s">
        <v>11397</v>
      </c>
      <c r="E310" s="12"/>
      <c r="F310" s="12" t="s">
        <v>327</v>
      </c>
      <c r="G310" s="12"/>
      <c r="H310" s="12"/>
      <c r="I310" s="12" t="s">
        <v>1193</v>
      </c>
      <c r="J310" s="12"/>
      <c r="K310" s="12" t="s">
        <v>1194</v>
      </c>
      <c r="L310" s="12"/>
      <c r="M310" s="12" t="str">
        <f>HYPERLINK("https://ceds.ed.gov/cedselementdetails.aspx?termid=10184")</f>
        <v>https://ceds.ed.gov/cedselementdetails.aspx?termid=10184</v>
      </c>
      <c r="N310" s="12" t="str">
        <f>HYPERLINK("https://ceds.ed.gov/elementComment.aspx?elementName=Assessment Performance Level Descriptive Feedback &amp;elementID=10184", "Click here to submit comment")</f>
        <v>Click here to submit comment</v>
      </c>
    </row>
    <row r="311" spans="1:14" ht="105" x14ac:dyDescent="0.25">
      <c r="A311" s="18" t="s">
        <v>1195</v>
      </c>
      <c r="B311" s="18" t="s">
        <v>1196</v>
      </c>
      <c r="C311" s="18" t="s">
        <v>12</v>
      </c>
      <c r="D311" s="18" t="s">
        <v>11397</v>
      </c>
      <c r="E311" s="18"/>
      <c r="F311" s="18" t="s">
        <v>142</v>
      </c>
      <c r="G311" s="18"/>
      <c r="H311" s="12" t="s">
        <v>143</v>
      </c>
      <c r="I311" s="18" t="s">
        <v>1197</v>
      </c>
      <c r="J311" s="18"/>
      <c r="K311" s="18" t="s">
        <v>1198</v>
      </c>
      <c r="L311" s="18" t="s">
        <v>827</v>
      </c>
      <c r="M311" s="18" t="str">
        <f>HYPERLINK("https://ceds.ed.gov/cedselementdetails.aspx?termid=9693")</f>
        <v>https://ceds.ed.gov/cedselementdetails.aspx?termid=9693</v>
      </c>
      <c r="N311" s="18" t="str">
        <f>HYPERLINK("https://ceds.ed.gov/elementComment.aspx?elementName=Assessment Performance Level Identifier &amp;elementID=9693", "Click here to submit comment")</f>
        <v>Click here to submit comment</v>
      </c>
    </row>
    <row r="312" spans="1:14" x14ac:dyDescent="0.25">
      <c r="A312" s="18"/>
      <c r="B312" s="18"/>
      <c r="C312" s="18"/>
      <c r="D312" s="18"/>
      <c r="E312" s="18"/>
      <c r="F312" s="18"/>
      <c r="G312" s="18"/>
      <c r="H312" s="12"/>
      <c r="I312" s="18"/>
      <c r="J312" s="18"/>
      <c r="K312" s="18"/>
      <c r="L312" s="18"/>
      <c r="M312" s="18"/>
      <c r="N312" s="18"/>
    </row>
    <row r="313" spans="1:14" ht="90" x14ac:dyDescent="0.25">
      <c r="A313" s="18"/>
      <c r="B313" s="18"/>
      <c r="C313" s="18"/>
      <c r="D313" s="18"/>
      <c r="E313" s="18"/>
      <c r="F313" s="18"/>
      <c r="G313" s="18"/>
      <c r="H313" s="12" t="s">
        <v>144</v>
      </c>
      <c r="I313" s="18"/>
      <c r="J313" s="18"/>
      <c r="K313" s="18"/>
      <c r="L313" s="18"/>
      <c r="M313" s="18"/>
      <c r="N313" s="18"/>
    </row>
    <row r="314" spans="1:14" ht="150" x14ac:dyDescent="0.25">
      <c r="A314" s="12" t="s">
        <v>1199</v>
      </c>
      <c r="B314" s="12" t="s">
        <v>1200</v>
      </c>
      <c r="C314" s="12" t="s">
        <v>12</v>
      </c>
      <c r="D314" s="12" t="s">
        <v>11397</v>
      </c>
      <c r="E314" s="12"/>
      <c r="F314" s="12" t="s">
        <v>1201</v>
      </c>
      <c r="G314" s="12"/>
      <c r="H314" s="12"/>
      <c r="I314" s="12" t="s">
        <v>1202</v>
      </c>
      <c r="J314" s="12"/>
      <c r="K314" s="12" t="s">
        <v>1203</v>
      </c>
      <c r="L314" s="12" t="s">
        <v>827</v>
      </c>
      <c r="M314" s="12" t="str">
        <f>HYPERLINK("https://ceds.ed.gov/cedselementdetails.aspx?termid=9694")</f>
        <v>https://ceds.ed.gov/cedselementdetails.aspx?termid=9694</v>
      </c>
      <c r="N314" s="12" t="str">
        <f>HYPERLINK("https://ceds.ed.gov/elementComment.aspx?elementName=Assessment Performance Level Label &amp;elementID=9694", "Click here to submit comment")</f>
        <v>Click here to submit comment</v>
      </c>
    </row>
    <row r="315" spans="1:14" ht="150" x14ac:dyDescent="0.25">
      <c r="A315" s="12" t="s">
        <v>1204</v>
      </c>
      <c r="B315" s="12" t="s">
        <v>1205</v>
      </c>
      <c r="C315" s="12" t="s">
        <v>12</v>
      </c>
      <c r="D315" s="12" t="s">
        <v>11397</v>
      </c>
      <c r="E315" s="12"/>
      <c r="F315" s="12" t="s">
        <v>92</v>
      </c>
      <c r="G315" s="12"/>
      <c r="H315" s="12"/>
      <c r="I315" s="12" t="s">
        <v>1206</v>
      </c>
      <c r="J315" s="12"/>
      <c r="K315" s="12" t="s">
        <v>1207</v>
      </c>
      <c r="L315" s="12" t="s">
        <v>6397</v>
      </c>
      <c r="M315" s="12" t="str">
        <f>HYPERLINK("https://ceds.ed.gov/cedselementdetails.aspx?termid=9408")</f>
        <v>https://ceds.ed.gov/cedselementdetails.aspx?termid=9408</v>
      </c>
      <c r="N315" s="12" t="str">
        <f>HYPERLINK("https://ceds.ed.gov/elementComment.aspx?elementName=Assessment Performance Level Lower Cut Score &amp;elementID=9408", "Click here to submit comment")</f>
        <v>Click here to submit comment</v>
      </c>
    </row>
    <row r="316" spans="1:14" ht="409.5" x14ac:dyDescent="0.25">
      <c r="A316" s="12" t="s">
        <v>1208</v>
      </c>
      <c r="B316" s="12" t="s">
        <v>1209</v>
      </c>
      <c r="C316" s="13" t="s">
        <v>6783</v>
      </c>
      <c r="D316" s="12" t="s">
        <v>11397</v>
      </c>
      <c r="E316" s="12"/>
      <c r="F316" s="12" t="s">
        <v>92</v>
      </c>
      <c r="G316" s="12"/>
      <c r="H316" s="12"/>
      <c r="I316" s="12" t="s">
        <v>1210</v>
      </c>
      <c r="J316" s="12"/>
      <c r="K316" s="12" t="s">
        <v>1211</v>
      </c>
      <c r="L316" s="12" t="s">
        <v>6397</v>
      </c>
      <c r="M316" s="12" t="str">
        <f>HYPERLINK("https://ceds.ed.gov/cedselementdetails.aspx?termid=9407")</f>
        <v>https://ceds.ed.gov/cedselementdetails.aspx?termid=9407</v>
      </c>
      <c r="N316" s="12" t="str">
        <f>HYPERLINK("https://ceds.ed.gov/elementComment.aspx?elementName=Assessment Performance Level Score Metric &amp;elementID=9407", "Click here to submit comment")</f>
        <v>Click here to submit comment</v>
      </c>
    </row>
    <row r="317" spans="1:14" ht="150" x14ac:dyDescent="0.25">
      <c r="A317" s="12" t="s">
        <v>1212</v>
      </c>
      <c r="B317" s="12" t="s">
        <v>1213</v>
      </c>
      <c r="C317" s="12" t="s">
        <v>12</v>
      </c>
      <c r="D317" s="12" t="s">
        <v>11397</v>
      </c>
      <c r="E317" s="12"/>
      <c r="F317" s="12" t="s">
        <v>92</v>
      </c>
      <c r="G317" s="12"/>
      <c r="H317" s="12"/>
      <c r="I317" s="12" t="s">
        <v>1214</v>
      </c>
      <c r="J317" s="12"/>
      <c r="K317" s="12" t="s">
        <v>1215</v>
      </c>
      <c r="L317" s="12" t="s">
        <v>6397</v>
      </c>
      <c r="M317" s="12" t="str">
        <f>HYPERLINK("https://ceds.ed.gov/cedselementdetails.aspx?termid=9409")</f>
        <v>https://ceds.ed.gov/cedselementdetails.aspx?termid=9409</v>
      </c>
      <c r="N317" s="12" t="str">
        <f>HYPERLINK("https://ceds.ed.gov/elementComment.aspx?elementName=Assessment Performance Level Upper Cut Score &amp;elementID=9409", "Click here to submit comment")</f>
        <v>Click here to submit comment</v>
      </c>
    </row>
    <row r="318" spans="1:14" ht="45" x14ac:dyDescent="0.25">
      <c r="A318" s="12" t="s">
        <v>1216</v>
      </c>
      <c r="B318" s="12" t="s">
        <v>1217</v>
      </c>
      <c r="C318" s="12" t="s">
        <v>6364</v>
      </c>
      <c r="D318" s="12" t="s">
        <v>1066</v>
      </c>
      <c r="E318" s="12"/>
      <c r="F318" s="12"/>
      <c r="G318" s="12"/>
      <c r="H318" s="12" t="s">
        <v>1218</v>
      </c>
      <c r="I318" s="12" t="s">
        <v>1219</v>
      </c>
      <c r="J318" s="12"/>
      <c r="K318" s="12" t="s">
        <v>1220</v>
      </c>
      <c r="L318" s="12"/>
      <c r="M318" s="12" t="str">
        <f>HYPERLINK("https://ceds.ed.gov/cedselementdetails.aspx?termid=10008")</f>
        <v>https://ceds.ed.gov/cedselementdetails.aspx?termid=10008</v>
      </c>
      <c r="N318" s="12" t="str">
        <f>HYPERLINK("https://ceds.ed.gov/elementComment.aspx?elementName=Assessment Personal Needs Profile Activate By Default &amp;elementID=10008", "Click here to submit comment")</f>
        <v>Click here to submit comment</v>
      </c>
    </row>
    <row r="319" spans="1:14" ht="45" x14ac:dyDescent="0.25">
      <c r="A319" s="12" t="s">
        <v>1221</v>
      </c>
      <c r="B319" s="12" t="s">
        <v>1222</v>
      </c>
      <c r="C319" s="12" t="s">
        <v>6364</v>
      </c>
      <c r="D319" s="12" t="s">
        <v>1066</v>
      </c>
      <c r="E319" s="12"/>
      <c r="F319" s="12"/>
      <c r="G319" s="12"/>
      <c r="H319" s="12" t="s">
        <v>1218</v>
      </c>
      <c r="I319" s="12" t="s">
        <v>1223</v>
      </c>
      <c r="J319" s="12"/>
      <c r="K319" s="12" t="s">
        <v>1224</v>
      </c>
      <c r="L319" s="12"/>
      <c r="M319" s="12" t="str">
        <f>HYPERLINK("https://ceds.ed.gov/cedselementdetails.aspx?termid=10007")</f>
        <v>https://ceds.ed.gov/cedselementdetails.aspx?termid=10007</v>
      </c>
      <c r="N319" s="12" t="str">
        <f>HYPERLINK("https://ceds.ed.gov/elementComment.aspx?elementName=Assessment Personal Needs Profile Assigned Support &amp;elementID=10007", "Click here to submit comment")</f>
        <v>Click here to submit comment</v>
      </c>
    </row>
    <row r="320" spans="1:14" ht="45" x14ac:dyDescent="0.25">
      <c r="A320" s="12" t="s">
        <v>1225</v>
      </c>
      <c r="B320" s="12" t="s">
        <v>1226</v>
      </c>
      <c r="C320" s="12" t="s">
        <v>12</v>
      </c>
      <c r="D320" s="12" t="s">
        <v>519</v>
      </c>
      <c r="E320" s="12"/>
      <c r="F320" s="12" t="s">
        <v>92</v>
      </c>
      <c r="G320" s="12"/>
      <c r="H320" s="12" t="s">
        <v>1227</v>
      </c>
      <c r="I320" s="12" t="s">
        <v>1228</v>
      </c>
      <c r="J320" s="12"/>
      <c r="K320" s="12" t="s">
        <v>1229</v>
      </c>
      <c r="L320" s="12"/>
      <c r="M320" s="12" t="str">
        <f>HYPERLINK("https://ceds.ed.gov/cedselementdetails.aspx?termid=10009")</f>
        <v>https://ceds.ed.gov/cedselementdetails.aspx?termid=10009</v>
      </c>
      <c r="N320" s="12" t="str">
        <f>HYPERLINK("https://ceds.ed.gov/elementComment.aspx?elementName=Assessment Provider &amp;elementID=10009", "Click here to submit comment")</f>
        <v>Click here to submit comment</v>
      </c>
    </row>
    <row r="321" spans="1:14" ht="390" x14ac:dyDescent="0.25">
      <c r="A321" s="12" t="s">
        <v>1230</v>
      </c>
      <c r="B321" s="12" t="s">
        <v>1231</v>
      </c>
      <c r="C321" s="13" t="s">
        <v>6784</v>
      </c>
      <c r="D321" s="12" t="s">
        <v>6412</v>
      </c>
      <c r="E321" s="12"/>
      <c r="F321" s="12"/>
      <c r="G321" s="12"/>
      <c r="H321" s="12" t="s">
        <v>1232</v>
      </c>
      <c r="I321" s="12" t="s">
        <v>1233</v>
      </c>
      <c r="J321" s="12"/>
      <c r="K321" s="12" t="s">
        <v>1234</v>
      </c>
      <c r="L321" s="12" t="s">
        <v>6399</v>
      </c>
      <c r="M321" s="12" t="str">
        <f>HYPERLINK("https://ceds.ed.gov/cedselementdetails.aspx?termid=9026")</f>
        <v>https://ceds.ed.gov/cedselementdetails.aspx?termid=9026</v>
      </c>
      <c r="N321" s="12" t="str">
        <f>HYPERLINK("https://ceds.ed.gov/elementComment.aspx?elementName=Assessment Purpose &amp;elementID=9026", "Click here to submit comment")</f>
        <v>Click here to submit comment</v>
      </c>
    </row>
    <row r="322" spans="1:14" ht="30" x14ac:dyDescent="0.25">
      <c r="A322" s="18" t="s">
        <v>1235</v>
      </c>
      <c r="B322" s="18" t="s">
        <v>1236</v>
      </c>
      <c r="C322" s="18" t="s">
        <v>12</v>
      </c>
      <c r="D322" s="18" t="s">
        <v>1237</v>
      </c>
      <c r="E322" s="18"/>
      <c r="F322" s="18" t="s">
        <v>142</v>
      </c>
      <c r="G322" s="18"/>
      <c r="H322" s="12" t="s">
        <v>1238</v>
      </c>
      <c r="I322" s="18" t="s">
        <v>1239</v>
      </c>
      <c r="J322" s="18"/>
      <c r="K322" s="18" t="s">
        <v>1240</v>
      </c>
      <c r="L322" s="18"/>
      <c r="M322" s="18" t="str">
        <f>HYPERLINK("https://ceds.ed.gov/cedselementdetails.aspx?termid=9889")</f>
        <v>https://ceds.ed.gov/cedselementdetails.aspx?termid=9889</v>
      </c>
      <c r="N322" s="18" t="str">
        <f>HYPERLINK("https://ceds.ed.gov/elementComment.aspx?elementName=Assessment Registration Assignor Identifier &amp;elementID=9889", "Click here to submit comment")</f>
        <v>Click here to submit comment</v>
      </c>
    </row>
    <row r="323" spans="1:14" x14ac:dyDescent="0.25">
      <c r="A323" s="18"/>
      <c r="B323" s="18"/>
      <c r="C323" s="18"/>
      <c r="D323" s="18"/>
      <c r="E323" s="18"/>
      <c r="F323" s="18"/>
      <c r="G323" s="18"/>
      <c r="H323" s="12"/>
      <c r="I323" s="18"/>
      <c r="J323" s="18"/>
      <c r="K323" s="18"/>
      <c r="L323" s="18"/>
      <c r="M323" s="18"/>
      <c r="N323" s="18"/>
    </row>
    <row r="324" spans="1:14" ht="105" x14ac:dyDescent="0.25">
      <c r="A324" s="18"/>
      <c r="B324" s="18"/>
      <c r="C324" s="18"/>
      <c r="D324" s="18"/>
      <c r="E324" s="18"/>
      <c r="F324" s="18"/>
      <c r="G324" s="18"/>
      <c r="H324" s="12" t="s">
        <v>143</v>
      </c>
      <c r="I324" s="18"/>
      <c r="J324" s="18"/>
      <c r="K324" s="18"/>
      <c r="L324" s="18"/>
      <c r="M324" s="18"/>
      <c r="N324" s="18"/>
    </row>
    <row r="325" spans="1:14" x14ac:dyDescent="0.25">
      <c r="A325" s="18"/>
      <c r="B325" s="18"/>
      <c r="C325" s="18"/>
      <c r="D325" s="18"/>
      <c r="E325" s="18"/>
      <c r="F325" s="18"/>
      <c r="G325" s="18"/>
      <c r="H325" s="12"/>
      <c r="I325" s="18"/>
      <c r="J325" s="18"/>
      <c r="K325" s="18"/>
      <c r="L325" s="18"/>
      <c r="M325" s="18"/>
      <c r="N325" s="18"/>
    </row>
    <row r="326" spans="1:14" ht="90" x14ac:dyDescent="0.25">
      <c r="A326" s="18"/>
      <c r="B326" s="18"/>
      <c r="C326" s="18"/>
      <c r="D326" s="18"/>
      <c r="E326" s="18"/>
      <c r="F326" s="18"/>
      <c r="G326" s="18"/>
      <c r="H326" s="12" t="s">
        <v>144</v>
      </c>
      <c r="I326" s="18"/>
      <c r="J326" s="18"/>
      <c r="K326" s="18"/>
      <c r="L326" s="18"/>
      <c r="M326" s="18"/>
      <c r="N326" s="18"/>
    </row>
    <row r="327" spans="1:14" ht="165" x14ac:dyDescent="0.25">
      <c r="A327" s="12" t="s">
        <v>1241</v>
      </c>
      <c r="B327" s="12" t="s">
        <v>1242</v>
      </c>
      <c r="C327" s="13" t="s">
        <v>6785</v>
      </c>
      <c r="D327" s="12" t="s">
        <v>1237</v>
      </c>
      <c r="E327" s="12"/>
      <c r="F327" s="12"/>
      <c r="G327" s="12"/>
      <c r="H327" s="12"/>
      <c r="I327" s="12" t="s">
        <v>1243</v>
      </c>
      <c r="J327" s="12"/>
      <c r="K327" s="12" t="s">
        <v>1244</v>
      </c>
      <c r="L327" s="12"/>
      <c r="M327" s="12" t="str">
        <f>HYPERLINK("https://ceds.ed.gov/cedselementdetails.aspx?termid=10516")</f>
        <v>https://ceds.ed.gov/cedselementdetails.aspx?termid=10516</v>
      </c>
      <c r="N327" s="12" t="str">
        <f>HYPERLINK("https://ceds.ed.gov/elementComment.aspx?elementName=Assessment Registration Completion Status &amp;elementID=10516", "Click here to submit comment")</f>
        <v>Click here to submit comment</v>
      </c>
    </row>
    <row r="328" spans="1:14" ht="60" x14ac:dyDescent="0.25">
      <c r="A328" s="12" t="s">
        <v>1245</v>
      </c>
      <c r="B328" s="12" t="s">
        <v>1246</v>
      </c>
      <c r="C328" s="12" t="s">
        <v>12</v>
      </c>
      <c r="D328" s="12" t="s">
        <v>1237</v>
      </c>
      <c r="E328" s="12"/>
      <c r="F328" s="12" t="s">
        <v>860</v>
      </c>
      <c r="G328" s="12"/>
      <c r="H328" s="12"/>
      <c r="I328" s="12" t="s">
        <v>1247</v>
      </c>
      <c r="J328" s="12"/>
      <c r="K328" s="12" t="s">
        <v>1248</v>
      </c>
      <c r="L328" s="12"/>
      <c r="M328" s="12" t="str">
        <f>HYPERLINK("https://ceds.ed.gov/cedselementdetails.aspx?termid=10517")</f>
        <v>https://ceds.ed.gov/cedselementdetails.aspx?termid=10517</v>
      </c>
      <c r="N328" s="12" t="str">
        <f>HYPERLINK("https://ceds.ed.gov/elementComment.aspx?elementName=Assessment Registration Completion Status Date Time &amp;elementID=10517", "Click here to submit comment")</f>
        <v>Click here to submit comment</v>
      </c>
    </row>
    <row r="329" spans="1:14" ht="45" x14ac:dyDescent="0.25">
      <c r="A329" s="12" t="s">
        <v>1249</v>
      </c>
      <c r="B329" s="12" t="s">
        <v>1250</v>
      </c>
      <c r="C329" s="12" t="s">
        <v>12</v>
      </c>
      <c r="D329" s="12" t="s">
        <v>1237</v>
      </c>
      <c r="E329" s="12"/>
      <c r="F329" s="12" t="s">
        <v>860</v>
      </c>
      <c r="G329" s="12"/>
      <c r="H329" s="12"/>
      <c r="I329" s="12" t="s">
        <v>1251</v>
      </c>
      <c r="J329" s="12"/>
      <c r="K329" s="12" t="s">
        <v>1252</v>
      </c>
      <c r="L329" s="12"/>
      <c r="M329" s="12" t="str">
        <f>HYPERLINK("https://ceds.ed.gov/cedselementdetails.aspx?termid=10019")</f>
        <v>https://ceds.ed.gov/cedselementdetails.aspx?termid=10019</v>
      </c>
      <c r="N329" s="12" t="str">
        <f>HYPERLINK("https://ceds.ed.gov/elementComment.aspx?elementName=Assessment Registration Creation Date &amp;elementID=10019", "Click here to submit comment")</f>
        <v>Click here to submit comment</v>
      </c>
    </row>
    <row r="330" spans="1:14" ht="45" x14ac:dyDescent="0.25">
      <c r="A330" s="12" t="s">
        <v>1253</v>
      </c>
      <c r="B330" s="12" t="s">
        <v>1254</v>
      </c>
      <c r="C330" s="12" t="s">
        <v>12</v>
      </c>
      <c r="D330" s="12" t="s">
        <v>1237</v>
      </c>
      <c r="E330" s="12"/>
      <c r="F330" s="12" t="s">
        <v>1255</v>
      </c>
      <c r="G330" s="12"/>
      <c r="H330" s="12"/>
      <c r="I330" s="12" t="s">
        <v>1256</v>
      </c>
      <c r="J330" s="12"/>
      <c r="K330" s="12" t="s">
        <v>1257</v>
      </c>
      <c r="L330" s="12"/>
      <c r="M330" s="12" t="str">
        <f>HYPERLINK("https://ceds.ed.gov/cedselementdetails.aspx?termid=10017")</f>
        <v>https://ceds.ed.gov/cedselementdetails.aspx?termid=10017</v>
      </c>
      <c r="N330" s="12" t="str">
        <f>HYPERLINK("https://ceds.ed.gov/elementComment.aspx?elementName=Assessment Registration Days of Instruction &amp;elementID=10017", "Click here to submit comment")</f>
        <v>Click here to submit comment</v>
      </c>
    </row>
    <row r="331" spans="1:14" ht="409.5" x14ac:dyDescent="0.25">
      <c r="A331" s="12" t="s">
        <v>1258</v>
      </c>
      <c r="B331" s="12" t="s">
        <v>1259</v>
      </c>
      <c r="C331" s="13" t="s">
        <v>6786</v>
      </c>
      <c r="D331" s="12" t="s">
        <v>1237</v>
      </c>
      <c r="E331" s="12"/>
      <c r="F331" s="12"/>
      <c r="G331" s="12"/>
      <c r="H331" s="12" t="s">
        <v>1260</v>
      </c>
      <c r="I331" s="12" t="s">
        <v>1261</v>
      </c>
      <c r="J331" s="12"/>
      <c r="K331" s="12" t="s">
        <v>1262</v>
      </c>
      <c r="L331" s="12"/>
      <c r="M331" s="12" t="str">
        <f>HYPERLINK("https://ceds.ed.gov/cedselementdetails.aspx?termid=10063")</f>
        <v>https://ceds.ed.gov/cedselementdetails.aspx?termid=10063</v>
      </c>
      <c r="N331" s="12" t="str">
        <f>HYPERLINK("https://ceds.ed.gov/elementComment.aspx?elementName=Assessment Registration Grade Level To Be Assessed &amp;elementID=10063", "Click here to submit comment")</f>
        <v>Click here to submit comment</v>
      </c>
    </row>
    <row r="332" spans="1:14" ht="45" x14ac:dyDescent="0.25">
      <c r="A332" s="12" t="s">
        <v>1263</v>
      </c>
      <c r="B332" s="12" t="s">
        <v>1264</v>
      </c>
      <c r="C332" s="13" t="s">
        <v>6787</v>
      </c>
      <c r="D332" s="12" t="s">
        <v>1237</v>
      </c>
      <c r="E332" s="12"/>
      <c r="F332" s="12"/>
      <c r="G332" s="12"/>
      <c r="H332" s="12"/>
      <c r="I332" s="12" t="s">
        <v>1265</v>
      </c>
      <c r="J332" s="12"/>
      <c r="K332" s="12" t="s">
        <v>1266</v>
      </c>
      <c r="L332" s="12" t="s">
        <v>6413</v>
      </c>
      <c r="M332" s="12" t="str">
        <f>HYPERLINK("https://ceds.ed.gov/cedselementdetails.aspx?termid=9025")</f>
        <v>https://ceds.ed.gov/cedselementdetails.aspx?termid=9025</v>
      </c>
      <c r="N332" s="12" t="str">
        <f>HYPERLINK("https://ceds.ed.gov/elementComment.aspx?elementName=Assessment Registration Participation Indicator &amp;elementID=9025", "Click here to submit comment")</f>
        <v>Click here to submit comment</v>
      </c>
    </row>
    <row r="333" spans="1:14" ht="180" x14ac:dyDescent="0.25">
      <c r="A333" s="12" t="s">
        <v>1267</v>
      </c>
      <c r="B333" s="12" t="s">
        <v>1268</v>
      </c>
      <c r="C333" s="13" t="s">
        <v>6788</v>
      </c>
      <c r="D333" s="12" t="s">
        <v>1237</v>
      </c>
      <c r="E333" s="12"/>
      <c r="F333" s="12"/>
      <c r="G333" s="12"/>
      <c r="H333" s="12" t="s">
        <v>1269</v>
      </c>
      <c r="I333" s="12" t="s">
        <v>1270</v>
      </c>
      <c r="J333" s="12"/>
      <c r="K333" s="12" t="s">
        <v>1271</v>
      </c>
      <c r="L333" s="12" t="s">
        <v>6414</v>
      </c>
      <c r="M333" s="12" t="str">
        <f>HYPERLINK("https://ceds.ed.gov/cedselementdetails.aspx?termid=9531")</f>
        <v>https://ceds.ed.gov/cedselementdetails.aspx?termid=9531</v>
      </c>
      <c r="N333" s="12" t="str">
        <f>HYPERLINK("https://ceds.ed.gov/elementComment.aspx?elementName=Assessment Registration Reason Not Completing &amp;elementID=9531", "Click here to submit comment")</f>
        <v>Click here to submit comment</v>
      </c>
    </row>
    <row r="334" spans="1:14" ht="75" x14ac:dyDescent="0.25">
      <c r="A334" s="12" t="s">
        <v>1272</v>
      </c>
      <c r="B334" s="12" t="s">
        <v>1273</v>
      </c>
      <c r="C334" s="12" t="s">
        <v>6364</v>
      </c>
      <c r="D334" s="12" t="s">
        <v>1237</v>
      </c>
      <c r="E334" s="12"/>
      <c r="F334" s="12"/>
      <c r="G334" s="12"/>
      <c r="H334" s="12"/>
      <c r="I334" s="12" t="s">
        <v>1274</v>
      </c>
      <c r="J334" s="12"/>
      <c r="K334" s="12" t="s">
        <v>1275</v>
      </c>
      <c r="L334" s="12"/>
      <c r="M334" s="12" t="str">
        <f>HYPERLINK("https://ceds.ed.gov/cedselementdetails.aspx?termid=10018")</f>
        <v>https://ceds.ed.gov/cedselementdetails.aspx?termid=10018</v>
      </c>
      <c r="N334" s="12" t="str">
        <f>HYPERLINK("https://ceds.ed.gov/elementComment.aspx?elementName=Assessment Registration Retest Indicator &amp;elementID=10018", "Click here to submit comment")</f>
        <v>Click here to submit comment</v>
      </c>
    </row>
    <row r="335" spans="1:14" ht="135" x14ac:dyDescent="0.25">
      <c r="A335" s="12" t="s">
        <v>1276</v>
      </c>
      <c r="B335" s="12" t="s">
        <v>1277</v>
      </c>
      <c r="C335" s="12" t="s">
        <v>12</v>
      </c>
      <c r="D335" s="12" t="s">
        <v>1237</v>
      </c>
      <c r="E335" s="12"/>
      <c r="F335" s="12" t="s">
        <v>73</v>
      </c>
      <c r="G335" s="12"/>
      <c r="H335" s="12"/>
      <c r="I335" s="12" t="s">
        <v>1278</v>
      </c>
      <c r="J335" s="12"/>
      <c r="K335" s="12" t="s">
        <v>1279</v>
      </c>
      <c r="L335" s="12"/>
      <c r="M335" s="12" t="str">
        <f>HYPERLINK("https://ceds.ed.gov/cedselementdetails.aspx?termid=10062")</f>
        <v>https://ceds.ed.gov/cedselementdetails.aspx?termid=10062</v>
      </c>
      <c r="N335" s="12" t="str">
        <f>HYPERLINK("https://ceds.ed.gov/elementComment.aspx?elementName=Assessment Registration Score Publish Date &amp;elementID=10062", "Click here to submit comment")</f>
        <v>Click here to submit comment</v>
      </c>
    </row>
    <row r="336" spans="1:14" ht="75" x14ac:dyDescent="0.25">
      <c r="A336" s="18" t="s">
        <v>1280</v>
      </c>
      <c r="B336" s="18" t="s">
        <v>1281</v>
      </c>
      <c r="C336" s="18" t="s">
        <v>12</v>
      </c>
      <c r="D336" s="18" t="s">
        <v>1237</v>
      </c>
      <c r="E336" s="18"/>
      <c r="F336" s="18" t="s">
        <v>142</v>
      </c>
      <c r="G336" s="18"/>
      <c r="H336" s="12" t="s">
        <v>1282</v>
      </c>
      <c r="I336" s="18" t="s">
        <v>1283</v>
      </c>
      <c r="J336" s="18"/>
      <c r="K336" s="18" t="s">
        <v>1284</v>
      </c>
      <c r="L336" s="18"/>
      <c r="M336" s="18" t="str">
        <f>HYPERLINK("https://ceds.ed.gov/cedselementdetails.aspx?termid=10119")</f>
        <v>https://ceds.ed.gov/cedselementdetails.aspx?termid=10119</v>
      </c>
      <c r="N336" s="18" t="str">
        <f>HYPERLINK("https://ceds.ed.gov/elementComment.aspx?elementName=Assessment Registration Test Attempt Identifier &amp;elementID=10119", "Click here to submit comment")</f>
        <v>Click here to submit comment</v>
      </c>
    </row>
    <row r="337" spans="1:14" x14ac:dyDescent="0.25">
      <c r="A337" s="18"/>
      <c r="B337" s="18"/>
      <c r="C337" s="18"/>
      <c r="D337" s="18"/>
      <c r="E337" s="18"/>
      <c r="F337" s="18"/>
      <c r="G337" s="18"/>
      <c r="H337" s="12"/>
      <c r="I337" s="18"/>
      <c r="J337" s="18"/>
      <c r="K337" s="18"/>
      <c r="L337" s="18"/>
      <c r="M337" s="18"/>
      <c r="N337" s="18"/>
    </row>
    <row r="338" spans="1:14" ht="105" x14ac:dyDescent="0.25">
      <c r="A338" s="18"/>
      <c r="B338" s="18"/>
      <c r="C338" s="18"/>
      <c r="D338" s="18"/>
      <c r="E338" s="18"/>
      <c r="F338" s="18"/>
      <c r="G338" s="18"/>
      <c r="H338" s="12" t="s">
        <v>143</v>
      </c>
      <c r="I338" s="18"/>
      <c r="J338" s="18"/>
      <c r="K338" s="18"/>
      <c r="L338" s="18"/>
      <c r="M338" s="18"/>
      <c r="N338" s="18"/>
    </row>
    <row r="339" spans="1:14" x14ac:dyDescent="0.25">
      <c r="A339" s="18"/>
      <c r="B339" s="18"/>
      <c r="C339" s="18"/>
      <c r="D339" s="18"/>
      <c r="E339" s="18"/>
      <c r="F339" s="18"/>
      <c r="G339" s="18"/>
      <c r="H339" s="12"/>
      <c r="I339" s="18"/>
      <c r="J339" s="18"/>
      <c r="K339" s="18"/>
      <c r="L339" s="18"/>
      <c r="M339" s="18"/>
      <c r="N339" s="18"/>
    </row>
    <row r="340" spans="1:14" ht="90" x14ac:dyDescent="0.25">
      <c r="A340" s="18"/>
      <c r="B340" s="18"/>
      <c r="C340" s="18"/>
      <c r="D340" s="18"/>
      <c r="E340" s="18"/>
      <c r="F340" s="18"/>
      <c r="G340" s="18"/>
      <c r="H340" s="12" t="s">
        <v>144</v>
      </c>
      <c r="I340" s="18"/>
      <c r="J340" s="18"/>
      <c r="K340" s="18"/>
      <c r="L340" s="18"/>
      <c r="M340" s="18"/>
      <c r="N340" s="18"/>
    </row>
    <row r="341" spans="1:14" ht="75" x14ac:dyDescent="0.25">
      <c r="A341" s="12" t="s">
        <v>1285</v>
      </c>
      <c r="B341" s="12" t="s">
        <v>1286</v>
      </c>
      <c r="C341" s="12" t="s">
        <v>12</v>
      </c>
      <c r="D341" s="12" t="s">
        <v>1237</v>
      </c>
      <c r="E341" s="12"/>
      <c r="F341" s="12" t="s">
        <v>68</v>
      </c>
      <c r="G341" s="12"/>
      <c r="H341" s="12" t="s">
        <v>1287</v>
      </c>
      <c r="I341" s="12" t="s">
        <v>1288</v>
      </c>
      <c r="J341" s="12"/>
      <c r="K341" s="12" t="s">
        <v>1289</v>
      </c>
      <c r="L341" s="12"/>
      <c r="M341" s="12" t="str">
        <f>HYPERLINK("https://ceds.ed.gov/cedselementdetails.aspx?termid=10061")</f>
        <v>https://ceds.ed.gov/cedselementdetails.aspx?termid=10061</v>
      </c>
      <c r="N341" s="12" t="str">
        <f>HYPERLINK("https://ceds.ed.gov/elementComment.aspx?elementName=Assessment Registration Testing Indicator &amp;elementID=10061", "Click here to submit comment")</f>
        <v>Click here to submit comment</v>
      </c>
    </row>
    <row r="342" spans="1:14" ht="180" x14ac:dyDescent="0.25">
      <c r="A342" s="12" t="s">
        <v>1290</v>
      </c>
      <c r="B342" s="12" t="s">
        <v>1291</v>
      </c>
      <c r="C342" s="13" t="s">
        <v>6789</v>
      </c>
      <c r="D342" s="12" t="s">
        <v>1292</v>
      </c>
      <c r="E342" s="12"/>
      <c r="F342" s="12"/>
      <c r="G342" s="12"/>
      <c r="H342" s="12" t="s">
        <v>1293</v>
      </c>
      <c r="I342" s="12" t="s">
        <v>1294</v>
      </c>
      <c r="J342" s="12"/>
      <c r="K342" s="12" t="s">
        <v>1295</v>
      </c>
      <c r="L342" s="12"/>
      <c r="M342" s="12" t="str">
        <f>HYPERLINK("https://ceds.ed.gov/cedselementdetails.aspx?termid=10518")</f>
        <v>https://ceds.ed.gov/cedselementdetails.aspx?termid=10518</v>
      </c>
      <c r="N342" s="12" t="str">
        <f>HYPERLINK("https://ceds.ed.gov/elementComment.aspx?elementName=Assessment Result Data Type &amp;elementID=10518", "Click here to submit comment")</f>
        <v>Click here to submit comment</v>
      </c>
    </row>
    <row r="343" spans="1:14" ht="45" x14ac:dyDescent="0.25">
      <c r="A343" s="12" t="s">
        <v>1296</v>
      </c>
      <c r="B343" s="12" t="s">
        <v>1297</v>
      </c>
      <c r="C343" s="12" t="s">
        <v>12</v>
      </c>
      <c r="D343" s="12" t="s">
        <v>1292</v>
      </c>
      <c r="E343" s="12"/>
      <c r="F343" s="12" t="s">
        <v>73</v>
      </c>
      <c r="G343" s="12"/>
      <c r="H343" s="12"/>
      <c r="I343" s="12" t="s">
        <v>1298</v>
      </c>
      <c r="J343" s="12"/>
      <c r="K343" s="12" t="s">
        <v>1299</v>
      </c>
      <c r="L343" s="12"/>
      <c r="M343" s="12" t="str">
        <f>HYPERLINK("https://ceds.ed.gov/cedselementdetails.aspx?termid=9972")</f>
        <v>https://ceds.ed.gov/cedselementdetails.aspx?termid=9972</v>
      </c>
      <c r="N343" s="12" t="str">
        <f>HYPERLINK("https://ceds.ed.gov/elementComment.aspx?elementName=Assessment Result Date Created &amp;elementID=9972", "Click here to submit comment")</f>
        <v>Click here to submit comment</v>
      </c>
    </row>
    <row r="344" spans="1:14" ht="135" x14ac:dyDescent="0.25">
      <c r="A344" s="12" t="s">
        <v>1300</v>
      </c>
      <c r="B344" s="12" t="s">
        <v>1301</v>
      </c>
      <c r="C344" s="12" t="s">
        <v>12</v>
      </c>
      <c r="D344" s="12" t="s">
        <v>1292</v>
      </c>
      <c r="E344" s="12"/>
      <c r="F344" s="12" t="s">
        <v>73</v>
      </c>
      <c r="G344" s="12"/>
      <c r="H344" s="12" t="s">
        <v>1302</v>
      </c>
      <c r="I344" s="12" t="s">
        <v>1303</v>
      </c>
      <c r="J344" s="12"/>
      <c r="K344" s="12" t="s">
        <v>1304</v>
      </c>
      <c r="L344" s="12"/>
      <c r="M344" s="12" t="str">
        <f>HYPERLINK("https://ceds.ed.gov/cedselementdetails.aspx?termid=9971")</f>
        <v>https://ceds.ed.gov/cedselementdetails.aspx?termid=9971</v>
      </c>
      <c r="N344" s="12" t="str">
        <f>HYPERLINK("https://ceds.ed.gov/elementComment.aspx?elementName=Assessment Result Date Updated &amp;elementID=9971", "Click here to submit comment")</f>
        <v>Click here to submit comment</v>
      </c>
    </row>
    <row r="345" spans="1:14" ht="75" x14ac:dyDescent="0.25">
      <c r="A345" s="12" t="s">
        <v>1305</v>
      </c>
      <c r="B345" s="12" t="s">
        <v>1306</v>
      </c>
      <c r="C345" s="12" t="s">
        <v>12</v>
      </c>
      <c r="D345" s="12" t="s">
        <v>1292</v>
      </c>
      <c r="E345" s="12"/>
      <c r="F345" s="12" t="s">
        <v>68</v>
      </c>
      <c r="G345" s="12"/>
      <c r="H345" s="12"/>
      <c r="I345" s="12" t="s">
        <v>1307</v>
      </c>
      <c r="J345" s="12"/>
      <c r="K345" s="12" t="s">
        <v>1308</v>
      </c>
      <c r="L345" s="12" t="s">
        <v>827</v>
      </c>
      <c r="M345" s="12" t="str">
        <f>HYPERLINK("https://ceds.ed.gov/cedselementdetails.aspx?termid=9890")</f>
        <v>https://ceds.ed.gov/cedselementdetails.aspx?termid=9890</v>
      </c>
      <c r="N345" s="12" t="str">
        <f>HYPERLINK("https://ceds.ed.gov/elementComment.aspx?elementName=Assessment Result Descriptive Feedback &amp;elementID=9890", "Click here to submit comment")</f>
        <v>Click here to submit comment</v>
      </c>
    </row>
    <row r="346" spans="1:14" ht="60" x14ac:dyDescent="0.25">
      <c r="A346" s="12" t="s">
        <v>1309</v>
      </c>
      <c r="B346" s="12" t="s">
        <v>1310</v>
      </c>
      <c r="C346" s="12" t="s">
        <v>12</v>
      </c>
      <c r="D346" s="12" t="s">
        <v>6415</v>
      </c>
      <c r="E346" s="12"/>
      <c r="F346" s="12" t="s">
        <v>860</v>
      </c>
      <c r="G346" s="12"/>
      <c r="H346" s="12"/>
      <c r="I346" s="12" t="s">
        <v>1311</v>
      </c>
      <c r="J346" s="12"/>
      <c r="K346" s="12" t="s">
        <v>1312</v>
      </c>
      <c r="L346" s="12"/>
      <c r="M346" s="12" t="str">
        <f>HYPERLINK("https://ceds.ed.gov/cedselementdetails.aspx?termid=10520")</f>
        <v>https://ceds.ed.gov/cedselementdetails.aspx?termid=10520</v>
      </c>
      <c r="N346" s="12" t="str">
        <f>HYPERLINK("https://ceds.ed.gov/elementComment.aspx?elementName=Assessment Result Descriptive Feedback Date Time &amp;elementID=10520", "Click here to submit comment")</f>
        <v>Click here to submit comment</v>
      </c>
    </row>
    <row r="347" spans="1:14" ht="120" x14ac:dyDescent="0.25">
      <c r="A347" s="12" t="s">
        <v>1313</v>
      </c>
      <c r="B347" s="12" t="s">
        <v>1314</v>
      </c>
      <c r="C347" s="12" t="s">
        <v>12</v>
      </c>
      <c r="D347" s="12" t="s">
        <v>1292</v>
      </c>
      <c r="E347" s="12"/>
      <c r="F347" s="12" t="s">
        <v>99</v>
      </c>
      <c r="G347" s="12"/>
      <c r="H347" s="12"/>
      <c r="I347" s="12" t="s">
        <v>1315</v>
      </c>
      <c r="J347" s="12"/>
      <c r="K347" s="12" t="s">
        <v>1316</v>
      </c>
      <c r="L347" s="12"/>
      <c r="M347" s="12" t="str">
        <f>HYPERLINK("https://ceds.ed.gov/cedselementdetails.aspx?termid=10076")</f>
        <v>https://ceds.ed.gov/cedselementdetails.aspx?termid=10076</v>
      </c>
      <c r="N347" s="12" t="str">
        <f>HYPERLINK("https://ceds.ed.gov/elementComment.aspx?elementName=Assessment Result Descriptive Feedback Source &amp;elementID=10076", "Click here to submit comment")</f>
        <v>Click here to submit comment</v>
      </c>
    </row>
    <row r="348" spans="1:14" ht="120" x14ac:dyDescent="0.25">
      <c r="A348" s="12" t="s">
        <v>1317</v>
      </c>
      <c r="B348" s="12" t="s">
        <v>1318</v>
      </c>
      <c r="C348" s="12" t="s">
        <v>12</v>
      </c>
      <c r="D348" s="12" t="s">
        <v>1292</v>
      </c>
      <c r="E348" s="12"/>
      <c r="F348" s="12" t="s">
        <v>327</v>
      </c>
      <c r="G348" s="12"/>
      <c r="H348" s="12"/>
      <c r="I348" s="12" t="s">
        <v>1319</v>
      </c>
      <c r="J348" s="12"/>
      <c r="K348" s="12" t="s">
        <v>1320</v>
      </c>
      <c r="L348" s="12"/>
      <c r="M348" s="12" t="str">
        <f>HYPERLINK("https://ceds.ed.gov/cedselementdetails.aspx?termid=10185")</f>
        <v>https://ceds.ed.gov/cedselementdetails.aspx?termid=10185</v>
      </c>
      <c r="N348" s="12" t="str">
        <f>HYPERLINK("https://ceds.ed.gov/elementComment.aspx?elementName=Assessment Result Diagnostic Statement &amp;elementID=10185", "Click here to submit comment")</f>
        <v>Click here to submit comment</v>
      </c>
    </row>
    <row r="349" spans="1:14" ht="60" x14ac:dyDescent="0.25">
      <c r="A349" s="12" t="s">
        <v>1321</v>
      </c>
      <c r="B349" s="12" t="s">
        <v>1322</v>
      </c>
      <c r="C349" s="12" t="s">
        <v>6364</v>
      </c>
      <c r="D349" s="12"/>
      <c r="E349" s="12"/>
      <c r="F349" s="12"/>
      <c r="G349" s="12"/>
      <c r="H349" s="12"/>
      <c r="I349" s="12" t="s">
        <v>1323</v>
      </c>
      <c r="J349" s="12" t="s">
        <v>1324</v>
      </c>
      <c r="K349" s="12" t="s">
        <v>1325</v>
      </c>
      <c r="L349" s="12" t="s">
        <v>222</v>
      </c>
      <c r="M349" s="12" t="str">
        <f>HYPERLINK("https://ceds.ed.gov/cedselementdetails.aspx?termid=9568")</f>
        <v>https://ceds.ed.gov/cedselementdetails.aspx?termid=9568</v>
      </c>
      <c r="N349" s="12" t="str">
        <f>HYPERLINK("https://ceds.ed.gov/elementComment.aspx?elementName=Assessment Result Included in Adequate Yearly Progress Calculation &amp;elementID=9568", "Click here to submit comment")</f>
        <v>Click here to submit comment</v>
      </c>
    </row>
    <row r="350" spans="1:14" ht="120" x14ac:dyDescent="0.25">
      <c r="A350" s="12" t="s">
        <v>1326</v>
      </c>
      <c r="B350" s="12" t="s">
        <v>1327</v>
      </c>
      <c r="C350" s="12" t="s">
        <v>12</v>
      </c>
      <c r="D350" s="12" t="s">
        <v>1292</v>
      </c>
      <c r="E350" s="12"/>
      <c r="F350" s="12" t="s">
        <v>1255</v>
      </c>
      <c r="G350" s="12"/>
      <c r="H350" s="12"/>
      <c r="I350" s="12" t="s">
        <v>1328</v>
      </c>
      <c r="J350" s="12"/>
      <c r="K350" s="12" t="s">
        <v>1329</v>
      </c>
      <c r="L350" s="12"/>
      <c r="M350" s="12" t="str">
        <f>HYPERLINK("https://ceds.ed.gov/cedselementdetails.aspx?termid=10012")</f>
        <v>https://ceds.ed.gov/cedselementdetails.aspx?termid=10012</v>
      </c>
      <c r="N350" s="12" t="str">
        <f>HYPERLINK("https://ceds.ed.gov/elementComment.aspx?elementName=Assessment Result Number of Responses &amp;elementID=10012", "Click here to submit comment")</f>
        <v>Click here to submit comment</v>
      </c>
    </row>
    <row r="351" spans="1:14" ht="75" x14ac:dyDescent="0.25">
      <c r="A351" s="12" t="s">
        <v>1330</v>
      </c>
      <c r="B351" s="12" t="s">
        <v>1331</v>
      </c>
      <c r="C351" s="12" t="s">
        <v>6364</v>
      </c>
      <c r="D351" s="12" t="s">
        <v>1292</v>
      </c>
      <c r="E351" s="12"/>
      <c r="F351" s="12"/>
      <c r="G351" s="12"/>
      <c r="H351" s="12"/>
      <c r="I351" s="12" t="s">
        <v>1332</v>
      </c>
      <c r="J351" s="12"/>
      <c r="K351" s="12" t="s">
        <v>1333</v>
      </c>
      <c r="L351" s="12"/>
      <c r="M351" s="12" t="str">
        <f>HYPERLINK("https://ceds.ed.gov/cedselementdetails.aspx?termid=10010")</f>
        <v>https://ceds.ed.gov/cedselementdetails.aspx?termid=10010</v>
      </c>
      <c r="N351" s="12" t="str">
        <f>HYPERLINK("https://ceds.ed.gov/elementComment.aspx?elementName=Assessment Result Preliminary Indicator &amp;elementID=10010", "Click here to submit comment")</f>
        <v>Click here to submit comment</v>
      </c>
    </row>
    <row r="352" spans="1:14" ht="60" x14ac:dyDescent="0.25">
      <c r="A352" s="12" t="s">
        <v>1334</v>
      </c>
      <c r="B352" s="12" t="s">
        <v>1335</v>
      </c>
      <c r="C352" s="13" t="s">
        <v>6790</v>
      </c>
      <c r="D352" s="12" t="s">
        <v>1292</v>
      </c>
      <c r="E352" s="12"/>
      <c r="F352" s="12"/>
      <c r="G352" s="12"/>
      <c r="H352" s="12"/>
      <c r="I352" s="12" t="s">
        <v>1336</v>
      </c>
      <c r="J352" s="12"/>
      <c r="K352" s="12" t="s">
        <v>1337</v>
      </c>
      <c r="L352" s="12" t="s">
        <v>6416</v>
      </c>
      <c r="M352" s="12" t="str">
        <f>HYPERLINK("https://ceds.ed.gov/cedselementdetails.aspx?termid=9564")</f>
        <v>https://ceds.ed.gov/cedselementdetails.aspx?termid=9564</v>
      </c>
      <c r="N352" s="12" t="str">
        <f>HYPERLINK("https://ceds.ed.gov/elementComment.aspx?elementName=Assessment Result Pretest Outcome &amp;elementID=9564", "Click here to submit comment")</f>
        <v>Click here to submit comment</v>
      </c>
    </row>
    <row r="353" spans="1:14" ht="60" x14ac:dyDescent="0.25">
      <c r="A353" s="12" t="s">
        <v>1338</v>
      </c>
      <c r="B353" s="12" t="s">
        <v>1339</v>
      </c>
      <c r="C353" s="12" t="s">
        <v>12</v>
      </c>
      <c r="D353" s="12" t="s">
        <v>1292</v>
      </c>
      <c r="E353" s="12"/>
      <c r="F353" s="12" t="s">
        <v>157</v>
      </c>
      <c r="G353" s="12"/>
      <c r="H353" s="12" t="s">
        <v>1340</v>
      </c>
      <c r="I353" s="12" t="s">
        <v>1341</v>
      </c>
      <c r="J353" s="12"/>
      <c r="K353" s="12" t="s">
        <v>1342</v>
      </c>
      <c r="L353" s="12"/>
      <c r="M353" s="12" t="str">
        <f>HYPERLINK("https://ceds.ed.gov/cedselementdetails.aspx?termid=10522")</f>
        <v>https://ceds.ed.gov/cedselementdetails.aspx?termid=10522</v>
      </c>
      <c r="N353" s="12" t="str">
        <f>HYPERLINK("https://ceds.ed.gov/elementComment.aspx?elementName=Assessment Result Score Standard Error &amp;elementID=10522", "Click here to submit comment")</f>
        <v>Click here to submit comment</v>
      </c>
    </row>
    <row r="354" spans="1:14" ht="240" x14ac:dyDescent="0.25">
      <c r="A354" s="12" t="s">
        <v>1343</v>
      </c>
      <c r="B354" s="12" t="s">
        <v>1344</v>
      </c>
      <c r="C354" s="13" t="s">
        <v>6791</v>
      </c>
      <c r="D354" s="12" t="s">
        <v>1292</v>
      </c>
      <c r="E354" s="12"/>
      <c r="F354" s="12"/>
      <c r="G354" s="12"/>
      <c r="H354" s="12"/>
      <c r="I354" s="12" t="s">
        <v>1345</v>
      </c>
      <c r="J354" s="12"/>
      <c r="K354" s="12" t="s">
        <v>1346</v>
      </c>
      <c r="L354" s="12"/>
      <c r="M354" s="12" t="str">
        <f>HYPERLINK("https://ceds.ed.gov/cedselementdetails.aspx?termid=10523")</f>
        <v>https://ceds.ed.gov/cedselementdetails.aspx?termid=10523</v>
      </c>
      <c r="N354" s="12" t="str">
        <f>HYPERLINK("https://ceds.ed.gov/elementComment.aspx?elementName=Assessment Result Score Type &amp;elementID=10523", "Click here to submit comment")</f>
        <v>Click here to submit comment</v>
      </c>
    </row>
    <row r="355" spans="1:14" ht="210" x14ac:dyDescent="0.25">
      <c r="A355" s="12" t="s">
        <v>1347</v>
      </c>
      <c r="B355" s="12" t="s">
        <v>1348</v>
      </c>
      <c r="C355" s="12" t="s">
        <v>12</v>
      </c>
      <c r="D355" s="12" t="s">
        <v>1292</v>
      </c>
      <c r="E355" s="12"/>
      <c r="F355" s="12" t="s">
        <v>1349</v>
      </c>
      <c r="G355" s="12"/>
      <c r="H355" s="12" t="s">
        <v>1350</v>
      </c>
      <c r="I355" s="12" t="s">
        <v>1351</v>
      </c>
      <c r="J355" s="12"/>
      <c r="K355" s="12" t="s">
        <v>1352</v>
      </c>
      <c r="L355" s="12" t="s">
        <v>6417</v>
      </c>
      <c r="M355" s="12" t="str">
        <f>HYPERLINK("https://ceds.ed.gov/cedselementdetails.aspx?termid=9245")</f>
        <v>https://ceds.ed.gov/cedselementdetails.aspx?termid=9245</v>
      </c>
      <c r="N355" s="12" t="str">
        <f>HYPERLINK("https://ceds.ed.gov/elementComment.aspx?elementName=Assessment Result Score Value &amp;elementID=9245", "Click here to submit comment")</f>
        <v>Click here to submit comment</v>
      </c>
    </row>
    <row r="356" spans="1:14" ht="60" x14ac:dyDescent="0.25">
      <c r="A356" s="12" t="s">
        <v>1353</v>
      </c>
      <c r="B356" s="12" t="s">
        <v>1354</v>
      </c>
      <c r="C356" s="12" t="s">
        <v>12</v>
      </c>
      <c r="D356" s="12" t="s">
        <v>519</v>
      </c>
      <c r="E356" s="12"/>
      <c r="F356" s="12" t="s">
        <v>73</v>
      </c>
      <c r="G356" s="12"/>
      <c r="H356" s="12"/>
      <c r="I356" s="12" t="s">
        <v>1355</v>
      </c>
      <c r="J356" s="12"/>
      <c r="K356" s="12" t="s">
        <v>1356</v>
      </c>
      <c r="L356" s="12"/>
      <c r="M356" s="12" t="str">
        <f>HYPERLINK("https://ceds.ed.gov/cedselementdetails.aspx?termid=10519")</f>
        <v>https://ceds.ed.gov/cedselementdetails.aspx?termid=10519</v>
      </c>
      <c r="N356" s="12" t="str">
        <f>HYPERLINK("https://ceds.ed.gov/elementComment.aspx?elementName=Assessment Revision Date &amp;elementID=10519", "Click here to submit comment")</f>
        <v>Click here to submit comment</v>
      </c>
    </row>
    <row r="357" spans="1:14" ht="409.5" x14ac:dyDescent="0.25">
      <c r="A357" s="12" t="s">
        <v>1357</v>
      </c>
      <c r="B357" s="12" t="s">
        <v>1358</v>
      </c>
      <c r="C357" s="13" t="s">
        <v>6783</v>
      </c>
      <c r="D357" s="12" t="s">
        <v>6418</v>
      </c>
      <c r="E357" s="12"/>
      <c r="F357" s="12"/>
      <c r="G357" s="12"/>
      <c r="H357" s="12"/>
      <c r="I357" s="12" t="s">
        <v>1359</v>
      </c>
      <c r="J357" s="12"/>
      <c r="K357" s="12" t="s">
        <v>1360</v>
      </c>
      <c r="L357" s="12" t="s">
        <v>6419</v>
      </c>
      <c r="M357" s="12" t="str">
        <f>HYPERLINK("https://ceds.ed.gov/cedselementdetails.aspx?termid=9368")</f>
        <v>https://ceds.ed.gov/cedselementdetails.aspx?termid=9368</v>
      </c>
      <c r="N357" s="12" t="str">
        <f>HYPERLINK("https://ceds.ed.gov/elementComment.aspx?elementName=Assessment Score Metric Type &amp;elementID=9368", "Click here to submit comment")</f>
        <v>Click here to submit comment</v>
      </c>
    </row>
    <row r="358" spans="1:14" ht="60" x14ac:dyDescent="0.25">
      <c r="A358" s="12" t="s">
        <v>1361</v>
      </c>
      <c r="B358" s="12" t="s">
        <v>1362</v>
      </c>
      <c r="C358" s="12" t="s">
        <v>6364</v>
      </c>
      <c r="D358" s="12" t="s">
        <v>6420</v>
      </c>
      <c r="E358" s="12"/>
      <c r="F358" s="12"/>
      <c r="G358" s="12"/>
      <c r="H358" s="12"/>
      <c r="I358" s="12" t="s">
        <v>1363</v>
      </c>
      <c r="J358" s="12"/>
      <c r="K358" s="12" t="s">
        <v>1364</v>
      </c>
      <c r="L358" s="12" t="s">
        <v>6397</v>
      </c>
      <c r="M358" s="12" t="str">
        <f>HYPERLINK("https://ceds.ed.gov/cedselementdetails.aspx?termid=9375")</f>
        <v>https://ceds.ed.gov/cedselementdetails.aspx?termid=9375</v>
      </c>
      <c r="N358" s="12" t="str">
        <f>HYPERLINK("https://ceds.ed.gov/elementComment.aspx?elementName=Assessment Secure Indicator &amp;elementID=9375", "Click here to submit comment")</f>
        <v>Click here to submit comment</v>
      </c>
    </row>
    <row r="359" spans="1:14" ht="90" x14ac:dyDescent="0.25">
      <c r="A359" s="12" t="s">
        <v>1365</v>
      </c>
      <c r="B359" s="12" t="s">
        <v>1366</v>
      </c>
      <c r="C359" s="12" t="s">
        <v>12</v>
      </c>
      <c r="D359" s="12" t="s">
        <v>6421</v>
      </c>
      <c r="E359" s="12"/>
      <c r="F359" s="12" t="s">
        <v>860</v>
      </c>
      <c r="G359" s="12"/>
      <c r="H359" s="12" t="s">
        <v>1367</v>
      </c>
      <c r="I359" s="12" t="s">
        <v>1368</v>
      </c>
      <c r="J359" s="12"/>
      <c r="K359" s="12" t="s">
        <v>1369</v>
      </c>
      <c r="L359" s="12"/>
      <c r="M359" s="12" t="str">
        <f>HYPERLINK("https://ceds.ed.gov/cedselementdetails.aspx?termid=10024")</f>
        <v>https://ceds.ed.gov/cedselementdetails.aspx?termid=10024</v>
      </c>
      <c r="N359" s="12" t="str">
        <f>HYPERLINK("https://ceds.ed.gov/elementComment.aspx?elementName=Assessment Session Actual End Date Time &amp;elementID=10024", "Click here to submit comment")</f>
        <v>Click here to submit comment</v>
      </c>
    </row>
    <row r="360" spans="1:14" ht="90" x14ac:dyDescent="0.25">
      <c r="A360" s="12" t="s">
        <v>1370</v>
      </c>
      <c r="B360" s="12" t="s">
        <v>1371</v>
      </c>
      <c r="C360" s="12" t="s">
        <v>12</v>
      </c>
      <c r="D360" s="12" t="s">
        <v>6421</v>
      </c>
      <c r="E360" s="12"/>
      <c r="F360" s="12" t="s">
        <v>860</v>
      </c>
      <c r="G360" s="12"/>
      <c r="H360" s="12" t="s">
        <v>1372</v>
      </c>
      <c r="I360" s="12" t="s">
        <v>1373</v>
      </c>
      <c r="J360" s="12"/>
      <c r="K360" s="12" t="s">
        <v>1374</v>
      </c>
      <c r="L360" s="12"/>
      <c r="M360" s="12" t="str">
        <f>HYPERLINK("https://ceds.ed.gov/cedselementdetails.aspx?termid=10023")</f>
        <v>https://ceds.ed.gov/cedselementdetails.aspx?termid=10023</v>
      </c>
      <c r="N360" s="12" t="str">
        <f>HYPERLINK("https://ceds.ed.gov/elementComment.aspx?elementName=Assessment Session Actual Start Date Time &amp;elementID=10023", "Click here to submit comment")</f>
        <v>Click here to submit comment</v>
      </c>
    </row>
    <row r="361" spans="1:14" ht="105" x14ac:dyDescent="0.25">
      <c r="A361" s="18" t="s">
        <v>1375</v>
      </c>
      <c r="B361" s="18" t="s">
        <v>1376</v>
      </c>
      <c r="C361" s="18" t="s">
        <v>12</v>
      </c>
      <c r="D361" s="18" t="s">
        <v>1377</v>
      </c>
      <c r="E361" s="18"/>
      <c r="F361" s="18" t="s">
        <v>142</v>
      </c>
      <c r="G361" s="18"/>
      <c r="H361" s="12" t="s">
        <v>143</v>
      </c>
      <c r="I361" s="18" t="s">
        <v>1378</v>
      </c>
      <c r="J361" s="18"/>
      <c r="K361" s="18" t="s">
        <v>1379</v>
      </c>
      <c r="L361" s="18" t="s">
        <v>6397</v>
      </c>
      <c r="M361" s="18" t="str">
        <f>HYPERLINK("https://ceds.ed.gov/cedselementdetails.aspx?termid=9400")</f>
        <v>https://ceds.ed.gov/cedselementdetails.aspx?termid=9400</v>
      </c>
      <c r="N361" s="18" t="str">
        <f>HYPERLINK("https://ceds.ed.gov/elementComment.aspx?elementName=Assessment Session Administrator Identifier &amp;elementID=9400", "Click here to submit comment")</f>
        <v>Click here to submit comment</v>
      </c>
    </row>
    <row r="362" spans="1:14" x14ac:dyDescent="0.25">
      <c r="A362" s="18"/>
      <c r="B362" s="18"/>
      <c r="C362" s="18"/>
      <c r="D362" s="18"/>
      <c r="E362" s="18"/>
      <c r="F362" s="18"/>
      <c r="G362" s="18"/>
      <c r="H362" s="12"/>
      <c r="I362" s="18"/>
      <c r="J362" s="18"/>
      <c r="K362" s="18"/>
      <c r="L362" s="18"/>
      <c r="M362" s="18"/>
      <c r="N362" s="18"/>
    </row>
    <row r="363" spans="1:14" ht="90" x14ac:dyDescent="0.25">
      <c r="A363" s="18"/>
      <c r="B363" s="18"/>
      <c r="C363" s="18"/>
      <c r="D363" s="18"/>
      <c r="E363" s="18"/>
      <c r="F363" s="18"/>
      <c r="G363" s="18"/>
      <c r="H363" s="12" t="s">
        <v>144</v>
      </c>
      <c r="I363" s="18"/>
      <c r="J363" s="18"/>
      <c r="K363" s="18"/>
      <c r="L363" s="18"/>
      <c r="M363" s="18"/>
      <c r="N363" s="18"/>
    </row>
    <row r="364" spans="1:14" ht="45" x14ac:dyDescent="0.25">
      <c r="A364" s="12" t="s">
        <v>1380</v>
      </c>
      <c r="B364" s="12" t="s">
        <v>1381</v>
      </c>
      <c r="C364" s="12" t="s">
        <v>12</v>
      </c>
      <c r="D364" s="12" t="s">
        <v>1377</v>
      </c>
      <c r="E364" s="12"/>
      <c r="F364" s="12" t="s">
        <v>865</v>
      </c>
      <c r="G364" s="12"/>
      <c r="H364" s="12"/>
      <c r="I364" s="12" t="s">
        <v>1382</v>
      </c>
      <c r="J364" s="12"/>
      <c r="K364" s="12" t="s">
        <v>1383</v>
      </c>
      <c r="L364" s="12" t="s">
        <v>6397</v>
      </c>
      <c r="M364" s="12" t="str">
        <f>HYPERLINK("https://ceds.ed.gov/cedselementdetails.aspx?termid=9399")</f>
        <v>https://ceds.ed.gov/cedselementdetails.aspx?termid=9399</v>
      </c>
      <c r="N364" s="12" t="str">
        <f>HYPERLINK("https://ceds.ed.gov/elementComment.aspx?elementName=Assessment Session Allotted Time &amp;elementID=9399", "Click here to submit comment")</f>
        <v>Click here to submit comment</v>
      </c>
    </row>
    <row r="365" spans="1:14" ht="60" x14ac:dyDescent="0.25">
      <c r="A365" s="12" t="s">
        <v>1384</v>
      </c>
      <c r="B365" s="12" t="s">
        <v>1385</v>
      </c>
      <c r="C365" s="12" t="s">
        <v>12</v>
      </c>
      <c r="D365" s="12" t="s">
        <v>6421</v>
      </c>
      <c r="E365" s="12"/>
      <c r="F365" s="12" t="s">
        <v>1386</v>
      </c>
      <c r="G365" s="12"/>
      <c r="H365" s="12"/>
      <c r="I365" s="12" t="s">
        <v>1387</v>
      </c>
      <c r="J365" s="12"/>
      <c r="K365" s="12" t="s">
        <v>1388</v>
      </c>
      <c r="L365" s="12" t="s">
        <v>6397</v>
      </c>
      <c r="M365" s="12" t="str">
        <f>HYPERLINK("https://ceds.ed.gov/cedselementdetails.aspx?termid=9590")</f>
        <v>https://ceds.ed.gov/cedselementdetails.aspx?termid=9590</v>
      </c>
      <c r="N365" s="12" t="str">
        <f>HYPERLINK("https://ceds.ed.gov/elementComment.aspx?elementName=Assessment Session Location &amp;elementID=9590", "Click here to submit comment")</f>
        <v>Click here to submit comment</v>
      </c>
    </row>
    <row r="366" spans="1:14" ht="45" x14ac:dyDescent="0.25">
      <c r="A366" s="18" t="s">
        <v>1389</v>
      </c>
      <c r="B366" s="18" t="s">
        <v>1390</v>
      </c>
      <c r="C366" s="18" t="s">
        <v>12</v>
      </c>
      <c r="D366" s="18" t="s">
        <v>1377</v>
      </c>
      <c r="E366" s="18"/>
      <c r="F366" s="18" t="s">
        <v>142</v>
      </c>
      <c r="G366" s="18"/>
      <c r="H366" s="12" t="s">
        <v>1391</v>
      </c>
      <c r="I366" s="18" t="s">
        <v>1392</v>
      </c>
      <c r="J366" s="18"/>
      <c r="K366" s="18" t="s">
        <v>1393</v>
      </c>
      <c r="L366" s="18" t="s">
        <v>6397</v>
      </c>
      <c r="M366" s="18" t="str">
        <f>HYPERLINK("https://ceds.ed.gov/cedselementdetails.aspx?termid=9401")</f>
        <v>https://ceds.ed.gov/cedselementdetails.aspx?termid=9401</v>
      </c>
      <c r="N366" s="18" t="str">
        <f>HYPERLINK("https://ceds.ed.gov/elementComment.aspx?elementName=Assessment Session Proctor Identifier &amp;elementID=9401", "Click here to submit comment")</f>
        <v>Click here to submit comment</v>
      </c>
    </row>
    <row r="367" spans="1:14" x14ac:dyDescent="0.25">
      <c r="A367" s="18"/>
      <c r="B367" s="18"/>
      <c r="C367" s="18"/>
      <c r="D367" s="18"/>
      <c r="E367" s="18"/>
      <c r="F367" s="18"/>
      <c r="G367" s="18"/>
      <c r="H367" s="12"/>
      <c r="I367" s="18"/>
      <c r="J367" s="18"/>
      <c r="K367" s="18"/>
      <c r="L367" s="18"/>
      <c r="M367" s="18"/>
      <c r="N367" s="18"/>
    </row>
    <row r="368" spans="1:14" ht="105" x14ac:dyDescent="0.25">
      <c r="A368" s="18"/>
      <c r="B368" s="18"/>
      <c r="C368" s="18"/>
      <c r="D368" s="18"/>
      <c r="E368" s="18"/>
      <c r="F368" s="18"/>
      <c r="G368" s="18"/>
      <c r="H368" s="12" t="s">
        <v>143</v>
      </c>
      <c r="I368" s="18"/>
      <c r="J368" s="18"/>
      <c r="K368" s="18"/>
      <c r="L368" s="18"/>
      <c r="M368" s="18"/>
      <c r="N368" s="18"/>
    </row>
    <row r="369" spans="1:14" x14ac:dyDescent="0.25">
      <c r="A369" s="18"/>
      <c r="B369" s="18"/>
      <c r="C369" s="18"/>
      <c r="D369" s="18"/>
      <c r="E369" s="18"/>
      <c r="F369" s="18"/>
      <c r="G369" s="18"/>
      <c r="H369" s="12"/>
      <c r="I369" s="18"/>
      <c r="J369" s="18"/>
      <c r="K369" s="18"/>
      <c r="L369" s="18"/>
      <c r="M369" s="18"/>
      <c r="N369" s="18"/>
    </row>
    <row r="370" spans="1:14" ht="90" x14ac:dyDescent="0.25">
      <c r="A370" s="18"/>
      <c r="B370" s="18"/>
      <c r="C370" s="18"/>
      <c r="D370" s="18"/>
      <c r="E370" s="18"/>
      <c r="F370" s="18"/>
      <c r="G370" s="18"/>
      <c r="H370" s="12" t="s">
        <v>144</v>
      </c>
      <c r="I370" s="18"/>
      <c r="J370" s="18"/>
      <c r="K370" s="18"/>
      <c r="L370" s="18"/>
      <c r="M370" s="18"/>
      <c r="N370" s="18"/>
    </row>
    <row r="371" spans="1:14" ht="45" x14ac:dyDescent="0.25">
      <c r="A371" s="12" t="s">
        <v>1394</v>
      </c>
      <c r="B371" s="12" t="s">
        <v>1395</v>
      </c>
      <c r="C371" s="12" t="s">
        <v>12</v>
      </c>
      <c r="D371" s="12" t="s">
        <v>1377</v>
      </c>
      <c r="E371" s="12"/>
      <c r="F371" s="12" t="s">
        <v>860</v>
      </c>
      <c r="G371" s="12"/>
      <c r="H371" s="12"/>
      <c r="I371" s="12" t="s">
        <v>1396</v>
      </c>
      <c r="J371" s="12"/>
      <c r="K371" s="12" t="s">
        <v>1397</v>
      </c>
      <c r="L371" s="12"/>
      <c r="M371" s="12" t="str">
        <f>HYPERLINK("https://ceds.ed.gov/cedselementdetails.aspx?termid=10022")</f>
        <v>https://ceds.ed.gov/cedselementdetails.aspx?termid=10022</v>
      </c>
      <c r="N371" s="12" t="str">
        <f>HYPERLINK("https://ceds.ed.gov/elementComment.aspx?elementName=Assessment Session Scheduled End Date Time &amp;elementID=10022", "Click here to submit comment")</f>
        <v>Click here to submit comment</v>
      </c>
    </row>
    <row r="372" spans="1:14" ht="45" x14ac:dyDescent="0.25">
      <c r="A372" s="12" t="s">
        <v>1398</v>
      </c>
      <c r="B372" s="12" t="s">
        <v>1399</v>
      </c>
      <c r="C372" s="12" t="s">
        <v>12</v>
      </c>
      <c r="D372" s="12" t="s">
        <v>1377</v>
      </c>
      <c r="E372" s="12"/>
      <c r="F372" s="12" t="s">
        <v>860</v>
      </c>
      <c r="G372" s="12"/>
      <c r="H372" s="12"/>
      <c r="I372" s="12" t="s">
        <v>1400</v>
      </c>
      <c r="J372" s="12"/>
      <c r="K372" s="12" t="s">
        <v>1401</v>
      </c>
      <c r="L372" s="12"/>
      <c r="M372" s="12" t="str">
        <f>HYPERLINK("https://ceds.ed.gov/cedselementdetails.aspx?termid=10021")</f>
        <v>https://ceds.ed.gov/cedselementdetails.aspx?termid=10021</v>
      </c>
      <c r="N372" s="12" t="str">
        <f>HYPERLINK("https://ceds.ed.gov/elementComment.aspx?elementName=Assessment Session Scheduled Start Date Time &amp;elementID=10021", "Click here to submit comment")</f>
        <v>Click here to submit comment</v>
      </c>
    </row>
    <row r="373" spans="1:14" ht="150" x14ac:dyDescent="0.25">
      <c r="A373" s="12" t="s">
        <v>1402</v>
      </c>
      <c r="B373" s="12" t="s">
        <v>1403</v>
      </c>
      <c r="C373" s="12" t="s">
        <v>12</v>
      </c>
      <c r="D373" s="12" t="s">
        <v>6421</v>
      </c>
      <c r="E373" s="12"/>
      <c r="F373" s="12" t="s">
        <v>68</v>
      </c>
      <c r="G373" s="12"/>
      <c r="H373" s="12" t="s">
        <v>896</v>
      </c>
      <c r="I373" s="12" t="s">
        <v>1404</v>
      </c>
      <c r="J373" s="12"/>
      <c r="K373" s="12" t="s">
        <v>1405</v>
      </c>
      <c r="L373" s="12"/>
      <c r="M373" s="12" t="str">
        <f>HYPERLINK("https://ceds.ed.gov/cedselementdetails.aspx?termid=9969")</f>
        <v>https://ceds.ed.gov/cedselementdetails.aspx?termid=9969</v>
      </c>
      <c r="N373" s="12" t="str">
        <f>HYPERLINK("https://ceds.ed.gov/elementComment.aspx?elementName=Assessment Session Security Issue &amp;elementID=9969", "Click here to submit comment")</f>
        <v>Click here to submit comment</v>
      </c>
    </row>
    <row r="374" spans="1:14" ht="409.5" x14ac:dyDescent="0.25">
      <c r="A374" s="12" t="s">
        <v>1406</v>
      </c>
      <c r="B374" s="12" t="s">
        <v>1407</v>
      </c>
      <c r="C374" s="13" t="s">
        <v>6792</v>
      </c>
      <c r="D374" s="12" t="s">
        <v>6421</v>
      </c>
      <c r="E374" s="12"/>
      <c r="F374" s="12"/>
      <c r="G374" s="12"/>
      <c r="H374" s="12"/>
      <c r="I374" s="12" t="s">
        <v>1408</v>
      </c>
      <c r="J374" s="12"/>
      <c r="K374" s="12" t="s">
        <v>1409</v>
      </c>
      <c r="L374" s="12" t="s">
        <v>6397</v>
      </c>
      <c r="M374" s="12" t="str">
        <f>HYPERLINK("https://ceds.ed.gov/cedselementdetails.aspx?termid=9380")</f>
        <v>https://ceds.ed.gov/cedselementdetails.aspx?termid=9380</v>
      </c>
      <c r="N374" s="12" t="str">
        <f>HYPERLINK("https://ceds.ed.gov/elementComment.aspx?elementName=Assessment Session Special Circumstance Type &amp;elementID=9380", "Click here to submit comment")</f>
        <v>Click here to submit comment</v>
      </c>
    </row>
    <row r="375" spans="1:14" ht="90" x14ac:dyDescent="0.25">
      <c r="A375" s="12" t="s">
        <v>1410</v>
      </c>
      <c r="B375" s="12" t="s">
        <v>1411</v>
      </c>
      <c r="C375" s="12" t="s">
        <v>12</v>
      </c>
      <c r="D375" s="12" t="s">
        <v>6421</v>
      </c>
      <c r="E375" s="12"/>
      <c r="F375" s="12" t="s">
        <v>99</v>
      </c>
      <c r="G375" s="12"/>
      <c r="H375" s="12"/>
      <c r="I375" s="12" t="s">
        <v>1412</v>
      </c>
      <c r="J375" s="12"/>
      <c r="K375" s="12" t="s">
        <v>1413</v>
      </c>
      <c r="L375" s="12"/>
      <c r="M375" s="12" t="str">
        <f>HYPERLINK("https://ceds.ed.gov/cedselementdetails.aspx?termid=10077")</f>
        <v>https://ceds.ed.gov/cedselementdetails.aspx?termid=10077</v>
      </c>
      <c r="N375" s="12" t="str">
        <f>HYPERLINK("https://ceds.ed.gov/elementComment.aspx?elementName=Assessment Session Special Event Description &amp;elementID=10077", "Click here to submit comment")</f>
        <v>Click here to submit comment</v>
      </c>
    </row>
    <row r="376" spans="1:14" ht="120" x14ac:dyDescent="0.25">
      <c r="A376" s="12" t="s">
        <v>1414</v>
      </c>
      <c r="B376" s="12" t="s">
        <v>1415</v>
      </c>
      <c r="C376" s="13" t="s">
        <v>6793</v>
      </c>
      <c r="D376" s="12" t="s">
        <v>1377</v>
      </c>
      <c r="E376" s="12"/>
      <c r="F376" s="12"/>
      <c r="G376" s="12"/>
      <c r="H376" s="12"/>
      <c r="I376" s="12" t="s">
        <v>1416</v>
      </c>
      <c r="J376" s="12"/>
      <c r="K376" s="12" t="s">
        <v>1417</v>
      </c>
      <c r="L376" s="12"/>
      <c r="M376" s="12" t="str">
        <f>HYPERLINK("https://ceds.ed.gov/cedselementdetails.aspx?termid=10179")</f>
        <v>https://ceds.ed.gov/cedselementdetails.aspx?termid=10179</v>
      </c>
      <c r="N376" s="12" t="str">
        <f>HYPERLINK("https://ceds.ed.gov/elementComment.aspx?elementName=Assessment Session Staff Role Type &amp;elementID=10179", "Click here to submit comment")</f>
        <v>Click here to submit comment</v>
      </c>
    </row>
    <row r="377" spans="1:14" ht="45" x14ac:dyDescent="0.25">
      <c r="A377" s="12" t="s">
        <v>1418</v>
      </c>
      <c r="B377" s="12" t="s">
        <v>1419</v>
      </c>
      <c r="C377" s="13" t="s">
        <v>6794</v>
      </c>
      <c r="D377" s="12" t="s">
        <v>1377</v>
      </c>
      <c r="E377" s="12"/>
      <c r="F377" s="12"/>
      <c r="G377" s="12"/>
      <c r="H377" s="12"/>
      <c r="I377" s="12" t="s">
        <v>1420</v>
      </c>
      <c r="J377" s="12"/>
      <c r="K377" s="12" t="s">
        <v>1421</v>
      </c>
      <c r="L377" s="12"/>
      <c r="M377" s="12" t="str">
        <f>HYPERLINK("https://ceds.ed.gov/cedselementdetails.aspx?termid=10020")</f>
        <v>https://ceds.ed.gov/cedselementdetails.aspx?termid=10020</v>
      </c>
      <c r="N377" s="12" t="str">
        <f>HYPERLINK("https://ceds.ed.gov/elementComment.aspx?elementName=Assessment Session Type &amp;elementID=10020", "Click here to submit comment")</f>
        <v>Click here to submit comment</v>
      </c>
    </row>
    <row r="378" spans="1:14" ht="45" x14ac:dyDescent="0.25">
      <c r="A378" s="12" t="s">
        <v>1422</v>
      </c>
      <c r="B378" s="12" t="s">
        <v>1423</v>
      </c>
      <c r="C378" s="12" t="s">
        <v>6364</v>
      </c>
      <c r="D378" s="12" t="s">
        <v>1424</v>
      </c>
      <c r="E378" s="12"/>
      <c r="F378" s="12"/>
      <c r="G378" s="12"/>
      <c r="H378" s="12"/>
      <c r="I378" s="12" t="s">
        <v>1425</v>
      </c>
      <c r="J378" s="12"/>
      <c r="K378" s="12" t="s">
        <v>1426</v>
      </c>
      <c r="L378" s="12" t="s">
        <v>64</v>
      </c>
      <c r="M378" s="12" t="str">
        <f>HYPERLINK("https://ceds.ed.gov/cedselementdetails.aspx?termid=9858")</f>
        <v>https://ceds.ed.gov/cedselementdetails.aspx?termid=9858</v>
      </c>
      <c r="N378" s="12" t="str">
        <f>HYPERLINK("https://ceds.ed.gov/elementComment.aspx?elementName=Assessment Shared With Parents &amp;elementID=9858", "Click here to submit comment")</f>
        <v>Click here to submit comment</v>
      </c>
    </row>
    <row r="379" spans="1:14" ht="45" x14ac:dyDescent="0.25">
      <c r="A379" s="12" t="s">
        <v>1427</v>
      </c>
      <c r="B379" s="12" t="s">
        <v>1428</v>
      </c>
      <c r="C379" s="12" t="s">
        <v>12</v>
      </c>
      <c r="D379" s="12" t="s">
        <v>519</v>
      </c>
      <c r="E379" s="12"/>
      <c r="F379" s="12" t="s">
        <v>92</v>
      </c>
      <c r="G379" s="12"/>
      <c r="H379" s="12"/>
      <c r="I379" s="12" t="s">
        <v>1429</v>
      </c>
      <c r="J379" s="12"/>
      <c r="K379" s="12" t="s">
        <v>1430</v>
      </c>
      <c r="L379" s="12"/>
      <c r="M379" s="12" t="str">
        <f>HYPERLINK("https://ceds.ed.gov/cedselementdetails.aspx?termid=9932")</f>
        <v>https://ceds.ed.gov/cedselementdetails.aspx?termid=9932</v>
      </c>
      <c r="N379" s="12" t="str">
        <f>HYPERLINK("https://ceds.ed.gov/elementComment.aspx?elementName=Assessment Short Name &amp;elementID=9932", "Click here to submit comment")</f>
        <v>Click here to submit comment</v>
      </c>
    </row>
    <row r="380" spans="1:14" ht="45" x14ac:dyDescent="0.25">
      <c r="A380" s="12" t="s">
        <v>1431</v>
      </c>
      <c r="B380" s="12" t="s">
        <v>1432</v>
      </c>
      <c r="C380" s="12" t="s">
        <v>12</v>
      </c>
      <c r="D380" s="12" t="s">
        <v>505</v>
      </c>
      <c r="E380" s="12"/>
      <c r="F380" s="12" t="s">
        <v>92</v>
      </c>
      <c r="G380" s="12"/>
      <c r="H380" s="12"/>
      <c r="I380" s="12" t="s">
        <v>1433</v>
      </c>
      <c r="J380" s="12"/>
      <c r="K380" s="12" t="s">
        <v>1434</v>
      </c>
      <c r="L380" s="12" t="s">
        <v>6422</v>
      </c>
      <c r="M380" s="12" t="str">
        <f>HYPERLINK("https://ceds.ed.gov/cedselementdetails.aspx?termid=9367")</f>
        <v>https://ceds.ed.gov/cedselementdetails.aspx?termid=9367</v>
      </c>
      <c r="N380" s="12" t="str">
        <f>HYPERLINK("https://ceds.ed.gov/elementComment.aspx?elementName=Assessment Subtest Abbreviation &amp;elementID=9367", "Click here to submit comment")</f>
        <v>Click here to submit comment</v>
      </c>
    </row>
    <row r="381" spans="1:14" ht="105" x14ac:dyDescent="0.25">
      <c r="A381" s="12" t="s">
        <v>1435</v>
      </c>
      <c r="B381" s="12" t="s">
        <v>1436</v>
      </c>
      <c r="C381" s="12" t="s">
        <v>12</v>
      </c>
      <c r="D381" s="12" t="s">
        <v>505</v>
      </c>
      <c r="E381" s="12"/>
      <c r="F381" s="12" t="s">
        <v>99</v>
      </c>
      <c r="G381" s="12"/>
      <c r="H381" s="12"/>
      <c r="I381" s="12" t="s">
        <v>1437</v>
      </c>
      <c r="J381" s="12"/>
      <c r="K381" s="12" t="s">
        <v>1438</v>
      </c>
      <c r="L381" s="12" t="s">
        <v>6403</v>
      </c>
      <c r="M381" s="12" t="str">
        <f>HYPERLINK("https://ceds.ed.gov/cedselementdetails.aspx?termid=9274")</f>
        <v>https://ceds.ed.gov/cedselementdetails.aspx?termid=9274</v>
      </c>
      <c r="N381" s="12" t="str">
        <f>HYPERLINK("https://ceds.ed.gov/elementComment.aspx?elementName=Assessment Subtest Description &amp;elementID=9274", "Click here to submit comment")</f>
        <v>Click here to submit comment</v>
      </c>
    </row>
    <row r="382" spans="1:14" ht="105" x14ac:dyDescent="0.25">
      <c r="A382" s="18" t="s">
        <v>1439</v>
      </c>
      <c r="B382" s="18" t="s">
        <v>1440</v>
      </c>
      <c r="C382" s="18" t="s">
        <v>12</v>
      </c>
      <c r="D382" s="18" t="s">
        <v>505</v>
      </c>
      <c r="E382" s="18"/>
      <c r="F382" s="18" t="s">
        <v>142</v>
      </c>
      <c r="G382" s="18"/>
      <c r="H382" s="12" t="s">
        <v>143</v>
      </c>
      <c r="I382" s="18" t="s">
        <v>1441</v>
      </c>
      <c r="J382" s="18"/>
      <c r="K382" s="18" t="s">
        <v>1442</v>
      </c>
      <c r="L382" s="18" t="s">
        <v>6419</v>
      </c>
      <c r="M382" s="18" t="str">
        <f>HYPERLINK("https://ceds.ed.gov/cedselementdetails.aspx?termid=9366")</f>
        <v>https://ceds.ed.gov/cedselementdetails.aspx?termid=9366</v>
      </c>
      <c r="N382" s="18" t="str">
        <f>HYPERLINK("https://ceds.ed.gov/elementComment.aspx?elementName=Assessment Subtest Identifier &amp;elementID=9366", "Click here to submit comment")</f>
        <v>Click here to submit comment</v>
      </c>
    </row>
    <row r="383" spans="1:14" x14ac:dyDescent="0.25">
      <c r="A383" s="18"/>
      <c r="B383" s="18"/>
      <c r="C383" s="18"/>
      <c r="D383" s="18"/>
      <c r="E383" s="18"/>
      <c r="F383" s="18"/>
      <c r="G383" s="18"/>
      <c r="H383" s="12"/>
      <c r="I383" s="18"/>
      <c r="J383" s="18"/>
      <c r="K383" s="18"/>
      <c r="L383" s="18"/>
      <c r="M383" s="18"/>
      <c r="N383" s="18"/>
    </row>
    <row r="384" spans="1:14" ht="90" x14ac:dyDescent="0.25">
      <c r="A384" s="18"/>
      <c r="B384" s="18"/>
      <c r="C384" s="18"/>
      <c r="D384" s="18"/>
      <c r="E384" s="18"/>
      <c r="F384" s="18"/>
      <c r="G384" s="18"/>
      <c r="H384" s="12" t="s">
        <v>144</v>
      </c>
      <c r="I384" s="18"/>
      <c r="J384" s="18"/>
      <c r="K384" s="18"/>
      <c r="L384" s="18"/>
      <c r="M384" s="18"/>
      <c r="N384" s="18"/>
    </row>
    <row r="385" spans="1:14" ht="75" x14ac:dyDescent="0.25">
      <c r="A385" s="12" t="s">
        <v>1443</v>
      </c>
      <c r="B385" s="12" t="s">
        <v>1444</v>
      </c>
      <c r="C385" s="13" t="s">
        <v>6795</v>
      </c>
      <c r="D385" s="12" t="s">
        <v>505</v>
      </c>
      <c r="E385" s="12"/>
      <c r="F385" s="12"/>
      <c r="G385" s="12"/>
      <c r="H385" s="12"/>
      <c r="I385" s="12" t="s">
        <v>1445</v>
      </c>
      <c r="J385" s="12"/>
      <c r="K385" s="12" t="s">
        <v>1446</v>
      </c>
      <c r="L385" s="12"/>
      <c r="M385" s="12" t="str">
        <f>HYPERLINK("https://ceds.ed.gov/cedselementdetails.aspx?termid=10016")</f>
        <v>https://ceds.ed.gov/cedselementdetails.aspx?termid=10016</v>
      </c>
      <c r="N385" s="12" t="str">
        <f>HYPERLINK("https://ceds.ed.gov/elementComment.aspx?elementName=Assessment Subtest Identifier Type &amp;elementID=10016", "Click here to submit comment")</f>
        <v>Click here to submit comment</v>
      </c>
    </row>
    <row r="386" spans="1:14" ht="45" x14ac:dyDescent="0.25">
      <c r="A386" s="12" t="s">
        <v>1447</v>
      </c>
      <c r="B386" s="12" t="s">
        <v>1448</v>
      </c>
      <c r="C386" s="12" t="s">
        <v>12</v>
      </c>
      <c r="D386" s="12" t="s">
        <v>505</v>
      </c>
      <c r="E386" s="12"/>
      <c r="F386" s="12" t="s">
        <v>92</v>
      </c>
      <c r="G386" s="12"/>
      <c r="H386" s="12"/>
      <c r="I386" s="12" t="s">
        <v>1449</v>
      </c>
      <c r="J386" s="12"/>
      <c r="K386" s="12" t="s">
        <v>1450</v>
      </c>
      <c r="L386" s="12" t="s">
        <v>6397</v>
      </c>
      <c r="M386" s="12" t="str">
        <f>HYPERLINK("https://ceds.ed.gov/cedselementdetails.aspx?termid=9388")</f>
        <v>https://ceds.ed.gov/cedselementdetails.aspx?termid=9388</v>
      </c>
      <c r="N386" s="12" t="str">
        <f>HYPERLINK("https://ceds.ed.gov/elementComment.aspx?elementName=Assessment Subtest Maximum Value &amp;elementID=9388", "Click here to submit comment")</f>
        <v>Click here to submit comment</v>
      </c>
    </row>
    <row r="387" spans="1:14" ht="45" x14ac:dyDescent="0.25">
      <c r="A387" s="12" t="s">
        <v>1451</v>
      </c>
      <c r="B387" s="12" t="s">
        <v>1452</v>
      </c>
      <c r="C387" s="12" t="s">
        <v>12</v>
      </c>
      <c r="D387" s="12" t="s">
        <v>505</v>
      </c>
      <c r="E387" s="12"/>
      <c r="F387" s="12" t="s">
        <v>92</v>
      </c>
      <c r="G387" s="12"/>
      <c r="H387" s="12"/>
      <c r="I387" s="12" t="s">
        <v>1453</v>
      </c>
      <c r="J387" s="12"/>
      <c r="K387" s="12" t="s">
        <v>1454</v>
      </c>
      <c r="L387" s="12" t="s">
        <v>6397</v>
      </c>
      <c r="M387" s="12" t="str">
        <f>HYPERLINK("https://ceds.ed.gov/cedselementdetails.aspx?termid=9387")</f>
        <v>https://ceds.ed.gov/cedselementdetails.aspx?termid=9387</v>
      </c>
      <c r="N387" s="12" t="str">
        <f>HYPERLINK("https://ceds.ed.gov/elementComment.aspx?elementName=Assessment Subtest Minimum Value &amp;elementID=9387", "Click here to submit comment")</f>
        <v>Click here to submit comment</v>
      </c>
    </row>
    <row r="388" spans="1:14" ht="45" x14ac:dyDescent="0.25">
      <c r="A388" s="12" t="s">
        <v>1455</v>
      </c>
      <c r="B388" s="12" t="s">
        <v>1456</v>
      </c>
      <c r="C388" s="12" t="s">
        <v>12</v>
      </c>
      <c r="D388" s="12" t="s">
        <v>505</v>
      </c>
      <c r="E388" s="12"/>
      <c r="F388" s="12" t="s">
        <v>92</v>
      </c>
      <c r="G388" s="12"/>
      <c r="H388" s="12" t="s">
        <v>1457</v>
      </c>
      <c r="I388" s="12" t="s">
        <v>1458</v>
      </c>
      <c r="J388" s="12"/>
      <c r="K388" s="12" t="s">
        <v>1459</v>
      </c>
      <c r="L388" s="12" t="s">
        <v>6409</v>
      </c>
      <c r="M388" s="12" t="str">
        <f>HYPERLINK("https://ceds.ed.gov/cedselementdetails.aspx?termid=9389")</f>
        <v>https://ceds.ed.gov/cedselementdetails.aspx?termid=9389</v>
      </c>
      <c r="N388" s="12" t="str">
        <f>HYPERLINK("https://ceds.ed.gov/elementComment.aspx?elementName=Assessment Subtest Optimal Value &amp;elementID=9389", "Click here to submit comment")</f>
        <v>Click here to submit comment</v>
      </c>
    </row>
    <row r="389" spans="1:14" ht="45" x14ac:dyDescent="0.25">
      <c r="A389" s="12" t="s">
        <v>1460</v>
      </c>
      <c r="B389" s="12" t="s">
        <v>1461</v>
      </c>
      <c r="C389" s="12" t="s">
        <v>12</v>
      </c>
      <c r="D389" s="12" t="s">
        <v>505</v>
      </c>
      <c r="E389" s="12"/>
      <c r="F389" s="12" t="s">
        <v>73</v>
      </c>
      <c r="G389" s="12"/>
      <c r="H389" s="12"/>
      <c r="I389" s="12" t="s">
        <v>1462</v>
      </c>
      <c r="J389" s="12"/>
      <c r="K389" s="12" t="s">
        <v>1463</v>
      </c>
      <c r="L389" s="12"/>
      <c r="M389" s="12" t="str">
        <f>HYPERLINK("https://ceds.ed.gov/cedselementdetails.aspx?termid=10075")</f>
        <v>https://ceds.ed.gov/cedselementdetails.aspx?termid=10075</v>
      </c>
      <c r="N389" s="12" t="str">
        <f>HYPERLINK("https://ceds.ed.gov/elementComment.aspx?elementName=Assessment Subtest Published Date &amp;elementID=10075", "Click here to submit comment")</f>
        <v>Click here to submit comment</v>
      </c>
    </row>
    <row r="390" spans="1:14" ht="45" x14ac:dyDescent="0.25">
      <c r="A390" s="12" t="s">
        <v>1464</v>
      </c>
      <c r="B390" s="12" t="s">
        <v>1465</v>
      </c>
      <c r="C390" s="12" t="s">
        <v>12</v>
      </c>
      <c r="D390" s="12" t="s">
        <v>505</v>
      </c>
      <c r="E390" s="12"/>
      <c r="F390" s="12" t="s">
        <v>327</v>
      </c>
      <c r="G390" s="12"/>
      <c r="H390" s="12"/>
      <c r="I390" s="12" t="s">
        <v>1466</v>
      </c>
      <c r="J390" s="12"/>
      <c r="K390" s="12" t="s">
        <v>1467</v>
      </c>
      <c r="L390" s="12"/>
      <c r="M390" s="12" t="str">
        <f>HYPERLINK("https://ceds.ed.gov/cedselementdetails.aspx?termid=9695")</f>
        <v>https://ceds.ed.gov/cedselementdetails.aspx?termid=9695</v>
      </c>
      <c r="N390" s="12" t="str">
        <f>HYPERLINK("https://ceds.ed.gov/elementComment.aspx?elementName=Assessment Subtest Rules &amp;elementID=9695", "Click here to submit comment")</f>
        <v>Click here to submit comment</v>
      </c>
    </row>
    <row r="391" spans="1:14" ht="120" x14ac:dyDescent="0.25">
      <c r="A391" s="12" t="s">
        <v>1468</v>
      </c>
      <c r="B391" s="12" t="s">
        <v>1469</v>
      </c>
      <c r="C391" s="12" t="s">
        <v>12</v>
      </c>
      <c r="D391" s="12" t="s">
        <v>505</v>
      </c>
      <c r="E391" s="12"/>
      <c r="F391" s="12" t="s">
        <v>99</v>
      </c>
      <c r="G391" s="12"/>
      <c r="H391" s="12"/>
      <c r="I391" s="12" t="s">
        <v>1470</v>
      </c>
      <c r="J391" s="12"/>
      <c r="K391" s="12" t="s">
        <v>1471</v>
      </c>
      <c r="L391" s="12" t="s">
        <v>6423</v>
      </c>
      <c r="M391" s="12" t="str">
        <f>HYPERLINK("https://ceds.ed.gov/cedselementdetails.aspx?termid=9275")</f>
        <v>https://ceds.ed.gov/cedselementdetails.aspx?termid=9275</v>
      </c>
      <c r="N391" s="12" t="str">
        <f>HYPERLINK("https://ceds.ed.gov/elementComment.aspx?elementName=Assessment Subtest Title &amp;elementID=9275", "Click here to submit comment")</f>
        <v>Click here to submit comment</v>
      </c>
    </row>
    <row r="392" spans="1:14" ht="45" x14ac:dyDescent="0.25">
      <c r="A392" s="12" t="s">
        <v>1472</v>
      </c>
      <c r="B392" s="12" t="s">
        <v>1473</v>
      </c>
      <c r="C392" s="12" t="s">
        <v>12</v>
      </c>
      <c r="D392" s="12" t="s">
        <v>505</v>
      </c>
      <c r="E392" s="12"/>
      <c r="F392" s="12" t="s">
        <v>92</v>
      </c>
      <c r="G392" s="12"/>
      <c r="H392" s="12"/>
      <c r="I392" s="12" t="s">
        <v>1474</v>
      </c>
      <c r="J392" s="12"/>
      <c r="K392" s="12" t="s">
        <v>1475</v>
      </c>
      <c r="L392" s="12" t="s">
        <v>6419</v>
      </c>
      <c r="M392" s="12" t="str">
        <f>HYPERLINK("https://ceds.ed.gov/cedselementdetails.aspx?termid=9379")</f>
        <v>https://ceds.ed.gov/cedselementdetails.aspx?termid=9379</v>
      </c>
      <c r="N392" s="12" t="str">
        <f>HYPERLINK("https://ceds.ed.gov/elementComment.aspx?elementName=Assessment Subtest Version &amp;elementID=9379", "Click here to submit comment")</f>
        <v>Click here to submit comment</v>
      </c>
    </row>
    <row r="393" spans="1:14" ht="120" x14ac:dyDescent="0.25">
      <c r="A393" s="12" t="s">
        <v>1476</v>
      </c>
      <c r="B393" s="12" t="s">
        <v>1477</v>
      </c>
      <c r="C393" s="12" t="s">
        <v>12</v>
      </c>
      <c r="D393" s="12" t="s">
        <v>519</v>
      </c>
      <c r="E393" s="12"/>
      <c r="F393" s="12" t="s">
        <v>99</v>
      </c>
      <c r="G393" s="12"/>
      <c r="H393" s="12"/>
      <c r="I393" s="12" t="s">
        <v>1478</v>
      </c>
      <c r="J393" s="12"/>
      <c r="K393" s="12" t="s">
        <v>1479</v>
      </c>
      <c r="L393" s="12" t="s">
        <v>6423</v>
      </c>
      <c r="M393" s="12" t="str">
        <f>HYPERLINK("https://ceds.ed.gov/cedselementdetails.aspx?termid=9028")</f>
        <v>https://ceds.ed.gov/cedselementdetails.aspx?termid=9028</v>
      </c>
      <c r="N393" s="12" t="str">
        <f>HYPERLINK("https://ceds.ed.gov/elementComment.aspx?elementName=Assessment Title &amp;elementID=9028", "Click here to submit comment")</f>
        <v>Click here to submit comment</v>
      </c>
    </row>
    <row r="394" spans="1:14" ht="409.5" x14ac:dyDescent="0.25">
      <c r="A394" s="12" t="s">
        <v>1480</v>
      </c>
      <c r="B394" s="12" t="s">
        <v>1481</v>
      </c>
      <c r="C394" s="13" t="s">
        <v>6796</v>
      </c>
      <c r="D394" s="12" t="s">
        <v>519</v>
      </c>
      <c r="E394" s="12"/>
      <c r="F394" s="12"/>
      <c r="G394" s="12"/>
      <c r="H394" s="12"/>
      <c r="I394" s="12" t="s">
        <v>1482</v>
      </c>
      <c r="J394" s="12"/>
      <c r="K394" s="12" t="s">
        <v>1483</v>
      </c>
      <c r="L394" s="12" t="s">
        <v>6399</v>
      </c>
      <c r="M394" s="12" t="str">
        <f>HYPERLINK("https://ceds.ed.gov/cedselementdetails.aspx?termid=9029")</f>
        <v>https://ceds.ed.gov/cedselementdetails.aspx?termid=9029</v>
      </c>
      <c r="N394" s="12" t="str">
        <f>HYPERLINK("https://ceds.ed.gov/elementComment.aspx?elementName=Assessment Type &amp;elementID=9029", "Click here to submit comment")</f>
        <v>Click here to submit comment</v>
      </c>
    </row>
    <row r="395" spans="1:14" ht="409.5" x14ac:dyDescent="0.25">
      <c r="A395" s="12" t="s">
        <v>1484</v>
      </c>
      <c r="B395" s="12" t="s">
        <v>1485</v>
      </c>
      <c r="C395" s="13" t="s">
        <v>6797</v>
      </c>
      <c r="D395" s="12" t="s">
        <v>519</v>
      </c>
      <c r="E395" s="12"/>
      <c r="F395" s="12"/>
      <c r="G395" s="12"/>
      <c r="H395" s="12"/>
      <c r="I395" s="12" t="s">
        <v>1486</v>
      </c>
      <c r="J395" s="12"/>
      <c r="K395" s="12" t="s">
        <v>1487</v>
      </c>
      <c r="L395" s="12" t="s">
        <v>6414</v>
      </c>
      <c r="M395" s="12" t="str">
        <f>HYPERLINK("https://ceds.ed.gov/cedselementdetails.aspx?termid=9405")</f>
        <v>https://ceds.ed.gov/cedselementdetails.aspx?termid=9405</v>
      </c>
      <c r="N395" s="12" t="str">
        <f>HYPERLINK("https://ceds.ed.gov/elementComment.aspx?elementName=Assessment Type Administered to Children With Disabilities &amp;elementID=9405", "Click here to submit comment")</f>
        <v>Click here to submit comment</v>
      </c>
    </row>
    <row r="396" spans="1:14" ht="180" x14ac:dyDescent="0.25">
      <c r="A396" s="12" t="s">
        <v>1488</v>
      </c>
      <c r="B396" s="12" t="s">
        <v>1489</v>
      </c>
      <c r="C396" s="12" t="s">
        <v>12</v>
      </c>
      <c r="D396" s="12" t="s">
        <v>6424</v>
      </c>
      <c r="E396" s="12"/>
      <c r="F396" s="12" t="s">
        <v>73</v>
      </c>
      <c r="G396" s="12"/>
      <c r="H396" s="12"/>
      <c r="I396" s="12" t="s">
        <v>1490</v>
      </c>
      <c r="J396" s="12"/>
      <c r="K396" s="12" t="s">
        <v>1491</v>
      </c>
      <c r="L396" s="12"/>
      <c r="M396" s="12" t="str">
        <f>HYPERLINK("https://ceds.ed.gov/cedselementdetails.aspx?termid=9518")</f>
        <v>https://ceds.ed.gov/cedselementdetails.aspx?termid=9518</v>
      </c>
      <c r="N396" s="12" t="str">
        <f>HYPERLINK("https://ceds.ed.gov/elementComment.aspx?elementName=Assignment End Date &amp;elementID=9518", "Click here to submit comment")</f>
        <v>Click here to submit comment</v>
      </c>
    </row>
    <row r="397" spans="1:14" ht="180" x14ac:dyDescent="0.25">
      <c r="A397" s="12" t="s">
        <v>1492</v>
      </c>
      <c r="B397" s="12" t="s">
        <v>1493</v>
      </c>
      <c r="C397" s="12" t="s">
        <v>12</v>
      </c>
      <c r="D397" s="12" t="s">
        <v>6424</v>
      </c>
      <c r="E397" s="12"/>
      <c r="F397" s="12" t="s">
        <v>73</v>
      </c>
      <c r="G397" s="12"/>
      <c r="H397" s="12"/>
      <c r="I397" s="12" t="s">
        <v>1494</v>
      </c>
      <c r="J397" s="12"/>
      <c r="K397" s="12" t="s">
        <v>1495</v>
      </c>
      <c r="L397" s="12"/>
      <c r="M397" s="12" t="str">
        <f>HYPERLINK("https://ceds.ed.gov/cedselementdetails.aspx?termid=9517")</f>
        <v>https://ceds.ed.gov/cedselementdetails.aspx?termid=9517</v>
      </c>
      <c r="N397" s="12" t="str">
        <f>HYPERLINK("https://ceds.ed.gov/elementComment.aspx?elementName=Assignment Start Date &amp;elementID=9517", "Click here to submit comment")</f>
        <v>Click here to submit comment</v>
      </c>
    </row>
    <row r="398" spans="1:14" ht="180" x14ac:dyDescent="0.25">
      <c r="A398" s="12" t="s">
        <v>1496</v>
      </c>
      <c r="B398" s="12" t="s">
        <v>1497</v>
      </c>
      <c r="C398" s="12" t="s">
        <v>12</v>
      </c>
      <c r="D398" s="12" t="s">
        <v>6425</v>
      </c>
      <c r="E398" s="12" t="s">
        <v>1498</v>
      </c>
      <c r="F398" s="12" t="s">
        <v>73</v>
      </c>
      <c r="G398" s="12"/>
      <c r="H398" s="12"/>
      <c r="I398" s="12" t="s">
        <v>1499</v>
      </c>
      <c r="J398" s="12"/>
      <c r="K398" s="12" t="s">
        <v>1500</v>
      </c>
      <c r="L398" s="12"/>
      <c r="M398" s="12" t="str">
        <f>HYPERLINK("https://ceds.ed.gov/cedselementdetails.aspx?termid=10630")</f>
        <v>https://ceds.ed.gov/cedselementdetails.aspx?termid=10630</v>
      </c>
      <c r="N398" s="12" t="str">
        <f>HYPERLINK("https://ceds.ed.gov/elementComment.aspx?elementName=Attendance Event Date &amp;elementID=10630", "Click here to submit comment")</f>
        <v>Click here to submit comment</v>
      </c>
    </row>
    <row r="399" spans="1:14" ht="150" x14ac:dyDescent="0.25">
      <c r="A399" s="12" t="s">
        <v>1501</v>
      </c>
      <c r="B399" s="12" t="s">
        <v>1502</v>
      </c>
      <c r="C399" s="13" t="s">
        <v>6798</v>
      </c>
      <c r="D399" s="12" t="s">
        <v>6426</v>
      </c>
      <c r="E399" s="12"/>
      <c r="F399" s="12"/>
      <c r="G399" s="12"/>
      <c r="H399" s="12"/>
      <c r="I399" s="12" t="s">
        <v>1503</v>
      </c>
      <c r="J399" s="12"/>
      <c r="K399" s="12" t="s">
        <v>1504</v>
      </c>
      <c r="L399" s="12"/>
      <c r="M399" s="12" t="str">
        <f>HYPERLINK("https://ceds.ed.gov/cedselementdetails.aspx?termid=9594")</f>
        <v>https://ceds.ed.gov/cedselementdetails.aspx?termid=9594</v>
      </c>
      <c r="N399" s="12" t="str">
        <f>HYPERLINK("https://ceds.ed.gov/elementComment.aspx?elementName=Attendance Event Type &amp;elementID=9594", "Click here to submit comment")</f>
        <v>Click here to submit comment</v>
      </c>
    </row>
    <row r="400" spans="1:14" ht="165" x14ac:dyDescent="0.25">
      <c r="A400" s="12" t="s">
        <v>1505</v>
      </c>
      <c r="B400" s="12" t="s">
        <v>1506</v>
      </c>
      <c r="C400" s="13" t="s">
        <v>6799</v>
      </c>
      <c r="D400" s="12" t="s">
        <v>6427</v>
      </c>
      <c r="E400" s="12" t="s">
        <v>98</v>
      </c>
      <c r="F400" s="12"/>
      <c r="G400" s="12"/>
      <c r="H400" s="12"/>
      <c r="I400" s="12" t="s">
        <v>1507</v>
      </c>
      <c r="J400" s="12"/>
      <c r="K400" s="12" t="s">
        <v>1508</v>
      </c>
      <c r="L400" s="12"/>
      <c r="M400" s="12" t="str">
        <f>HYPERLINK("https://ceds.ed.gov/cedselementdetails.aspx?termid=9076")</f>
        <v>https://ceds.ed.gov/cedselementdetails.aspx?termid=9076</v>
      </c>
      <c r="N400" s="12" t="str">
        <f>HYPERLINK("https://ceds.ed.gov/elementComment.aspx?elementName=Attendance Status &amp;elementID=9076", "Click here to submit comment")</f>
        <v>Click here to submit comment</v>
      </c>
    </row>
    <row r="401" spans="1:14" ht="60" x14ac:dyDescent="0.25">
      <c r="A401" s="12" t="s">
        <v>1509</v>
      </c>
      <c r="B401" s="12" t="s">
        <v>1510</v>
      </c>
      <c r="C401" s="12" t="s">
        <v>12</v>
      </c>
      <c r="D401" s="12" t="s">
        <v>1511</v>
      </c>
      <c r="E401" s="12"/>
      <c r="F401" s="12" t="s">
        <v>73</v>
      </c>
      <c r="G401" s="12"/>
      <c r="H401" s="12"/>
      <c r="I401" s="12" t="s">
        <v>1512</v>
      </c>
      <c r="J401" s="12"/>
      <c r="K401" s="12" t="s">
        <v>1513</v>
      </c>
      <c r="L401" s="12"/>
      <c r="M401" s="12" t="str">
        <f>HYPERLINK("https://ceds.ed.gov/cedselementdetails.aspx?termid=10126")</f>
        <v>https://ceds.ed.gov/cedselementdetails.aspx?termid=10126</v>
      </c>
      <c r="N401" s="12" t="str">
        <f>HYPERLINK("https://ceds.ed.gov/elementComment.aspx?elementName=Authentication Identity Provider End Date &amp;elementID=10126", "Click here to submit comment")</f>
        <v>Click here to submit comment</v>
      </c>
    </row>
    <row r="402" spans="1:14" ht="105" x14ac:dyDescent="0.25">
      <c r="A402" s="18" t="s">
        <v>1514</v>
      </c>
      <c r="B402" s="18" t="s">
        <v>1515</v>
      </c>
      <c r="C402" s="18" t="s">
        <v>12</v>
      </c>
      <c r="D402" s="18" t="s">
        <v>1511</v>
      </c>
      <c r="E402" s="18"/>
      <c r="F402" s="18" t="s">
        <v>142</v>
      </c>
      <c r="G402" s="18"/>
      <c r="H402" s="12" t="s">
        <v>143</v>
      </c>
      <c r="I402" s="18" t="s">
        <v>1516</v>
      </c>
      <c r="J402" s="18"/>
      <c r="K402" s="18" t="s">
        <v>1517</v>
      </c>
      <c r="L402" s="18"/>
      <c r="M402" s="18" t="str">
        <f>HYPERLINK("https://ceds.ed.gov/cedselementdetails.aspx?termid=10124")</f>
        <v>https://ceds.ed.gov/cedselementdetails.aspx?termid=10124</v>
      </c>
      <c r="N402" s="18" t="str">
        <f>HYPERLINK("https://ceds.ed.gov/elementComment.aspx?elementName=Authentication Identity Provider Login Identifier &amp;elementID=10124", "Click here to submit comment")</f>
        <v>Click here to submit comment</v>
      </c>
    </row>
    <row r="403" spans="1:14" x14ac:dyDescent="0.25">
      <c r="A403" s="18"/>
      <c r="B403" s="18"/>
      <c r="C403" s="18"/>
      <c r="D403" s="18"/>
      <c r="E403" s="18"/>
      <c r="F403" s="18"/>
      <c r="G403" s="18"/>
      <c r="H403" s="12"/>
      <c r="I403" s="18"/>
      <c r="J403" s="18"/>
      <c r="K403" s="18"/>
      <c r="L403" s="18"/>
      <c r="M403" s="18"/>
      <c r="N403" s="18"/>
    </row>
    <row r="404" spans="1:14" ht="90" x14ac:dyDescent="0.25">
      <c r="A404" s="18"/>
      <c r="B404" s="18"/>
      <c r="C404" s="18"/>
      <c r="D404" s="18"/>
      <c r="E404" s="18"/>
      <c r="F404" s="18"/>
      <c r="G404" s="18"/>
      <c r="H404" s="12" t="s">
        <v>144</v>
      </c>
      <c r="I404" s="18"/>
      <c r="J404" s="18"/>
      <c r="K404" s="18"/>
      <c r="L404" s="18"/>
      <c r="M404" s="18"/>
      <c r="N404" s="18"/>
    </row>
    <row r="405" spans="1:14" ht="45" x14ac:dyDescent="0.25">
      <c r="A405" s="12" t="s">
        <v>1518</v>
      </c>
      <c r="B405" s="12" t="s">
        <v>1519</v>
      </c>
      <c r="C405" s="12" t="s">
        <v>12</v>
      </c>
      <c r="D405" s="12" t="s">
        <v>1511</v>
      </c>
      <c r="E405" s="12"/>
      <c r="F405" s="12" t="s">
        <v>99</v>
      </c>
      <c r="G405" s="12"/>
      <c r="H405" s="12"/>
      <c r="I405" s="12" t="s">
        <v>1520</v>
      </c>
      <c r="J405" s="12"/>
      <c r="K405" s="12" t="s">
        <v>1521</v>
      </c>
      <c r="L405" s="12"/>
      <c r="M405" s="12" t="str">
        <f>HYPERLINK("https://ceds.ed.gov/cedselementdetails.aspx?termid=10122")</f>
        <v>https://ceds.ed.gov/cedselementdetails.aspx?termid=10122</v>
      </c>
      <c r="N405" s="12" t="str">
        <f>HYPERLINK("https://ceds.ed.gov/elementComment.aspx?elementName=Authentication Identity Provider Name &amp;elementID=10122", "Click here to submit comment")</f>
        <v>Click here to submit comment</v>
      </c>
    </row>
    <row r="406" spans="1:14" ht="60" x14ac:dyDescent="0.25">
      <c r="A406" s="12" t="s">
        <v>1522</v>
      </c>
      <c r="B406" s="12" t="s">
        <v>1523</v>
      </c>
      <c r="C406" s="12" t="s">
        <v>12</v>
      </c>
      <c r="D406" s="12" t="s">
        <v>1511</v>
      </c>
      <c r="E406" s="12"/>
      <c r="F406" s="12" t="s">
        <v>73</v>
      </c>
      <c r="G406" s="12"/>
      <c r="H406" s="12"/>
      <c r="I406" s="12" t="s">
        <v>1524</v>
      </c>
      <c r="J406" s="12"/>
      <c r="K406" s="12" t="s">
        <v>1525</v>
      </c>
      <c r="L406" s="12"/>
      <c r="M406" s="12" t="str">
        <f>HYPERLINK("https://ceds.ed.gov/cedselementdetails.aspx?termid=10125")</f>
        <v>https://ceds.ed.gov/cedselementdetails.aspx?termid=10125</v>
      </c>
      <c r="N406" s="12" t="str">
        <f>HYPERLINK("https://ceds.ed.gov/elementComment.aspx?elementName=Authentication Identity Provider Start Date &amp;elementID=10125", "Click here to submit comment")</f>
        <v>Click here to submit comment</v>
      </c>
    </row>
    <row r="407" spans="1:14" ht="45" x14ac:dyDescent="0.25">
      <c r="A407" s="12" t="s">
        <v>1526</v>
      </c>
      <c r="B407" s="12" t="s">
        <v>1527</v>
      </c>
      <c r="C407" s="12" t="s">
        <v>12</v>
      </c>
      <c r="D407" s="12" t="s">
        <v>1511</v>
      </c>
      <c r="E407" s="12"/>
      <c r="F407" s="12" t="s">
        <v>68</v>
      </c>
      <c r="G407" s="12"/>
      <c r="H407" s="12"/>
      <c r="I407" s="12" t="s">
        <v>1528</v>
      </c>
      <c r="J407" s="12"/>
      <c r="K407" s="12" t="s">
        <v>1529</v>
      </c>
      <c r="L407" s="12"/>
      <c r="M407" s="12" t="str">
        <f>HYPERLINK("https://ceds.ed.gov/cedselementdetails.aspx?termid=10123")</f>
        <v>https://ceds.ed.gov/cedselementdetails.aspx?termid=10123</v>
      </c>
      <c r="N407" s="12" t="str">
        <f>HYPERLINK("https://ceds.ed.gov/elementComment.aspx?elementName=Authentication Identity Provider URI &amp;elementID=10123", "Click here to submit comment")</f>
        <v>Click here to submit comment</v>
      </c>
    </row>
    <row r="408" spans="1:14" ht="45" x14ac:dyDescent="0.25">
      <c r="A408" s="12" t="s">
        <v>1530</v>
      </c>
      <c r="B408" s="12" t="s">
        <v>1531</v>
      </c>
      <c r="C408" s="12" t="s">
        <v>12</v>
      </c>
      <c r="D408" s="12" t="s">
        <v>1532</v>
      </c>
      <c r="E408" s="12"/>
      <c r="F408" s="12" t="s">
        <v>1533</v>
      </c>
      <c r="G408" s="12"/>
      <c r="H408" s="12"/>
      <c r="I408" s="12" t="s">
        <v>1534</v>
      </c>
      <c r="J408" s="12"/>
      <c r="K408" s="12" t="s">
        <v>1535</v>
      </c>
      <c r="L408" s="12"/>
      <c r="M408" s="12" t="str">
        <f>HYPERLINK("https://ceds.ed.gov/cedselementdetails.aspx?termid=10127")</f>
        <v>https://ceds.ed.gov/cedselementdetails.aspx?termid=10127</v>
      </c>
      <c r="N408" s="12" t="str">
        <f>HYPERLINK("https://ceds.ed.gov/elementComment.aspx?elementName=Authorization Application Name &amp;elementID=10127", "Click here to submit comment")</f>
        <v>Click here to submit comment</v>
      </c>
    </row>
    <row r="409" spans="1:14" ht="45" x14ac:dyDescent="0.25">
      <c r="A409" s="12" t="s">
        <v>1536</v>
      </c>
      <c r="B409" s="12" t="s">
        <v>1537</v>
      </c>
      <c r="C409" s="12" t="s">
        <v>12</v>
      </c>
      <c r="D409" s="12" t="s">
        <v>1532</v>
      </c>
      <c r="E409" s="12"/>
      <c r="F409" s="12" t="s">
        <v>99</v>
      </c>
      <c r="G409" s="12"/>
      <c r="H409" s="12"/>
      <c r="I409" s="12" t="s">
        <v>1538</v>
      </c>
      <c r="J409" s="12"/>
      <c r="K409" s="12" t="s">
        <v>1539</v>
      </c>
      <c r="L409" s="12"/>
      <c r="M409" s="12" t="str">
        <f>HYPERLINK("https://ceds.ed.gov/cedselementdetails.aspx?termid=10129")</f>
        <v>https://ceds.ed.gov/cedselementdetails.aspx?termid=10129</v>
      </c>
      <c r="N409" s="12" t="str">
        <f>HYPERLINK("https://ceds.ed.gov/elementComment.aspx?elementName=Authorization Application Role Name &amp;elementID=10129", "Click here to submit comment")</f>
        <v>Click here to submit comment</v>
      </c>
    </row>
    <row r="410" spans="1:14" ht="45" x14ac:dyDescent="0.25">
      <c r="A410" s="12" t="s">
        <v>1540</v>
      </c>
      <c r="B410" s="12" t="s">
        <v>1541</v>
      </c>
      <c r="C410" s="12" t="s">
        <v>12</v>
      </c>
      <c r="D410" s="12" t="s">
        <v>1532</v>
      </c>
      <c r="E410" s="12"/>
      <c r="F410" s="12" t="s">
        <v>68</v>
      </c>
      <c r="G410" s="12"/>
      <c r="H410" s="12"/>
      <c r="I410" s="12" t="s">
        <v>1542</v>
      </c>
      <c r="J410" s="12"/>
      <c r="K410" s="12" t="s">
        <v>1543</v>
      </c>
      <c r="L410" s="12"/>
      <c r="M410" s="12" t="str">
        <f>HYPERLINK("https://ceds.ed.gov/cedselementdetails.aspx?termid=10128")</f>
        <v>https://ceds.ed.gov/cedselementdetails.aspx?termid=10128</v>
      </c>
      <c r="N410" s="12" t="str">
        <f>HYPERLINK("https://ceds.ed.gov/elementComment.aspx?elementName=Authorization Application URI &amp;elementID=10128", "Click here to submit comment")</f>
        <v>Click here to submit comment</v>
      </c>
    </row>
    <row r="411" spans="1:14" ht="45" x14ac:dyDescent="0.25">
      <c r="A411" s="12" t="s">
        <v>1544</v>
      </c>
      <c r="B411" s="12" t="s">
        <v>1545</v>
      </c>
      <c r="C411" s="12" t="s">
        <v>12</v>
      </c>
      <c r="D411" s="12" t="s">
        <v>1532</v>
      </c>
      <c r="E411" s="12"/>
      <c r="F411" s="12" t="s">
        <v>73</v>
      </c>
      <c r="G411" s="12"/>
      <c r="H411" s="12"/>
      <c r="I411" s="12" t="s">
        <v>1546</v>
      </c>
      <c r="J411" s="12"/>
      <c r="K411" s="12" t="s">
        <v>1547</v>
      </c>
      <c r="L411" s="12"/>
      <c r="M411" s="12" t="str">
        <f>HYPERLINK("https://ceds.ed.gov/cedselementdetails.aspx?termid=10131")</f>
        <v>https://ceds.ed.gov/cedselementdetails.aspx?termid=10131</v>
      </c>
      <c r="N411" s="12" t="str">
        <f>HYPERLINK("https://ceds.ed.gov/elementComment.aspx?elementName=Authorization End Date &amp;elementID=10131", "Click here to submit comment")</f>
        <v>Click here to submit comment</v>
      </c>
    </row>
    <row r="412" spans="1:14" ht="45" x14ac:dyDescent="0.25">
      <c r="A412" s="12" t="s">
        <v>1548</v>
      </c>
      <c r="B412" s="12" t="s">
        <v>1549</v>
      </c>
      <c r="C412" s="12" t="s">
        <v>12</v>
      </c>
      <c r="D412" s="12" t="s">
        <v>1532</v>
      </c>
      <c r="E412" s="12"/>
      <c r="F412" s="12" t="s">
        <v>73</v>
      </c>
      <c r="G412" s="12"/>
      <c r="H412" s="12"/>
      <c r="I412" s="12" t="s">
        <v>1550</v>
      </c>
      <c r="J412" s="12"/>
      <c r="K412" s="12" t="s">
        <v>1551</v>
      </c>
      <c r="L412" s="12"/>
      <c r="M412" s="12" t="str">
        <f>HYPERLINK("https://ceds.ed.gov/cedselementdetails.aspx?termid=10130")</f>
        <v>https://ceds.ed.gov/cedselementdetails.aspx?termid=10130</v>
      </c>
      <c r="N412" s="12" t="str">
        <f>HYPERLINK("https://ceds.ed.gov/elementComment.aspx?elementName=Authorization Start Date &amp;elementID=10130", "Click here to submit comment")</f>
        <v>Click here to submit comment</v>
      </c>
    </row>
    <row r="413" spans="1:14" ht="165" x14ac:dyDescent="0.25">
      <c r="A413" s="12" t="s">
        <v>1552</v>
      </c>
      <c r="B413" s="12" t="s">
        <v>1553</v>
      </c>
      <c r="C413" s="12" t="s">
        <v>12</v>
      </c>
      <c r="D413" s="12" t="s">
        <v>6428</v>
      </c>
      <c r="E413" s="12"/>
      <c r="F413" s="12" t="s">
        <v>1554</v>
      </c>
      <c r="G413" s="12"/>
      <c r="H413" s="12"/>
      <c r="I413" s="12" t="s">
        <v>1555</v>
      </c>
      <c r="J413" s="12"/>
      <c r="K413" s="12" t="s">
        <v>1556</v>
      </c>
      <c r="L413" s="12" t="s">
        <v>6429</v>
      </c>
      <c r="M413" s="12" t="str">
        <f>HYPERLINK("https://ceds.ed.gov/cedselementdetails.aspx?termid=9030")</f>
        <v>https://ceds.ed.gov/cedselementdetails.aspx?termid=9030</v>
      </c>
      <c r="N413" s="12" t="str">
        <f>HYPERLINK("https://ceds.ed.gov/elementComment.aspx?elementName=Available Carnegie Unit Credit &amp;elementID=9030", "Click here to submit comment")</f>
        <v>Click here to submit comment</v>
      </c>
    </row>
    <row r="414" spans="1:14" ht="105" x14ac:dyDescent="0.25">
      <c r="A414" s="12" t="s">
        <v>1557</v>
      </c>
      <c r="B414" s="12" t="s">
        <v>1558</v>
      </c>
      <c r="C414" s="12" t="s">
        <v>6364</v>
      </c>
      <c r="D414" s="12" t="s">
        <v>6430</v>
      </c>
      <c r="E414" s="12"/>
      <c r="F414" s="12"/>
      <c r="G414" s="12"/>
      <c r="H414" s="12"/>
      <c r="I414" s="12" t="s">
        <v>1559</v>
      </c>
      <c r="J414" s="12"/>
      <c r="K414" s="12" t="s">
        <v>1560</v>
      </c>
      <c r="L414" s="12" t="s">
        <v>4</v>
      </c>
      <c r="M414" s="12" t="str">
        <f>HYPERLINK("https://ceds.ed.gov/cedselementdetails.aspx?termid=9031")</f>
        <v>https://ceds.ed.gov/cedselementdetails.aspx?termid=9031</v>
      </c>
      <c r="N414" s="12" t="str">
        <f>HYPERLINK("https://ceds.ed.gov/elementComment.aspx?elementName=Awaiting Initial IDEA Evaluation Status &amp;elementID=9031", "Click here to submit comment")</f>
        <v>Click here to submit comment</v>
      </c>
    </row>
    <row r="415" spans="1:14" ht="150" x14ac:dyDescent="0.25">
      <c r="A415" s="12" t="s">
        <v>1561</v>
      </c>
      <c r="B415" s="12" t="s">
        <v>1562</v>
      </c>
      <c r="C415" s="13" t="s">
        <v>6800</v>
      </c>
      <c r="D415" s="12" t="s">
        <v>1563</v>
      </c>
      <c r="E415" s="12"/>
      <c r="F415" s="12"/>
      <c r="G415" s="12"/>
      <c r="H415" s="12"/>
      <c r="I415" s="12" t="s">
        <v>1564</v>
      </c>
      <c r="J415" s="12"/>
      <c r="K415" s="12" t="s">
        <v>1565</v>
      </c>
      <c r="L415" s="12" t="s">
        <v>211</v>
      </c>
      <c r="M415" s="12" t="str">
        <f>HYPERLINK("https://ceds.ed.gov/cedselementdetails.aspx?termid=9439")</f>
        <v>https://ceds.ed.gov/cedselementdetails.aspx?termid=9439</v>
      </c>
      <c r="N415" s="12" t="str">
        <f>HYPERLINK("https://ceds.ed.gov/elementComment.aspx?elementName=Barrier to Educating Homeless &amp;elementID=9439", "Click here to submit comment")</f>
        <v>Click here to submit comment</v>
      </c>
    </row>
    <row r="416" spans="1:14" ht="75" x14ac:dyDescent="0.25">
      <c r="A416" s="12" t="s">
        <v>1566</v>
      </c>
      <c r="B416" s="12" t="s">
        <v>1567</v>
      </c>
      <c r="C416" s="13" t="s">
        <v>6801</v>
      </c>
      <c r="D416" s="12" t="s">
        <v>1568</v>
      </c>
      <c r="E416" s="12"/>
      <c r="F416" s="12"/>
      <c r="G416" s="12"/>
      <c r="H416" s="12"/>
      <c r="I416" s="12" t="s">
        <v>1569</v>
      </c>
      <c r="J416" s="12"/>
      <c r="K416" s="12" t="s">
        <v>1570</v>
      </c>
      <c r="L416" s="12"/>
      <c r="M416" s="12" t="str">
        <f>HYPERLINK("https://ceds.ed.gov/cedselementdetails.aspx?termid=10561")</f>
        <v>https://ceds.ed.gov/cedselementdetails.aspx?termid=10561</v>
      </c>
      <c r="N416" s="12" t="str">
        <f>HYPERLINK("https://ceds.ed.gov/elementComment.aspx?elementName=Billable Basis Type &amp;elementID=10561", "Click here to submit comment")</f>
        <v>Click here to submit comment</v>
      </c>
    </row>
    <row r="417" spans="1:14" ht="409.5" x14ac:dyDescent="0.25">
      <c r="A417" s="12" t="s">
        <v>1571</v>
      </c>
      <c r="B417" s="12" t="s">
        <v>1572</v>
      </c>
      <c r="C417" s="12" t="s">
        <v>12</v>
      </c>
      <c r="D417" s="12" t="s">
        <v>6431</v>
      </c>
      <c r="E417" s="12"/>
      <c r="F417" s="12" t="s">
        <v>73</v>
      </c>
      <c r="G417" s="12"/>
      <c r="H417" s="12"/>
      <c r="I417" s="12" t="s">
        <v>1573</v>
      </c>
      <c r="J417" s="12"/>
      <c r="K417" s="12" t="s">
        <v>1571</v>
      </c>
      <c r="L417" s="12" t="s">
        <v>6432</v>
      </c>
      <c r="M417" s="12" t="str">
        <f>HYPERLINK("https://ceds.ed.gov/cedselementdetails.aspx?termid=9033")</f>
        <v>https://ceds.ed.gov/cedselementdetails.aspx?termid=9033</v>
      </c>
      <c r="N417" s="12" t="str">
        <f>HYPERLINK("https://ceds.ed.gov/elementComment.aspx?elementName=Birthdate &amp;elementID=9033", "Click here to submit comment")</f>
        <v>Click here to submit comment</v>
      </c>
    </row>
    <row r="418" spans="1:14" ht="45" x14ac:dyDescent="0.25">
      <c r="A418" s="12" t="s">
        <v>1574</v>
      </c>
      <c r="B418" s="12" t="s">
        <v>1575</v>
      </c>
      <c r="C418" s="12" t="s">
        <v>12</v>
      </c>
      <c r="D418" s="12" t="s">
        <v>6433</v>
      </c>
      <c r="E418" s="12"/>
      <c r="F418" s="12" t="s">
        <v>99</v>
      </c>
      <c r="G418" s="12"/>
      <c r="H418" s="12"/>
      <c r="I418" s="12" t="s">
        <v>1576</v>
      </c>
      <c r="J418" s="12"/>
      <c r="K418" s="12" t="s">
        <v>1577</v>
      </c>
      <c r="L418" s="12" t="s">
        <v>1578</v>
      </c>
      <c r="M418" s="12" t="str">
        <f>HYPERLINK("https://ceds.ed.gov/cedselementdetails.aspx?termid=9418")</f>
        <v>https://ceds.ed.gov/cedselementdetails.aspx?termid=9418</v>
      </c>
      <c r="N418" s="12" t="str">
        <f>HYPERLINK("https://ceds.ed.gov/elementComment.aspx?elementName=Birthdate Verification &amp;elementID=9418", "Click here to submit comment")</f>
        <v>Click here to submit comment</v>
      </c>
    </row>
    <row r="419" spans="1:14" ht="145.5" customHeight="1" x14ac:dyDescent="0.25">
      <c r="A419" s="18" t="s">
        <v>1579</v>
      </c>
      <c r="B419" s="18" t="s">
        <v>1580</v>
      </c>
      <c r="C419" s="20" t="s">
        <v>6749</v>
      </c>
      <c r="D419" s="18" t="s">
        <v>6389</v>
      </c>
      <c r="E419" s="18"/>
      <c r="F419" s="18"/>
      <c r="G419" s="18"/>
      <c r="H419" s="12" t="s">
        <v>361</v>
      </c>
      <c r="I419" s="18" t="s">
        <v>1581</v>
      </c>
      <c r="J419" s="18"/>
      <c r="K419" s="18" t="s">
        <v>1582</v>
      </c>
      <c r="L419" s="18" t="s">
        <v>6390</v>
      </c>
      <c r="M419" s="18" t="str">
        <f>HYPERLINK("https://ceds.ed.gov/cedselementdetails.aspx?termid=9657")</f>
        <v>https://ceds.ed.gov/cedselementdetails.aspx?termid=9657</v>
      </c>
      <c r="N419" s="18" t="str">
        <f>HYPERLINK("https://ceds.ed.gov/elementComment.aspx?elementName=Black or African American &amp;elementID=9657", "Click here to submit comment")</f>
        <v>Click here to submit comment</v>
      </c>
    </row>
    <row r="420" spans="1:14" x14ac:dyDescent="0.25">
      <c r="A420" s="18"/>
      <c r="B420" s="18"/>
      <c r="C420" s="18"/>
      <c r="D420" s="18"/>
      <c r="E420" s="18"/>
      <c r="F420" s="18"/>
      <c r="G420" s="18"/>
      <c r="H420" s="12"/>
      <c r="I420" s="18"/>
      <c r="J420" s="18"/>
      <c r="K420" s="18"/>
      <c r="L420" s="18"/>
      <c r="M420" s="18"/>
      <c r="N420" s="18"/>
    </row>
    <row r="421" spans="1:14" x14ac:dyDescent="0.25">
      <c r="A421" s="18"/>
      <c r="B421" s="18"/>
      <c r="C421" s="18"/>
      <c r="D421" s="18"/>
      <c r="E421" s="18"/>
      <c r="F421" s="18"/>
      <c r="G421" s="18"/>
      <c r="H421" s="12" t="s">
        <v>362</v>
      </c>
      <c r="I421" s="18"/>
      <c r="J421" s="18"/>
      <c r="K421" s="18"/>
      <c r="L421" s="18"/>
      <c r="M421" s="18"/>
      <c r="N421" s="18"/>
    </row>
    <row r="422" spans="1:14" ht="30" x14ac:dyDescent="0.25">
      <c r="A422" s="18"/>
      <c r="B422" s="18"/>
      <c r="C422" s="18"/>
      <c r="D422" s="18"/>
      <c r="E422" s="18"/>
      <c r="F422" s="18"/>
      <c r="G422" s="18"/>
      <c r="H422" s="12" t="s">
        <v>363</v>
      </c>
      <c r="I422" s="18"/>
      <c r="J422" s="18"/>
      <c r="K422" s="18"/>
      <c r="L422" s="18"/>
      <c r="M422" s="18"/>
      <c r="N422" s="18"/>
    </row>
    <row r="423" spans="1:14" x14ac:dyDescent="0.25">
      <c r="A423" s="18"/>
      <c r="B423" s="18"/>
      <c r="C423" s="18"/>
      <c r="D423" s="18"/>
      <c r="E423" s="18"/>
      <c r="F423" s="18"/>
      <c r="G423" s="18"/>
      <c r="H423" s="12" t="s">
        <v>364</v>
      </c>
      <c r="I423" s="18"/>
      <c r="J423" s="18"/>
      <c r="K423" s="18"/>
      <c r="L423" s="18"/>
      <c r="M423" s="18"/>
      <c r="N423" s="18"/>
    </row>
    <row r="424" spans="1:14" ht="75" x14ac:dyDescent="0.25">
      <c r="A424" s="18" t="s">
        <v>1583</v>
      </c>
      <c r="B424" s="18" t="s">
        <v>1584</v>
      </c>
      <c r="C424" s="20" t="s">
        <v>6802</v>
      </c>
      <c r="D424" s="18" t="s">
        <v>6434</v>
      </c>
      <c r="E424" s="18"/>
      <c r="F424" s="18"/>
      <c r="G424" s="18"/>
      <c r="H424" s="12" t="s">
        <v>1585</v>
      </c>
      <c r="I424" s="18" t="s">
        <v>1587</v>
      </c>
      <c r="J424" s="18"/>
      <c r="K424" s="18" t="s">
        <v>1588</v>
      </c>
      <c r="L424" s="18"/>
      <c r="M424" s="18" t="str">
        <f>HYPERLINK("https://ceds.ed.gov/cedselementdetails.aspx?termid=10253")</f>
        <v>https://ceds.ed.gov/cedselementdetails.aspx?termid=10253</v>
      </c>
      <c r="N424" s="18" t="str">
        <f>HYPERLINK("https://ceds.ed.gov/elementComment.aspx?elementName=Blended Learning Model Type &amp;elementID=10253", "Click here to submit comment")</f>
        <v>Click here to submit comment</v>
      </c>
    </row>
    <row r="425" spans="1:14" x14ac:dyDescent="0.25">
      <c r="A425" s="18"/>
      <c r="B425" s="18"/>
      <c r="C425" s="18"/>
      <c r="D425" s="18"/>
      <c r="E425" s="18"/>
      <c r="F425" s="18"/>
      <c r="G425" s="18"/>
      <c r="H425" s="12"/>
      <c r="I425" s="18"/>
      <c r="J425" s="18"/>
      <c r="K425" s="18"/>
      <c r="L425" s="18"/>
      <c r="M425" s="18"/>
      <c r="N425" s="18"/>
    </row>
    <row r="426" spans="1:14" ht="45" x14ac:dyDescent="0.25">
      <c r="A426" s="18"/>
      <c r="B426" s="18"/>
      <c r="C426" s="18"/>
      <c r="D426" s="18"/>
      <c r="E426" s="18"/>
      <c r="F426" s="18"/>
      <c r="G426" s="18"/>
      <c r="H426" s="12" t="s">
        <v>1586</v>
      </c>
      <c r="I426" s="18"/>
      <c r="J426" s="18"/>
      <c r="K426" s="18"/>
      <c r="L426" s="18"/>
      <c r="M426" s="18"/>
      <c r="N426" s="18"/>
    </row>
    <row r="427" spans="1:14" ht="45" x14ac:dyDescent="0.25">
      <c r="A427" s="12" t="s">
        <v>1589</v>
      </c>
      <c r="B427" s="12" t="s">
        <v>1590</v>
      </c>
      <c r="C427" s="12" t="s">
        <v>12</v>
      </c>
      <c r="D427" s="12" t="s">
        <v>236</v>
      </c>
      <c r="E427" s="12"/>
      <c r="F427" s="12" t="s">
        <v>1554</v>
      </c>
      <c r="G427" s="12"/>
      <c r="H427" s="12" t="s">
        <v>369</v>
      </c>
      <c r="I427" s="12" t="s">
        <v>1591</v>
      </c>
      <c r="J427" s="12"/>
      <c r="K427" s="12" t="s">
        <v>1592</v>
      </c>
      <c r="L427" s="12" t="s">
        <v>1593</v>
      </c>
      <c r="M427" s="12" t="str">
        <f>HYPERLINK("https://ceds.ed.gov/cedselementdetails.aspx?termid=9729")</f>
        <v>https://ceds.ed.gov/cedselementdetails.aspx?termid=9729</v>
      </c>
      <c r="N427" s="12" t="str">
        <f>HYPERLINK("https://ceds.ed.gov/elementComment.aspx?elementName=Board Charges &amp;elementID=9729", "Click here to submit comment")</f>
        <v>Click here to submit comment</v>
      </c>
    </row>
    <row r="428" spans="1:14" ht="120" x14ac:dyDescent="0.25">
      <c r="A428" s="12" t="s">
        <v>1594</v>
      </c>
      <c r="B428" s="12" t="s">
        <v>1595</v>
      </c>
      <c r="C428" s="12" t="s">
        <v>12</v>
      </c>
      <c r="D428" s="12" t="s">
        <v>236</v>
      </c>
      <c r="E428" s="12"/>
      <c r="F428" s="12" t="s">
        <v>1554</v>
      </c>
      <c r="G428" s="12"/>
      <c r="H428" s="12" t="s">
        <v>369</v>
      </c>
      <c r="I428" s="12" t="s">
        <v>1596</v>
      </c>
      <c r="J428" s="12"/>
      <c r="K428" s="12" t="s">
        <v>1597</v>
      </c>
      <c r="L428" s="12" t="s">
        <v>1593</v>
      </c>
      <c r="M428" s="12" t="str">
        <f>HYPERLINK("https://ceds.ed.gov/cedselementdetails.aspx?termid=9730")</f>
        <v>https://ceds.ed.gov/cedselementdetails.aspx?termid=9730</v>
      </c>
      <c r="N428" s="12" t="str">
        <f>HYPERLINK("https://ceds.ed.gov/elementComment.aspx?elementName=Books and Supplies Costs &amp;elementID=9730", "Click here to submit comment")</f>
        <v>Click here to submit comment</v>
      </c>
    </row>
    <row r="429" spans="1:14" ht="195" x14ac:dyDescent="0.25">
      <c r="A429" s="12" t="s">
        <v>1598</v>
      </c>
      <c r="B429" s="12" t="s">
        <v>1599</v>
      </c>
      <c r="C429" s="12" t="s">
        <v>12</v>
      </c>
      <c r="D429" s="12" t="s">
        <v>6435</v>
      </c>
      <c r="E429" s="12"/>
      <c r="F429" s="12" t="s">
        <v>92</v>
      </c>
      <c r="G429" s="12"/>
      <c r="H429" s="12"/>
      <c r="I429" s="12" t="s">
        <v>1600</v>
      </c>
      <c r="J429" s="12"/>
      <c r="K429" s="12" t="s">
        <v>1601</v>
      </c>
      <c r="L429" s="12"/>
      <c r="M429" s="12" t="str">
        <f>HYPERLINK("https://ceds.ed.gov/cedselementdetails.aspx?termid=9595")</f>
        <v>https://ceds.ed.gov/cedselementdetails.aspx?termid=9595</v>
      </c>
      <c r="N429" s="12" t="str">
        <f>HYPERLINK("https://ceds.ed.gov/elementComment.aspx?elementName=Building Site Number &amp;elementID=9595", "Click here to submit comment")</f>
        <v>Click here to submit comment</v>
      </c>
    </row>
    <row r="430" spans="1:14" ht="360" x14ac:dyDescent="0.25">
      <c r="A430" s="12" t="s">
        <v>1602</v>
      </c>
      <c r="B430" s="12" t="s">
        <v>1603</v>
      </c>
      <c r="C430" s="13" t="s">
        <v>6803</v>
      </c>
      <c r="D430" s="12" t="s">
        <v>1604</v>
      </c>
      <c r="E430" s="12"/>
      <c r="F430" s="12"/>
      <c r="G430" s="12"/>
      <c r="H430" s="12"/>
      <c r="I430" s="12" t="s">
        <v>1605</v>
      </c>
      <c r="J430" s="12"/>
      <c r="K430" s="12" t="s">
        <v>1606</v>
      </c>
      <c r="L430" s="12"/>
      <c r="M430" s="12" t="str">
        <f>HYPERLINK("https://ceds.ed.gov/cedselementdetails.aspx?termid=10173")</f>
        <v>https://ceds.ed.gov/cedselementdetails.aspx?termid=10173</v>
      </c>
      <c r="N430" s="12" t="str">
        <f>HYPERLINK("https://ceds.ed.gov/elementComment.aspx?elementName=Building Use Type &amp;elementID=10173", "Click here to submit comment")</f>
        <v>Click here to submit comment</v>
      </c>
    </row>
    <row r="431" spans="1:14" ht="45" x14ac:dyDescent="0.25">
      <c r="A431" s="12" t="s">
        <v>1607</v>
      </c>
      <c r="B431" s="12" t="s">
        <v>1608</v>
      </c>
      <c r="C431" s="12" t="s">
        <v>12</v>
      </c>
      <c r="D431" s="12" t="s">
        <v>346</v>
      </c>
      <c r="E431" s="12"/>
      <c r="F431" s="12" t="s">
        <v>92</v>
      </c>
      <c r="G431" s="12"/>
      <c r="H431" s="12"/>
      <c r="I431" s="12" t="s">
        <v>1609</v>
      </c>
      <c r="J431" s="12"/>
      <c r="K431" s="12" t="s">
        <v>1610</v>
      </c>
      <c r="L431" s="12"/>
      <c r="M431" s="12" t="str">
        <f>HYPERLINK("https://ceds.ed.gov/cedselementdetails.aspx?termid=9485")</f>
        <v>https://ceds.ed.gov/cedselementdetails.aspx?termid=9485</v>
      </c>
      <c r="N431" s="12" t="str">
        <f>HYPERLINK("https://ceds.ed.gov/elementComment.aspx?elementName=Calendar Code &amp;elementID=9485", "Click here to submit comment")</f>
        <v>Click here to submit comment</v>
      </c>
    </row>
    <row r="432" spans="1:14" ht="45" x14ac:dyDescent="0.25">
      <c r="A432" s="12" t="s">
        <v>1611</v>
      </c>
      <c r="B432" s="12" t="s">
        <v>1612</v>
      </c>
      <c r="C432" s="12" t="s">
        <v>12</v>
      </c>
      <c r="D432" s="12" t="s">
        <v>346</v>
      </c>
      <c r="E432" s="12"/>
      <c r="F432" s="12" t="s">
        <v>99</v>
      </c>
      <c r="G432" s="12"/>
      <c r="H432" s="12"/>
      <c r="I432" s="12" t="s">
        <v>1613</v>
      </c>
      <c r="J432" s="12"/>
      <c r="K432" s="12" t="s">
        <v>1614</v>
      </c>
      <c r="L432" s="12"/>
      <c r="M432" s="12" t="str">
        <f>HYPERLINK("https://ceds.ed.gov/cedselementdetails.aspx?termid=9486")</f>
        <v>https://ceds.ed.gov/cedselementdetails.aspx?termid=9486</v>
      </c>
      <c r="N432" s="12" t="str">
        <f>HYPERLINK("https://ceds.ed.gov/elementComment.aspx?elementName=Calendar Description &amp;elementID=9486", "Click here to submit comment")</f>
        <v>Click here to submit comment</v>
      </c>
    </row>
    <row r="433" spans="1:14" ht="45" x14ac:dyDescent="0.25">
      <c r="A433" s="12" t="s">
        <v>1615</v>
      </c>
      <c r="B433" s="12" t="s">
        <v>1616</v>
      </c>
      <c r="C433" s="12" t="s">
        <v>12</v>
      </c>
      <c r="D433" s="12" t="s">
        <v>1617</v>
      </c>
      <c r="E433" s="12" t="s">
        <v>98</v>
      </c>
      <c r="F433" s="12" t="s">
        <v>73</v>
      </c>
      <c r="G433" s="12"/>
      <c r="H433" s="12"/>
      <c r="I433" s="12" t="s">
        <v>1618</v>
      </c>
      <c r="J433" s="12"/>
      <c r="K433" s="12" t="s">
        <v>1619</v>
      </c>
      <c r="L433" s="12"/>
      <c r="M433" s="12" t="str">
        <f>HYPERLINK("https://ceds.ed.gov/cedselementdetails.aspx?termid=10241")</f>
        <v>https://ceds.ed.gov/cedselementdetails.aspx?termid=10241</v>
      </c>
      <c r="N433" s="12" t="str">
        <f>HYPERLINK("https://ceds.ed.gov/elementComment.aspx?elementName=Calendar Event Date &amp;elementID=10241", "Click here to submit comment")</f>
        <v>Click here to submit comment</v>
      </c>
    </row>
    <row r="434" spans="1:14" ht="45" x14ac:dyDescent="0.25">
      <c r="A434" s="12" t="s">
        <v>1620</v>
      </c>
      <c r="B434" s="12" t="s">
        <v>1621</v>
      </c>
      <c r="C434" s="12" t="s">
        <v>12</v>
      </c>
      <c r="D434" s="12" t="s">
        <v>1617</v>
      </c>
      <c r="E434" s="12"/>
      <c r="F434" s="12" t="s">
        <v>92</v>
      </c>
      <c r="G434" s="12"/>
      <c r="H434" s="12"/>
      <c r="I434" s="12" t="s">
        <v>1622</v>
      </c>
      <c r="J434" s="12"/>
      <c r="K434" s="12" t="s">
        <v>1623</v>
      </c>
      <c r="L434" s="12"/>
      <c r="M434" s="12" t="str">
        <f>HYPERLINK("https://ceds.ed.gov/cedselementdetails.aspx?termid=10242")</f>
        <v>https://ceds.ed.gov/cedselementdetails.aspx?termid=10242</v>
      </c>
      <c r="N434" s="12" t="str">
        <f>HYPERLINK("https://ceds.ed.gov/elementComment.aspx?elementName=Calendar Event Day Name &amp;elementID=10242", "Click here to submit comment")</f>
        <v>Click here to submit comment</v>
      </c>
    </row>
    <row r="435" spans="1:14" ht="120" x14ac:dyDescent="0.25">
      <c r="A435" s="12" t="s">
        <v>1624</v>
      </c>
      <c r="B435" s="12" t="s">
        <v>1625</v>
      </c>
      <c r="C435" s="13" t="s">
        <v>6804</v>
      </c>
      <c r="D435" s="12" t="s">
        <v>1617</v>
      </c>
      <c r="E435" s="12"/>
      <c r="F435" s="12"/>
      <c r="G435" s="12"/>
      <c r="H435" s="12"/>
      <c r="I435" s="12" t="s">
        <v>1626</v>
      </c>
      <c r="J435" s="12"/>
      <c r="K435" s="12" t="s">
        <v>1627</v>
      </c>
      <c r="L435" s="12"/>
      <c r="M435" s="12" t="str">
        <f>HYPERLINK("https://ceds.ed.gov/cedselementdetails.aspx?termid=9596")</f>
        <v>https://ceds.ed.gov/cedselementdetails.aspx?termid=9596</v>
      </c>
      <c r="N435" s="12" t="str">
        <f>HYPERLINK("https://ceds.ed.gov/elementComment.aspx?elementName=Calendar Event Type &amp;elementID=9596", "Click here to submit comment")</f>
        <v>Click here to submit comment</v>
      </c>
    </row>
    <row r="436" spans="1:14" ht="105" x14ac:dyDescent="0.25">
      <c r="A436" s="12" t="s">
        <v>1628</v>
      </c>
      <c r="B436" s="12" t="s">
        <v>1629</v>
      </c>
      <c r="C436" s="13" t="s">
        <v>6805</v>
      </c>
      <c r="D436" s="12" t="s">
        <v>1630</v>
      </c>
      <c r="E436" s="12"/>
      <c r="F436" s="12"/>
      <c r="G436" s="12"/>
      <c r="H436" s="12"/>
      <c r="I436" s="12" t="s">
        <v>1631</v>
      </c>
      <c r="J436" s="12"/>
      <c r="K436" s="12" t="s">
        <v>1632</v>
      </c>
      <c r="L436" s="12" t="s">
        <v>239</v>
      </c>
      <c r="M436" s="12" t="str">
        <f>HYPERLINK("https://ceds.ed.gov/cedselementdetails.aspx?termid=9035")</f>
        <v>https://ceds.ed.gov/cedselementdetails.aspx?termid=9035</v>
      </c>
      <c r="N436" s="12" t="str">
        <f>HYPERLINK("https://ceds.ed.gov/elementComment.aspx?elementName=Campus Residency Type &amp;elementID=9035", "Click here to submit comment")</f>
        <v>Click here to submit comment</v>
      </c>
    </row>
    <row r="437" spans="1:14" ht="45" x14ac:dyDescent="0.25">
      <c r="A437" s="12" t="s">
        <v>1633</v>
      </c>
      <c r="B437" s="12" t="s">
        <v>1634</v>
      </c>
      <c r="C437" s="12" t="s">
        <v>12</v>
      </c>
      <c r="D437" s="12" t="s">
        <v>1635</v>
      </c>
      <c r="E437" s="12"/>
      <c r="F437" s="12" t="s">
        <v>73</v>
      </c>
      <c r="G437" s="12"/>
      <c r="H437" s="12"/>
      <c r="I437" s="12" t="s">
        <v>1636</v>
      </c>
      <c r="J437" s="12" t="s">
        <v>1637</v>
      </c>
      <c r="K437" s="12" t="s">
        <v>1638</v>
      </c>
      <c r="L437" s="12" t="s">
        <v>205</v>
      </c>
      <c r="M437" s="12" t="str">
        <f>HYPERLINK("https://ceds.ed.gov/cedselementdetails.aspx?termid=10065")</f>
        <v>https://ceds.ed.gov/cedselementdetails.aspx?termid=10065</v>
      </c>
      <c r="N437" s="12" t="str">
        <f>HYPERLINK("https://ceds.ed.gov/elementComment.aspx?elementName=Cardiopulmonary Resuscitation Certification Expiration Date &amp;elementID=10065", "Click here to submit comment")</f>
        <v>Click here to submit comment</v>
      </c>
    </row>
    <row r="438" spans="1:14" ht="90" x14ac:dyDescent="0.25">
      <c r="A438" s="12" t="s">
        <v>1639</v>
      </c>
      <c r="B438" s="12" t="s">
        <v>1640</v>
      </c>
      <c r="C438" s="12" t="s">
        <v>6364</v>
      </c>
      <c r="D438" s="12" t="s">
        <v>6436</v>
      </c>
      <c r="E438" s="12" t="s">
        <v>98</v>
      </c>
      <c r="F438" s="12"/>
      <c r="G438" s="12"/>
      <c r="H438" s="12"/>
      <c r="I438" s="12" t="s">
        <v>1641</v>
      </c>
      <c r="J438" s="12" t="s">
        <v>1642</v>
      </c>
      <c r="K438" s="12" t="s">
        <v>1643</v>
      </c>
      <c r="L438" s="12" t="s">
        <v>6369</v>
      </c>
      <c r="M438" s="12" t="str">
        <f>HYPERLINK("https://ceds.ed.gov/cedselementdetails.aspx?termid=9036")</f>
        <v>https://ceds.ed.gov/cedselementdetails.aspx?termid=9036</v>
      </c>
      <c r="N438" s="12" t="str">
        <f>HYPERLINK("https://ceds.ed.gov/elementComment.aspx?elementName=Career and Technical Education Completer &amp;elementID=9036", "Click here to submit comment")</f>
        <v>Click here to submit comment</v>
      </c>
    </row>
    <row r="439" spans="1:14" ht="90" x14ac:dyDescent="0.25">
      <c r="A439" s="12" t="s">
        <v>1644</v>
      </c>
      <c r="B439" s="12" t="s">
        <v>1645</v>
      </c>
      <c r="C439" s="12" t="s">
        <v>6364</v>
      </c>
      <c r="D439" s="12" t="s">
        <v>6437</v>
      </c>
      <c r="E439" s="12"/>
      <c r="F439" s="12"/>
      <c r="G439" s="12"/>
      <c r="H439" s="12"/>
      <c r="I439" s="12" t="s">
        <v>1646</v>
      </c>
      <c r="J439" s="12" t="s">
        <v>1647</v>
      </c>
      <c r="K439" s="12" t="s">
        <v>1648</v>
      </c>
      <c r="L439" s="12" t="s">
        <v>6438</v>
      </c>
      <c r="M439" s="12" t="str">
        <f>HYPERLINK("https://ceds.ed.gov/cedselementdetails.aspx?termid=9037")</f>
        <v>https://ceds.ed.gov/cedselementdetails.aspx?termid=9037</v>
      </c>
      <c r="N439" s="12" t="str">
        <f>HYPERLINK("https://ceds.ed.gov/elementComment.aspx?elementName=Career and Technical Education Concentrator &amp;elementID=9037", "Click here to submit comment")</f>
        <v>Click here to submit comment</v>
      </c>
    </row>
    <row r="440" spans="1:14" ht="75" x14ac:dyDescent="0.25">
      <c r="A440" s="12" t="s">
        <v>1649</v>
      </c>
      <c r="B440" s="12" t="s">
        <v>1650</v>
      </c>
      <c r="C440" s="13" t="s">
        <v>6806</v>
      </c>
      <c r="D440" s="12" t="s">
        <v>1651</v>
      </c>
      <c r="E440" s="12"/>
      <c r="F440" s="12"/>
      <c r="G440" s="12"/>
      <c r="H440" s="12"/>
      <c r="I440" s="12" t="s">
        <v>1652</v>
      </c>
      <c r="J440" s="12" t="s">
        <v>1653</v>
      </c>
      <c r="K440" s="12" t="s">
        <v>1654</v>
      </c>
      <c r="L440" s="12" t="s">
        <v>222</v>
      </c>
      <c r="M440" s="12" t="str">
        <f>HYPERLINK("https://ceds.ed.gov/cedselementdetails.aspx?termid=9075")</f>
        <v>https://ceds.ed.gov/cedselementdetails.aspx?termid=9075</v>
      </c>
      <c r="N440" s="12" t="str">
        <f>HYPERLINK("https://ceds.ed.gov/elementComment.aspx?elementName=Career and Technical Education Graduation Rate Inclusion &amp;elementID=9075", "Click here to submit comment")</f>
        <v>Click here to submit comment</v>
      </c>
    </row>
    <row r="441" spans="1:14" ht="105" x14ac:dyDescent="0.25">
      <c r="A441" s="12" t="s">
        <v>1655</v>
      </c>
      <c r="B441" s="12" t="s">
        <v>1656</v>
      </c>
      <c r="C441" s="12" t="s">
        <v>6364</v>
      </c>
      <c r="D441" s="12" t="s">
        <v>6439</v>
      </c>
      <c r="E441" s="12"/>
      <c r="F441" s="12"/>
      <c r="G441" s="12"/>
      <c r="H441" s="12"/>
      <c r="I441" s="12" t="s">
        <v>1657</v>
      </c>
      <c r="J441" s="12" t="s">
        <v>1658</v>
      </c>
      <c r="K441" s="12" t="s">
        <v>1659</v>
      </c>
      <c r="L441" s="12"/>
      <c r="M441" s="12" t="str">
        <f>HYPERLINK("https://ceds.ed.gov/cedselementdetails.aspx?termid=10284")</f>
        <v>https://ceds.ed.gov/cedselementdetails.aspx?termid=10284</v>
      </c>
      <c r="N441" s="12" t="str">
        <f>HYPERLINK("https://ceds.ed.gov/elementComment.aspx?elementName=Career and Technical Education Instructor Industry Certification &amp;elementID=10284", "Click here to submit comment")</f>
        <v>Click here to submit comment</v>
      </c>
    </row>
    <row r="442" spans="1:14" ht="90" x14ac:dyDescent="0.25">
      <c r="A442" s="12" t="s">
        <v>1660</v>
      </c>
      <c r="B442" s="12" t="s">
        <v>1661</v>
      </c>
      <c r="C442" s="12" t="s">
        <v>6364</v>
      </c>
      <c r="D442" s="12" t="s">
        <v>6440</v>
      </c>
      <c r="E442" s="12"/>
      <c r="F442" s="12"/>
      <c r="G442" s="12"/>
      <c r="H442" s="12"/>
      <c r="I442" s="12" t="s">
        <v>1662</v>
      </c>
      <c r="J442" s="12" t="s">
        <v>1663</v>
      </c>
      <c r="K442" s="12" t="s">
        <v>1664</v>
      </c>
      <c r="L442" s="12" t="s">
        <v>222</v>
      </c>
      <c r="M442" s="12" t="str">
        <f>HYPERLINK("https://ceds.ed.gov/cedselementdetails.aspx?termid=9586")</f>
        <v>https://ceds.ed.gov/cedselementdetails.aspx?termid=9586</v>
      </c>
      <c r="N442" s="12" t="str">
        <f>HYPERLINK("https://ceds.ed.gov/elementComment.aspx?elementName=Career and Technical Education Nontraditional Completion &amp;elementID=9586", "Click here to submit comment")</f>
        <v>Click here to submit comment</v>
      </c>
    </row>
    <row r="443" spans="1:14" ht="90" x14ac:dyDescent="0.25">
      <c r="A443" s="12" t="s">
        <v>1665</v>
      </c>
      <c r="B443" s="12" t="s">
        <v>1666</v>
      </c>
      <c r="C443" s="12" t="s">
        <v>6364</v>
      </c>
      <c r="D443" s="12" t="s">
        <v>6437</v>
      </c>
      <c r="E443" s="12"/>
      <c r="F443" s="12"/>
      <c r="G443" s="12"/>
      <c r="H443" s="12"/>
      <c r="I443" s="12" t="s">
        <v>1667</v>
      </c>
      <c r="J443" s="12" t="s">
        <v>1668</v>
      </c>
      <c r="K443" s="12" t="s">
        <v>1669</v>
      </c>
      <c r="L443" s="12" t="s">
        <v>222</v>
      </c>
      <c r="M443" s="12" t="str">
        <f>HYPERLINK("https://ceds.ed.gov/cedselementdetails.aspx?termid=9585")</f>
        <v>https://ceds.ed.gov/cedselementdetails.aspx?termid=9585</v>
      </c>
      <c r="N443" s="12" t="str">
        <f>HYPERLINK("https://ceds.ed.gov/elementComment.aspx?elementName=Career and Technical Education Participant &amp;elementID=9585", "Click here to submit comment")</f>
        <v>Click here to submit comment</v>
      </c>
    </row>
    <row r="444" spans="1:14" ht="360" x14ac:dyDescent="0.25">
      <c r="A444" s="12" t="s">
        <v>1670</v>
      </c>
      <c r="B444" s="12" t="s">
        <v>1671</v>
      </c>
      <c r="C444" s="13" t="s">
        <v>6807</v>
      </c>
      <c r="D444" s="12" t="s">
        <v>6441</v>
      </c>
      <c r="E444" s="12"/>
      <c r="F444" s="12"/>
      <c r="G444" s="12"/>
      <c r="H444" s="12" t="s">
        <v>1672</v>
      </c>
      <c r="I444" s="12" t="s">
        <v>1673</v>
      </c>
      <c r="J444" s="12"/>
      <c r="K444" s="12" t="s">
        <v>1674</v>
      </c>
      <c r="L444" s="12"/>
      <c r="M444" s="12" t="str">
        <f>HYPERLINK("https://ceds.ed.gov/cedselementdetails.aspx?termid=10254")</f>
        <v>https://ceds.ed.gov/cedselementdetails.aspx?termid=10254</v>
      </c>
      <c r="N444" s="12" t="str">
        <f>HYPERLINK("https://ceds.ed.gov/elementComment.aspx?elementName=Career Cluster &amp;elementID=10254", "Click here to submit comment")</f>
        <v>Click here to submit comment</v>
      </c>
    </row>
    <row r="445" spans="1:14" ht="270" x14ac:dyDescent="0.25">
      <c r="A445" s="12" t="s">
        <v>1675</v>
      </c>
      <c r="B445" s="12" t="s">
        <v>1676</v>
      </c>
      <c r="C445" s="12" t="s">
        <v>12</v>
      </c>
      <c r="D445" s="12" t="s">
        <v>6442</v>
      </c>
      <c r="E445" s="12"/>
      <c r="F445" s="12" t="s">
        <v>73</v>
      </c>
      <c r="G445" s="12"/>
      <c r="H445" s="12"/>
      <c r="I445" s="12" t="s">
        <v>1677</v>
      </c>
      <c r="J445" s="12"/>
      <c r="K445" s="12" t="s">
        <v>1678</v>
      </c>
      <c r="L445" s="12"/>
      <c r="M445" s="12" t="str">
        <f>HYPERLINK("https://ceds.ed.gov/cedselementdetails.aspx?termid=10255")</f>
        <v>https://ceds.ed.gov/cedselementdetails.aspx?termid=10255</v>
      </c>
      <c r="N445" s="12" t="str">
        <f>HYPERLINK("https://ceds.ed.gov/elementComment.aspx?elementName=Career Education Plan Date &amp;elementID=10255", "Click here to submit comment")</f>
        <v>Click here to submit comment</v>
      </c>
    </row>
    <row r="446" spans="1:14" ht="270" x14ac:dyDescent="0.25">
      <c r="A446" s="12" t="s">
        <v>1679</v>
      </c>
      <c r="B446" s="12" t="s">
        <v>1680</v>
      </c>
      <c r="C446" s="13" t="s">
        <v>6808</v>
      </c>
      <c r="D446" s="12" t="s">
        <v>6442</v>
      </c>
      <c r="E446" s="12"/>
      <c r="F446" s="12"/>
      <c r="G446" s="12"/>
      <c r="H446" s="12"/>
      <c r="I446" s="12" t="s">
        <v>1681</v>
      </c>
      <c r="J446" s="12"/>
      <c r="K446" s="12" t="s">
        <v>1682</v>
      </c>
      <c r="L446" s="12"/>
      <c r="M446" s="12" t="str">
        <f>HYPERLINK("https://ceds.ed.gov/cedselementdetails.aspx?termid=10256")</f>
        <v>https://ceds.ed.gov/cedselementdetails.aspx?termid=10256</v>
      </c>
      <c r="N446" s="12" t="str">
        <f>HYPERLINK("https://ceds.ed.gov/elementComment.aspx?elementName=Career Education Plan Type &amp;elementID=10256", "Click here to submit comment")</f>
        <v>Click here to submit comment</v>
      </c>
    </row>
    <row r="447" spans="1:14" ht="180" x14ac:dyDescent="0.25">
      <c r="A447" s="12" t="s">
        <v>1683</v>
      </c>
      <c r="B447" s="12" t="s">
        <v>1684</v>
      </c>
      <c r="C447" s="12" t="s">
        <v>12</v>
      </c>
      <c r="D447" s="12" t="s">
        <v>6443</v>
      </c>
      <c r="E447" s="12"/>
      <c r="F447" s="12" t="s">
        <v>73</v>
      </c>
      <c r="G447" s="12"/>
      <c r="H447" s="12"/>
      <c r="I447" s="12" t="s">
        <v>1685</v>
      </c>
      <c r="J447" s="12"/>
      <c r="K447" s="12" t="s">
        <v>1686</v>
      </c>
      <c r="L447" s="12"/>
      <c r="M447" s="12" t="str">
        <f>HYPERLINK("https://ceds.ed.gov/cedselementdetails.aspx?termid=10562")</f>
        <v>https://ceds.ed.gov/cedselementdetails.aspx?termid=10562</v>
      </c>
      <c r="N447" s="12" t="str">
        <f>HYPERLINK("https://ceds.ed.gov/elementComment.aspx?elementName=Career Pathways Program Participation Exit Date &amp;elementID=10562", "Click here to submit comment")</f>
        <v>Click here to submit comment</v>
      </c>
    </row>
    <row r="448" spans="1:14" ht="180" x14ac:dyDescent="0.25">
      <c r="A448" s="12" t="s">
        <v>1687</v>
      </c>
      <c r="B448" s="12" t="s">
        <v>1688</v>
      </c>
      <c r="C448" s="12" t="s">
        <v>6364</v>
      </c>
      <c r="D448" s="12" t="s">
        <v>6443</v>
      </c>
      <c r="E448" s="12"/>
      <c r="F448" s="12"/>
      <c r="G448" s="12"/>
      <c r="H448" s="12"/>
      <c r="I448" s="12" t="s">
        <v>1689</v>
      </c>
      <c r="J448" s="12"/>
      <c r="K448" s="12" t="s">
        <v>1690</v>
      </c>
      <c r="L448" s="12"/>
      <c r="M448" s="12" t="str">
        <f>HYPERLINK("https://ceds.ed.gov/cedselementdetails.aspx?termid=10257")</f>
        <v>https://ceds.ed.gov/cedselementdetails.aspx?termid=10257</v>
      </c>
      <c r="N448" s="12" t="str">
        <f>HYPERLINK("https://ceds.ed.gov/elementComment.aspx?elementName=Career Pathways Program Participation Indicator &amp;elementID=10257", "Click here to submit comment")</f>
        <v>Click here to submit comment</v>
      </c>
    </row>
    <row r="449" spans="1:14" ht="180" x14ac:dyDescent="0.25">
      <c r="A449" s="12" t="s">
        <v>1691</v>
      </c>
      <c r="B449" s="12" t="s">
        <v>1692</v>
      </c>
      <c r="C449" s="12" t="s">
        <v>12</v>
      </c>
      <c r="D449" s="12" t="s">
        <v>6443</v>
      </c>
      <c r="E449" s="12"/>
      <c r="F449" s="12" t="s">
        <v>1693</v>
      </c>
      <c r="G449" s="12"/>
      <c r="H449" s="12"/>
      <c r="I449" s="12" t="s">
        <v>1694</v>
      </c>
      <c r="J449" s="12"/>
      <c r="K449" s="12" t="s">
        <v>1695</v>
      </c>
      <c r="L449" s="12"/>
      <c r="M449" s="12" t="str">
        <f>HYPERLINK("https://ceds.ed.gov/cedselementdetails.aspx?termid=10563")</f>
        <v>https://ceds.ed.gov/cedselementdetails.aspx?termid=10563</v>
      </c>
      <c r="N449" s="12" t="str">
        <f>HYPERLINK("https://ceds.ed.gov/elementComment.aspx?elementName=Career Pathways Program Participation Start Date &amp;elementID=10563", "Click here to submit comment")</f>
        <v>Click here to submit comment</v>
      </c>
    </row>
    <row r="450" spans="1:14" ht="90" x14ac:dyDescent="0.25">
      <c r="A450" s="12" t="s">
        <v>1696</v>
      </c>
      <c r="B450" s="12" t="s">
        <v>1697</v>
      </c>
      <c r="C450" s="13" t="s">
        <v>6809</v>
      </c>
      <c r="D450" s="12" t="s">
        <v>6444</v>
      </c>
      <c r="E450" s="12"/>
      <c r="F450" s="12"/>
      <c r="G450" s="12"/>
      <c r="H450" s="12"/>
      <c r="I450" s="12" t="s">
        <v>1698</v>
      </c>
      <c r="J450" s="12" t="s">
        <v>1699</v>
      </c>
      <c r="K450" s="12" t="s">
        <v>1700</v>
      </c>
      <c r="L450" s="12" t="s">
        <v>222</v>
      </c>
      <c r="M450" s="12" t="str">
        <f>HYPERLINK("https://ceds.ed.gov/cedselementdetails.aspx?termid=9581")</f>
        <v>https://ceds.ed.gov/cedselementdetails.aspx?termid=9581</v>
      </c>
      <c r="N450" s="12" t="str">
        <f>HYPERLINK("https://ceds.ed.gov/elementComment.aspx?elementName=Career Technical Education Nontraditional Gender Status &amp;elementID=9581", "Click here to submit comment")</f>
        <v>Click here to submit comment</v>
      </c>
    </row>
    <row r="451" spans="1:14" ht="270" x14ac:dyDescent="0.25">
      <c r="A451" s="12" t="s">
        <v>1701</v>
      </c>
      <c r="B451" s="12" t="s">
        <v>1702</v>
      </c>
      <c r="C451" s="12" t="s">
        <v>6364</v>
      </c>
      <c r="D451" s="12" t="s">
        <v>6445</v>
      </c>
      <c r="E451" s="12"/>
      <c r="F451" s="12"/>
      <c r="G451" s="12"/>
      <c r="H451" s="12"/>
      <c r="I451" s="12" t="s">
        <v>1703</v>
      </c>
      <c r="J451" s="12" t="s">
        <v>1704</v>
      </c>
      <c r="K451" s="12" t="s">
        <v>1705</v>
      </c>
      <c r="L451" s="12" t="s">
        <v>222</v>
      </c>
      <c r="M451" s="12" t="str">
        <f>HYPERLINK("https://ceds.ed.gov/cedselementdetails.aspx?termid=9084")</f>
        <v>https://ceds.ed.gov/cedselementdetails.aspx?termid=9084</v>
      </c>
      <c r="N451" s="12" t="str">
        <f>HYPERLINK("https://ceds.ed.gov/elementComment.aspx?elementName=Career-Technical-Adult Education Displaced Homemaker Indicator &amp;elementID=9084", "Click here to submit comment")</f>
        <v>Click here to submit comment</v>
      </c>
    </row>
    <row r="452" spans="1:14" ht="409.5" x14ac:dyDescent="0.25">
      <c r="A452" s="12" t="s">
        <v>1706</v>
      </c>
      <c r="B452" s="12" t="s">
        <v>1707</v>
      </c>
      <c r="C452" s="13" t="s">
        <v>6810</v>
      </c>
      <c r="D452" s="12" t="s">
        <v>1708</v>
      </c>
      <c r="E452" s="12"/>
      <c r="F452" s="12"/>
      <c r="G452" s="12"/>
      <c r="H452" s="12"/>
      <c r="I452" s="12" t="s">
        <v>1709</v>
      </c>
      <c r="J452" s="12"/>
      <c r="K452" s="12" t="s">
        <v>1710</v>
      </c>
      <c r="L452" s="12" t="s">
        <v>6446</v>
      </c>
      <c r="M452" s="12" t="str">
        <f>HYPERLINK("https://ceds.ed.gov/cedselementdetails.aspx?termid=9038")</f>
        <v>https://ceds.ed.gov/cedselementdetails.aspx?termid=9038</v>
      </c>
      <c r="N452" s="12" t="str">
        <f>HYPERLINK("https://ceds.ed.gov/elementComment.aspx?elementName=Carnegie Basic Classification &amp;elementID=9038", "Click here to submit comment")</f>
        <v>Click here to submit comment</v>
      </c>
    </row>
    <row r="453" spans="1:14" ht="90" x14ac:dyDescent="0.25">
      <c r="A453" s="12" t="s">
        <v>1711</v>
      </c>
      <c r="B453" s="12" t="s">
        <v>1712</v>
      </c>
      <c r="C453" s="13" t="s">
        <v>6811</v>
      </c>
      <c r="D453" s="12" t="s">
        <v>1713</v>
      </c>
      <c r="E453" s="12"/>
      <c r="F453" s="12"/>
      <c r="G453" s="12"/>
      <c r="H453" s="12"/>
      <c r="I453" s="12" t="s">
        <v>1714</v>
      </c>
      <c r="J453" s="12"/>
      <c r="K453" s="12" t="s">
        <v>1715</v>
      </c>
      <c r="L453" s="12"/>
      <c r="M453" s="12" t="str">
        <f>HYPERLINK("https://ceds.ed.gov/cedselementdetails.aspx?termid=10258")</f>
        <v>https://ceds.ed.gov/cedselementdetails.aspx?termid=10258</v>
      </c>
      <c r="N453" s="12" t="str">
        <f>HYPERLINK("https://ceds.ed.gov/elementComment.aspx?elementName=Charter School Approval Agency Type &amp;elementID=10258", "Click here to submit comment")</f>
        <v>Click here to submit comment</v>
      </c>
    </row>
    <row r="454" spans="1:14" ht="45" x14ac:dyDescent="0.25">
      <c r="A454" s="12" t="s">
        <v>1716</v>
      </c>
      <c r="B454" s="12" t="s">
        <v>1717</v>
      </c>
      <c r="C454" s="12" t="s">
        <v>12</v>
      </c>
      <c r="D454" s="12" t="s">
        <v>225</v>
      </c>
      <c r="E454" s="12"/>
      <c r="F454" s="12" t="s">
        <v>45</v>
      </c>
      <c r="G454" s="12"/>
      <c r="H454" s="12"/>
      <c r="I454" s="12" t="s">
        <v>1718</v>
      </c>
      <c r="J454" s="12"/>
      <c r="K454" s="12" t="s">
        <v>1719</v>
      </c>
      <c r="L454" s="12"/>
      <c r="M454" s="12" t="str">
        <f>HYPERLINK("https://ceds.ed.gov/cedselementdetails.aspx?termid=10259")</f>
        <v>https://ceds.ed.gov/cedselementdetails.aspx?termid=10259</v>
      </c>
      <c r="N454" s="12" t="str">
        <f>HYPERLINK("https://ceds.ed.gov/elementComment.aspx?elementName=Charter School Approval Year &amp;elementID=10259", "Click here to submit comment")</f>
        <v>Click here to submit comment</v>
      </c>
    </row>
    <row r="455" spans="1:14" ht="90" x14ac:dyDescent="0.25">
      <c r="A455" s="12" t="s">
        <v>1720</v>
      </c>
      <c r="B455" s="12" t="s">
        <v>1721</v>
      </c>
      <c r="C455" s="12" t="s">
        <v>12</v>
      </c>
      <c r="D455" s="12" t="s">
        <v>225</v>
      </c>
      <c r="E455" s="12" t="s">
        <v>1498</v>
      </c>
      <c r="F455" s="12" t="s">
        <v>73</v>
      </c>
      <c r="G455" s="12"/>
      <c r="H455" s="12"/>
      <c r="I455" s="12" t="s">
        <v>1722</v>
      </c>
      <c r="J455" s="12"/>
      <c r="K455" s="12" t="s">
        <v>1723</v>
      </c>
      <c r="L455" s="12" t="s">
        <v>222</v>
      </c>
      <c r="M455" s="12" t="str">
        <f>HYPERLINK("https://ceds.ed.gov/cedselementdetails.aspx?termid=10633")</f>
        <v>https://ceds.ed.gov/cedselementdetails.aspx?termid=10633</v>
      </c>
      <c r="N455" s="12" t="str">
        <f>HYPERLINK("https://ceds.ed.gov/elementComment.aspx?elementName=Charter School Contract Approval Date &amp;elementID=10633", "Click here to submit comment")</f>
        <v>Click here to submit comment</v>
      </c>
    </row>
    <row r="456" spans="1:14" ht="75" x14ac:dyDescent="0.25">
      <c r="A456" s="12" t="s">
        <v>1724</v>
      </c>
      <c r="B456" s="12" t="s">
        <v>1725</v>
      </c>
      <c r="C456" s="12" t="s">
        <v>12</v>
      </c>
      <c r="D456" s="12" t="s">
        <v>225</v>
      </c>
      <c r="E456" s="12" t="s">
        <v>1498</v>
      </c>
      <c r="F456" s="12" t="s">
        <v>92</v>
      </c>
      <c r="G456" s="12"/>
      <c r="H456" s="12"/>
      <c r="I456" s="12" t="s">
        <v>1726</v>
      </c>
      <c r="J456" s="12"/>
      <c r="K456" s="12" t="s">
        <v>1727</v>
      </c>
      <c r="L456" s="12" t="s">
        <v>222</v>
      </c>
      <c r="M456" s="12" t="str">
        <f>HYPERLINK("https://ceds.ed.gov/cedselementdetails.aspx?termid=10632")</f>
        <v>https://ceds.ed.gov/cedselementdetails.aspx?termid=10632</v>
      </c>
      <c r="N456" s="12" t="str">
        <f>HYPERLINK("https://ceds.ed.gov/elementComment.aspx?elementName=Charter School Contract Id Number &amp;elementID=10632", "Click here to submit comment")</f>
        <v>Click here to submit comment</v>
      </c>
    </row>
    <row r="457" spans="1:14" ht="90" x14ac:dyDescent="0.25">
      <c r="A457" s="12" t="s">
        <v>1728</v>
      </c>
      <c r="B457" s="12" t="s">
        <v>1729</v>
      </c>
      <c r="C457" s="12" t="s">
        <v>12</v>
      </c>
      <c r="D457" s="12" t="s">
        <v>225</v>
      </c>
      <c r="E457" s="12" t="s">
        <v>1498</v>
      </c>
      <c r="F457" s="12" t="s">
        <v>73</v>
      </c>
      <c r="G457" s="12"/>
      <c r="H457" s="12"/>
      <c r="I457" s="12" t="s">
        <v>1730</v>
      </c>
      <c r="J457" s="12"/>
      <c r="K457" s="12" t="s">
        <v>1731</v>
      </c>
      <c r="L457" s="12" t="s">
        <v>222</v>
      </c>
      <c r="M457" s="12" t="str">
        <f>HYPERLINK("https://ceds.ed.gov/cedselementdetails.aspx?termid=10634")</f>
        <v>https://ceds.ed.gov/cedselementdetails.aspx?termid=10634</v>
      </c>
      <c r="N457" s="12" t="str">
        <f>HYPERLINK("https://ceds.ed.gov/elementComment.aspx?elementName=Charter School Contract Renewal Date &amp;elementID=10634", "Click here to submit comment")</f>
        <v>Click here to submit comment</v>
      </c>
    </row>
    <row r="458" spans="1:14" ht="135" x14ac:dyDescent="0.25">
      <c r="A458" s="12" t="s">
        <v>1732</v>
      </c>
      <c r="B458" s="12" t="s">
        <v>1733</v>
      </c>
      <c r="C458" s="12" t="s">
        <v>6364</v>
      </c>
      <c r="D458" s="12" t="s">
        <v>6447</v>
      </c>
      <c r="E458" s="12" t="s">
        <v>98</v>
      </c>
      <c r="F458" s="12"/>
      <c r="G458" s="12"/>
      <c r="H458" s="12"/>
      <c r="I458" s="12" t="s">
        <v>1734</v>
      </c>
      <c r="J458" s="12"/>
      <c r="K458" s="12" t="s">
        <v>1735</v>
      </c>
      <c r="L458" s="12" t="s">
        <v>6369</v>
      </c>
      <c r="M458" s="12" t="str">
        <f>HYPERLINK("https://ceds.ed.gov/cedselementdetails.aspx?termid=9039")</f>
        <v>https://ceds.ed.gov/cedselementdetails.aspx?termid=9039</v>
      </c>
      <c r="N458" s="12" t="str">
        <f>HYPERLINK("https://ceds.ed.gov/elementComment.aspx?elementName=Charter School Indicator &amp;elementID=9039", "Click here to submit comment")</f>
        <v>Click here to submit comment</v>
      </c>
    </row>
    <row r="459" spans="1:14" ht="105" x14ac:dyDescent="0.25">
      <c r="A459" s="12" t="s">
        <v>1736</v>
      </c>
      <c r="B459" s="12" t="s">
        <v>1737</v>
      </c>
      <c r="C459" s="13" t="s">
        <v>6812</v>
      </c>
      <c r="D459" s="12" t="s">
        <v>6448</v>
      </c>
      <c r="E459" s="12" t="s">
        <v>1498</v>
      </c>
      <c r="F459" s="12"/>
      <c r="G459" s="12"/>
      <c r="H459" s="12"/>
      <c r="I459" s="12" t="s">
        <v>1738</v>
      </c>
      <c r="J459" s="12"/>
      <c r="K459" s="12" t="s">
        <v>1739</v>
      </c>
      <c r="L459" s="12" t="s">
        <v>222</v>
      </c>
      <c r="M459" s="12" t="str">
        <f>HYPERLINK("https://ceds.ed.gov/cedselementdetails.aspx?termid=10631")</f>
        <v>https://ceds.ed.gov/cedselementdetails.aspx?termid=10631</v>
      </c>
      <c r="N459" s="12" t="str">
        <f>HYPERLINK("https://ceds.ed.gov/elementComment.aspx?elementName=Charter School Management Organization Type &amp;elementID=10631", "Click here to submit comment")</f>
        <v>Click here to submit comment</v>
      </c>
    </row>
    <row r="460" spans="1:14" ht="45" x14ac:dyDescent="0.25">
      <c r="A460" s="12" t="s">
        <v>1740</v>
      </c>
      <c r="B460" s="12" t="s">
        <v>1741</v>
      </c>
      <c r="C460" s="12" t="s">
        <v>6364</v>
      </c>
      <c r="D460" s="12" t="s">
        <v>225</v>
      </c>
      <c r="E460" s="12"/>
      <c r="F460" s="12"/>
      <c r="G460" s="12"/>
      <c r="H460" s="12"/>
      <c r="I460" s="12" t="s">
        <v>1742</v>
      </c>
      <c r="J460" s="12"/>
      <c r="K460" s="12" t="s">
        <v>1743</v>
      </c>
      <c r="L460" s="12"/>
      <c r="M460" s="12" t="str">
        <f>HYPERLINK("https://ceds.ed.gov/cedselementdetails.aspx?termid=10524")</f>
        <v>https://ceds.ed.gov/cedselementdetails.aspx?termid=10524</v>
      </c>
      <c r="N460" s="12" t="str">
        <f>HYPERLINK("https://ceds.ed.gov/elementComment.aspx?elementName=Charter School Open Enrollment Indicator &amp;elementID=10524", "Click here to submit comment")</f>
        <v>Click here to submit comment</v>
      </c>
    </row>
    <row r="461" spans="1:14" ht="75" x14ac:dyDescent="0.25">
      <c r="A461" s="12" t="s">
        <v>1744</v>
      </c>
      <c r="B461" s="12" t="s">
        <v>1745</v>
      </c>
      <c r="C461" s="13" t="s">
        <v>6813</v>
      </c>
      <c r="D461" s="12" t="s">
        <v>225</v>
      </c>
      <c r="E461" s="12"/>
      <c r="F461" s="12"/>
      <c r="G461" s="12"/>
      <c r="H461" s="12"/>
      <c r="I461" s="12" t="s">
        <v>1746</v>
      </c>
      <c r="J461" s="12"/>
      <c r="K461" s="12" t="s">
        <v>1747</v>
      </c>
      <c r="L461" s="12"/>
      <c r="M461" s="12" t="str">
        <f>HYPERLINK("https://ceds.ed.gov/cedselementdetails.aspx?termid=9686")</f>
        <v>https://ceds.ed.gov/cedselementdetails.aspx?termid=9686</v>
      </c>
      <c r="N461" s="12" t="str">
        <f>HYPERLINK("https://ceds.ed.gov/elementComment.aspx?elementName=Charter School Type &amp;elementID=9686", "Click here to submit comment")</f>
        <v>Click here to submit comment</v>
      </c>
    </row>
    <row r="462" spans="1:14" ht="120" x14ac:dyDescent="0.25">
      <c r="A462" s="12" t="s">
        <v>1748</v>
      </c>
      <c r="B462" s="12" t="s">
        <v>1749</v>
      </c>
      <c r="C462" s="13" t="s">
        <v>6814</v>
      </c>
      <c r="D462" s="12" t="s">
        <v>1750</v>
      </c>
      <c r="E462" s="12"/>
      <c r="F462" s="12"/>
      <c r="G462" s="12"/>
      <c r="H462" s="12"/>
      <c r="I462" s="12" t="s">
        <v>1751</v>
      </c>
      <c r="J462" s="12" t="s">
        <v>1752</v>
      </c>
      <c r="K462" s="12" t="s">
        <v>1753</v>
      </c>
      <c r="L462" s="12" t="s">
        <v>205</v>
      </c>
      <c r="M462" s="12" t="str">
        <f>HYPERLINK("https://ceds.ed.gov/cedselementdetails.aspx?termid=9805")</f>
        <v>https://ceds.ed.gov/cedselementdetails.aspx?termid=9805</v>
      </c>
      <c r="N462" s="12" t="str">
        <f>HYPERLINK("https://ceds.ed.gov/elementComment.aspx?elementName=Child Development Associate Type &amp;elementID=9805", "Click here to submit comment")</f>
        <v>Click here to submit comment</v>
      </c>
    </row>
    <row r="463" spans="1:14" ht="180" x14ac:dyDescent="0.25">
      <c r="A463" s="12" t="s">
        <v>1754</v>
      </c>
      <c r="B463" s="12" t="s">
        <v>1755</v>
      </c>
      <c r="C463" s="13" t="s">
        <v>6815</v>
      </c>
      <c r="D463" s="12" t="s">
        <v>1756</v>
      </c>
      <c r="E463" s="12"/>
      <c r="F463" s="12"/>
      <c r="G463" s="12"/>
      <c r="H463" s="12"/>
      <c r="I463" s="12" t="s">
        <v>1757</v>
      </c>
      <c r="J463" s="12"/>
      <c r="K463" s="12" t="s">
        <v>1758</v>
      </c>
      <c r="L463" s="12" t="s">
        <v>1759</v>
      </c>
      <c r="M463" s="12" t="str">
        <f>HYPERLINK("https://ceds.ed.gov/cedselementdetails.aspx?termid=9314")</f>
        <v>https://ceds.ed.gov/cedselementdetails.aspx?termid=9314</v>
      </c>
      <c r="N463" s="12" t="str">
        <f>HYPERLINK("https://ceds.ed.gov/elementComment.aspx?elementName=Child Developmental Screening Status &amp;elementID=9314", "Click here to submit comment")</f>
        <v>Click here to submit comment</v>
      </c>
    </row>
    <row r="464" spans="1:14" ht="225" x14ac:dyDescent="0.25">
      <c r="A464" s="12" t="s">
        <v>1760</v>
      </c>
      <c r="B464" s="12" t="s">
        <v>1761</v>
      </c>
      <c r="C464" s="13" t="s">
        <v>6816</v>
      </c>
      <c r="D464" s="12" t="s">
        <v>6449</v>
      </c>
      <c r="E464" s="12"/>
      <c r="F464" s="12"/>
      <c r="G464" s="12"/>
      <c r="H464" s="12"/>
      <c r="I464" s="12" t="s">
        <v>1762</v>
      </c>
      <c r="J464" s="12"/>
      <c r="K464" s="12" t="s">
        <v>1763</v>
      </c>
      <c r="L464" s="12" t="s">
        <v>6450</v>
      </c>
      <c r="M464" s="12" t="str">
        <f>HYPERLINK("https://ceds.ed.gov/cedselementdetails.aspx?termid=9782")</f>
        <v>https://ceds.ed.gov/cedselementdetails.aspx?termid=9782</v>
      </c>
      <c r="N464" s="12" t="str">
        <f>HYPERLINK("https://ceds.ed.gov/elementComment.aspx?elementName=Child Identification System &amp;elementID=9782", "Click here to submit comment")</f>
        <v>Click here to submit comment</v>
      </c>
    </row>
    <row r="465" spans="1:14" ht="105" x14ac:dyDescent="0.25">
      <c r="A465" s="18" t="s">
        <v>1764</v>
      </c>
      <c r="B465" s="18" t="s">
        <v>1765</v>
      </c>
      <c r="C465" s="18" t="s">
        <v>12</v>
      </c>
      <c r="D465" s="18" t="s">
        <v>6451</v>
      </c>
      <c r="E465" s="18"/>
      <c r="F465" s="18" t="s">
        <v>142</v>
      </c>
      <c r="G465" s="18"/>
      <c r="H465" s="12" t="s">
        <v>143</v>
      </c>
      <c r="I465" s="18" t="s">
        <v>1766</v>
      </c>
      <c r="J465" s="18"/>
      <c r="K465" s="18" t="s">
        <v>1767</v>
      </c>
      <c r="L465" s="18" t="s">
        <v>6450</v>
      </c>
      <c r="M465" s="18" t="str">
        <f>HYPERLINK("https://ceds.ed.gov/cedselementdetails.aspx?termid=9781")</f>
        <v>https://ceds.ed.gov/cedselementdetails.aspx?termid=9781</v>
      </c>
      <c r="N465" s="18" t="str">
        <f>HYPERLINK("https://ceds.ed.gov/elementComment.aspx?elementName=Child Identifier &amp;elementID=9781", "Click here to submit comment")</f>
        <v>Click here to submit comment</v>
      </c>
    </row>
    <row r="466" spans="1:14" x14ac:dyDescent="0.25">
      <c r="A466" s="18"/>
      <c r="B466" s="18"/>
      <c r="C466" s="18"/>
      <c r="D466" s="18"/>
      <c r="E466" s="18"/>
      <c r="F466" s="18"/>
      <c r="G466" s="18"/>
      <c r="H466" s="12"/>
      <c r="I466" s="18"/>
      <c r="J466" s="18"/>
      <c r="K466" s="18"/>
      <c r="L466" s="18"/>
      <c r="M466" s="18"/>
      <c r="N466" s="18"/>
    </row>
    <row r="467" spans="1:14" ht="90" x14ac:dyDescent="0.25">
      <c r="A467" s="18"/>
      <c r="B467" s="18"/>
      <c r="C467" s="18"/>
      <c r="D467" s="18"/>
      <c r="E467" s="18"/>
      <c r="F467" s="18"/>
      <c r="G467" s="18"/>
      <c r="H467" s="12" t="s">
        <v>144</v>
      </c>
      <c r="I467" s="18"/>
      <c r="J467" s="18"/>
      <c r="K467" s="18"/>
      <c r="L467" s="18"/>
      <c r="M467" s="18"/>
      <c r="N467" s="18"/>
    </row>
    <row r="468" spans="1:14" ht="45" x14ac:dyDescent="0.25">
      <c r="A468" s="12" t="s">
        <v>1768</v>
      </c>
      <c r="B468" s="12" t="s">
        <v>1769</v>
      </c>
      <c r="C468" s="12" t="s">
        <v>6364</v>
      </c>
      <c r="D468" s="12" t="s">
        <v>1770</v>
      </c>
      <c r="E468" s="12"/>
      <c r="F468" s="12"/>
      <c r="G468" s="12"/>
      <c r="H468" s="12"/>
      <c r="I468" s="12" t="s">
        <v>1771</v>
      </c>
      <c r="J468" s="12" t="s">
        <v>1772</v>
      </c>
      <c r="K468" s="12" t="s">
        <v>1773</v>
      </c>
      <c r="L468" s="12"/>
      <c r="M468" s="12" t="str">
        <f>HYPERLINK("https://ceds.ed.gov/cedselementdetails.aspx?termid=10476")</f>
        <v>https://ceds.ed.gov/cedselementdetails.aspx?termid=10476</v>
      </c>
      <c r="N468" s="12" t="str">
        <f>HYPERLINK("https://ceds.ed.gov/elementComment.aspx?elementName=Child Outcomes Summary Progress A Indicator &amp;elementID=10476", "Click here to submit comment")</f>
        <v>Click here to submit comment</v>
      </c>
    </row>
    <row r="469" spans="1:14" ht="60" x14ac:dyDescent="0.25">
      <c r="A469" s="12" t="s">
        <v>1774</v>
      </c>
      <c r="B469" s="12" t="s">
        <v>1775</v>
      </c>
      <c r="C469" s="12" t="s">
        <v>6364</v>
      </c>
      <c r="D469" s="12" t="s">
        <v>1770</v>
      </c>
      <c r="E469" s="12"/>
      <c r="F469" s="12"/>
      <c r="G469" s="12"/>
      <c r="H469" s="12"/>
      <c r="I469" s="12" t="s">
        <v>1776</v>
      </c>
      <c r="J469" s="12" t="s">
        <v>1777</v>
      </c>
      <c r="K469" s="12" t="s">
        <v>1778</v>
      </c>
      <c r="L469" s="12"/>
      <c r="M469" s="12" t="str">
        <f>HYPERLINK("https://ceds.ed.gov/cedselementdetails.aspx?termid=10477")</f>
        <v>https://ceds.ed.gov/cedselementdetails.aspx?termid=10477</v>
      </c>
      <c r="N469" s="12" t="str">
        <f>HYPERLINK("https://ceds.ed.gov/elementComment.aspx?elementName=Child Outcomes Summary Progress B Indicator &amp;elementID=10477", "Click here to submit comment")</f>
        <v>Click here to submit comment</v>
      </c>
    </row>
    <row r="470" spans="1:14" ht="45" x14ac:dyDescent="0.25">
      <c r="A470" s="12" t="s">
        <v>1779</v>
      </c>
      <c r="B470" s="12" t="s">
        <v>1780</v>
      </c>
      <c r="C470" s="12" t="s">
        <v>6364</v>
      </c>
      <c r="D470" s="12" t="s">
        <v>1770</v>
      </c>
      <c r="E470" s="12"/>
      <c r="F470" s="12"/>
      <c r="G470" s="12"/>
      <c r="H470" s="12"/>
      <c r="I470" s="12" t="s">
        <v>1781</v>
      </c>
      <c r="J470" s="12" t="s">
        <v>1782</v>
      </c>
      <c r="K470" s="12" t="s">
        <v>1783</v>
      </c>
      <c r="L470" s="12"/>
      <c r="M470" s="12" t="str">
        <f>HYPERLINK("https://ceds.ed.gov/cedselementdetails.aspx?termid=10478")</f>
        <v>https://ceds.ed.gov/cedselementdetails.aspx?termid=10478</v>
      </c>
      <c r="N470" s="12" t="str">
        <f>HYPERLINK("https://ceds.ed.gov/elementComment.aspx?elementName=Child Outcomes Summary Progress C Indicator &amp;elementID=10478", "Click here to submit comment")</f>
        <v>Click here to submit comment</v>
      </c>
    </row>
    <row r="471" spans="1:14" ht="330" x14ac:dyDescent="0.25">
      <c r="A471" s="12" t="s">
        <v>1784</v>
      </c>
      <c r="B471" s="12" t="s">
        <v>1785</v>
      </c>
      <c r="C471" s="13" t="s">
        <v>6817</v>
      </c>
      <c r="D471" s="12" t="s">
        <v>1770</v>
      </c>
      <c r="E471" s="12"/>
      <c r="F471" s="12"/>
      <c r="G471" s="12"/>
      <c r="H471" s="12"/>
      <c r="I471" s="12" t="s">
        <v>1786</v>
      </c>
      <c r="J471" s="12" t="s">
        <v>1787</v>
      </c>
      <c r="K471" s="12" t="s">
        <v>1788</v>
      </c>
      <c r="L471" s="12"/>
      <c r="M471" s="12" t="str">
        <f>HYPERLINK("https://ceds.ed.gov/cedselementdetails.aspx?termid=10479")</f>
        <v>https://ceds.ed.gov/cedselementdetails.aspx?termid=10479</v>
      </c>
      <c r="N471" s="12" t="str">
        <f>HYPERLINK("https://ceds.ed.gov/elementComment.aspx?elementName=Child Outcomes Summary Rating A &amp;elementID=10479", "Click here to submit comment")</f>
        <v>Click here to submit comment</v>
      </c>
    </row>
    <row r="472" spans="1:14" ht="330" x14ac:dyDescent="0.25">
      <c r="A472" s="12" t="s">
        <v>1789</v>
      </c>
      <c r="B472" s="12" t="s">
        <v>1790</v>
      </c>
      <c r="C472" s="13" t="s">
        <v>6817</v>
      </c>
      <c r="D472" s="12" t="s">
        <v>1770</v>
      </c>
      <c r="E472" s="12"/>
      <c r="F472" s="12"/>
      <c r="G472" s="12"/>
      <c r="H472" s="12"/>
      <c r="I472" s="12" t="s">
        <v>1791</v>
      </c>
      <c r="J472" s="12" t="s">
        <v>1792</v>
      </c>
      <c r="K472" s="12" t="s">
        <v>1793</v>
      </c>
      <c r="L472" s="12"/>
      <c r="M472" s="12" t="str">
        <f>HYPERLINK("https://ceds.ed.gov/cedselementdetails.aspx?termid=10480")</f>
        <v>https://ceds.ed.gov/cedselementdetails.aspx?termid=10480</v>
      </c>
      <c r="N472" s="12" t="str">
        <f>HYPERLINK("https://ceds.ed.gov/elementComment.aspx?elementName=Child Outcomes Summary Rating B &amp;elementID=10480", "Click here to submit comment")</f>
        <v>Click here to submit comment</v>
      </c>
    </row>
    <row r="473" spans="1:14" ht="330" x14ac:dyDescent="0.25">
      <c r="A473" s="12" t="s">
        <v>1794</v>
      </c>
      <c r="B473" s="12" t="s">
        <v>1795</v>
      </c>
      <c r="C473" s="13" t="s">
        <v>6817</v>
      </c>
      <c r="D473" s="12" t="s">
        <v>1770</v>
      </c>
      <c r="E473" s="12"/>
      <c r="F473" s="12"/>
      <c r="G473" s="12"/>
      <c r="H473" s="12"/>
      <c r="I473" s="12" t="s">
        <v>1796</v>
      </c>
      <c r="J473" s="12" t="s">
        <v>1797</v>
      </c>
      <c r="K473" s="12" t="s">
        <v>1798</v>
      </c>
      <c r="L473" s="12"/>
      <c r="M473" s="12" t="str">
        <f>HYPERLINK("https://ceds.ed.gov/cedselementdetails.aspx?termid=10481")</f>
        <v>https://ceds.ed.gov/cedselementdetails.aspx?termid=10481</v>
      </c>
      <c r="N473" s="12" t="str">
        <f>HYPERLINK("https://ceds.ed.gov/elementComment.aspx?elementName=Child Outcomes Summary Rating C &amp;elementID=10481", "Click here to submit comment")</f>
        <v>Click here to submit comment</v>
      </c>
    </row>
    <row r="474" spans="1:14" ht="45" x14ac:dyDescent="0.25">
      <c r="A474" s="12" t="s">
        <v>1799</v>
      </c>
      <c r="B474" s="12" t="s">
        <v>1800</v>
      </c>
      <c r="C474" s="12" t="s">
        <v>12</v>
      </c>
      <c r="D474" s="12" t="s">
        <v>1801</v>
      </c>
      <c r="E474" s="12"/>
      <c r="F474" s="12" t="s">
        <v>92</v>
      </c>
      <c r="G474" s="12"/>
      <c r="H474" s="12"/>
      <c r="I474" s="12" t="s">
        <v>1802</v>
      </c>
      <c r="J474" s="12"/>
      <c r="K474" s="12" t="s">
        <v>1803</v>
      </c>
      <c r="L474" s="12" t="s">
        <v>1578</v>
      </c>
      <c r="M474" s="12" t="str">
        <f>HYPERLINK("https://ceds.ed.gov/cedselementdetails.aspx?termid=9416")</f>
        <v>https://ceds.ed.gov/cedselementdetails.aspx?termid=9416</v>
      </c>
      <c r="N474" s="12" t="str">
        <f>HYPERLINK("https://ceds.ed.gov/elementComment.aspx?elementName=City of Birth &amp;elementID=9416", "Click here to submit comment")</f>
        <v>Click here to submit comment</v>
      </c>
    </row>
    <row r="475" spans="1:14" ht="135" x14ac:dyDescent="0.25">
      <c r="A475" s="12" t="s">
        <v>1804</v>
      </c>
      <c r="B475" s="12" t="s">
        <v>1805</v>
      </c>
      <c r="C475" s="12" t="s">
        <v>12</v>
      </c>
      <c r="D475" s="12" t="s">
        <v>6452</v>
      </c>
      <c r="E475" s="12"/>
      <c r="F475" s="12" t="s">
        <v>437</v>
      </c>
      <c r="G475" s="12"/>
      <c r="H475" s="12"/>
      <c r="I475" s="12" t="s">
        <v>1806</v>
      </c>
      <c r="J475" s="12"/>
      <c r="K475" s="12" t="s">
        <v>1807</v>
      </c>
      <c r="L475" s="12" t="s">
        <v>6453</v>
      </c>
      <c r="M475" s="12" t="str">
        <f>HYPERLINK("https://ceds.ed.gov/cedselementdetails.aspx?termid=9510")</f>
        <v>https://ceds.ed.gov/cedselementdetails.aspx?termid=9510</v>
      </c>
      <c r="N475" s="12" t="str">
        <f>HYPERLINK("https://ceds.ed.gov/elementComment.aspx?elementName=Class Beginning Time &amp;elementID=9510", "Click here to submit comment")</f>
        <v>Click here to submit comment</v>
      </c>
    </row>
    <row r="476" spans="1:14" ht="135" x14ac:dyDescent="0.25">
      <c r="A476" s="12" t="s">
        <v>1808</v>
      </c>
      <c r="B476" s="12" t="s">
        <v>1809</v>
      </c>
      <c r="C476" s="12" t="s">
        <v>12</v>
      </c>
      <c r="D476" s="12" t="s">
        <v>6452</v>
      </c>
      <c r="E476" s="12"/>
      <c r="F476" s="12" t="s">
        <v>1810</v>
      </c>
      <c r="G476" s="12"/>
      <c r="H476" s="12"/>
      <c r="I476" s="12" t="s">
        <v>1811</v>
      </c>
      <c r="J476" s="12"/>
      <c r="K476" s="12" t="s">
        <v>1812</v>
      </c>
      <c r="L476" s="12" t="s">
        <v>6453</v>
      </c>
      <c r="M476" s="12" t="str">
        <f>HYPERLINK("https://ceds.ed.gov/cedselementdetails.aspx?termid=9511")</f>
        <v>https://ceds.ed.gov/cedselementdetails.aspx?termid=9511</v>
      </c>
      <c r="N476" s="12" t="str">
        <f>HYPERLINK("https://ceds.ed.gov/elementComment.aspx?elementName=Class Ending Time &amp;elementID=9511", "Click here to submit comment")</f>
        <v>Click here to submit comment</v>
      </c>
    </row>
    <row r="477" spans="1:14" ht="90" x14ac:dyDescent="0.25">
      <c r="A477" s="12" t="s">
        <v>1813</v>
      </c>
      <c r="B477" s="12" t="s">
        <v>1814</v>
      </c>
      <c r="C477" s="12" t="s">
        <v>12</v>
      </c>
      <c r="D477" s="12" t="s">
        <v>6454</v>
      </c>
      <c r="E477" s="12"/>
      <c r="F477" s="12" t="s">
        <v>99</v>
      </c>
      <c r="G477" s="12"/>
      <c r="H477" s="12"/>
      <c r="I477" s="12" t="s">
        <v>1815</v>
      </c>
      <c r="J477" s="12"/>
      <c r="K477" s="12" t="s">
        <v>1816</v>
      </c>
      <c r="L477" s="12"/>
      <c r="M477" s="12" t="str">
        <f>HYPERLINK("https://ceds.ed.gov/cedselementdetails.aspx?termid=9512")</f>
        <v>https://ceds.ed.gov/cedselementdetails.aspx?termid=9512</v>
      </c>
      <c r="N477" s="12" t="str">
        <f>HYPERLINK("https://ceds.ed.gov/elementComment.aspx?elementName=Class Meeting Days &amp;elementID=9512", "Click here to submit comment")</f>
        <v>Click here to submit comment</v>
      </c>
    </row>
    <row r="478" spans="1:14" ht="90" x14ac:dyDescent="0.25">
      <c r="A478" s="12" t="s">
        <v>1817</v>
      </c>
      <c r="B478" s="12" t="s">
        <v>1818</v>
      </c>
      <c r="C478" s="12" t="s">
        <v>12</v>
      </c>
      <c r="D478" s="12" t="s">
        <v>6454</v>
      </c>
      <c r="E478" s="12"/>
      <c r="F478" s="12" t="s">
        <v>92</v>
      </c>
      <c r="G478" s="12"/>
      <c r="H478" s="12"/>
      <c r="I478" s="12" t="s">
        <v>1819</v>
      </c>
      <c r="J478" s="12"/>
      <c r="K478" s="12" t="s">
        <v>1820</v>
      </c>
      <c r="L478" s="12"/>
      <c r="M478" s="12" t="str">
        <f>HYPERLINK("https://ceds.ed.gov/cedselementdetails.aspx?termid=9513")</f>
        <v>https://ceds.ed.gov/cedselementdetails.aspx?termid=9513</v>
      </c>
      <c r="N478" s="12" t="str">
        <f>HYPERLINK("https://ceds.ed.gov/elementComment.aspx?elementName=Class Period &amp;elementID=9513", "Click here to submit comment")</f>
        <v>Click here to submit comment</v>
      </c>
    </row>
    <row r="479" spans="1:14" ht="45" x14ac:dyDescent="0.25">
      <c r="A479" s="12" t="s">
        <v>1821</v>
      </c>
      <c r="B479" s="12" t="s">
        <v>1822</v>
      </c>
      <c r="C479" s="12" t="s">
        <v>12</v>
      </c>
      <c r="D479" s="12" t="s">
        <v>28</v>
      </c>
      <c r="E479" s="12"/>
      <c r="F479" s="12" t="s">
        <v>1823</v>
      </c>
      <c r="G479" s="12"/>
      <c r="H479" s="12"/>
      <c r="I479" s="12" t="s">
        <v>1824</v>
      </c>
      <c r="J479" s="12"/>
      <c r="K479" s="12" t="s">
        <v>1825</v>
      </c>
      <c r="L479" s="12" t="s">
        <v>6369</v>
      </c>
      <c r="M479" s="12" t="str">
        <f>HYPERLINK("https://ceds.ed.gov/cedselementdetails.aspx?termid=9042")</f>
        <v>https://ceds.ed.gov/cedselementdetails.aspx?termid=9042</v>
      </c>
      <c r="N479" s="12" t="str">
        <f>HYPERLINK("https://ceds.ed.gov/elementComment.aspx?elementName=Class Ranking Date &amp;elementID=9042", "Click here to submit comment")</f>
        <v>Click here to submit comment</v>
      </c>
    </row>
    <row r="480" spans="1:14" ht="409.5" x14ac:dyDescent="0.25">
      <c r="A480" s="12" t="s">
        <v>1826</v>
      </c>
      <c r="B480" s="12" t="s">
        <v>1827</v>
      </c>
      <c r="C480" s="14" t="s">
        <v>1828</v>
      </c>
      <c r="D480" s="12" t="s">
        <v>6455</v>
      </c>
      <c r="E480" s="12"/>
      <c r="F480" s="12"/>
      <c r="G480" s="12"/>
      <c r="H480" s="12"/>
      <c r="I480" s="12" t="s">
        <v>1829</v>
      </c>
      <c r="J480" s="12" t="s">
        <v>1830</v>
      </c>
      <c r="K480" s="12" t="s">
        <v>1831</v>
      </c>
      <c r="L480" s="12" t="s">
        <v>6368</v>
      </c>
      <c r="M480" s="12" t="str">
        <f>HYPERLINK("https://ceds.ed.gov/cedselementdetails.aspx?termid=9043")</f>
        <v>https://ceds.ed.gov/cedselementdetails.aspx?termid=9043</v>
      </c>
      <c r="N480" s="12" t="str">
        <f>HYPERLINK("https://ceds.ed.gov/elementComment.aspx?elementName=Classification of Instructional Program Code &amp;elementID=9043", "Click here to submit comment")</f>
        <v>Click here to submit comment</v>
      </c>
    </row>
    <row r="481" spans="1:14" ht="360" x14ac:dyDescent="0.25">
      <c r="A481" s="12" t="s">
        <v>1832</v>
      </c>
      <c r="B481" s="12" t="s">
        <v>1833</v>
      </c>
      <c r="C481" s="13" t="s">
        <v>6818</v>
      </c>
      <c r="D481" s="12" t="s">
        <v>6456</v>
      </c>
      <c r="E481" s="12"/>
      <c r="F481" s="12"/>
      <c r="G481" s="12"/>
      <c r="H481" s="12"/>
      <c r="I481" s="12" t="s">
        <v>1834</v>
      </c>
      <c r="J481" s="12" t="s">
        <v>1835</v>
      </c>
      <c r="K481" s="12" t="s">
        <v>1836</v>
      </c>
      <c r="L481" s="12" t="s">
        <v>6380</v>
      </c>
      <c r="M481" s="12" t="str">
        <f>HYPERLINK("https://ceds.ed.gov/cedselementdetails.aspx?termid=9044")</f>
        <v>https://ceds.ed.gov/cedselementdetails.aspx?termid=9044</v>
      </c>
      <c r="N481" s="12" t="str">
        <f>HYPERLINK("https://ceds.ed.gov/elementComment.aspx?elementName=Classification of Instructional Program Use &amp;elementID=9044", "Click here to submit comment")</f>
        <v>Click here to submit comment</v>
      </c>
    </row>
    <row r="482" spans="1:14" ht="409.5" x14ac:dyDescent="0.25">
      <c r="A482" s="12" t="s">
        <v>1837</v>
      </c>
      <c r="B482" s="12" t="s">
        <v>1838</v>
      </c>
      <c r="C482" s="13" t="s">
        <v>6819</v>
      </c>
      <c r="D482" s="12" t="s">
        <v>6457</v>
      </c>
      <c r="E482" s="12"/>
      <c r="F482" s="12"/>
      <c r="G482" s="12"/>
      <c r="H482" s="12"/>
      <c r="I482" s="12" t="s">
        <v>1839</v>
      </c>
      <c r="J482" s="12" t="s">
        <v>1840</v>
      </c>
      <c r="K482" s="12" t="s">
        <v>1841</v>
      </c>
      <c r="L482" s="12" t="s">
        <v>6380</v>
      </c>
      <c r="M482" s="12" t="str">
        <f>HYPERLINK("https://ceds.ed.gov/cedselementdetails.aspx?termid=9045")</f>
        <v>https://ceds.ed.gov/cedselementdetails.aspx?termid=9045</v>
      </c>
      <c r="N482" s="12" t="str">
        <f>HYPERLINK("https://ceds.ed.gov/elementComment.aspx?elementName=Classification of Instructional Program Version &amp;elementID=9045", "Click here to submit comment")</f>
        <v>Click here to submit comment</v>
      </c>
    </row>
    <row r="483" spans="1:14" ht="105" x14ac:dyDescent="0.25">
      <c r="A483" s="18" t="s">
        <v>1842</v>
      </c>
      <c r="B483" s="18" t="s">
        <v>1843</v>
      </c>
      <c r="C483" s="18" t="s">
        <v>12</v>
      </c>
      <c r="D483" s="18" t="s">
        <v>6454</v>
      </c>
      <c r="E483" s="18"/>
      <c r="F483" s="18" t="s">
        <v>142</v>
      </c>
      <c r="G483" s="18"/>
      <c r="H483" s="12" t="s">
        <v>143</v>
      </c>
      <c r="I483" s="18" t="s">
        <v>1844</v>
      </c>
      <c r="J483" s="18"/>
      <c r="K483" s="18" t="s">
        <v>1845</v>
      </c>
      <c r="L483" s="18"/>
      <c r="M483" s="18" t="str">
        <f>HYPERLINK("https://ceds.ed.gov/cedselementdetails.aspx?termid=9507")</f>
        <v>https://ceds.ed.gov/cedselementdetails.aspx?termid=9507</v>
      </c>
      <c r="N483" s="18" t="str">
        <f>HYPERLINK("https://ceds.ed.gov/elementComment.aspx?elementName=Classroom Identifier &amp;elementID=9507", "Click here to submit comment")</f>
        <v>Click here to submit comment</v>
      </c>
    </row>
    <row r="484" spans="1:14" x14ac:dyDescent="0.25">
      <c r="A484" s="18"/>
      <c r="B484" s="18"/>
      <c r="C484" s="18"/>
      <c r="D484" s="18"/>
      <c r="E484" s="18"/>
      <c r="F484" s="18"/>
      <c r="G484" s="18"/>
      <c r="H484" s="12"/>
      <c r="I484" s="18"/>
      <c r="J484" s="18"/>
      <c r="K484" s="18"/>
      <c r="L484" s="18"/>
      <c r="M484" s="18"/>
      <c r="N484" s="18"/>
    </row>
    <row r="485" spans="1:14" ht="90" x14ac:dyDescent="0.25">
      <c r="A485" s="18"/>
      <c r="B485" s="18"/>
      <c r="C485" s="18"/>
      <c r="D485" s="18"/>
      <c r="E485" s="18"/>
      <c r="F485" s="18"/>
      <c r="G485" s="18"/>
      <c r="H485" s="12" t="s">
        <v>144</v>
      </c>
      <c r="I485" s="18"/>
      <c r="J485" s="18"/>
      <c r="K485" s="18"/>
      <c r="L485" s="18"/>
      <c r="M485" s="18"/>
      <c r="N485" s="18"/>
    </row>
    <row r="486" spans="1:14" ht="270" x14ac:dyDescent="0.25">
      <c r="A486" s="12" t="s">
        <v>1846</v>
      </c>
      <c r="B486" s="12" t="s">
        <v>1847</v>
      </c>
      <c r="C486" s="13" t="s">
        <v>6820</v>
      </c>
      <c r="D486" s="12" t="s">
        <v>6458</v>
      </c>
      <c r="E486" s="12"/>
      <c r="F486" s="12"/>
      <c r="G486" s="12"/>
      <c r="H486" s="12"/>
      <c r="I486" s="12" t="s">
        <v>1848</v>
      </c>
      <c r="J486" s="12"/>
      <c r="K486" s="12" t="s">
        <v>1849</v>
      </c>
      <c r="L486" s="12"/>
      <c r="M486" s="12" t="str">
        <f>HYPERLINK("https://ceds.ed.gov/cedselementdetails.aspx?termid=9615")</f>
        <v>https://ceds.ed.gov/cedselementdetails.aspx?termid=9615</v>
      </c>
      <c r="N486" s="12" t="str">
        <f>HYPERLINK("https://ceds.ed.gov/elementComment.aspx?elementName=Classroom Position Type &amp;elementID=9615", "Click here to submit comment")</f>
        <v>Click here to submit comment</v>
      </c>
    </row>
    <row r="487" spans="1:14" ht="45" x14ac:dyDescent="0.25">
      <c r="A487" s="12" t="s">
        <v>1850</v>
      </c>
      <c r="B487" s="12" t="s">
        <v>1851</v>
      </c>
      <c r="C487" s="12" t="s">
        <v>12</v>
      </c>
      <c r="D487" s="12" t="s">
        <v>28</v>
      </c>
      <c r="E487" s="12"/>
      <c r="F487" s="12" t="s">
        <v>92</v>
      </c>
      <c r="G487" s="12"/>
      <c r="H487" s="12"/>
      <c r="I487" s="12" t="s">
        <v>1852</v>
      </c>
      <c r="J487" s="12"/>
      <c r="K487" s="12" t="s">
        <v>1853</v>
      </c>
      <c r="L487" s="12"/>
      <c r="M487" s="12" t="str">
        <f>HYPERLINK("https://ceds.ed.gov/cedselementdetails.aspx?termid=9687")</f>
        <v>https://ceds.ed.gov/cedselementdetails.aspx?termid=9687</v>
      </c>
      <c r="N487" s="12" t="str">
        <f>HYPERLINK("https://ceds.ed.gov/elementComment.aspx?elementName=Cohort Description &amp;elementID=9687", "Click here to submit comment")</f>
        <v>Click here to submit comment</v>
      </c>
    </row>
    <row r="488" spans="1:14" ht="195" x14ac:dyDescent="0.25">
      <c r="A488" s="12" t="s">
        <v>1854</v>
      </c>
      <c r="B488" s="12" t="s">
        <v>1855</v>
      </c>
      <c r="C488" s="13" t="s">
        <v>6821</v>
      </c>
      <c r="D488" s="12" t="s">
        <v>1856</v>
      </c>
      <c r="E488" s="12"/>
      <c r="F488" s="12"/>
      <c r="G488" s="12"/>
      <c r="H488" s="12"/>
      <c r="I488" s="12" t="s">
        <v>1857</v>
      </c>
      <c r="J488" s="12"/>
      <c r="K488" s="12" t="s">
        <v>1858</v>
      </c>
      <c r="L488" s="12" t="s">
        <v>239</v>
      </c>
      <c r="M488" s="12" t="str">
        <f>HYPERLINK("https://ceds.ed.gov/cedselementdetails.aspx?termid=9106")</f>
        <v>https://ceds.ed.gov/cedselementdetails.aspx?termid=9106</v>
      </c>
      <c r="N488" s="12" t="str">
        <f>HYPERLINK("https://ceds.ed.gov/elementComment.aspx?elementName=Cohort Exclusion &amp;elementID=9106", "Click here to submit comment")</f>
        <v>Click here to submit comment</v>
      </c>
    </row>
    <row r="489" spans="1:14" ht="60" x14ac:dyDescent="0.25">
      <c r="A489" s="12" t="s">
        <v>1859</v>
      </c>
      <c r="B489" s="12" t="s">
        <v>1860</v>
      </c>
      <c r="C489" s="12" t="s">
        <v>12</v>
      </c>
      <c r="D489" s="12" t="s">
        <v>6459</v>
      </c>
      <c r="E489" s="12"/>
      <c r="F489" s="12" t="s">
        <v>1861</v>
      </c>
      <c r="G489" s="12"/>
      <c r="H489" s="12"/>
      <c r="I489" s="12" t="s">
        <v>1862</v>
      </c>
      <c r="J489" s="12"/>
      <c r="K489" s="12" t="s">
        <v>1863</v>
      </c>
      <c r="L489" s="12" t="s">
        <v>6460</v>
      </c>
      <c r="M489" s="12" t="str">
        <f>HYPERLINK("https://ceds.ed.gov/cedselementdetails.aspx?termid=9577")</f>
        <v>https://ceds.ed.gov/cedselementdetails.aspx?termid=9577</v>
      </c>
      <c r="N489" s="12" t="str">
        <f>HYPERLINK("https://ceds.ed.gov/elementComment.aspx?elementName=Cohort Graduation Year &amp;elementID=9577", "Click here to submit comment")</f>
        <v>Click here to submit comment</v>
      </c>
    </row>
    <row r="490" spans="1:14" ht="60" x14ac:dyDescent="0.25">
      <c r="A490" s="12" t="s">
        <v>1864</v>
      </c>
      <c r="B490" s="12" t="s">
        <v>1865</v>
      </c>
      <c r="C490" s="12" t="s">
        <v>12</v>
      </c>
      <c r="D490" s="12" t="s">
        <v>6461</v>
      </c>
      <c r="E490" s="12"/>
      <c r="F490" s="12" t="s">
        <v>1861</v>
      </c>
      <c r="G490" s="12"/>
      <c r="H490" s="12"/>
      <c r="I490" s="12" t="s">
        <v>1866</v>
      </c>
      <c r="J490" s="12"/>
      <c r="K490" s="12" t="s">
        <v>1867</v>
      </c>
      <c r="L490" s="12" t="s">
        <v>6446</v>
      </c>
      <c r="M490" s="12" t="str">
        <f>HYPERLINK("https://ceds.ed.gov/cedselementdetails.aspx?termid=9046")</f>
        <v>https://ceds.ed.gov/cedselementdetails.aspx?termid=9046</v>
      </c>
      <c r="N490" s="12" t="str">
        <f>HYPERLINK("https://ceds.ed.gov/elementComment.aspx?elementName=Cohort Year &amp;elementID=9046", "Click here to submit comment")</f>
        <v>Click here to submit comment</v>
      </c>
    </row>
    <row r="491" spans="1:14" ht="135" x14ac:dyDescent="0.25">
      <c r="A491" s="12" t="s">
        <v>1868</v>
      </c>
      <c r="B491" s="12" t="s">
        <v>1869</v>
      </c>
      <c r="C491" s="13" t="s">
        <v>6822</v>
      </c>
      <c r="D491" s="12" t="s">
        <v>6462</v>
      </c>
      <c r="E491" s="12"/>
      <c r="F491" s="12"/>
      <c r="G491" s="12"/>
      <c r="H491" s="12"/>
      <c r="I491" s="12" t="s">
        <v>1870</v>
      </c>
      <c r="J491" s="12"/>
      <c r="K491" s="12" t="s">
        <v>1871</v>
      </c>
      <c r="L491" s="12"/>
      <c r="M491" s="12" t="str">
        <f>HYPERLINK("https://ceds.ed.gov/cedselementdetails.aspx?termid=10614")</f>
        <v>https://ceds.ed.gov/cedselementdetails.aspx?termid=10614</v>
      </c>
      <c r="N491" s="12" t="str">
        <f>HYPERLINK("https://ceds.ed.gov/elementComment.aspx?elementName=Community-based Type &amp;elementID=10614", "Click here to submit comment")</f>
        <v>Click here to submit comment</v>
      </c>
    </row>
    <row r="492" spans="1:14" ht="120" x14ac:dyDescent="0.25">
      <c r="A492" s="12" t="s">
        <v>1872</v>
      </c>
      <c r="B492" s="12" t="s">
        <v>1873</v>
      </c>
      <c r="C492" s="13" t="s">
        <v>6823</v>
      </c>
      <c r="D492" s="12" t="s">
        <v>6463</v>
      </c>
      <c r="E492" s="12"/>
      <c r="F492" s="12"/>
      <c r="G492" s="12"/>
      <c r="H492" s="12" t="s">
        <v>1874</v>
      </c>
      <c r="I492" s="12" t="s">
        <v>1875</v>
      </c>
      <c r="J492" s="12"/>
      <c r="K492" s="12" t="s">
        <v>1876</v>
      </c>
      <c r="L492" s="12"/>
      <c r="M492" s="12" t="str">
        <f>HYPERLINK("https://ceds.ed.gov/cedselementdetails.aspx?termid=9877")</f>
        <v>https://ceds.ed.gov/cedselementdetails.aspx?termid=9877</v>
      </c>
      <c r="N492" s="12" t="str">
        <f>HYPERLINK("https://ceds.ed.gov/elementComment.aspx?elementName=Competency Set Completion Criteria &amp;elementID=9877", "Click here to submit comment")</f>
        <v>Click here to submit comment</v>
      </c>
    </row>
    <row r="493" spans="1:14" ht="90" x14ac:dyDescent="0.25">
      <c r="A493" s="12" t="s">
        <v>1877</v>
      </c>
      <c r="B493" s="12" t="s">
        <v>1878</v>
      </c>
      <c r="C493" s="12" t="s">
        <v>12</v>
      </c>
      <c r="D493" s="12" t="s">
        <v>6463</v>
      </c>
      <c r="E493" s="12"/>
      <c r="F493" s="12" t="s">
        <v>317</v>
      </c>
      <c r="G493" s="12"/>
      <c r="H493" s="12" t="s">
        <v>1879</v>
      </c>
      <c r="I493" s="12" t="s">
        <v>1880</v>
      </c>
      <c r="J493" s="12"/>
      <c r="K493" s="12" t="s">
        <v>1881</v>
      </c>
      <c r="L493" s="12"/>
      <c r="M493" s="12" t="str">
        <f>HYPERLINK("https://ceds.ed.gov/cedselementdetails.aspx?termid=9878")</f>
        <v>https://ceds.ed.gov/cedselementdetails.aspx?termid=9878</v>
      </c>
      <c r="N493" s="12" t="str">
        <f>HYPERLINK("https://ceds.ed.gov/elementComment.aspx?elementName=Competency Set Completion Criteria Threshold &amp;elementID=9878", "Click here to submit comment")</f>
        <v>Click here to submit comment</v>
      </c>
    </row>
    <row r="494" spans="1:14" ht="90" x14ac:dyDescent="0.25">
      <c r="A494" s="12" t="s">
        <v>1882</v>
      </c>
      <c r="B494" s="12" t="s">
        <v>1883</v>
      </c>
      <c r="C494" s="12" t="s">
        <v>12</v>
      </c>
      <c r="D494" s="12" t="s">
        <v>236</v>
      </c>
      <c r="E494" s="12"/>
      <c r="F494" s="12" t="s">
        <v>1554</v>
      </c>
      <c r="G494" s="12"/>
      <c r="H494" s="12" t="s">
        <v>369</v>
      </c>
      <c r="I494" s="12" t="s">
        <v>1884</v>
      </c>
      <c r="J494" s="12"/>
      <c r="K494" s="12" t="s">
        <v>1885</v>
      </c>
      <c r="L494" s="12" t="s">
        <v>1593</v>
      </c>
      <c r="M494" s="12" t="str">
        <f>HYPERLINK("https://ceds.ed.gov/cedselementdetails.aspx?termid=9733")</f>
        <v>https://ceds.ed.gov/cedselementdetails.aspx?termid=9733</v>
      </c>
      <c r="N494" s="12" t="str">
        <f>HYPERLINK("https://ceds.ed.gov/elementComment.aspx?elementName=Comprehensive Fee &amp;elementID=9733", "Click here to submit comment")</f>
        <v>Click here to submit comment</v>
      </c>
    </row>
    <row r="495" spans="1:14" ht="75" x14ac:dyDescent="0.25">
      <c r="A495" s="12" t="s">
        <v>1886</v>
      </c>
      <c r="B495" s="12" t="s">
        <v>1887</v>
      </c>
      <c r="C495" s="13" t="s">
        <v>6747</v>
      </c>
      <c r="D495" s="12" t="s">
        <v>1888</v>
      </c>
      <c r="E495" s="12" t="s">
        <v>98</v>
      </c>
      <c r="F495" s="12"/>
      <c r="G495" s="12"/>
      <c r="H495" s="12"/>
      <c r="I495" s="12" t="s">
        <v>1889</v>
      </c>
      <c r="J495" s="12" t="s">
        <v>1890</v>
      </c>
      <c r="K495" s="12" t="s">
        <v>1891</v>
      </c>
      <c r="L495" s="12" t="s">
        <v>222</v>
      </c>
      <c r="M495" s="12" t="str">
        <f>HYPERLINK("https://ceds.ed.gov/cedselementdetails.aspx?termid=9533")</f>
        <v>https://ceds.ed.gov/cedselementdetails.aspx?termid=9533</v>
      </c>
      <c r="N495" s="12" t="str">
        <f>HYPERLINK("https://ceds.ed.gov/elementComment.aspx?elementName=Consolidated Migrant Education Program Funds Status &amp;elementID=9533", "Click here to submit comment")</f>
        <v>Click here to submit comment</v>
      </c>
    </row>
    <row r="496" spans="1:14" ht="120" x14ac:dyDescent="0.25">
      <c r="A496" s="12" t="s">
        <v>1892</v>
      </c>
      <c r="B496" s="12" t="s">
        <v>1893</v>
      </c>
      <c r="C496" s="13" t="s">
        <v>6824</v>
      </c>
      <c r="D496" s="12" t="s">
        <v>1894</v>
      </c>
      <c r="E496" s="12"/>
      <c r="F496" s="12"/>
      <c r="G496" s="12"/>
      <c r="H496" s="12"/>
      <c r="I496" s="12" t="s">
        <v>1895</v>
      </c>
      <c r="J496" s="12"/>
      <c r="K496" s="12" t="s">
        <v>1896</v>
      </c>
      <c r="L496" s="12" t="s">
        <v>1578</v>
      </c>
      <c r="M496" s="12" t="str">
        <f>HYPERLINK("https://ceds.ed.gov/cedselementdetails.aspx?termid=9419")</f>
        <v>https://ceds.ed.gov/cedselementdetails.aspx?termid=9419</v>
      </c>
      <c r="N496" s="12" t="str">
        <f>HYPERLINK("https://ceds.ed.gov/elementComment.aspx?elementName=Continuation of Services Reason &amp;elementID=9419", "Click here to submit comment")</f>
        <v>Click here to submit comment</v>
      </c>
    </row>
    <row r="497" spans="1:14" ht="45" x14ac:dyDescent="0.25">
      <c r="A497" s="12" t="s">
        <v>1897</v>
      </c>
      <c r="B497" s="12" t="s">
        <v>1898</v>
      </c>
      <c r="C497" s="12" t="s">
        <v>12</v>
      </c>
      <c r="D497" s="12" t="s">
        <v>1899</v>
      </c>
      <c r="E497" s="12"/>
      <c r="F497" s="12" t="s">
        <v>73</v>
      </c>
      <c r="G497" s="12"/>
      <c r="H497" s="12"/>
      <c r="I497" s="12" t="s">
        <v>1900</v>
      </c>
      <c r="J497" s="12"/>
      <c r="K497" s="12" t="s">
        <v>1901</v>
      </c>
      <c r="L497" s="12" t="s">
        <v>6464</v>
      </c>
      <c r="M497" s="12" t="str">
        <f>HYPERLINK("https://ceds.ed.gov/cedselementdetails.aspx?termid=9348")</f>
        <v>https://ceds.ed.gov/cedselementdetails.aspx?termid=9348</v>
      </c>
      <c r="N497" s="12" t="str">
        <f>HYPERLINK("https://ceds.ed.gov/elementComment.aspx?elementName=Continuing License Date &amp;elementID=9348", "Click here to submit comment")</f>
        <v>Click here to submit comment</v>
      </c>
    </row>
    <row r="498" spans="1:14" ht="60" x14ac:dyDescent="0.25">
      <c r="A498" s="12" t="s">
        <v>1902</v>
      </c>
      <c r="B498" s="12" t="s">
        <v>1903</v>
      </c>
      <c r="C498" s="12" t="s">
        <v>12</v>
      </c>
      <c r="D498" s="12" t="s">
        <v>1904</v>
      </c>
      <c r="E498" s="12"/>
      <c r="F498" s="12" t="s">
        <v>1554</v>
      </c>
      <c r="G498" s="12"/>
      <c r="H498" s="12"/>
      <c r="I498" s="12" t="s">
        <v>1905</v>
      </c>
      <c r="J498" s="12"/>
      <c r="K498" s="12" t="s">
        <v>1906</v>
      </c>
      <c r="L498" s="12" t="s">
        <v>1907</v>
      </c>
      <c r="M498" s="12" t="str">
        <f>HYPERLINK("https://ceds.ed.gov/cedselementdetails.aspx?termid=9047")</f>
        <v>https://ceds.ed.gov/cedselementdetails.aspx?termid=9047</v>
      </c>
      <c r="N498" s="12" t="str">
        <f>HYPERLINK("https://ceds.ed.gov/elementComment.aspx?elementName=Contract Days of Service per Year &amp;elementID=9047", "Click here to submit comment")</f>
        <v>Click here to submit comment</v>
      </c>
    </row>
    <row r="499" spans="1:14" ht="75" x14ac:dyDescent="0.25">
      <c r="A499" s="12" t="s">
        <v>1908</v>
      </c>
      <c r="B499" s="12" t="s">
        <v>1909</v>
      </c>
      <c r="C499" s="13" t="s">
        <v>6825</v>
      </c>
      <c r="D499" s="12" t="s">
        <v>33</v>
      </c>
      <c r="E499" s="12"/>
      <c r="F499" s="12"/>
      <c r="G499" s="12"/>
      <c r="H499" s="12" t="s">
        <v>1910</v>
      </c>
      <c r="I499" s="12" t="s">
        <v>1911</v>
      </c>
      <c r="J499" s="12"/>
      <c r="K499" s="12" t="s">
        <v>1912</v>
      </c>
      <c r="L499" s="12" t="s">
        <v>37</v>
      </c>
      <c r="M499" s="12" t="str">
        <f>HYPERLINK("https://ceds.ed.gov/cedselementdetails.aspx?termid=9714")</f>
        <v>https://ceds.ed.gov/cedselementdetails.aspx?termid=9714</v>
      </c>
      <c r="N499" s="12" t="str">
        <f>HYPERLINK("https://ceds.ed.gov/elementComment.aspx?elementName=Contract Type &amp;elementID=9714", "Click here to submit comment")</f>
        <v>Click here to submit comment</v>
      </c>
    </row>
    <row r="500" spans="1:14" ht="105" x14ac:dyDescent="0.25">
      <c r="A500" s="12" t="s">
        <v>1913</v>
      </c>
      <c r="B500" s="12" t="s">
        <v>1914</v>
      </c>
      <c r="C500" s="13" t="s">
        <v>6826</v>
      </c>
      <c r="D500" s="12" t="s">
        <v>1708</v>
      </c>
      <c r="E500" s="12"/>
      <c r="F500" s="12"/>
      <c r="G500" s="12"/>
      <c r="H500" s="12"/>
      <c r="I500" s="12" t="s">
        <v>1915</v>
      </c>
      <c r="J500" s="12"/>
      <c r="K500" s="12" t="s">
        <v>1916</v>
      </c>
      <c r="L500" s="12" t="s">
        <v>6446</v>
      </c>
      <c r="M500" s="12" t="str">
        <f>HYPERLINK("https://ceds.ed.gov/cedselementdetails.aspx?termid=9048")</f>
        <v>https://ceds.ed.gov/cedselementdetails.aspx?termid=9048</v>
      </c>
      <c r="N500" s="12" t="str">
        <f>HYPERLINK("https://ceds.ed.gov/elementComment.aspx?elementName=Control of Institution &amp;elementID=9048", "Click here to submit comment")</f>
        <v>Click here to submit comment</v>
      </c>
    </row>
    <row r="501" spans="1:14" ht="45" x14ac:dyDescent="0.25">
      <c r="A501" s="12" t="s">
        <v>1917</v>
      </c>
      <c r="B501" s="12" t="s">
        <v>1918</v>
      </c>
      <c r="C501" s="12" t="s">
        <v>6364</v>
      </c>
      <c r="D501" s="12" t="s">
        <v>6465</v>
      </c>
      <c r="E501" s="12"/>
      <c r="F501" s="12"/>
      <c r="G501" s="12"/>
      <c r="H501" s="12"/>
      <c r="I501" s="12" t="s">
        <v>1919</v>
      </c>
      <c r="J501" s="12"/>
      <c r="K501" s="12" t="s">
        <v>1920</v>
      </c>
      <c r="L501" s="12"/>
      <c r="M501" s="12" t="str">
        <f>HYPERLINK("https://ceds.ed.gov/cedselementdetails.aspx?termid=9509")</f>
        <v>https://ceds.ed.gov/cedselementdetails.aspx?termid=9509</v>
      </c>
      <c r="N501" s="12" t="str">
        <f>HYPERLINK("https://ceds.ed.gov/elementComment.aspx?elementName=Core Academic Course &amp;elementID=9509", "Click here to submit comment")</f>
        <v>Click here to submit comment</v>
      </c>
    </row>
    <row r="502" spans="1:14" ht="120" x14ac:dyDescent="0.25">
      <c r="A502" s="12" t="s">
        <v>1921</v>
      </c>
      <c r="B502" s="12" t="s">
        <v>1922</v>
      </c>
      <c r="C502" s="13" t="s">
        <v>6827</v>
      </c>
      <c r="D502" s="12" t="s">
        <v>258</v>
      </c>
      <c r="E502" s="12"/>
      <c r="F502" s="12"/>
      <c r="G502" s="12"/>
      <c r="H502" s="12"/>
      <c r="I502" s="12" t="s">
        <v>1923</v>
      </c>
      <c r="J502" s="12"/>
      <c r="K502" s="12" t="s">
        <v>1924</v>
      </c>
      <c r="L502" s="12"/>
      <c r="M502" s="12" t="str">
        <f>HYPERLINK("https://ceds.ed.gov/cedselementdetails.aspx?termid=10262")</f>
        <v>https://ceds.ed.gov/cedselementdetails.aspx?termid=10262</v>
      </c>
      <c r="N502" s="12" t="str">
        <f>HYPERLINK("https://ceds.ed.gov/elementComment.aspx?elementName=Correctional Education Facility Type &amp;elementID=10262", "Click here to submit comment")</f>
        <v>Click here to submit comment</v>
      </c>
    </row>
    <row r="503" spans="1:14" ht="75" x14ac:dyDescent="0.25">
      <c r="A503" s="12" t="s">
        <v>1925</v>
      </c>
      <c r="B503" s="12" t="s">
        <v>1926</v>
      </c>
      <c r="C503" s="12" t="s">
        <v>6364</v>
      </c>
      <c r="D503" s="12" t="s">
        <v>258</v>
      </c>
      <c r="E503" s="12"/>
      <c r="F503" s="12"/>
      <c r="G503" s="12"/>
      <c r="H503" s="12"/>
      <c r="I503" s="12" t="s">
        <v>1927</v>
      </c>
      <c r="J503" s="12"/>
      <c r="K503" s="12" t="s">
        <v>1928</v>
      </c>
      <c r="L503" s="12"/>
      <c r="M503" s="12" t="str">
        <f>HYPERLINK("https://ceds.ed.gov/cedselementdetails.aspx?termid=10263")</f>
        <v>https://ceds.ed.gov/cedselementdetails.aspx?termid=10263</v>
      </c>
      <c r="N503" s="12" t="str">
        <f>HYPERLINK("https://ceds.ed.gov/elementComment.aspx?elementName=Correctional Education Reentry Services Participation Indicator &amp;elementID=10263", "Click here to submit comment")</f>
        <v>Click here to submit comment</v>
      </c>
    </row>
    <row r="504" spans="1:14" ht="255" x14ac:dyDescent="0.25">
      <c r="A504" s="12" t="s">
        <v>1929</v>
      </c>
      <c r="B504" s="12" t="s">
        <v>1930</v>
      </c>
      <c r="C504" s="13" t="s">
        <v>6828</v>
      </c>
      <c r="D504" s="12" t="s">
        <v>1931</v>
      </c>
      <c r="E504" s="12"/>
      <c r="F504" s="12"/>
      <c r="G504" s="12"/>
      <c r="H504" s="12"/>
      <c r="I504" s="12" t="s">
        <v>1932</v>
      </c>
      <c r="J504" s="12"/>
      <c r="K504" s="12" t="s">
        <v>1933</v>
      </c>
      <c r="L504" s="12" t="s">
        <v>222</v>
      </c>
      <c r="M504" s="12" t="str">
        <f>HYPERLINK("https://ceds.ed.gov/cedselementdetails.aspx?termid=9049")</f>
        <v>https://ceds.ed.gov/cedselementdetails.aspx?termid=9049</v>
      </c>
      <c r="N504" s="12" t="str">
        <f>HYPERLINK("https://ceds.ed.gov/elementComment.aspx?elementName=Corrective Action Type &amp;elementID=9049", "Click here to submit comment")</f>
        <v>Click here to submit comment</v>
      </c>
    </row>
    <row r="505" spans="1:14" ht="409.5" x14ac:dyDescent="0.25">
      <c r="A505" s="12" t="s">
        <v>1934</v>
      </c>
      <c r="B505" s="12" t="s">
        <v>1935</v>
      </c>
      <c r="C505" s="13" t="s">
        <v>6829</v>
      </c>
      <c r="D505" s="12" t="s">
        <v>6466</v>
      </c>
      <c r="E505" s="12" t="s">
        <v>98</v>
      </c>
      <c r="F505" s="12"/>
      <c r="G505" s="12"/>
      <c r="H505" s="14" t="s">
        <v>1936</v>
      </c>
      <c r="I505" s="12" t="s">
        <v>1937</v>
      </c>
      <c r="J505" s="12"/>
      <c r="K505" s="12" t="s">
        <v>1938</v>
      </c>
      <c r="L505" s="12" t="s">
        <v>6467</v>
      </c>
      <c r="M505" s="12" t="str">
        <f>HYPERLINK("https://ceds.ed.gov/cedselementdetails.aspx?termid=9050")</f>
        <v>https://ceds.ed.gov/cedselementdetails.aspx?termid=9050</v>
      </c>
      <c r="N505" s="12" t="str">
        <f>HYPERLINK("https://ceds.ed.gov/elementComment.aspx?elementName=Country Code &amp;elementID=9050", "Click here to submit comment")</f>
        <v>Click here to submit comment</v>
      </c>
    </row>
    <row r="506" spans="1:14" ht="409.5" x14ac:dyDescent="0.25">
      <c r="A506" s="12" t="s">
        <v>1939</v>
      </c>
      <c r="B506" s="12" t="s">
        <v>1940</v>
      </c>
      <c r="C506" s="13" t="s">
        <v>6829</v>
      </c>
      <c r="D506" s="12" t="s">
        <v>1801</v>
      </c>
      <c r="E506" s="12" t="s">
        <v>98</v>
      </c>
      <c r="F506" s="12"/>
      <c r="G506" s="12"/>
      <c r="H506" s="14" t="s">
        <v>1936</v>
      </c>
      <c r="I506" s="12" t="s">
        <v>1941</v>
      </c>
      <c r="J506" s="12"/>
      <c r="K506" s="12" t="s">
        <v>1942</v>
      </c>
      <c r="L506" s="12" t="s">
        <v>6468</v>
      </c>
      <c r="M506" s="12" t="str">
        <f>HYPERLINK("https://ceds.ed.gov/cedselementdetails.aspx?termid=9051")</f>
        <v>https://ceds.ed.gov/cedselementdetails.aspx?termid=9051</v>
      </c>
      <c r="N506" s="12" t="str">
        <f>HYPERLINK("https://ceds.ed.gov/elementComment.aspx?elementName=Country of Birth Code &amp;elementID=9051", "Click here to submit comment")</f>
        <v>Click here to submit comment</v>
      </c>
    </row>
    <row r="507" spans="1:14" ht="390" x14ac:dyDescent="0.25">
      <c r="A507" s="12" t="s">
        <v>1943</v>
      </c>
      <c r="B507" s="12" t="s">
        <v>1944</v>
      </c>
      <c r="C507" s="12" t="s">
        <v>12</v>
      </c>
      <c r="D507" s="12" t="s">
        <v>6469</v>
      </c>
      <c r="E507" s="12"/>
      <c r="F507" s="12" t="s">
        <v>1945</v>
      </c>
      <c r="G507" s="12"/>
      <c r="H507" s="12"/>
      <c r="I507" s="12" t="s">
        <v>1946</v>
      </c>
      <c r="J507" s="12"/>
      <c r="K507" s="12" t="s">
        <v>1947</v>
      </c>
      <c r="L507" s="12"/>
      <c r="M507" s="12" t="str">
        <f>HYPERLINK("https://ceds.ed.gov/cedselementdetails.aspx?termid=10176")</f>
        <v>https://ceds.ed.gov/cedselementdetails.aspx?termid=10176</v>
      </c>
      <c r="N507" s="12" t="str">
        <f>HYPERLINK("https://ceds.ed.gov/elementComment.aspx?elementName=County ANSI Code &amp;elementID=10176", "Click here to submit comment")</f>
        <v>Click here to submit comment</v>
      </c>
    </row>
    <row r="508" spans="1:14" ht="120" x14ac:dyDescent="0.25">
      <c r="A508" s="12" t="s">
        <v>1948</v>
      </c>
      <c r="B508" s="12" t="s">
        <v>1949</v>
      </c>
      <c r="C508" s="12" t="s">
        <v>12</v>
      </c>
      <c r="D508" s="12" t="s">
        <v>6470</v>
      </c>
      <c r="E508" s="12"/>
      <c r="F508" s="12" t="s">
        <v>1950</v>
      </c>
      <c r="G508" s="12"/>
      <c r="H508" s="12"/>
      <c r="I508" s="12" t="s">
        <v>1951</v>
      </c>
      <c r="J508" s="12"/>
      <c r="K508" s="12" t="s">
        <v>1952</v>
      </c>
      <c r="L508" s="12" t="s">
        <v>6446</v>
      </c>
      <c r="M508" s="12" t="str">
        <f>HYPERLINK("https://ceds.ed.gov/cedselementdetails.aspx?termid=9053")</f>
        <v>https://ceds.ed.gov/cedselementdetails.aspx?termid=9053</v>
      </c>
      <c r="N508" s="12" t="str">
        <f>HYPERLINK("https://ceds.ed.gov/elementComment.aspx?elementName=Course Academic Grade &amp;elementID=9053", "Click here to submit comment")</f>
        <v>Click here to submit comment</v>
      </c>
    </row>
    <row r="509" spans="1:14" ht="150" x14ac:dyDescent="0.25">
      <c r="A509" s="12" t="s">
        <v>1953</v>
      </c>
      <c r="B509" s="12" t="s">
        <v>1954</v>
      </c>
      <c r="C509" s="12" t="s">
        <v>12</v>
      </c>
      <c r="D509" s="12" t="s">
        <v>6471</v>
      </c>
      <c r="E509" s="12"/>
      <c r="F509" s="12" t="s">
        <v>1955</v>
      </c>
      <c r="G509" s="12"/>
      <c r="H509" s="12" t="s">
        <v>1956</v>
      </c>
      <c r="I509" s="12" t="s">
        <v>1957</v>
      </c>
      <c r="J509" s="12"/>
      <c r="K509" s="12" t="s">
        <v>1958</v>
      </c>
      <c r="L509" s="12"/>
      <c r="M509" s="12" t="str">
        <f>HYPERLINK("https://ceds.ed.gov/cedselementdetails.aspx?termid=10264")</f>
        <v>https://ceds.ed.gov/cedselementdetails.aspx?termid=10264</v>
      </c>
      <c r="N509" s="12" t="str">
        <f>HYPERLINK("https://ceds.ed.gov/elementComment.aspx?elementName=Course Academic Grade Scale Code &amp;elementID=10264", "Click here to submit comment")</f>
        <v>Click here to submit comment</v>
      </c>
    </row>
    <row r="510" spans="1:14" ht="285" x14ac:dyDescent="0.25">
      <c r="A510" s="12" t="s">
        <v>1959</v>
      </c>
      <c r="B510" s="12" t="s">
        <v>1960</v>
      </c>
      <c r="C510" s="13" t="s">
        <v>6830</v>
      </c>
      <c r="D510" s="12" t="s">
        <v>6472</v>
      </c>
      <c r="E510" s="12"/>
      <c r="F510" s="12"/>
      <c r="G510" s="12"/>
      <c r="H510" s="12"/>
      <c r="I510" s="12" t="s">
        <v>1961</v>
      </c>
      <c r="J510" s="12"/>
      <c r="K510" s="12" t="s">
        <v>1962</v>
      </c>
      <c r="L510" s="12"/>
      <c r="M510" s="12" t="str">
        <f>HYPERLINK("https://ceds.ed.gov/cedselementdetails.aspx?termid=10265")</f>
        <v>https://ceds.ed.gov/cedselementdetails.aspx?termid=10265</v>
      </c>
      <c r="N510" s="12" t="str">
        <f>HYPERLINK("https://ceds.ed.gov/elementComment.aspx?elementName=Course Academic Grade Status Code &amp;elementID=10265", "Click here to submit comment")</f>
        <v>Click here to submit comment</v>
      </c>
    </row>
    <row r="511" spans="1:14" ht="120" x14ac:dyDescent="0.25">
      <c r="A511" s="12" t="s">
        <v>1963</v>
      </c>
      <c r="B511" s="12" t="s">
        <v>1964</v>
      </c>
      <c r="C511" s="12" t="s">
        <v>12</v>
      </c>
      <c r="D511" s="12" t="s">
        <v>6470</v>
      </c>
      <c r="E511" s="12"/>
      <c r="F511" s="12" t="s">
        <v>73</v>
      </c>
      <c r="G511" s="12"/>
      <c r="H511" s="12"/>
      <c r="I511" s="12" t="s">
        <v>1965</v>
      </c>
      <c r="J511" s="12"/>
      <c r="K511" s="12" t="s">
        <v>1966</v>
      </c>
      <c r="L511" s="12"/>
      <c r="M511" s="12" t="str">
        <f>HYPERLINK("https://ceds.ed.gov/cedselementdetails.aspx?termid=10266")</f>
        <v>https://ceds.ed.gov/cedselementdetails.aspx?termid=10266</v>
      </c>
      <c r="N511" s="12" t="str">
        <f>HYPERLINK("https://ceds.ed.gov/elementComment.aspx?elementName=Course Add Date &amp;elementID=10266", "Click here to submit comment")</f>
        <v>Click here to submit comment</v>
      </c>
    </row>
    <row r="512" spans="1:14" ht="150" x14ac:dyDescent="0.25">
      <c r="A512" s="12" t="s">
        <v>1967</v>
      </c>
      <c r="B512" s="12" t="s">
        <v>1968</v>
      </c>
      <c r="C512" s="12" t="s">
        <v>6364</v>
      </c>
      <c r="D512" s="12" t="s">
        <v>6473</v>
      </c>
      <c r="E512" s="12"/>
      <c r="F512" s="12"/>
      <c r="G512" s="12"/>
      <c r="H512" s="12"/>
      <c r="I512" s="12" t="s">
        <v>1969</v>
      </c>
      <c r="J512" s="12"/>
      <c r="K512" s="12" t="s">
        <v>1970</v>
      </c>
      <c r="L512" s="12"/>
      <c r="M512" s="12" t="str">
        <f>HYPERLINK("https://ceds.ed.gov/cedselementdetails.aspx?termid=9013")</f>
        <v>https://ceds.ed.gov/cedselementdetails.aspx?termid=9013</v>
      </c>
      <c r="N512" s="12" t="str">
        <f>HYPERLINK("https://ceds.ed.gov/elementComment.aspx?elementName=Course Aligned with Standards &amp;elementID=9013", "Click here to submit comment")</f>
        <v>Click here to submit comment</v>
      </c>
    </row>
    <row r="513" spans="1:14" ht="409.5" x14ac:dyDescent="0.25">
      <c r="A513" s="12" t="s">
        <v>1971</v>
      </c>
      <c r="B513" s="12" t="s">
        <v>1972</v>
      </c>
      <c r="C513" s="13" t="s">
        <v>6831</v>
      </c>
      <c r="D513" s="12" t="s">
        <v>6434</v>
      </c>
      <c r="E513" s="12"/>
      <c r="F513" s="12"/>
      <c r="G513" s="12"/>
      <c r="H513" s="12" t="s">
        <v>1973</v>
      </c>
      <c r="I513" s="12" t="s">
        <v>1974</v>
      </c>
      <c r="J513" s="12"/>
      <c r="K513" s="12" t="s">
        <v>1975</v>
      </c>
      <c r="L513" s="12"/>
      <c r="M513" s="12" t="str">
        <f>HYPERLINK("https://ceds.ed.gov/cedselementdetails.aspx?termid=10267")</f>
        <v>https://ceds.ed.gov/cedselementdetails.aspx?termid=10267</v>
      </c>
      <c r="N513" s="12" t="str">
        <f>HYPERLINK("https://ceds.ed.gov/elementComment.aspx?elementName=Course Applicable Education Level &amp;elementID=10267", "Click here to submit comment")</f>
        <v>Click here to submit comment</v>
      </c>
    </row>
    <row r="514" spans="1:14" ht="120" x14ac:dyDescent="0.25">
      <c r="A514" s="12" t="s">
        <v>1976</v>
      </c>
      <c r="B514" s="12" t="s">
        <v>1977</v>
      </c>
      <c r="C514" s="12" t="s">
        <v>12</v>
      </c>
      <c r="D514" s="12" t="s">
        <v>6387</v>
      </c>
      <c r="E514" s="12"/>
      <c r="F514" s="12" t="s">
        <v>73</v>
      </c>
      <c r="G514" s="12"/>
      <c r="H514" s="12"/>
      <c r="I514" s="12" t="s">
        <v>1978</v>
      </c>
      <c r="J514" s="12"/>
      <c r="K514" s="12" t="s">
        <v>1979</v>
      </c>
      <c r="L514" s="12" t="s">
        <v>6446</v>
      </c>
      <c r="M514" s="12" t="str">
        <f>HYPERLINK("https://ceds.ed.gov/cedselementdetails.aspx?termid=9054")</f>
        <v>https://ceds.ed.gov/cedselementdetails.aspx?termid=9054</v>
      </c>
      <c r="N514" s="12" t="str">
        <f>HYPERLINK("https://ceds.ed.gov/elementComment.aspx?elementName=Course Begin Date &amp;elementID=9054", "Click here to submit comment")</f>
        <v>Click here to submit comment</v>
      </c>
    </row>
    <row r="515" spans="1:14" ht="135" x14ac:dyDescent="0.25">
      <c r="A515" s="12" t="s">
        <v>1980</v>
      </c>
      <c r="B515" s="12" t="s">
        <v>1981</v>
      </c>
      <c r="C515" s="12" t="s">
        <v>12</v>
      </c>
      <c r="D515" s="12" t="s">
        <v>6434</v>
      </c>
      <c r="E515" s="12"/>
      <c r="F515" s="12" t="s">
        <v>68</v>
      </c>
      <c r="G515" s="12"/>
      <c r="H515" s="12"/>
      <c r="I515" s="12" t="s">
        <v>1982</v>
      </c>
      <c r="J515" s="12"/>
      <c r="K515" s="12" t="s">
        <v>1983</v>
      </c>
      <c r="L515" s="12"/>
      <c r="M515" s="12" t="str">
        <f>HYPERLINK("https://ceds.ed.gov/cedselementdetails.aspx?termid=10268")</f>
        <v>https://ceds.ed.gov/cedselementdetails.aspx?termid=10268</v>
      </c>
      <c r="N515" s="12" t="str">
        <f>HYPERLINK("https://ceds.ed.gov/elementComment.aspx?elementName=Course Certification Description &amp;elementID=10268", "Click here to submit comment")</f>
        <v>Click here to submit comment</v>
      </c>
    </row>
    <row r="516" spans="1:14" ht="240" x14ac:dyDescent="0.25">
      <c r="A516" s="12" t="s">
        <v>1984</v>
      </c>
      <c r="B516" s="12" t="s">
        <v>1985</v>
      </c>
      <c r="C516" s="13" t="s">
        <v>6832</v>
      </c>
      <c r="D516" s="12" t="s">
        <v>6474</v>
      </c>
      <c r="E516" s="12"/>
      <c r="F516" s="12"/>
      <c r="G516" s="12"/>
      <c r="H516" s="12"/>
      <c r="I516" s="12" t="s">
        <v>1986</v>
      </c>
      <c r="J516" s="12"/>
      <c r="K516" s="12" t="s">
        <v>1987</v>
      </c>
      <c r="L516" s="12" t="s">
        <v>6429</v>
      </c>
      <c r="M516" s="12" t="str">
        <f>HYPERLINK("https://ceds.ed.gov/cedselementdetails.aspx?termid=9056")</f>
        <v>https://ceds.ed.gov/cedselementdetails.aspx?termid=9056</v>
      </c>
      <c r="N516" s="12" t="str">
        <f>HYPERLINK("https://ceds.ed.gov/elementComment.aspx?elementName=Course Code System &amp;elementID=9056", "Click here to submit comment")</f>
        <v>Click here to submit comment</v>
      </c>
    </row>
    <row r="517" spans="1:14" ht="409.5" x14ac:dyDescent="0.25">
      <c r="A517" s="12" t="s">
        <v>1988</v>
      </c>
      <c r="B517" s="12" t="s">
        <v>1989</v>
      </c>
      <c r="C517" s="13" t="s">
        <v>6833</v>
      </c>
      <c r="D517" s="12" t="s">
        <v>6471</v>
      </c>
      <c r="E517" s="12"/>
      <c r="F517" s="12"/>
      <c r="G517" s="12"/>
      <c r="H517" s="12"/>
      <c r="I517" s="12" t="s">
        <v>1990</v>
      </c>
      <c r="J517" s="12"/>
      <c r="K517" s="12" t="s">
        <v>1991</v>
      </c>
      <c r="L517" s="12"/>
      <c r="M517" s="12" t="str">
        <f>HYPERLINK("https://ceds.ed.gov/cedselementdetails.aspx?termid=10269")</f>
        <v>https://ceds.ed.gov/cedselementdetails.aspx?termid=10269</v>
      </c>
      <c r="N517" s="12" t="str">
        <f>HYPERLINK("https://ceds.ed.gov/elementComment.aspx?elementName=Course Credit Basis Type &amp;elementID=10269", "Click here to submit comment")</f>
        <v>Click here to submit comment</v>
      </c>
    </row>
    <row r="518" spans="1:14" ht="255" x14ac:dyDescent="0.25">
      <c r="A518" s="12" t="s">
        <v>1992</v>
      </c>
      <c r="B518" s="12" t="s">
        <v>1993</v>
      </c>
      <c r="C518" s="13" t="s">
        <v>6834</v>
      </c>
      <c r="D518" s="12" t="s">
        <v>6471</v>
      </c>
      <c r="E518" s="12"/>
      <c r="F518" s="12"/>
      <c r="G518" s="12"/>
      <c r="H518" s="12"/>
      <c r="I518" s="12" t="s">
        <v>1994</v>
      </c>
      <c r="J518" s="12"/>
      <c r="K518" s="12" t="s">
        <v>1995</v>
      </c>
      <c r="L518" s="12"/>
      <c r="M518" s="12" t="str">
        <f>HYPERLINK("https://ceds.ed.gov/cedselementdetails.aspx?termid=10270")</f>
        <v>https://ceds.ed.gov/cedselementdetails.aspx?termid=10270</v>
      </c>
      <c r="N518" s="12" t="str">
        <f>HYPERLINK("https://ceds.ed.gov/elementComment.aspx?elementName=Course Credit Level Type &amp;elementID=10270", "Click here to submit comment")</f>
        <v>Click here to submit comment</v>
      </c>
    </row>
    <row r="519" spans="1:14" ht="225" x14ac:dyDescent="0.25">
      <c r="A519" s="12" t="s">
        <v>1996</v>
      </c>
      <c r="B519" s="12" t="s">
        <v>1997</v>
      </c>
      <c r="C519" s="13" t="s">
        <v>6835</v>
      </c>
      <c r="D519" s="12" t="s">
        <v>6475</v>
      </c>
      <c r="E519" s="12"/>
      <c r="F519" s="12"/>
      <c r="G519" s="12"/>
      <c r="H519" s="12"/>
      <c r="I519" s="12" t="s">
        <v>1998</v>
      </c>
      <c r="J519" s="12"/>
      <c r="K519" s="12" t="s">
        <v>1999</v>
      </c>
      <c r="L519" s="12" t="s">
        <v>25</v>
      </c>
      <c r="M519" s="12" t="str">
        <f>HYPERLINK("https://ceds.ed.gov/cedselementdetails.aspx?termid=9057")</f>
        <v>https://ceds.ed.gov/cedselementdetails.aspx?termid=9057</v>
      </c>
      <c r="N519" s="12" t="str">
        <f>HYPERLINK("https://ceds.ed.gov/elementComment.aspx?elementName=Course Credit Units &amp;elementID=9057", "Click here to submit comment")</f>
        <v>Click here to submit comment</v>
      </c>
    </row>
    <row r="520" spans="1:14" ht="225" x14ac:dyDescent="0.25">
      <c r="A520" s="12" t="s">
        <v>2000</v>
      </c>
      <c r="B520" s="12" t="s">
        <v>2001</v>
      </c>
      <c r="C520" s="12" t="s">
        <v>12</v>
      </c>
      <c r="D520" s="12" t="s">
        <v>6476</v>
      </c>
      <c r="E520" s="12"/>
      <c r="F520" s="12" t="s">
        <v>1554</v>
      </c>
      <c r="G520" s="12"/>
      <c r="H520" s="12" t="s">
        <v>2002</v>
      </c>
      <c r="I520" s="12" t="s">
        <v>2003</v>
      </c>
      <c r="J520" s="12"/>
      <c r="K520" s="12" t="s">
        <v>2004</v>
      </c>
      <c r="L520" s="12" t="s">
        <v>25</v>
      </c>
      <c r="M520" s="12" t="str">
        <f>HYPERLINK("https://ceds.ed.gov/cedselementdetails.aspx?termid=9058")</f>
        <v>https://ceds.ed.gov/cedselementdetails.aspx?termid=9058</v>
      </c>
      <c r="N520" s="12" t="str">
        <f>HYPERLINK("https://ceds.ed.gov/elementComment.aspx?elementName=Course Credit Value &amp;elementID=9058", "Click here to submit comment")</f>
        <v>Click here to submit comment</v>
      </c>
    </row>
    <row r="521" spans="1:14" ht="195" x14ac:dyDescent="0.25">
      <c r="A521" s="12" t="s">
        <v>2005</v>
      </c>
      <c r="B521" s="12" t="s">
        <v>2006</v>
      </c>
      <c r="C521" s="12" t="s">
        <v>12</v>
      </c>
      <c r="D521" s="12" t="s">
        <v>6477</v>
      </c>
      <c r="E521" s="12"/>
      <c r="F521" s="12" t="s">
        <v>99</v>
      </c>
      <c r="G521" s="12"/>
      <c r="H521" s="12"/>
      <c r="I521" s="12" t="s">
        <v>2007</v>
      </c>
      <c r="J521" s="12"/>
      <c r="K521" s="12" t="s">
        <v>2008</v>
      </c>
      <c r="L521" s="12"/>
      <c r="M521" s="12" t="str">
        <f>HYPERLINK("https://ceds.ed.gov/cedselementdetails.aspx?termid=10525")</f>
        <v>https://ceds.ed.gov/cedselementdetails.aspx?termid=10525</v>
      </c>
      <c r="N521" s="12" t="str">
        <f>HYPERLINK("https://ceds.ed.gov/elementComment.aspx?elementName=Course Department Name &amp;elementID=10525", "Click here to submit comment")</f>
        <v>Click here to submit comment</v>
      </c>
    </row>
    <row r="522" spans="1:14" ht="165" x14ac:dyDescent="0.25">
      <c r="A522" s="12" t="s">
        <v>2009</v>
      </c>
      <c r="B522" s="12" t="s">
        <v>2010</v>
      </c>
      <c r="C522" s="12" t="s">
        <v>12</v>
      </c>
      <c r="D522" s="12" t="s">
        <v>6375</v>
      </c>
      <c r="E522" s="12"/>
      <c r="F522" s="12" t="s">
        <v>99</v>
      </c>
      <c r="G522" s="12"/>
      <c r="H522" s="12"/>
      <c r="I522" s="12" t="s">
        <v>2011</v>
      </c>
      <c r="J522" s="12"/>
      <c r="K522" s="12" t="s">
        <v>2012</v>
      </c>
      <c r="L522" s="12"/>
      <c r="M522" s="12" t="str">
        <f>HYPERLINK("https://ceds.ed.gov/cedselementdetails.aspx?termid=9508")</f>
        <v>https://ceds.ed.gov/cedselementdetails.aspx?termid=9508</v>
      </c>
      <c r="N522" s="12" t="str">
        <f>HYPERLINK("https://ceds.ed.gov/elementComment.aspx?elementName=Course Description &amp;elementID=9508", "Click here to submit comment")</f>
        <v>Click here to submit comment</v>
      </c>
    </row>
    <row r="523" spans="1:14" ht="120" x14ac:dyDescent="0.25">
      <c r="A523" s="12" t="s">
        <v>2013</v>
      </c>
      <c r="B523" s="12" t="s">
        <v>2014</v>
      </c>
      <c r="C523" s="12" t="s">
        <v>12</v>
      </c>
      <c r="D523" s="12" t="s">
        <v>6470</v>
      </c>
      <c r="E523" s="12"/>
      <c r="F523" s="12" t="s">
        <v>73</v>
      </c>
      <c r="G523" s="12"/>
      <c r="H523" s="12"/>
      <c r="I523" s="12" t="s">
        <v>2015</v>
      </c>
      <c r="J523" s="12"/>
      <c r="K523" s="12" t="s">
        <v>2016</v>
      </c>
      <c r="L523" s="12" t="s">
        <v>2017</v>
      </c>
      <c r="M523" s="12" t="str">
        <f>HYPERLINK("https://ceds.ed.gov/cedselementdetails.aspx?termid=10271")</f>
        <v>https://ceds.ed.gov/cedselementdetails.aspx?termid=10271</v>
      </c>
      <c r="N523" s="12" t="str">
        <f>HYPERLINK("https://ceds.ed.gov/elementComment.aspx?elementName=Course Drop Date &amp;elementID=10271", "Click here to submit comment")</f>
        <v>Click here to submit comment</v>
      </c>
    </row>
    <row r="524" spans="1:14" ht="120" x14ac:dyDescent="0.25">
      <c r="A524" s="12" t="s">
        <v>2018</v>
      </c>
      <c r="B524" s="12" t="s">
        <v>2019</v>
      </c>
      <c r="C524" s="12" t="s">
        <v>12</v>
      </c>
      <c r="D524" s="12" t="s">
        <v>6387</v>
      </c>
      <c r="E524" s="12"/>
      <c r="F524" s="12" t="s">
        <v>73</v>
      </c>
      <c r="G524" s="12"/>
      <c r="H524" s="12"/>
      <c r="I524" s="12" t="s">
        <v>2020</v>
      </c>
      <c r="J524" s="12"/>
      <c r="K524" s="12" t="s">
        <v>2021</v>
      </c>
      <c r="L524" s="12" t="s">
        <v>6446</v>
      </c>
      <c r="M524" s="12" t="str">
        <f>HYPERLINK("https://ceds.ed.gov/cedselementdetails.aspx?termid=9059")</f>
        <v>https://ceds.ed.gov/cedselementdetails.aspx?termid=9059</v>
      </c>
      <c r="N524" s="12" t="str">
        <f>HYPERLINK("https://ceds.ed.gov/elementComment.aspx?elementName=Course End Date &amp;elementID=9059", "Click here to submit comment")</f>
        <v>Click here to submit comment</v>
      </c>
    </row>
    <row r="525" spans="1:14" ht="135" x14ac:dyDescent="0.25">
      <c r="A525" s="12" t="s">
        <v>2022</v>
      </c>
      <c r="B525" s="12" t="s">
        <v>2023</v>
      </c>
      <c r="C525" s="12" t="s">
        <v>12</v>
      </c>
      <c r="D525" s="12" t="s">
        <v>6434</v>
      </c>
      <c r="E525" s="12"/>
      <c r="F525" s="12" t="s">
        <v>92</v>
      </c>
      <c r="G525" s="12"/>
      <c r="H525" s="12" t="s">
        <v>2024</v>
      </c>
      <c r="I525" s="12" t="s">
        <v>2025</v>
      </c>
      <c r="J525" s="12"/>
      <c r="K525" s="12" t="s">
        <v>2026</v>
      </c>
      <c r="L525" s="12"/>
      <c r="M525" s="12" t="str">
        <f>HYPERLINK("https://ceds.ed.gov/cedselementdetails.aspx?termid=10272")</f>
        <v>https://ceds.ed.gov/cedselementdetails.aspx?termid=10272</v>
      </c>
      <c r="N525" s="12" t="str">
        <f>HYPERLINK("https://ceds.ed.gov/elementComment.aspx?elementName=Course Funding Program &amp;elementID=10272", "Click here to submit comment")</f>
        <v>Click here to submit comment</v>
      </c>
    </row>
    <row r="526" spans="1:14" ht="180" x14ac:dyDescent="0.25">
      <c r="A526" s="12" t="s">
        <v>2027</v>
      </c>
      <c r="B526" s="12" t="s">
        <v>2028</v>
      </c>
      <c r="C526" s="13" t="s">
        <v>6836</v>
      </c>
      <c r="D526" s="12" t="s">
        <v>6478</v>
      </c>
      <c r="E526" s="12"/>
      <c r="F526" s="12"/>
      <c r="G526" s="12"/>
      <c r="H526" s="12"/>
      <c r="I526" s="12" t="s">
        <v>2029</v>
      </c>
      <c r="J526" s="12" t="s">
        <v>2030</v>
      </c>
      <c r="K526" s="12" t="s">
        <v>2031</v>
      </c>
      <c r="L526" s="12" t="s">
        <v>6429</v>
      </c>
      <c r="M526" s="12" t="str">
        <f>HYPERLINK("https://ceds.ed.gov/cedselementdetails.aspx?termid=9060")</f>
        <v>https://ceds.ed.gov/cedselementdetails.aspx?termid=9060</v>
      </c>
      <c r="N526" s="12" t="str">
        <f>HYPERLINK("https://ceds.ed.gov/elementComment.aspx?elementName=Course Grade Point Average Applicability &amp;elementID=9060", "Click here to submit comment")</f>
        <v>Click here to submit comment</v>
      </c>
    </row>
    <row r="527" spans="1:14" ht="105" x14ac:dyDescent="0.25">
      <c r="A527" s="12" t="s">
        <v>2032</v>
      </c>
      <c r="B527" s="12" t="s">
        <v>2033</v>
      </c>
      <c r="C527" s="13" t="s">
        <v>6837</v>
      </c>
      <c r="D527" s="12" t="s">
        <v>6471</v>
      </c>
      <c r="E527" s="12"/>
      <c r="F527" s="12"/>
      <c r="G527" s="12"/>
      <c r="H527" s="12"/>
      <c r="I527" s="12" t="s">
        <v>2034</v>
      </c>
      <c r="J527" s="12"/>
      <c r="K527" s="12" t="s">
        <v>2035</v>
      </c>
      <c r="L527" s="12"/>
      <c r="M527" s="12" t="str">
        <f>HYPERLINK("https://ceds.ed.gov/cedselementdetails.aspx?termid=10273")</f>
        <v>https://ceds.ed.gov/cedselementdetails.aspx?termid=10273</v>
      </c>
      <c r="N527" s="12" t="str">
        <f>HYPERLINK("https://ceds.ed.gov/elementComment.aspx?elementName=Course Honors Type &amp;elementID=10273", "Click here to submit comment")</f>
        <v>Click here to submit comment</v>
      </c>
    </row>
    <row r="528" spans="1:14" ht="105" x14ac:dyDescent="0.25">
      <c r="A528" s="18" t="s">
        <v>2036</v>
      </c>
      <c r="B528" s="18" t="s">
        <v>2037</v>
      </c>
      <c r="C528" s="18" t="s">
        <v>12</v>
      </c>
      <c r="D528" s="18" t="s">
        <v>6474</v>
      </c>
      <c r="E528" s="18"/>
      <c r="F528" s="18" t="s">
        <v>142</v>
      </c>
      <c r="G528" s="18"/>
      <c r="H528" s="12" t="s">
        <v>143</v>
      </c>
      <c r="I528" s="18" t="s">
        <v>2038</v>
      </c>
      <c r="J528" s="18"/>
      <c r="K528" s="18" t="s">
        <v>2039</v>
      </c>
      <c r="L528" s="18" t="s">
        <v>6479</v>
      </c>
      <c r="M528" s="18" t="str">
        <f>HYPERLINK("https://ceds.ed.gov/cedselementdetails.aspx?termid=9055")</f>
        <v>https://ceds.ed.gov/cedselementdetails.aspx?termid=9055</v>
      </c>
      <c r="N528" s="18" t="str">
        <f>HYPERLINK("https://ceds.ed.gov/elementComment.aspx?elementName=Course Identifier &amp;elementID=9055", "Click here to submit comment")</f>
        <v>Click here to submit comment</v>
      </c>
    </row>
    <row r="529" spans="1:14" x14ac:dyDescent="0.25">
      <c r="A529" s="18"/>
      <c r="B529" s="18"/>
      <c r="C529" s="18"/>
      <c r="D529" s="18"/>
      <c r="E529" s="18"/>
      <c r="F529" s="18"/>
      <c r="G529" s="18"/>
      <c r="H529" s="12"/>
      <c r="I529" s="18"/>
      <c r="J529" s="18"/>
      <c r="K529" s="18"/>
      <c r="L529" s="18"/>
      <c r="M529" s="18"/>
      <c r="N529" s="18"/>
    </row>
    <row r="530" spans="1:14" ht="90" x14ac:dyDescent="0.25">
      <c r="A530" s="18"/>
      <c r="B530" s="18"/>
      <c r="C530" s="18"/>
      <c r="D530" s="18"/>
      <c r="E530" s="18"/>
      <c r="F530" s="18"/>
      <c r="G530" s="18"/>
      <c r="H530" s="12" t="s">
        <v>144</v>
      </c>
      <c r="I530" s="18"/>
      <c r="J530" s="18"/>
      <c r="K530" s="18"/>
      <c r="L530" s="18"/>
      <c r="M530" s="18"/>
      <c r="N530" s="18"/>
    </row>
    <row r="531" spans="1:14" ht="409.5" x14ac:dyDescent="0.25">
      <c r="A531" s="12" t="s">
        <v>2040</v>
      </c>
      <c r="B531" s="12" t="s">
        <v>2041</v>
      </c>
      <c r="C531" s="13" t="s">
        <v>6838</v>
      </c>
      <c r="D531" s="12" t="s">
        <v>6471</v>
      </c>
      <c r="E531" s="12"/>
      <c r="F531" s="12"/>
      <c r="G531" s="12"/>
      <c r="H531" s="12"/>
      <c r="I531" s="12" t="s">
        <v>2042</v>
      </c>
      <c r="J531" s="12"/>
      <c r="K531" s="12" t="s">
        <v>2043</v>
      </c>
      <c r="L531" s="12"/>
      <c r="M531" s="12" t="str">
        <f>HYPERLINK("https://ceds.ed.gov/cedselementdetails.aspx?termid=10274")</f>
        <v>https://ceds.ed.gov/cedselementdetails.aspx?termid=10274</v>
      </c>
      <c r="N531" s="12" t="str">
        <f>HYPERLINK("https://ceds.ed.gov/elementComment.aspx?elementName=Course Instruction Method &amp;elementID=10274", "Click here to submit comment")</f>
        <v>Click here to submit comment</v>
      </c>
    </row>
    <row r="532" spans="1:14" ht="105" x14ac:dyDescent="0.25">
      <c r="A532" s="12" t="s">
        <v>2044</v>
      </c>
      <c r="B532" s="12" t="s">
        <v>2045</v>
      </c>
      <c r="C532" s="12" t="s">
        <v>12</v>
      </c>
      <c r="D532" s="12" t="s">
        <v>6471</v>
      </c>
      <c r="E532" s="12"/>
      <c r="F532" s="12" t="s">
        <v>99</v>
      </c>
      <c r="G532" s="12"/>
      <c r="H532" s="12"/>
      <c r="I532" s="12" t="s">
        <v>2046</v>
      </c>
      <c r="J532" s="12"/>
      <c r="K532" s="12" t="s">
        <v>2047</v>
      </c>
      <c r="L532" s="12"/>
      <c r="M532" s="12" t="str">
        <f>HYPERLINK("https://ceds.ed.gov/cedselementdetails.aspx?termid=10275")</f>
        <v>https://ceds.ed.gov/cedselementdetails.aspx?termid=10275</v>
      </c>
      <c r="N532" s="12" t="str">
        <f>HYPERLINK("https://ceds.ed.gov/elementComment.aspx?elementName=Course Instruction Site Name &amp;elementID=10275", "Click here to submit comment")</f>
        <v>Click here to submit comment</v>
      </c>
    </row>
    <row r="533" spans="1:14" ht="180" x14ac:dyDescent="0.25">
      <c r="A533" s="12" t="s">
        <v>2048</v>
      </c>
      <c r="B533" s="12" t="s">
        <v>2049</v>
      </c>
      <c r="C533" s="13" t="s">
        <v>6839</v>
      </c>
      <c r="D533" s="12" t="s">
        <v>6471</v>
      </c>
      <c r="E533" s="12"/>
      <c r="F533" s="12"/>
      <c r="G533" s="12"/>
      <c r="H533" s="12"/>
      <c r="I533" s="12" t="s">
        <v>2050</v>
      </c>
      <c r="J533" s="12"/>
      <c r="K533" s="12" t="s">
        <v>2051</v>
      </c>
      <c r="L533" s="12"/>
      <c r="M533" s="12" t="str">
        <f>HYPERLINK("https://ceds.ed.gov/cedselementdetails.aspx?termid=10276")</f>
        <v>https://ceds.ed.gov/cedselementdetails.aspx?termid=10276</v>
      </c>
      <c r="N533" s="12" t="str">
        <f>HYPERLINK("https://ceds.ed.gov/elementComment.aspx?elementName=Course Instruction Site Type &amp;elementID=10276", "Click here to submit comment")</f>
        <v>Click here to submit comment</v>
      </c>
    </row>
    <row r="534" spans="1:14" ht="135" x14ac:dyDescent="0.25">
      <c r="A534" s="12" t="s">
        <v>2052</v>
      </c>
      <c r="B534" s="12" t="s">
        <v>2053</v>
      </c>
      <c r="C534" s="13" t="s">
        <v>6840</v>
      </c>
      <c r="D534" s="12" t="s">
        <v>6434</v>
      </c>
      <c r="E534" s="12"/>
      <c r="F534" s="12"/>
      <c r="G534" s="12"/>
      <c r="H534" s="12" t="s">
        <v>2054</v>
      </c>
      <c r="I534" s="12" t="s">
        <v>2055</v>
      </c>
      <c r="J534" s="12"/>
      <c r="K534" s="12" t="s">
        <v>2056</v>
      </c>
      <c r="L534" s="12"/>
      <c r="M534" s="12" t="str">
        <f>HYPERLINK("https://ceds.ed.gov/cedselementdetails.aspx?termid=10277")</f>
        <v>https://ceds.ed.gov/cedselementdetails.aspx?termid=10277</v>
      </c>
      <c r="N534" s="12" t="str">
        <f>HYPERLINK("https://ceds.ed.gov/elementComment.aspx?elementName=Course Interaction Mode &amp;elementID=10277", "Click here to submit comment")</f>
        <v>Click here to submit comment</v>
      </c>
    </row>
    <row r="535" spans="1:14" ht="345" x14ac:dyDescent="0.25">
      <c r="A535" s="12" t="s">
        <v>2057</v>
      </c>
      <c r="B535" s="12" t="s">
        <v>2058</v>
      </c>
      <c r="C535" s="13" t="s">
        <v>6841</v>
      </c>
      <c r="D535" s="12" t="s">
        <v>6428</v>
      </c>
      <c r="E535" s="12"/>
      <c r="F535" s="12"/>
      <c r="G535" s="12"/>
      <c r="H535" s="12"/>
      <c r="I535" s="12" t="s">
        <v>2059</v>
      </c>
      <c r="J535" s="12"/>
      <c r="K535" s="12" t="s">
        <v>2060</v>
      </c>
      <c r="L535" s="12" t="s">
        <v>6479</v>
      </c>
      <c r="M535" s="12" t="str">
        <f>HYPERLINK("https://ceds.ed.gov/cedselementdetails.aspx?termid=9061")</f>
        <v>https://ceds.ed.gov/cedselementdetails.aspx?termid=9061</v>
      </c>
      <c r="N535" s="12" t="str">
        <f>HYPERLINK("https://ceds.ed.gov/elementComment.aspx?elementName=Course Level Characteristic &amp;elementID=9061", "Click here to submit comment")</f>
        <v>Click here to submit comment</v>
      </c>
    </row>
    <row r="536" spans="1:14" ht="375" x14ac:dyDescent="0.25">
      <c r="A536" s="12" t="s">
        <v>2061</v>
      </c>
      <c r="B536" s="12" t="s">
        <v>2062</v>
      </c>
      <c r="C536" s="13" t="s">
        <v>6842</v>
      </c>
      <c r="D536" s="12" t="s">
        <v>6471</v>
      </c>
      <c r="E536" s="12"/>
      <c r="F536" s="12"/>
      <c r="G536" s="12"/>
      <c r="H536" s="12"/>
      <c r="I536" s="12" t="s">
        <v>2063</v>
      </c>
      <c r="J536" s="12"/>
      <c r="K536" s="12" t="s">
        <v>2064</v>
      </c>
      <c r="L536" s="12"/>
      <c r="M536" s="12" t="str">
        <f>HYPERLINK("https://ceds.ed.gov/cedselementdetails.aspx?termid=10278")</f>
        <v>https://ceds.ed.gov/cedselementdetails.aspx?termid=10278</v>
      </c>
      <c r="N536" s="12" t="str">
        <f>HYPERLINK("https://ceds.ed.gov/elementComment.aspx?elementName=Course Level Type &amp;elementID=10278", "Click here to submit comment")</f>
        <v>Click here to submit comment</v>
      </c>
    </row>
    <row r="537" spans="1:14" ht="105" x14ac:dyDescent="0.25">
      <c r="A537" s="12" t="s">
        <v>2065</v>
      </c>
      <c r="B537" s="12" t="s">
        <v>2066</v>
      </c>
      <c r="C537" s="12" t="s">
        <v>12</v>
      </c>
      <c r="D537" s="12" t="s">
        <v>6471</v>
      </c>
      <c r="E537" s="12"/>
      <c r="F537" s="12" t="s">
        <v>327</v>
      </c>
      <c r="G537" s="12"/>
      <c r="H537" s="12"/>
      <c r="I537" s="12" t="s">
        <v>2067</v>
      </c>
      <c r="J537" s="12"/>
      <c r="K537" s="12" t="s">
        <v>2068</v>
      </c>
      <c r="L537" s="12"/>
      <c r="M537" s="12" t="str">
        <f>HYPERLINK("https://ceds.ed.gov/cedselementdetails.aspx?termid=10279")</f>
        <v>https://ceds.ed.gov/cedselementdetails.aspx?termid=10279</v>
      </c>
      <c r="N537" s="12" t="str">
        <f>HYPERLINK("https://ceds.ed.gov/elementComment.aspx?elementName=Course Narrative Explanation Grade &amp;elementID=10279", "Click here to submit comment")</f>
        <v>Click here to submit comment</v>
      </c>
    </row>
    <row r="538" spans="1:14" ht="150" x14ac:dyDescent="0.25">
      <c r="A538" s="12" t="s">
        <v>2069</v>
      </c>
      <c r="B538" s="12" t="s">
        <v>2070</v>
      </c>
      <c r="C538" s="12" t="s">
        <v>12</v>
      </c>
      <c r="D538" s="12" t="s">
        <v>6480</v>
      </c>
      <c r="E538" s="12"/>
      <c r="F538" s="12" t="s">
        <v>92</v>
      </c>
      <c r="G538" s="12"/>
      <c r="H538" s="12"/>
      <c r="I538" s="12" t="s">
        <v>2071</v>
      </c>
      <c r="J538" s="12"/>
      <c r="K538" s="12" t="s">
        <v>2072</v>
      </c>
      <c r="L538" s="12"/>
      <c r="M538" s="12" t="str">
        <f>HYPERLINK("https://ceds.ed.gov/cedselementdetails.aspx?termid=10280")</f>
        <v>https://ceds.ed.gov/cedselementdetails.aspx?termid=10280</v>
      </c>
      <c r="N538" s="12" t="str">
        <f>HYPERLINK("https://ceds.ed.gov/elementComment.aspx?elementName=Course Number &amp;elementID=10280", "Click here to submit comment")</f>
        <v>Click here to submit comment</v>
      </c>
    </row>
    <row r="539" spans="1:14" ht="120" x14ac:dyDescent="0.25">
      <c r="A539" s="12" t="s">
        <v>2073</v>
      </c>
      <c r="B539" s="12" t="s">
        <v>2074</v>
      </c>
      <c r="C539" s="12" t="s">
        <v>12</v>
      </c>
      <c r="D539" s="12" t="s">
        <v>6470</v>
      </c>
      <c r="E539" s="12"/>
      <c r="F539" s="12" t="s">
        <v>22</v>
      </c>
      <c r="G539" s="12"/>
      <c r="H539" s="12"/>
      <c r="I539" s="12" t="s">
        <v>2075</v>
      </c>
      <c r="J539" s="12"/>
      <c r="K539" s="12" t="s">
        <v>2076</v>
      </c>
      <c r="L539" s="12" t="s">
        <v>25</v>
      </c>
      <c r="M539" s="12" t="str">
        <f>HYPERLINK("https://ceds.ed.gov/cedselementdetails.aspx?termid=9063")</f>
        <v>https://ceds.ed.gov/cedselementdetails.aspx?termid=9063</v>
      </c>
      <c r="N539" s="12" t="str">
        <f>HYPERLINK("https://ceds.ed.gov/elementComment.aspx?elementName=Course Override School &amp;elementID=9063", "Click here to submit comment")</f>
        <v>Click here to submit comment</v>
      </c>
    </row>
    <row r="540" spans="1:14" ht="120" x14ac:dyDescent="0.25">
      <c r="A540" s="12" t="s">
        <v>2077</v>
      </c>
      <c r="B540" s="12" t="s">
        <v>2078</v>
      </c>
      <c r="C540" s="12" t="s">
        <v>12</v>
      </c>
      <c r="D540" s="12" t="s">
        <v>6470</v>
      </c>
      <c r="E540" s="12"/>
      <c r="F540" s="12" t="s">
        <v>1554</v>
      </c>
      <c r="G540" s="12"/>
      <c r="H540" s="12"/>
      <c r="I540" s="12" t="s">
        <v>2079</v>
      </c>
      <c r="J540" s="12"/>
      <c r="K540" s="12" t="s">
        <v>2080</v>
      </c>
      <c r="L540" s="12" t="s">
        <v>25</v>
      </c>
      <c r="M540" s="12" t="str">
        <f>HYPERLINK("https://ceds.ed.gov/cedselementdetails.aspx?termid=9064")</f>
        <v>https://ceds.ed.gov/cedselementdetails.aspx?termid=9064</v>
      </c>
      <c r="N540" s="12" t="str">
        <f>HYPERLINK("https://ceds.ed.gov/elementComment.aspx?elementName=Course Quality Points Earned &amp;elementID=9064", "Click here to submit comment")</f>
        <v>Click here to submit comment</v>
      </c>
    </row>
    <row r="541" spans="1:14" ht="210" x14ac:dyDescent="0.25">
      <c r="A541" s="12" t="s">
        <v>2081</v>
      </c>
      <c r="B541" s="12" t="s">
        <v>2082</v>
      </c>
      <c r="C541" s="13" t="s">
        <v>6843</v>
      </c>
      <c r="D541" s="12" t="s">
        <v>6481</v>
      </c>
      <c r="E541" s="12"/>
      <c r="F541" s="12"/>
      <c r="G541" s="12"/>
      <c r="H541" s="12"/>
      <c r="I541" s="12" t="s">
        <v>2083</v>
      </c>
      <c r="J541" s="12"/>
      <c r="K541" s="12" t="s">
        <v>2084</v>
      </c>
      <c r="L541" s="12" t="s">
        <v>6369</v>
      </c>
      <c r="M541" s="12" t="str">
        <f>HYPERLINK("https://ceds.ed.gov/cedselementdetails.aspx?termid=9065")</f>
        <v>https://ceds.ed.gov/cedselementdetails.aspx?termid=9065</v>
      </c>
      <c r="N541" s="12" t="str">
        <f>HYPERLINK("https://ceds.ed.gov/elementComment.aspx?elementName=Course Repeat Code &amp;elementID=9065", "Click here to submit comment")</f>
        <v>Click here to submit comment</v>
      </c>
    </row>
    <row r="542" spans="1:14" ht="409.5" x14ac:dyDescent="0.25">
      <c r="A542" s="12" t="s">
        <v>2085</v>
      </c>
      <c r="B542" s="12" t="s">
        <v>2086</v>
      </c>
      <c r="C542" s="13" t="s">
        <v>6783</v>
      </c>
      <c r="D542" s="12" t="s">
        <v>6482</v>
      </c>
      <c r="E542" s="12"/>
      <c r="F542" s="12"/>
      <c r="G542" s="12"/>
      <c r="H542" s="12"/>
      <c r="I542" s="12" t="s">
        <v>2087</v>
      </c>
      <c r="J542" s="12"/>
      <c r="K542" s="12" t="s">
        <v>2088</v>
      </c>
      <c r="L542" s="12" t="s">
        <v>6483</v>
      </c>
      <c r="M542" s="12" t="str">
        <f>HYPERLINK("https://ceds.ed.gov/cedselementdetails.aspx?termid=9027")</f>
        <v>https://ceds.ed.gov/cedselementdetails.aspx?termid=9027</v>
      </c>
      <c r="N542" s="12" t="str">
        <f>HYPERLINK("https://ceds.ed.gov/elementComment.aspx?elementName=Course Section Assessment Reporting Method &amp;elementID=9027", "Click here to submit comment")</f>
        <v>Click here to submit comment</v>
      </c>
    </row>
    <row r="543" spans="1:14" ht="120" x14ac:dyDescent="0.25">
      <c r="A543" s="12" t="s">
        <v>2089</v>
      </c>
      <c r="B543" s="12" t="s">
        <v>2090</v>
      </c>
      <c r="C543" s="12" t="s">
        <v>12</v>
      </c>
      <c r="D543" s="12" t="s">
        <v>2091</v>
      </c>
      <c r="E543" s="12"/>
      <c r="F543" s="12" t="s">
        <v>73</v>
      </c>
      <c r="G543" s="12"/>
      <c r="H543" s="12" t="s">
        <v>2092</v>
      </c>
      <c r="I543" s="12" t="s">
        <v>2093</v>
      </c>
      <c r="J543" s="12"/>
      <c r="K543" s="12" t="s">
        <v>2094</v>
      </c>
      <c r="L543" s="12"/>
      <c r="M543" s="12" t="str">
        <f>HYPERLINK("https://ceds.ed.gov/cedselementdetails.aspx?termid=9976")</f>
        <v>https://ceds.ed.gov/cedselementdetails.aspx?termid=9976</v>
      </c>
      <c r="N543" s="12" t="str">
        <f>HYPERLINK("https://ceds.ed.gov/elementComment.aspx?elementName=Course Section Enrollment Status End Date &amp;elementID=9976", "Click here to submit comment")</f>
        <v>Click here to submit comment</v>
      </c>
    </row>
    <row r="544" spans="1:14" ht="120" x14ac:dyDescent="0.25">
      <c r="A544" s="12" t="s">
        <v>2095</v>
      </c>
      <c r="B544" s="12" t="s">
        <v>2096</v>
      </c>
      <c r="C544" s="12" t="s">
        <v>12</v>
      </c>
      <c r="D544" s="12" t="s">
        <v>2091</v>
      </c>
      <c r="E544" s="12"/>
      <c r="F544" s="12" t="s">
        <v>73</v>
      </c>
      <c r="G544" s="12"/>
      <c r="H544" s="12" t="s">
        <v>2092</v>
      </c>
      <c r="I544" s="12" t="s">
        <v>2097</v>
      </c>
      <c r="J544" s="12"/>
      <c r="K544" s="12" t="s">
        <v>2098</v>
      </c>
      <c r="L544" s="12"/>
      <c r="M544" s="12" t="str">
        <f>HYPERLINK("https://ceds.ed.gov/cedselementdetails.aspx?termid=9975")</f>
        <v>https://ceds.ed.gov/cedselementdetails.aspx?termid=9975</v>
      </c>
      <c r="N544" s="12" t="str">
        <f>HYPERLINK("https://ceds.ed.gov/elementComment.aspx?elementName=Course Section Enrollment Status Start Date &amp;elementID=9975", "Click here to submit comment")</f>
        <v>Click here to submit comment</v>
      </c>
    </row>
    <row r="545" spans="1:14" ht="120" x14ac:dyDescent="0.25">
      <c r="A545" s="12" t="s">
        <v>2099</v>
      </c>
      <c r="B545" s="12" t="s">
        <v>2100</v>
      </c>
      <c r="C545" s="13" t="s">
        <v>6844</v>
      </c>
      <c r="D545" s="12" t="s">
        <v>2091</v>
      </c>
      <c r="E545" s="12"/>
      <c r="F545" s="12"/>
      <c r="G545" s="12"/>
      <c r="H545" s="12" t="s">
        <v>2092</v>
      </c>
      <c r="I545" s="12" t="s">
        <v>2101</v>
      </c>
      <c r="J545" s="12"/>
      <c r="K545" s="12" t="s">
        <v>2102</v>
      </c>
      <c r="L545" s="12"/>
      <c r="M545" s="12" t="str">
        <f>HYPERLINK("https://ceds.ed.gov/cedselementdetails.aspx?termid=9977")</f>
        <v>https://ceds.ed.gov/cedselementdetails.aspx?termid=9977</v>
      </c>
      <c r="N545" s="12" t="str">
        <f>HYPERLINK("https://ceds.ed.gov/elementComment.aspx?elementName=Course Section Enrollment Status Type &amp;elementID=9977", "Click here to submit comment")</f>
        <v>Click here to submit comment</v>
      </c>
    </row>
    <row r="546" spans="1:14" ht="45" x14ac:dyDescent="0.25">
      <c r="A546" s="12" t="s">
        <v>2103</v>
      </c>
      <c r="B546" s="12" t="s">
        <v>2104</v>
      </c>
      <c r="C546" s="13" t="s">
        <v>6845</v>
      </c>
      <c r="D546" s="12" t="s">
        <v>2091</v>
      </c>
      <c r="E546" s="12"/>
      <c r="F546" s="12"/>
      <c r="G546" s="12"/>
      <c r="H546" s="12"/>
      <c r="I546" s="12" t="s">
        <v>2105</v>
      </c>
      <c r="J546" s="12"/>
      <c r="K546" s="12" t="s">
        <v>2106</v>
      </c>
      <c r="L546" s="12" t="s">
        <v>2107</v>
      </c>
      <c r="M546" s="12" t="str">
        <f>HYPERLINK("https://ceds.ed.gov/cedselementdetails.aspx?termid=9652")</f>
        <v>https://ceds.ed.gov/cedselementdetails.aspx?termid=9652</v>
      </c>
      <c r="N546" s="12" t="str">
        <f>HYPERLINK("https://ceds.ed.gov/elementComment.aspx?elementName=Course Section Entry Type &amp;elementID=9652", "Click here to submit comment")</f>
        <v>Click here to submit comment</v>
      </c>
    </row>
    <row r="547" spans="1:14" ht="210" x14ac:dyDescent="0.25">
      <c r="A547" s="12" t="s">
        <v>2108</v>
      </c>
      <c r="B547" s="12" t="s">
        <v>2109</v>
      </c>
      <c r="C547" s="13" t="s">
        <v>6846</v>
      </c>
      <c r="D547" s="12" t="s">
        <v>2091</v>
      </c>
      <c r="E547" s="12"/>
      <c r="F547" s="12"/>
      <c r="G547" s="12"/>
      <c r="H547" s="12"/>
      <c r="I547" s="12" t="s">
        <v>2110</v>
      </c>
      <c r="J547" s="12"/>
      <c r="K547" s="12" t="s">
        <v>2111</v>
      </c>
      <c r="L547" s="12" t="s">
        <v>2107</v>
      </c>
      <c r="M547" s="12" t="str">
        <f>HYPERLINK("https://ceds.ed.gov/cedselementdetails.aspx?termid=9654")</f>
        <v>https://ceds.ed.gov/cedselementdetails.aspx?termid=9654</v>
      </c>
      <c r="N547" s="12" t="str">
        <f>HYPERLINK("https://ceds.ed.gov/elementComment.aspx?elementName=Course Section Exit Type &amp;elementID=9654", "Click here to submit comment")</f>
        <v>Click here to submit comment</v>
      </c>
    </row>
    <row r="548" spans="1:14" ht="45" x14ac:dyDescent="0.25">
      <c r="A548" s="12" t="s">
        <v>2112</v>
      </c>
      <c r="B548" s="12" t="s">
        <v>2113</v>
      </c>
      <c r="C548" s="12" t="s">
        <v>12</v>
      </c>
      <c r="D548" s="12" t="s">
        <v>2091</v>
      </c>
      <c r="E548" s="12"/>
      <c r="F548" s="12" t="s">
        <v>73</v>
      </c>
      <c r="G548" s="12"/>
      <c r="H548" s="12"/>
      <c r="I548" s="12" t="s">
        <v>2114</v>
      </c>
      <c r="J548" s="12"/>
      <c r="K548" s="12" t="s">
        <v>2115</v>
      </c>
      <c r="L548" s="12" t="s">
        <v>2107</v>
      </c>
      <c r="M548" s="12" t="str">
        <f>HYPERLINK("https://ceds.ed.gov/cedselementdetails.aspx?termid=9653")</f>
        <v>https://ceds.ed.gov/cedselementdetails.aspx?termid=9653</v>
      </c>
      <c r="N548" s="12" t="str">
        <f>HYPERLINK("https://ceds.ed.gov/elementComment.aspx?elementName=Course Section Exit Withdrawal Date &amp;elementID=9653", "Click here to submit comment")</f>
        <v>Click here to submit comment</v>
      </c>
    </row>
    <row r="549" spans="1:14" ht="105" x14ac:dyDescent="0.25">
      <c r="A549" s="18" t="s">
        <v>2116</v>
      </c>
      <c r="B549" s="18" t="s">
        <v>2117</v>
      </c>
      <c r="C549" s="18" t="s">
        <v>12</v>
      </c>
      <c r="D549" s="18" t="s">
        <v>6454</v>
      </c>
      <c r="E549" s="18"/>
      <c r="F549" s="18" t="s">
        <v>142</v>
      </c>
      <c r="G549" s="18"/>
      <c r="H549" s="12" t="s">
        <v>143</v>
      </c>
      <c r="I549" s="18" t="s">
        <v>2118</v>
      </c>
      <c r="J549" s="18"/>
      <c r="K549" s="18" t="s">
        <v>2119</v>
      </c>
      <c r="L549" s="18"/>
      <c r="M549" s="18" t="str">
        <f>HYPERLINK("https://ceds.ed.gov/cedselementdetails.aspx?termid=9979")</f>
        <v>https://ceds.ed.gov/cedselementdetails.aspx?termid=9979</v>
      </c>
      <c r="N549" s="18" t="str">
        <f>HYPERLINK("https://ceds.ed.gov/elementComment.aspx?elementName=Course Section Identifier &amp;elementID=9979", "Click here to submit comment")</f>
        <v>Click here to submit comment</v>
      </c>
    </row>
    <row r="550" spans="1:14" x14ac:dyDescent="0.25">
      <c r="A550" s="18"/>
      <c r="B550" s="18"/>
      <c r="C550" s="18"/>
      <c r="D550" s="18"/>
      <c r="E550" s="18"/>
      <c r="F550" s="18"/>
      <c r="G550" s="18"/>
      <c r="H550" s="12"/>
      <c r="I550" s="18"/>
      <c r="J550" s="18"/>
      <c r="K550" s="18"/>
      <c r="L550" s="18"/>
      <c r="M550" s="18"/>
      <c r="N550" s="18"/>
    </row>
    <row r="551" spans="1:14" ht="90" x14ac:dyDescent="0.25">
      <c r="A551" s="18"/>
      <c r="B551" s="18"/>
      <c r="C551" s="18"/>
      <c r="D551" s="18"/>
      <c r="E551" s="18"/>
      <c r="F551" s="18"/>
      <c r="G551" s="18"/>
      <c r="H551" s="12" t="s">
        <v>144</v>
      </c>
      <c r="I551" s="18"/>
      <c r="J551" s="18"/>
      <c r="K551" s="18"/>
      <c r="L551" s="18"/>
      <c r="M551" s="18"/>
      <c r="N551" s="18"/>
    </row>
    <row r="552" spans="1:14" ht="150" x14ac:dyDescent="0.25">
      <c r="A552" s="12" t="s">
        <v>2120</v>
      </c>
      <c r="B552" s="12" t="s">
        <v>2121</v>
      </c>
      <c r="C552" s="13" t="s">
        <v>6847</v>
      </c>
      <c r="D552" s="12" t="s">
        <v>6454</v>
      </c>
      <c r="E552" s="12"/>
      <c r="F552" s="12"/>
      <c r="G552" s="12"/>
      <c r="H552" s="12"/>
      <c r="I552" s="12" t="s">
        <v>2122</v>
      </c>
      <c r="J552" s="12"/>
      <c r="K552" s="12" t="s">
        <v>2123</v>
      </c>
      <c r="L552" s="12"/>
      <c r="M552" s="12" t="str">
        <f>HYPERLINK("https://ceds.ed.gov/cedselementdetails.aspx?termid=10168")</f>
        <v>https://ceds.ed.gov/cedselementdetails.aspx?termid=10168</v>
      </c>
      <c r="N552" s="12" t="str">
        <f>HYPERLINK("https://ceds.ed.gov/elementComment.aspx?elementName=Course Section Instructional Delivery Mode &amp;elementID=10168", "Click here to submit comment")</f>
        <v>Click here to submit comment</v>
      </c>
    </row>
    <row r="553" spans="1:14" ht="105" x14ac:dyDescent="0.25">
      <c r="A553" s="12" t="s">
        <v>2124</v>
      </c>
      <c r="B553" s="12" t="s">
        <v>2125</v>
      </c>
      <c r="C553" s="12" t="s">
        <v>12</v>
      </c>
      <c r="D553" s="12" t="s">
        <v>6484</v>
      </c>
      <c r="E553" s="12" t="s">
        <v>1498</v>
      </c>
      <c r="F553" s="12" t="s">
        <v>317</v>
      </c>
      <c r="G553" s="12"/>
      <c r="H553" s="12"/>
      <c r="I553" s="12" t="s">
        <v>2126</v>
      </c>
      <c r="J553" s="12"/>
      <c r="K553" s="12" t="s">
        <v>2127</v>
      </c>
      <c r="L553" s="12"/>
      <c r="M553" s="12" t="str">
        <f>HYPERLINK("https://ceds.ed.gov/cedselementdetails.aspx?termid=10636")</f>
        <v>https://ceds.ed.gov/cedselementdetails.aspx?termid=10636</v>
      </c>
      <c r="N553" s="12" t="str">
        <f>HYPERLINK("https://ceds.ed.gov/elementComment.aspx?elementName=Course Section Maximum Capacity &amp;elementID=10636", "Click here to submit comment")</f>
        <v>Click here to submit comment</v>
      </c>
    </row>
    <row r="554" spans="1:14" ht="105" x14ac:dyDescent="0.25">
      <c r="A554" s="12" t="s">
        <v>2128</v>
      </c>
      <c r="B554" s="12" t="s">
        <v>2129</v>
      </c>
      <c r="C554" s="12" t="s">
        <v>12</v>
      </c>
      <c r="D554" s="12" t="s">
        <v>6471</v>
      </c>
      <c r="E554" s="12"/>
      <c r="F554" s="12" t="s">
        <v>92</v>
      </c>
      <c r="G554" s="12"/>
      <c r="H554" s="12"/>
      <c r="I554" s="12" t="s">
        <v>2130</v>
      </c>
      <c r="J554" s="12"/>
      <c r="K554" s="12" t="s">
        <v>2131</v>
      </c>
      <c r="L554" s="12"/>
      <c r="M554" s="12" t="str">
        <f>HYPERLINK("https://ceds.ed.gov/cedselementdetails.aspx?termid=10281")</f>
        <v>https://ceds.ed.gov/cedselementdetails.aspx?termid=10281</v>
      </c>
      <c r="N554" s="12" t="str">
        <f>HYPERLINK("https://ceds.ed.gov/elementComment.aspx?elementName=Course Section Number &amp;elementID=10281", "Click here to submit comment")</f>
        <v>Click here to submit comment</v>
      </c>
    </row>
    <row r="555" spans="1:14" ht="90" x14ac:dyDescent="0.25">
      <c r="A555" s="12" t="s">
        <v>2132</v>
      </c>
      <c r="B555" s="12" t="s">
        <v>2133</v>
      </c>
      <c r="C555" s="13" t="s">
        <v>6848</v>
      </c>
      <c r="D555" s="12" t="s">
        <v>6454</v>
      </c>
      <c r="E555" s="12"/>
      <c r="F555" s="12"/>
      <c r="G555" s="12"/>
      <c r="H555" s="12"/>
      <c r="I555" s="12" t="s">
        <v>2134</v>
      </c>
      <c r="J555" s="12"/>
      <c r="K555" s="12" t="s">
        <v>2135</v>
      </c>
      <c r="L555" s="12" t="s">
        <v>6485</v>
      </c>
      <c r="M555" s="12" t="str">
        <f>HYPERLINK("https://ceds.ed.gov/cedselementdetails.aspx?termid=9258")</f>
        <v>https://ceds.ed.gov/cedselementdetails.aspx?termid=9258</v>
      </c>
      <c r="N555" s="12" t="str">
        <f>HYPERLINK("https://ceds.ed.gov/elementComment.aspx?elementName=Course Section Single Sex Class Status &amp;elementID=9258", "Click here to submit comment")</f>
        <v>Click here to submit comment</v>
      </c>
    </row>
    <row r="556" spans="1:14" ht="165" x14ac:dyDescent="0.25">
      <c r="A556" s="12" t="s">
        <v>2136</v>
      </c>
      <c r="B556" s="12" t="s">
        <v>2137</v>
      </c>
      <c r="C556" s="12" t="s">
        <v>12</v>
      </c>
      <c r="D556" s="12" t="s">
        <v>6454</v>
      </c>
      <c r="E556" s="12"/>
      <c r="F556" s="12" t="s">
        <v>317</v>
      </c>
      <c r="G556" s="12"/>
      <c r="H556" s="12"/>
      <c r="I556" s="12" t="s">
        <v>2138</v>
      </c>
      <c r="J556" s="12"/>
      <c r="K556" s="12" t="s">
        <v>2139</v>
      </c>
      <c r="L556" s="12" t="s">
        <v>2140</v>
      </c>
      <c r="M556" s="12" t="str">
        <f>HYPERLINK("https://ceds.ed.gov/cedselementdetails.aspx?termid=9101")</f>
        <v>https://ceds.ed.gov/cedselementdetails.aspx?termid=9101</v>
      </c>
      <c r="N556" s="12" t="str">
        <f>HYPERLINK("https://ceds.ed.gov/elementComment.aspx?elementName=Course Section Time Required For Completion &amp;elementID=9101", "Click here to submit comment")</f>
        <v>Click here to submit comment</v>
      </c>
    </row>
    <row r="557" spans="1:14" ht="120" x14ac:dyDescent="0.25">
      <c r="A557" s="12" t="s">
        <v>2141</v>
      </c>
      <c r="B557" s="12" t="s">
        <v>2142</v>
      </c>
      <c r="C557" s="12" t="s">
        <v>12</v>
      </c>
      <c r="D557" s="12" t="s">
        <v>6387</v>
      </c>
      <c r="E557" s="12"/>
      <c r="F557" s="12" t="s">
        <v>2143</v>
      </c>
      <c r="G557" s="12"/>
      <c r="H557" s="12"/>
      <c r="I557" s="12" t="s">
        <v>2144</v>
      </c>
      <c r="J557" s="12"/>
      <c r="K557" s="12" t="s">
        <v>2145</v>
      </c>
      <c r="L557" s="12" t="s">
        <v>25</v>
      </c>
      <c r="M557" s="12" t="str">
        <f>HYPERLINK("https://ceds.ed.gov/cedselementdetails.aspx?termid=9066")</f>
        <v>https://ceds.ed.gov/cedselementdetails.aspx?termid=9066</v>
      </c>
      <c r="N557" s="12" t="str">
        <f>HYPERLINK("https://ceds.ed.gov/elementComment.aspx?elementName=Course Subject Abbreviation &amp;elementID=9066", "Click here to submit comment")</f>
        <v>Click here to submit comment</v>
      </c>
    </row>
    <row r="558" spans="1:14" ht="225" x14ac:dyDescent="0.25">
      <c r="A558" s="12" t="s">
        <v>2146</v>
      </c>
      <c r="B558" s="12" t="s">
        <v>2147</v>
      </c>
      <c r="C558" s="12" t="s">
        <v>12</v>
      </c>
      <c r="D558" s="12" t="s">
        <v>6477</v>
      </c>
      <c r="E558" s="12"/>
      <c r="F558" s="12" t="s">
        <v>99</v>
      </c>
      <c r="G558" s="12"/>
      <c r="H558" s="12"/>
      <c r="I558" s="12" t="s">
        <v>2148</v>
      </c>
      <c r="J558" s="12"/>
      <c r="K558" s="12" t="s">
        <v>2149</v>
      </c>
      <c r="L558" s="12" t="s">
        <v>6429</v>
      </c>
      <c r="M558" s="12" t="str">
        <f>HYPERLINK("https://ceds.ed.gov/cedselementdetails.aspx?termid=9067")</f>
        <v>https://ceds.ed.gov/cedselementdetails.aspx?termid=9067</v>
      </c>
      <c r="N558" s="12" t="str">
        <f>HYPERLINK("https://ceds.ed.gov/elementComment.aspx?elementName=Course Title &amp;elementID=9067", "Click here to submit comment")</f>
        <v>Click here to submit comment</v>
      </c>
    </row>
    <row r="559" spans="1:14" ht="45" x14ac:dyDescent="0.25">
      <c r="A559" s="12" t="s">
        <v>2150</v>
      </c>
      <c r="B559" s="12" t="s">
        <v>2151</v>
      </c>
      <c r="C559" s="12" t="s">
        <v>12</v>
      </c>
      <c r="D559" s="12" t="s">
        <v>316</v>
      </c>
      <c r="E559" s="12"/>
      <c r="F559" s="12" t="s">
        <v>620</v>
      </c>
      <c r="G559" s="12"/>
      <c r="H559" s="12"/>
      <c r="I559" s="12" t="s">
        <v>2152</v>
      </c>
      <c r="J559" s="12"/>
      <c r="K559" s="12" t="s">
        <v>2153</v>
      </c>
      <c r="L559" s="12"/>
      <c r="M559" s="12" t="str">
        <f>HYPERLINK("https://ceds.ed.gov/cedselementdetails.aspx?termid=10282")</f>
        <v>https://ceds.ed.gov/cedselementdetails.aspx?termid=10282</v>
      </c>
      <c r="N559" s="12" t="str">
        <f>HYPERLINK("https://ceds.ed.gov/elementComment.aspx?elementName=Course Total &amp;elementID=10282", "Click here to submit comment")</f>
        <v>Click here to submit comment</v>
      </c>
    </row>
    <row r="560" spans="1:14" ht="60" x14ac:dyDescent="0.25">
      <c r="A560" s="12" t="s">
        <v>2154</v>
      </c>
      <c r="B560" s="12" t="s">
        <v>2155</v>
      </c>
      <c r="C560" s="12" t="s">
        <v>12</v>
      </c>
      <c r="D560" s="12" t="s">
        <v>6486</v>
      </c>
      <c r="E560" s="12"/>
      <c r="F560" s="12" t="s">
        <v>73</v>
      </c>
      <c r="G560" s="12"/>
      <c r="H560" s="12"/>
      <c r="I560" s="12" t="s">
        <v>2156</v>
      </c>
      <c r="J560" s="12"/>
      <c r="K560" s="12" t="s">
        <v>2157</v>
      </c>
      <c r="L560" s="12" t="s">
        <v>205</v>
      </c>
      <c r="M560" s="12" t="str">
        <f>HYPERLINK("https://ceds.ed.gov/cedselementdetails.aspx?termid=9069")</f>
        <v>https://ceds.ed.gov/cedselementdetails.aspx?termid=9069</v>
      </c>
      <c r="N560" s="12" t="str">
        <f>HYPERLINK("https://ceds.ed.gov/elementComment.aspx?elementName=Credential Expiration Date &amp;elementID=9069", "Click here to submit comment")</f>
        <v>Click here to submit comment</v>
      </c>
    </row>
    <row r="561" spans="1:14" ht="60" x14ac:dyDescent="0.25">
      <c r="A561" s="12" t="s">
        <v>2158</v>
      </c>
      <c r="B561" s="12" t="s">
        <v>2159</v>
      </c>
      <c r="C561" s="12" t="s">
        <v>12</v>
      </c>
      <c r="D561" s="12" t="s">
        <v>6486</v>
      </c>
      <c r="E561" s="12"/>
      <c r="F561" s="12" t="s">
        <v>73</v>
      </c>
      <c r="G561" s="12"/>
      <c r="H561" s="12"/>
      <c r="I561" s="12" t="s">
        <v>2160</v>
      </c>
      <c r="J561" s="12"/>
      <c r="K561" s="12" t="s">
        <v>2161</v>
      </c>
      <c r="L561" s="12" t="s">
        <v>205</v>
      </c>
      <c r="M561" s="12" t="str">
        <f>HYPERLINK("https://ceds.ed.gov/cedselementdetails.aspx?termid=9070")</f>
        <v>https://ceds.ed.gov/cedselementdetails.aspx?termid=9070</v>
      </c>
      <c r="N561" s="12" t="str">
        <f>HYPERLINK("https://ceds.ed.gov/elementComment.aspx?elementName=Credential Issuance Date &amp;elementID=9070", "Click here to submit comment")</f>
        <v>Click here to submit comment</v>
      </c>
    </row>
    <row r="562" spans="1:14" ht="75" x14ac:dyDescent="0.25">
      <c r="A562" s="12" t="s">
        <v>2162</v>
      </c>
      <c r="B562" s="12" t="s">
        <v>2163</v>
      </c>
      <c r="C562" s="12" t="s">
        <v>12</v>
      </c>
      <c r="D562" s="12" t="s">
        <v>6487</v>
      </c>
      <c r="E562" s="12"/>
      <c r="F562" s="12" t="s">
        <v>99</v>
      </c>
      <c r="G562" s="12"/>
      <c r="H562" s="12"/>
      <c r="I562" s="12" t="s">
        <v>2164</v>
      </c>
      <c r="J562" s="12"/>
      <c r="K562" s="12" t="s">
        <v>2165</v>
      </c>
      <c r="L562" s="12"/>
      <c r="M562" s="12" t="str">
        <f>HYPERLINK("https://ceds.ed.gov/cedselementdetails.aspx?termid=10566")</f>
        <v>https://ceds.ed.gov/cedselementdetails.aspx?termid=10566</v>
      </c>
      <c r="N562" s="12" t="str">
        <f>HYPERLINK("https://ceds.ed.gov/elementComment.aspx?elementName=Credential or License Award Entity &amp;elementID=10566", "Click here to submit comment")</f>
        <v>Click here to submit comment</v>
      </c>
    </row>
    <row r="563" spans="1:14" ht="150" x14ac:dyDescent="0.25">
      <c r="A563" s="12" t="s">
        <v>2166</v>
      </c>
      <c r="B563" s="12" t="s">
        <v>2167</v>
      </c>
      <c r="C563" s="13" t="s">
        <v>6849</v>
      </c>
      <c r="D563" s="12" t="s">
        <v>6488</v>
      </c>
      <c r="E563" s="12"/>
      <c r="F563" s="12"/>
      <c r="G563" s="12"/>
      <c r="H563" s="12"/>
      <c r="I563" s="12" t="s">
        <v>2168</v>
      </c>
      <c r="J563" s="12"/>
      <c r="K563" s="12" t="s">
        <v>2169</v>
      </c>
      <c r="L563" s="12"/>
      <c r="M563" s="12" t="str">
        <f>HYPERLINK("https://ceds.ed.gov/cedselementdetails.aspx?termid=9071")</f>
        <v>https://ceds.ed.gov/cedselementdetails.aspx?termid=9071</v>
      </c>
      <c r="N563" s="12" t="str">
        <f>HYPERLINK("https://ceds.ed.gov/elementComment.aspx?elementName=Credential Type &amp;elementID=9071", "Click here to submit comment")</f>
        <v>Click here to submit comment</v>
      </c>
    </row>
    <row r="564" spans="1:14" ht="270" x14ac:dyDescent="0.25">
      <c r="A564" s="12" t="s">
        <v>2170</v>
      </c>
      <c r="B564" s="12" t="s">
        <v>2171</v>
      </c>
      <c r="C564" s="13" t="s">
        <v>6850</v>
      </c>
      <c r="D564" s="12" t="s">
        <v>6489</v>
      </c>
      <c r="E564" s="12"/>
      <c r="F564" s="12"/>
      <c r="G564" s="12"/>
      <c r="H564" s="12"/>
      <c r="I564" s="12" t="s">
        <v>2172</v>
      </c>
      <c r="J564" s="12"/>
      <c r="K564" s="12" t="s">
        <v>2173</v>
      </c>
      <c r="L564" s="12"/>
      <c r="M564" s="12" t="str">
        <f>HYPERLINK("https://ceds.ed.gov/cedselementdetails.aspx?termid=10283")</f>
        <v>https://ceds.ed.gov/cedselementdetails.aspx?termid=10283</v>
      </c>
      <c r="N564" s="12" t="str">
        <f>HYPERLINK("https://ceds.ed.gov/elementComment.aspx?elementName=Credit Hours Applied Other Program &amp;elementID=10283", "Click here to submit comment")</f>
        <v>Click here to submit comment</v>
      </c>
    </row>
    <row r="565" spans="1:14" ht="285" x14ac:dyDescent="0.25">
      <c r="A565" s="12" t="s">
        <v>2174</v>
      </c>
      <c r="B565" s="12" t="s">
        <v>2175</v>
      </c>
      <c r="C565" s="13" t="s">
        <v>6851</v>
      </c>
      <c r="D565" s="12" t="s">
        <v>6490</v>
      </c>
      <c r="E565" s="12"/>
      <c r="F565" s="12"/>
      <c r="G565" s="12"/>
      <c r="H565" s="12"/>
      <c r="I565" s="12" t="s">
        <v>2176</v>
      </c>
      <c r="J565" s="12"/>
      <c r="K565" s="12" t="s">
        <v>2177</v>
      </c>
      <c r="L565" s="12" t="s">
        <v>6369</v>
      </c>
      <c r="M565" s="12" t="str">
        <f>HYPERLINK("https://ceds.ed.gov/cedselementdetails.aspx?termid=9072")</f>
        <v>https://ceds.ed.gov/cedselementdetails.aspx?termid=9072</v>
      </c>
      <c r="N565" s="12" t="str">
        <f>HYPERLINK("https://ceds.ed.gov/elementComment.aspx?elementName=Credit Type Earned &amp;elementID=9072", "Click here to submit comment")</f>
        <v>Click here to submit comment</v>
      </c>
    </row>
    <row r="566" spans="1:14" ht="105" x14ac:dyDescent="0.25">
      <c r="A566" s="12" t="s">
        <v>2178</v>
      </c>
      <c r="B566" s="12" t="s">
        <v>2179</v>
      </c>
      <c r="C566" s="12" t="s">
        <v>12</v>
      </c>
      <c r="D566" s="12" t="s">
        <v>28</v>
      </c>
      <c r="E566" s="12"/>
      <c r="F566" s="12" t="s">
        <v>1554</v>
      </c>
      <c r="G566" s="12"/>
      <c r="H566" s="12"/>
      <c r="I566" s="12" t="s">
        <v>2180</v>
      </c>
      <c r="J566" s="12"/>
      <c r="K566" s="12" t="s">
        <v>2181</v>
      </c>
      <c r="L566" s="12" t="s">
        <v>6369</v>
      </c>
      <c r="M566" s="12" t="str">
        <f>HYPERLINK("https://ceds.ed.gov/cedselementdetails.aspx?termid=9073")</f>
        <v>https://ceds.ed.gov/cedselementdetails.aspx?termid=9073</v>
      </c>
      <c r="N566" s="12" t="str">
        <f>HYPERLINK("https://ceds.ed.gov/elementComment.aspx?elementName=Credits Attempted Cumulative &amp;elementID=9073", "Click here to submit comment")</f>
        <v>Click here to submit comment</v>
      </c>
    </row>
    <row r="567" spans="1:14" ht="105" x14ac:dyDescent="0.25">
      <c r="A567" s="12" t="s">
        <v>2182</v>
      </c>
      <c r="B567" s="12" t="s">
        <v>2183</v>
      </c>
      <c r="C567" s="12" t="s">
        <v>12</v>
      </c>
      <c r="D567" s="12" t="s">
        <v>28</v>
      </c>
      <c r="E567" s="12"/>
      <c r="F567" s="12" t="s">
        <v>1554</v>
      </c>
      <c r="G567" s="12"/>
      <c r="H567" s="12"/>
      <c r="I567" s="12" t="s">
        <v>2184</v>
      </c>
      <c r="J567" s="12"/>
      <c r="K567" s="12" t="s">
        <v>2185</v>
      </c>
      <c r="L567" s="12" t="s">
        <v>6369</v>
      </c>
      <c r="M567" s="12" t="str">
        <f>HYPERLINK("https://ceds.ed.gov/cedselementdetails.aspx?termid=9074")</f>
        <v>https://ceds.ed.gov/cedselementdetails.aspx?termid=9074</v>
      </c>
      <c r="N567" s="12" t="str">
        <f>HYPERLINK("https://ceds.ed.gov/elementComment.aspx?elementName=Credits Earned Cumulative &amp;elementID=9074", "Click here to submit comment")</f>
        <v>Click here to submit comment</v>
      </c>
    </row>
    <row r="568" spans="1:14" ht="120" x14ac:dyDescent="0.25">
      <c r="A568" s="12" t="s">
        <v>2186</v>
      </c>
      <c r="B568" s="12" t="s">
        <v>2187</v>
      </c>
      <c r="C568" s="12" t="s">
        <v>12</v>
      </c>
      <c r="D568" s="12" t="s">
        <v>6491</v>
      </c>
      <c r="E568" s="12"/>
      <c r="F568" s="12" t="s">
        <v>1554</v>
      </c>
      <c r="G568" s="12"/>
      <c r="H568" s="12" t="s">
        <v>2188</v>
      </c>
      <c r="I568" s="12" t="s">
        <v>2189</v>
      </c>
      <c r="J568" s="12"/>
      <c r="K568" s="12" t="s">
        <v>2190</v>
      </c>
      <c r="L568" s="12"/>
      <c r="M568" s="12" t="str">
        <f>HYPERLINK("https://ceds.ed.gov/cedselementdetails.aspx?termid=10553")</f>
        <v>https://ceds.ed.gov/cedselementdetails.aspx?termid=10553</v>
      </c>
      <c r="N568" s="12" t="str">
        <f>HYPERLINK("https://ceds.ed.gov/elementComment.aspx?elementName=Credits Required &amp;elementID=10553", "Click here to submit comment")</f>
        <v>Click here to submit comment</v>
      </c>
    </row>
    <row r="569" spans="1:14" ht="195" x14ac:dyDescent="0.25">
      <c r="A569" s="12" t="s">
        <v>2191</v>
      </c>
      <c r="B569" s="12" t="s">
        <v>2192</v>
      </c>
      <c r="C569" s="12" t="s">
        <v>12</v>
      </c>
      <c r="D569" s="12" t="s">
        <v>2193</v>
      </c>
      <c r="E569" s="12"/>
      <c r="F569" s="12" t="s">
        <v>92</v>
      </c>
      <c r="G569" s="12"/>
      <c r="H569" s="12"/>
      <c r="I569" s="12" t="s">
        <v>2194</v>
      </c>
      <c r="J569" s="12"/>
      <c r="K569" s="12" t="s">
        <v>2195</v>
      </c>
      <c r="L569" s="12"/>
      <c r="M569" s="12" t="str">
        <f>HYPERLINK("https://ceds.ed.gov/cedselementdetails.aspx?termid=9604")</f>
        <v>https://ceds.ed.gov/cedselementdetails.aspx?termid=9604</v>
      </c>
      <c r="N569" s="12" t="str">
        <f>HYPERLINK("https://ceds.ed.gov/elementComment.aspx?elementName=Crisis Code &amp;elementID=9604", "Click here to submit comment")</f>
        <v>Click here to submit comment</v>
      </c>
    </row>
    <row r="570" spans="1:14" ht="45" x14ac:dyDescent="0.25">
      <c r="A570" s="12" t="s">
        <v>2196</v>
      </c>
      <c r="B570" s="12" t="s">
        <v>2197</v>
      </c>
      <c r="C570" s="12" t="s">
        <v>12</v>
      </c>
      <c r="D570" s="12" t="s">
        <v>2193</v>
      </c>
      <c r="E570" s="12"/>
      <c r="F570" s="12" t="s">
        <v>68</v>
      </c>
      <c r="G570" s="12"/>
      <c r="H570" s="12"/>
      <c r="I570" s="12" t="s">
        <v>2198</v>
      </c>
      <c r="J570" s="12"/>
      <c r="K570" s="12" t="s">
        <v>2199</v>
      </c>
      <c r="L570" s="12"/>
      <c r="M570" s="12" t="str">
        <f>HYPERLINK("https://ceds.ed.gov/cedselementdetails.aspx?termid=10526")</f>
        <v>https://ceds.ed.gov/cedselementdetails.aspx?termid=10526</v>
      </c>
      <c r="N570" s="12" t="str">
        <f>HYPERLINK("https://ceds.ed.gov/elementComment.aspx?elementName=Crisis Description &amp;elementID=10526", "Click here to submit comment")</f>
        <v>Click here to submit comment</v>
      </c>
    </row>
    <row r="571" spans="1:14" ht="45" x14ac:dyDescent="0.25">
      <c r="A571" s="12" t="s">
        <v>2200</v>
      </c>
      <c r="B571" s="12" t="s">
        <v>2201</v>
      </c>
      <c r="C571" s="12" t="s">
        <v>12</v>
      </c>
      <c r="D571" s="12" t="s">
        <v>2193</v>
      </c>
      <c r="E571" s="12"/>
      <c r="F571" s="12" t="s">
        <v>73</v>
      </c>
      <c r="G571" s="12"/>
      <c r="H571" s="12"/>
      <c r="I571" s="12" t="s">
        <v>2202</v>
      </c>
      <c r="J571" s="12"/>
      <c r="K571" s="12" t="s">
        <v>2203</v>
      </c>
      <c r="L571" s="12"/>
      <c r="M571" s="12" t="str">
        <f>HYPERLINK("https://ceds.ed.gov/cedselementdetails.aspx?termid=10528")</f>
        <v>https://ceds.ed.gov/cedselementdetails.aspx?termid=10528</v>
      </c>
      <c r="N571" s="12" t="str">
        <f>HYPERLINK("https://ceds.ed.gov/elementComment.aspx?elementName=Crisis End Date &amp;elementID=10528", "Click here to submit comment")</f>
        <v>Click here to submit comment</v>
      </c>
    </row>
    <row r="572" spans="1:14" ht="45" x14ac:dyDescent="0.25">
      <c r="A572" s="12" t="s">
        <v>2204</v>
      </c>
      <c r="B572" s="12" t="s">
        <v>2205</v>
      </c>
      <c r="C572" s="12" t="s">
        <v>12</v>
      </c>
      <c r="D572" s="12" t="s">
        <v>2193</v>
      </c>
      <c r="E572" s="12"/>
      <c r="F572" s="12" t="s">
        <v>1386</v>
      </c>
      <c r="G572" s="12"/>
      <c r="H572" s="12"/>
      <c r="I572" s="12" t="s">
        <v>2206</v>
      </c>
      <c r="J572" s="12"/>
      <c r="K572" s="12" t="s">
        <v>2207</v>
      </c>
      <c r="L572" s="12"/>
      <c r="M572" s="12" t="str">
        <f>HYPERLINK("https://ceds.ed.gov/cedselementdetails.aspx?termid=9605")</f>
        <v>https://ceds.ed.gov/cedselementdetails.aspx?termid=9605</v>
      </c>
      <c r="N572" s="12" t="str">
        <f>HYPERLINK("https://ceds.ed.gov/elementComment.aspx?elementName=Crisis Name &amp;elementID=9605", "Click here to submit comment")</f>
        <v>Click here to submit comment</v>
      </c>
    </row>
    <row r="573" spans="1:14" ht="75" x14ac:dyDescent="0.25">
      <c r="A573" s="12" t="s">
        <v>2208</v>
      </c>
      <c r="B573" s="12" t="s">
        <v>2209</v>
      </c>
      <c r="C573" s="12" t="s">
        <v>12</v>
      </c>
      <c r="D573" s="12" t="s">
        <v>2193</v>
      </c>
      <c r="E573" s="12"/>
      <c r="F573" s="12" t="s">
        <v>73</v>
      </c>
      <c r="G573" s="12"/>
      <c r="H573" s="12"/>
      <c r="I573" s="12" t="s">
        <v>2210</v>
      </c>
      <c r="J573" s="12"/>
      <c r="K573" s="12" t="s">
        <v>2211</v>
      </c>
      <c r="L573" s="12"/>
      <c r="M573" s="12" t="str">
        <f>HYPERLINK("https://ceds.ed.gov/cedselementdetails.aspx?termid=9607")</f>
        <v>https://ceds.ed.gov/cedselementdetails.aspx?termid=9607</v>
      </c>
      <c r="N573" s="12" t="str">
        <f>HYPERLINK("https://ceds.ed.gov/elementComment.aspx?elementName=Crisis Start Date &amp;elementID=9607", "Click here to submit comment")</f>
        <v>Click here to submit comment</v>
      </c>
    </row>
    <row r="574" spans="1:14" ht="45" x14ac:dyDescent="0.25">
      <c r="A574" s="12" t="s">
        <v>2212</v>
      </c>
      <c r="B574" s="12" t="s">
        <v>2213</v>
      </c>
      <c r="C574" s="12" t="s">
        <v>12</v>
      </c>
      <c r="D574" s="12" t="s">
        <v>2193</v>
      </c>
      <c r="E574" s="12"/>
      <c r="F574" s="12" t="s">
        <v>1386</v>
      </c>
      <c r="G574" s="12"/>
      <c r="H574" s="12"/>
      <c r="I574" s="12" t="s">
        <v>2214</v>
      </c>
      <c r="J574" s="12"/>
      <c r="K574" s="12" t="s">
        <v>2215</v>
      </c>
      <c r="L574" s="12"/>
      <c r="M574" s="12" t="str">
        <f>HYPERLINK("https://ceds.ed.gov/cedselementdetails.aspx?termid=9606")</f>
        <v>https://ceds.ed.gov/cedselementdetails.aspx?termid=9606</v>
      </c>
      <c r="N574" s="12" t="str">
        <f>HYPERLINK("https://ceds.ed.gov/elementComment.aspx?elementName=Crisis Type &amp;elementID=9606", "Click here to submit comment")</f>
        <v>Click here to submit comment</v>
      </c>
    </row>
    <row r="575" spans="1:14" ht="60" x14ac:dyDescent="0.25">
      <c r="A575" s="12" t="s">
        <v>2216</v>
      </c>
      <c r="B575" s="12" t="s">
        <v>2217</v>
      </c>
      <c r="C575" s="13" t="s">
        <v>6747</v>
      </c>
      <c r="D575" s="12" t="s">
        <v>351</v>
      </c>
      <c r="E575" s="12"/>
      <c r="F575" s="12"/>
      <c r="G575" s="12"/>
      <c r="H575" s="12" t="s">
        <v>2218</v>
      </c>
      <c r="I575" s="12" t="s">
        <v>2219</v>
      </c>
      <c r="J575" s="12"/>
      <c r="K575" s="12" t="s">
        <v>2220</v>
      </c>
      <c r="L575" s="12" t="s">
        <v>354</v>
      </c>
      <c r="M575" s="12" t="str">
        <f>HYPERLINK("https://ceds.ed.gov/cedselementdetails.aspx?termid=9753")</f>
        <v>https://ceds.ed.gov/cedselementdetails.aspx?termid=9753</v>
      </c>
      <c r="N575" s="12" t="str">
        <f>HYPERLINK("https://ceds.ed.gov/elementComment.aspx?elementName=Critical Teacher Shortage Area Candidate &amp;elementID=9753", "Click here to submit comment")</f>
        <v>Click here to submit comment</v>
      </c>
    </row>
    <row r="576" spans="1:14" ht="150" x14ac:dyDescent="0.25">
      <c r="A576" s="12" t="s">
        <v>2221</v>
      </c>
      <c r="B576" s="12" t="s">
        <v>2222</v>
      </c>
      <c r="C576" s="13" t="s">
        <v>6852</v>
      </c>
      <c r="D576" s="12" t="s">
        <v>6465</v>
      </c>
      <c r="E576" s="12"/>
      <c r="F576" s="12"/>
      <c r="G576" s="12"/>
      <c r="H576" s="12"/>
      <c r="I576" s="12" t="s">
        <v>2223</v>
      </c>
      <c r="J576" s="12"/>
      <c r="K576" s="12" t="s">
        <v>2224</v>
      </c>
      <c r="L576" s="12"/>
      <c r="M576" s="12" t="str">
        <f>HYPERLINK("https://ceds.ed.gov/cedselementdetails.aspx?termid=9688")</f>
        <v>https://ceds.ed.gov/cedselementdetails.aspx?termid=9688</v>
      </c>
      <c r="N576" s="12" t="str">
        <f>HYPERLINK("https://ceds.ed.gov/elementComment.aspx?elementName=Curriculum Framework Type &amp;elementID=9688", "Click here to submit comment")</f>
        <v>Click here to submit comment</v>
      </c>
    </row>
    <row r="577" spans="1:14" ht="165" x14ac:dyDescent="0.25">
      <c r="A577" s="12" t="s">
        <v>2225</v>
      </c>
      <c r="B577" s="12" t="s">
        <v>2226</v>
      </c>
      <c r="C577" s="13" t="s">
        <v>6853</v>
      </c>
      <c r="D577" s="12" t="s">
        <v>2227</v>
      </c>
      <c r="E577" s="12"/>
      <c r="F577" s="12"/>
      <c r="G577" s="12"/>
      <c r="H577" s="12"/>
      <c r="I577" s="12" t="s">
        <v>2228</v>
      </c>
      <c r="J577" s="12"/>
      <c r="K577" s="12" t="s">
        <v>2229</v>
      </c>
      <c r="L577" s="12" t="s">
        <v>6393</v>
      </c>
      <c r="M577" s="12" t="str">
        <f>HYPERLINK("https://ceds.ed.gov/cedselementdetails.aspx?termid=9328")</f>
        <v>https://ceds.ed.gov/cedselementdetails.aspx?termid=9328</v>
      </c>
      <c r="N577" s="12" t="str">
        <f>HYPERLINK("https://ceds.ed.gov/elementComment.aspx?elementName=Custodial Parent or Guardian Indicator &amp;elementID=9328", "Click here to submit comment")</f>
        <v>Click here to submit comment</v>
      </c>
    </row>
    <row r="578" spans="1:14" ht="45" x14ac:dyDescent="0.25">
      <c r="A578" s="12" t="s">
        <v>2230</v>
      </c>
      <c r="B578" s="12" t="s">
        <v>2231</v>
      </c>
      <c r="C578" s="12" t="s">
        <v>12</v>
      </c>
      <c r="D578" s="12" t="s">
        <v>2232</v>
      </c>
      <c r="E578" s="12"/>
      <c r="F578" s="12" t="s">
        <v>73</v>
      </c>
      <c r="G578" s="12"/>
      <c r="H578" s="12"/>
      <c r="I578" s="12" t="s">
        <v>2233</v>
      </c>
      <c r="J578" s="12"/>
      <c r="K578" s="12" t="s">
        <v>2234</v>
      </c>
      <c r="L578" s="12"/>
      <c r="M578" s="12" t="str">
        <f>HYPERLINK("https://ceds.ed.gov/cedselementdetails.aspx?termid=10335")</f>
        <v>https://ceds.ed.gov/cedselementdetails.aspx?termid=10335</v>
      </c>
      <c r="N578" s="12" t="str">
        <f>HYPERLINK("https://ceds.ed.gov/elementComment.aspx?elementName=Date of Transition Plan &amp;elementID=10335", "Click here to submit comment")</f>
        <v>Click here to submit comment</v>
      </c>
    </row>
    <row r="579" spans="1:14" ht="45" x14ac:dyDescent="0.25">
      <c r="A579" s="12" t="s">
        <v>2235</v>
      </c>
      <c r="B579" s="12" t="s">
        <v>2236</v>
      </c>
      <c r="C579" s="12" t="s">
        <v>12</v>
      </c>
      <c r="D579" s="12" t="s">
        <v>2237</v>
      </c>
      <c r="E579" s="12"/>
      <c r="F579" s="12" t="s">
        <v>73</v>
      </c>
      <c r="G579" s="12"/>
      <c r="H579" s="12"/>
      <c r="I579" s="12" t="s">
        <v>2238</v>
      </c>
      <c r="J579" s="12"/>
      <c r="K579" s="12" t="s">
        <v>2239</v>
      </c>
      <c r="L579" s="12" t="s">
        <v>211</v>
      </c>
      <c r="M579" s="12" t="str">
        <f>HYPERLINK("https://ceds.ed.gov/cedselementdetails.aspx?termid=9445")</f>
        <v>https://ceds.ed.gov/cedselementdetails.aspx?termid=9445</v>
      </c>
      <c r="N579" s="12" t="str">
        <f>HYPERLINK("https://ceds.ed.gov/elementComment.aspx?elementName=Date State Received Title III Allocation &amp;elementID=9445", "Click here to submit comment")</f>
        <v>Click here to submit comment</v>
      </c>
    </row>
    <row r="580" spans="1:14" ht="45" x14ac:dyDescent="0.25">
      <c r="A580" s="12" t="s">
        <v>2240</v>
      </c>
      <c r="B580" s="12" t="s">
        <v>2241</v>
      </c>
      <c r="C580" s="12" t="s">
        <v>12</v>
      </c>
      <c r="D580" s="12" t="s">
        <v>2237</v>
      </c>
      <c r="E580" s="12"/>
      <c r="F580" s="12" t="s">
        <v>73</v>
      </c>
      <c r="G580" s="12"/>
      <c r="H580" s="12"/>
      <c r="I580" s="12" t="s">
        <v>2242</v>
      </c>
      <c r="J580" s="12"/>
      <c r="K580" s="12" t="s">
        <v>2243</v>
      </c>
      <c r="L580" s="12" t="s">
        <v>211</v>
      </c>
      <c r="M580" s="12" t="str">
        <f>HYPERLINK("https://ceds.ed.gov/cedselementdetails.aspx?termid=9446")</f>
        <v>https://ceds.ed.gov/cedselementdetails.aspx?termid=9446</v>
      </c>
      <c r="N580" s="12" t="str">
        <f>HYPERLINK("https://ceds.ed.gov/elementComment.aspx?elementName=Date Title III Funds Available to Subgrantees &amp;elementID=9446", "Click here to submit comment")</f>
        <v>Click here to submit comment</v>
      </c>
    </row>
    <row r="581" spans="1:14" ht="75" x14ac:dyDescent="0.25">
      <c r="A581" s="12" t="s">
        <v>2244</v>
      </c>
      <c r="B581" s="12" t="s">
        <v>2245</v>
      </c>
      <c r="C581" s="12" t="s">
        <v>12</v>
      </c>
      <c r="D581" s="12" t="s">
        <v>6492</v>
      </c>
      <c r="E581" s="12"/>
      <c r="F581" s="12" t="s">
        <v>317</v>
      </c>
      <c r="G581" s="12"/>
      <c r="H581" s="12"/>
      <c r="I581" s="12" t="s">
        <v>2246</v>
      </c>
      <c r="J581" s="12"/>
      <c r="K581" s="12" t="s">
        <v>2247</v>
      </c>
      <c r="L581" s="12" t="s">
        <v>6493</v>
      </c>
      <c r="M581" s="12" t="str">
        <f>HYPERLINK("https://ceds.ed.gov/cedselementdetails.aspx?termid=9354")</f>
        <v>https://ceds.ed.gov/cedselementdetails.aspx?termid=9354</v>
      </c>
      <c r="N581" s="12" t="str">
        <f>HYPERLINK("https://ceds.ed.gov/elementComment.aspx?elementName=Days Available Per Week &amp;elementID=9354", "Click here to submit comment")</f>
        <v>Click here to submit comment</v>
      </c>
    </row>
    <row r="582" spans="1:14" ht="135" x14ac:dyDescent="0.25">
      <c r="A582" s="12" t="s">
        <v>2248</v>
      </c>
      <c r="B582" s="12" t="s">
        <v>2249</v>
      </c>
      <c r="C582" s="12" t="s">
        <v>12</v>
      </c>
      <c r="D582" s="12" t="s">
        <v>2250</v>
      </c>
      <c r="E582" s="12"/>
      <c r="F582" s="12" t="s">
        <v>317</v>
      </c>
      <c r="G582" s="12"/>
      <c r="H582" s="12"/>
      <c r="I582" s="12" t="s">
        <v>2251</v>
      </c>
      <c r="J582" s="12"/>
      <c r="K582" s="12" t="s">
        <v>2252</v>
      </c>
      <c r="L582" s="12"/>
      <c r="M582" s="12" t="str">
        <f>HYPERLINK("https://ceds.ed.gov/cedselementdetails.aspx?termid=9487")</f>
        <v>https://ceds.ed.gov/cedselementdetails.aspx?termid=9487</v>
      </c>
      <c r="N582" s="12" t="str">
        <f>HYPERLINK("https://ceds.ed.gov/elementComment.aspx?elementName=Days In Session &amp;elementID=9487", "Click here to submit comment")</f>
        <v>Click here to submit comment</v>
      </c>
    </row>
    <row r="583" spans="1:14" ht="120" x14ac:dyDescent="0.25">
      <c r="A583" s="12" t="s">
        <v>2253</v>
      </c>
      <c r="B583" s="12" t="s">
        <v>2254</v>
      </c>
      <c r="C583" s="12" t="s">
        <v>6364</v>
      </c>
      <c r="D583" s="12" t="s">
        <v>6470</v>
      </c>
      <c r="E583" s="12"/>
      <c r="F583" s="12"/>
      <c r="G583" s="12"/>
      <c r="H583" s="12"/>
      <c r="I583" s="12" t="s">
        <v>2255</v>
      </c>
      <c r="J583" s="12"/>
      <c r="K583" s="12" t="s">
        <v>2256</v>
      </c>
      <c r="L583" s="12" t="s">
        <v>25</v>
      </c>
      <c r="M583" s="12" t="str">
        <f>HYPERLINK("https://ceds.ed.gov/cedselementdetails.aspx?termid=9077")</f>
        <v>https://ceds.ed.gov/cedselementdetails.aspx?termid=9077</v>
      </c>
      <c r="N583" s="12" t="str">
        <f>HYPERLINK("https://ceds.ed.gov/elementComment.aspx?elementName=Degree Applicability &amp;elementID=9077", "Click here to submit comment")</f>
        <v>Click here to submit comment</v>
      </c>
    </row>
    <row r="584" spans="1:14" ht="135" x14ac:dyDescent="0.25">
      <c r="A584" s="12" t="s">
        <v>2257</v>
      </c>
      <c r="B584" s="12" t="s">
        <v>2258</v>
      </c>
      <c r="C584" s="12" t="s">
        <v>12</v>
      </c>
      <c r="D584" s="12" t="s">
        <v>6494</v>
      </c>
      <c r="E584" s="12"/>
      <c r="F584" s="12" t="s">
        <v>73</v>
      </c>
      <c r="G584" s="12"/>
      <c r="H584" s="12"/>
      <c r="I584" s="12" t="s">
        <v>2259</v>
      </c>
      <c r="J584" s="12"/>
      <c r="K584" s="12" t="s">
        <v>2260</v>
      </c>
      <c r="L584" s="12" t="s">
        <v>6495</v>
      </c>
      <c r="M584" s="12" t="str">
        <f>HYPERLINK("https://ceds.ed.gov/cedselementdetails.aspx?termid=9343")</f>
        <v>https://ceds.ed.gov/cedselementdetails.aspx?termid=9343</v>
      </c>
      <c r="N584" s="12" t="str">
        <f>HYPERLINK("https://ceds.ed.gov/elementComment.aspx?elementName=Degree or Certificate Conferring Date &amp;elementID=9343", "Click here to submit comment")</f>
        <v>Click here to submit comment</v>
      </c>
    </row>
    <row r="585" spans="1:14" ht="105" x14ac:dyDescent="0.25">
      <c r="A585" s="12" t="s">
        <v>2261</v>
      </c>
      <c r="B585" s="12" t="s">
        <v>2262</v>
      </c>
      <c r="C585" s="12" t="s">
        <v>6364</v>
      </c>
      <c r="D585" s="12" t="s">
        <v>1856</v>
      </c>
      <c r="E585" s="12"/>
      <c r="F585" s="12"/>
      <c r="G585" s="12"/>
      <c r="H585" s="12"/>
      <c r="I585" s="12" t="s">
        <v>2263</v>
      </c>
      <c r="J585" s="12"/>
      <c r="K585" s="12" t="s">
        <v>2264</v>
      </c>
      <c r="L585" s="12" t="s">
        <v>6368</v>
      </c>
      <c r="M585" s="12" t="str">
        <f>HYPERLINK("https://ceds.ed.gov/cedselementdetails.aspx?termid=9078")</f>
        <v>https://ceds.ed.gov/cedselementdetails.aspx?termid=9078</v>
      </c>
      <c r="N585" s="12" t="str">
        <f>HYPERLINK("https://ceds.ed.gov/elementComment.aspx?elementName=Degree or Certificate Seeking Student &amp;elementID=9078", "Click here to submit comment")</f>
        <v>Click here to submit comment</v>
      </c>
    </row>
    <row r="586" spans="1:14" ht="135" x14ac:dyDescent="0.25">
      <c r="A586" s="12" t="s">
        <v>2265</v>
      </c>
      <c r="B586" s="12" t="s">
        <v>2266</v>
      </c>
      <c r="C586" s="12" t="s">
        <v>12</v>
      </c>
      <c r="D586" s="12" t="s">
        <v>6494</v>
      </c>
      <c r="E586" s="12"/>
      <c r="F586" s="12" t="s">
        <v>1386</v>
      </c>
      <c r="G586" s="12"/>
      <c r="H586" s="12"/>
      <c r="I586" s="12" t="s">
        <v>2267</v>
      </c>
      <c r="J586" s="12"/>
      <c r="K586" s="12" t="s">
        <v>2268</v>
      </c>
      <c r="L586" s="12" t="s">
        <v>6495</v>
      </c>
      <c r="M586" s="12" t="str">
        <f>HYPERLINK("https://ceds.ed.gov/cedselementdetails.aspx?termid=9341")</f>
        <v>https://ceds.ed.gov/cedselementdetails.aspx?termid=9341</v>
      </c>
      <c r="N586" s="12" t="str">
        <f>HYPERLINK("https://ceds.ed.gov/elementComment.aspx?elementName=Degree or Certificate Title or Subject &amp;elementID=9341", "Click here to submit comment")</f>
        <v>Click here to submit comment</v>
      </c>
    </row>
    <row r="587" spans="1:14" ht="405" x14ac:dyDescent="0.25">
      <c r="A587" s="12" t="s">
        <v>2269</v>
      </c>
      <c r="B587" s="12" t="s">
        <v>2270</v>
      </c>
      <c r="C587" s="13" t="s">
        <v>6854</v>
      </c>
      <c r="D587" s="12" t="s">
        <v>6494</v>
      </c>
      <c r="E587" s="12"/>
      <c r="F587" s="12"/>
      <c r="G587" s="12"/>
      <c r="H587" s="12"/>
      <c r="I587" s="12" t="s">
        <v>2271</v>
      </c>
      <c r="J587" s="12"/>
      <c r="K587" s="12" t="s">
        <v>2272</v>
      </c>
      <c r="L587" s="12" t="s">
        <v>6495</v>
      </c>
      <c r="M587" s="12" t="str">
        <f>HYPERLINK("https://ceds.ed.gov/cedselementdetails.aspx?termid=9342")</f>
        <v>https://ceds.ed.gov/cedselementdetails.aspx?termid=9342</v>
      </c>
      <c r="N587" s="12" t="str">
        <f>HYPERLINK("https://ceds.ed.gov/elementComment.aspx?elementName=Degree or Certificate Type &amp;elementID=9342", "Click here to submit comment")</f>
        <v>Click here to submit comment</v>
      </c>
    </row>
    <row r="588" spans="1:14" ht="75" x14ac:dyDescent="0.25">
      <c r="A588" s="12" t="s">
        <v>2273</v>
      </c>
      <c r="B588" s="12" t="s">
        <v>2274</v>
      </c>
      <c r="C588" s="12" t="s">
        <v>6364</v>
      </c>
      <c r="D588" s="12" t="s">
        <v>6496</v>
      </c>
      <c r="E588" s="12"/>
      <c r="F588" s="12"/>
      <c r="G588" s="12"/>
      <c r="H588" s="12" t="s">
        <v>2275</v>
      </c>
      <c r="I588" s="12" t="s">
        <v>2276</v>
      </c>
      <c r="J588" s="12"/>
      <c r="K588" s="12" t="s">
        <v>2277</v>
      </c>
      <c r="L588" s="12"/>
      <c r="M588" s="12" t="str">
        <f>HYPERLINK("https://ceds.ed.gov/cedselementdetails.aspx?termid=9974")</f>
        <v>https://ceds.ed.gov/cedselementdetails.aspx?termid=9974</v>
      </c>
      <c r="N588" s="12" t="str">
        <f>HYPERLINK("https://ceds.ed.gov/elementComment.aspx?elementName=Demographic Race Two or More Races &amp;elementID=9974", "Click here to submit comment")</f>
        <v>Click here to submit comment</v>
      </c>
    </row>
    <row r="589" spans="1:14" ht="210" x14ac:dyDescent="0.25">
      <c r="A589" s="12" t="s">
        <v>2278</v>
      </c>
      <c r="B589" s="12" t="s">
        <v>2279</v>
      </c>
      <c r="C589" s="13" t="s">
        <v>6855</v>
      </c>
      <c r="D589" s="12" t="s">
        <v>6497</v>
      </c>
      <c r="E589" s="12"/>
      <c r="F589" s="12"/>
      <c r="G589" s="12"/>
      <c r="H589" s="12" t="s">
        <v>2280</v>
      </c>
      <c r="I589" s="12" t="s">
        <v>2281</v>
      </c>
      <c r="J589" s="12"/>
      <c r="K589" s="12" t="s">
        <v>2282</v>
      </c>
      <c r="L589" s="12" t="s">
        <v>2283</v>
      </c>
      <c r="M589" s="12" t="str">
        <f>HYPERLINK("https://ceds.ed.gov/cedselementdetails.aspx?termid=9335")</f>
        <v>https://ceds.ed.gov/cedselementdetails.aspx?termid=9335</v>
      </c>
      <c r="N589" s="12" t="str">
        <f>HYPERLINK("https://ceds.ed.gov/elementComment.aspx?elementName=Dental Insurance Coverage Type &amp;elementID=9335", "Click here to submit comment")</f>
        <v>Click here to submit comment</v>
      </c>
    </row>
    <row r="590" spans="1:14" ht="75" x14ac:dyDescent="0.25">
      <c r="A590" s="12" t="s">
        <v>2284</v>
      </c>
      <c r="B590" s="12" t="s">
        <v>2285</v>
      </c>
      <c r="C590" s="12" t="s">
        <v>12</v>
      </c>
      <c r="D590" s="12" t="s">
        <v>6498</v>
      </c>
      <c r="E590" s="12"/>
      <c r="F590" s="12" t="s">
        <v>73</v>
      </c>
      <c r="G590" s="12"/>
      <c r="H590" s="12"/>
      <c r="I590" s="12" t="s">
        <v>2286</v>
      </c>
      <c r="J590" s="12"/>
      <c r="K590" s="12" t="s">
        <v>2287</v>
      </c>
      <c r="L590" s="12"/>
      <c r="M590" s="12" t="str">
        <f>HYPERLINK("https://ceds.ed.gov/cedselementdetails.aspx?termid=9682")</f>
        <v>https://ceds.ed.gov/cedselementdetails.aspx?termid=9682</v>
      </c>
      <c r="N590" s="12" t="str">
        <f>HYPERLINK("https://ceds.ed.gov/elementComment.aspx?elementName=Dental Screening Date &amp;elementID=9682", "Click here to submit comment")</f>
        <v>Click here to submit comment</v>
      </c>
    </row>
    <row r="591" spans="1:14" ht="135" x14ac:dyDescent="0.25">
      <c r="A591" s="12" t="s">
        <v>2288</v>
      </c>
      <c r="B591" s="12" t="s">
        <v>2289</v>
      </c>
      <c r="C591" s="13" t="s">
        <v>6856</v>
      </c>
      <c r="D591" s="12" t="s">
        <v>6498</v>
      </c>
      <c r="E591" s="12"/>
      <c r="F591" s="12"/>
      <c r="G591" s="12"/>
      <c r="H591" s="12"/>
      <c r="I591" s="12" t="s">
        <v>2290</v>
      </c>
      <c r="J591" s="12"/>
      <c r="K591" s="12" t="s">
        <v>2291</v>
      </c>
      <c r="L591" s="12" t="s">
        <v>1759</v>
      </c>
      <c r="M591" s="12" t="str">
        <f>HYPERLINK("https://ceds.ed.gov/cedselementdetails.aspx?termid=9310")</f>
        <v>https://ceds.ed.gov/cedselementdetails.aspx?termid=9310</v>
      </c>
      <c r="N591" s="12" t="str">
        <f>HYPERLINK("https://ceds.ed.gov/elementComment.aspx?elementName=Dental Screening Status &amp;elementID=9310", "Click here to submit comment")</f>
        <v>Click here to submit comment</v>
      </c>
    </row>
    <row r="592" spans="1:14" ht="60" x14ac:dyDescent="0.25">
      <c r="A592" s="12" t="s">
        <v>2292</v>
      </c>
      <c r="B592" s="12" t="s">
        <v>2293</v>
      </c>
      <c r="C592" s="13" t="s">
        <v>6857</v>
      </c>
      <c r="D592" s="12" t="s">
        <v>1630</v>
      </c>
      <c r="E592" s="12"/>
      <c r="F592" s="12"/>
      <c r="G592" s="12"/>
      <c r="H592" s="12"/>
      <c r="I592" s="12" t="s">
        <v>2294</v>
      </c>
      <c r="J592" s="12"/>
      <c r="K592" s="12" t="s">
        <v>2295</v>
      </c>
      <c r="L592" s="12" t="s">
        <v>6499</v>
      </c>
      <c r="M592" s="12" t="str">
        <f>HYPERLINK("https://ceds.ed.gov/cedselementdetails.aspx?termid=9079")</f>
        <v>https://ceds.ed.gov/cedselementdetails.aspx?termid=9079</v>
      </c>
      <c r="N592" s="12" t="str">
        <f>HYPERLINK("https://ceds.ed.gov/elementComment.aspx?elementName=Dependency Status &amp;elementID=9079", "Click here to submit comment")</f>
        <v>Click here to submit comment</v>
      </c>
    </row>
    <row r="593" spans="1:14" ht="75" x14ac:dyDescent="0.25">
      <c r="A593" s="12" t="s">
        <v>2296</v>
      </c>
      <c r="B593" s="12" t="s">
        <v>2297</v>
      </c>
      <c r="C593" s="12" t="s">
        <v>6364</v>
      </c>
      <c r="D593" s="12" t="s">
        <v>1563</v>
      </c>
      <c r="E593" s="12"/>
      <c r="F593" s="12"/>
      <c r="G593" s="12"/>
      <c r="H593" s="12"/>
      <c r="I593" s="12" t="s">
        <v>2298</v>
      </c>
      <c r="J593" s="12"/>
      <c r="K593" s="12" t="s">
        <v>2299</v>
      </c>
      <c r="L593" s="12" t="s">
        <v>4</v>
      </c>
      <c r="M593" s="12" t="str">
        <f>HYPERLINK("https://ceds.ed.gov/cedselementdetails.aspx?termid=9080")</f>
        <v>https://ceds.ed.gov/cedselementdetails.aspx?termid=9080</v>
      </c>
      <c r="N593" s="12" t="str">
        <f>HYPERLINK("https://ceds.ed.gov/elementComment.aspx?elementName=Desegregation Order or Plan &amp;elementID=9080", "Click here to submit comment")</f>
        <v>Click here to submit comment</v>
      </c>
    </row>
    <row r="594" spans="1:14" ht="105" x14ac:dyDescent="0.25">
      <c r="A594" s="18" t="s">
        <v>2300</v>
      </c>
      <c r="B594" s="18" t="s">
        <v>2301</v>
      </c>
      <c r="C594" s="18" t="s">
        <v>12</v>
      </c>
      <c r="D594" s="18" t="s">
        <v>1894</v>
      </c>
      <c r="E594" s="18"/>
      <c r="F594" s="18" t="s">
        <v>142</v>
      </c>
      <c r="G594" s="18"/>
      <c r="H594" s="12" t="s">
        <v>143</v>
      </c>
      <c r="I594" s="18" t="s">
        <v>2302</v>
      </c>
      <c r="J594" s="18"/>
      <c r="K594" s="18" t="s">
        <v>2303</v>
      </c>
      <c r="L594" s="18" t="s">
        <v>1578</v>
      </c>
      <c r="M594" s="18" t="str">
        <f>HYPERLINK("https://ceds.ed.gov/cedselementdetails.aspx?termid=9426")</f>
        <v>https://ceds.ed.gov/cedselementdetails.aspx?termid=9426</v>
      </c>
      <c r="N594" s="18" t="str">
        <f>HYPERLINK("https://ceds.ed.gov/elementComment.aspx?elementName=Designated Graduation School Identifier &amp;elementID=9426", "Click here to submit comment")</f>
        <v>Click here to submit comment</v>
      </c>
    </row>
    <row r="595" spans="1:14" x14ac:dyDescent="0.25">
      <c r="A595" s="18"/>
      <c r="B595" s="18"/>
      <c r="C595" s="18"/>
      <c r="D595" s="18"/>
      <c r="E595" s="18"/>
      <c r="F595" s="18"/>
      <c r="G595" s="18"/>
      <c r="H595" s="12"/>
      <c r="I595" s="18"/>
      <c r="J595" s="18"/>
      <c r="K595" s="18"/>
      <c r="L595" s="18"/>
      <c r="M595" s="18"/>
      <c r="N595" s="18"/>
    </row>
    <row r="596" spans="1:14" ht="90" x14ac:dyDescent="0.25">
      <c r="A596" s="18"/>
      <c r="B596" s="18"/>
      <c r="C596" s="18"/>
      <c r="D596" s="18"/>
      <c r="E596" s="18"/>
      <c r="F596" s="18"/>
      <c r="G596" s="18"/>
      <c r="H596" s="12" t="s">
        <v>144</v>
      </c>
      <c r="I596" s="18"/>
      <c r="J596" s="18"/>
      <c r="K596" s="18"/>
      <c r="L596" s="18"/>
      <c r="M596" s="18"/>
      <c r="N596" s="18"/>
    </row>
    <row r="597" spans="1:14" ht="45" x14ac:dyDescent="0.25">
      <c r="A597" s="12" t="s">
        <v>2304</v>
      </c>
      <c r="B597" s="12" t="s">
        <v>2305</v>
      </c>
      <c r="C597" s="13" t="s">
        <v>6858</v>
      </c>
      <c r="D597" s="12" t="s">
        <v>1856</v>
      </c>
      <c r="E597" s="12"/>
      <c r="F597" s="12"/>
      <c r="G597" s="12"/>
      <c r="H597" s="12"/>
      <c r="I597" s="12" t="s">
        <v>2306</v>
      </c>
      <c r="J597" s="12"/>
      <c r="K597" s="12" t="s">
        <v>2307</v>
      </c>
      <c r="L597" s="12" t="s">
        <v>2308</v>
      </c>
      <c r="M597" s="12" t="str">
        <f>HYPERLINK("https://ceds.ed.gov/cedselementdetails.aspx?termid=10567")</f>
        <v>https://ceds.ed.gov/cedselementdetails.aspx?termid=10567</v>
      </c>
      <c r="N597" s="12" t="str">
        <f>HYPERLINK("https://ceds.ed.gov/elementComment.aspx?elementName=Developmental Education Referral Status &amp;elementID=10567", "Click here to submit comment")</f>
        <v>Click here to submit comment</v>
      </c>
    </row>
    <row r="598" spans="1:14" ht="165" x14ac:dyDescent="0.25">
      <c r="A598" s="12" t="s">
        <v>2309</v>
      </c>
      <c r="B598" s="12" t="s">
        <v>2310</v>
      </c>
      <c r="C598" s="13" t="s">
        <v>6859</v>
      </c>
      <c r="D598" s="12" t="s">
        <v>6500</v>
      </c>
      <c r="E598" s="12"/>
      <c r="F598" s="12"/>
      <c r="G598" s="12"/>
      <c r="H598" s="12"/>
      <c r="I598" s="12" t="s">
        <v>2311</v>
      </c>
      <c r="J598" s="12"/>
      <c r="K598" s="12" t="s">
        <v>2312</v>
      </c>
      <c r="L598" s="12" t="s">
        <v>2308</v>
      </c>
      <c r="M598" s="12" t="str">
        <f>HYPERLINK("https://ceds.ed.gov/cedselementdetails.aspx?termid=10568")</f>
        <v>https://ceds.ed.gov/cedselementdetails.aspx?termid=10568</v>
      </c>
      <c r="N598" s="12" t="str">
        <f>HYPERLINK("https://ceds.ed.gov/elementComment.aspx?elementName=Developmental Education Type &amp;elementID=10568", "Click here to submit comment")</f>
        <v>Click here to submit comment</v>
      </c>
    </row>
    <row r="599" spans="1:14" ht="255" x14ac:dyDescent="0.25">
      <c r="A599" s="12" t="s">
        <v>2313</v>
      </c>
      <c r="B599" s="12" t="s">
        <v>2314</v>
      </c>
      <c r="C599" s="13" t="s">
        <v>6860</v>
      </c>
      <c r="D599" s="12" t="s">
        <v>1756</v>
      </c>
      <c r="E599" s="12"/>
      <c r="F599" s="12"/>
      <c r="G599" s="12"/>
      <c r="H599" s="12"/>
      <c r="I599" s="12" t="s">
        <v>2315</v>
      </c>
      <c r="J599" s="12"/>
      <c r="K599" s="12" t="s">
        <v>2316</v>
      </c>
      <c r="L599" s="12" t="s">
        <v>1759</v>
      </c>
      <c r="M599" s="12" t="str">
        <f>HYPERLINK("https://ceds.ed.gov/cedselementdetails.aspx?termid=9315")</f>
        <v>https://ceds.ed.gov/cedselementdetails.aspx?termid=9315</v>
      </c>
      <c r="N599" s="12" t="str">
        <f>HYPERLINK("https://ceds.ed.gov/elementComment.aspx?elementName=Developmental Evaluation Finding &amp;elementID=9315", "Click here to submit comment")</f>
        <v>Click here to submit comment</v>
      </c>
    </row>
    <row r="600" spans="1:14" ht="60" x14ac:dyDescent="0.25">
      <c r="A600" s="12" t="s">
        <v>2317</v>
      </c>
      <c r="B600" s="12" t="s">
        <v>2318</v>
      </c>
      <c r="C600" s="12" t="s">
        <v>12</v>
      </c>
      <c r="D600" s="12" t="s">
        <v>1292</v>
      </c>
      <c r="E600" s="12"/>
      <c r="F600" s="12" t="s">
        <v>68</v>
      </c>
      <c r="G600" s="12"/>
      <c r="H600" s="12"/>
      <c r="I600" s="12" t="s">
        <v>2319</v>
      </c>
      <c r="J600" s="12"/>
      <c r="K600" s="12" t="s">
        <v>2320</v>
      </c>
      <c r="L600" s="12"/>
      <c r="M600" s="12" t="str">
        <f>HYPERLINK("https://ceds.ed.gov/cedselementdetails.aspx?termid=10011")</f>
        <v>https://ceds.ed.gov/cedselementdetails.aspx?termid=10011</v>
      </c>
      <c r="N600" s="12" t="str">
        <f>HYPERLINK("https://ceds.ed.gov/elementComment.aspx?elementName=Diagnostic Statement Source &amp;elementID=10011", "Click here to submit comment")</f>
        <v>Click here to submit comment</v>
      </c>
    </row>
    <row r="601" spans="1:14" ht="60" x14ac:dyDescent="0.25">
      <c r="A601" s="12" t="s">
        <v>2321</v>
      </c>
      <c r="B601" s="12" t="s">
        <v>2322</v>
      </c>
      <c r="C601" s="13" t="s">
        <v>6747</v>
      </c>
      <c r="D601" s="12" t="s">
        <v>2323</v>
      </c>
      <c r="E601" s="12"/>
      <c r="F601" s="12"/>
      <c r="G601" s="12"/>
      <c r="H601" s="12"/>
      <c r="I601" s="12" t="s">
        <v>2324</v>
      </c>
      <c r="J601" s="12"/>
      <c r="K601" s="12" t="s">
        <v>2325</v>
      </c>
      <c r="L601" s="12" t="s">
        <v>205</v>
      </c>
      <c r="M601" s="12" t="str">
        <f>HYPERLINK("https://ceds.ed.gov/cedselementdetails.aspx?termid=9868")</f>
        <v>https://ceds.ed.gov/cedselementdetails.aspx?termid=9868</v>
      </c>
      <c r="N601" s="12" t="str">
        <f>HYPERLINK("https://ceds.ed.gov/elementComment.aspx?elementName=Differential Shift Pay Indicator &amp;elementID=9868", "Click here to submit comment")</f>
        <v>Click here to submit comment</v>
      </c>
    </row>
    <row r="602" spans="1:14" ht="360" x14ac:dyDescent="0.25">
      <c r="A602" s="12" t="s">
        <v>2326</v>
      </c>
      <c r="B602" s="12" t="s">
        <v>2327</v>
      </c>
      <c r="C602" s="12" t="s">
        <v>12</v>
      </c>
      <c r="D602" s="12" t="s">
        <v>6501</v>
      </c>
      <c r="E602" s="12"/>
      <c r="F602" s="12" t="s">
        <v>2328</v>
      </c>
      <c r="G602" s="12"/>
      <c r="H602" s="12"/>
      <c r="I602" s="12" t="s">
        <v>2329</v>
      </c>
      <c r="J602" s="12"/>
      <c r="K602" s="12" t="s">
        <v>2330</v>
      </c>
      <c r="L602" s="12" t="s">
        <v>6502</v>
      </c>
      <c r="M602" s="12" t="str">
        <f>HYPERLINK("https://ceds.ed.gov/cedselementdetails.aspx?termid=9081")</f>
        <v>https://ceds.ed.gov/cedselementdetails.aspx?termid=9081</v>
      </c>
      <c r="N602" s="12" t="str">
        <f>HYPERLINK("https://ceds.ed.gov/elementComment.aspx?elementName=Diploma or Credential Award Date &amp;elementID=9081", "Click here to submit comment")</f>
        <v>Click here to submit comment</v>
      </c>
    </row>
    <row r="603" spans="1:14" ht="75" x14ac:dyDescent="0.25">
      <c r="A603" s="12" t="s">
        <v>2331</v>
      </c>
      <c r="B603" s="12" t="s">
        <v>2332</v>
      </c>
      <c r="C603" s="13" t="s">
        <v>6861</v>
      </c>
      <c r="D603" s="12" t="s">
        <v>6503</v>
      </c>
      <c r="E603" s="12"/>
      <c r="F603" s="12"/>
      <c r="G603" s="12"/>
      <c r="H603" s="12"/>
      <c r="I603" s="12" t="s">
        <v>2333</v>
      </c>
      <c r="J603" s="12"/>
      <c r="K603" s="12" t="s">
        <v>2334</v>
      </c>
      <c r="L603" s="12" t="s">
        <v>6504</v>
      </c>
      <c r="M603" s="12" t="str">
        <f>HYPERLINK("https://ceds.ed.gov/cedselementdetails.aspx?termid=10569")</f>
        <v>https://ceds.ed.gov/cedselementdetails.aspx?termid=10569</v>
      </c>
      <c r="N603" s="12" t="str">
        <f>HYPERLINK("https://ceds.ed.gov/elementComment.aspx?elementName=Directory Information Block Status &amp;elementID=10569", "Click here to submit comment")</f>
        <v>Click here to submit comment</v>
      </c>
    </row>
    <row r="604" spans="1:14" ht="75" x14ac:dyDescent="0.25">
      <c r="A604" s="12" t="s">
        <v>2335</v>
      </c>
      <c r="B604" s="12" t="s">
        <v>2336</v>
      </c>
      <c r="C604" s="13" t="s">
        <v>6862</v>
      </c>
      <c r="D604" s="12" t="s">
        <v>50</v>
      </c>
      <c r="E604" s="12"/>
      <c r="F604" s="12"/>
      <c r="G604" s="12"/>
      <c r="H604" s="12"/>
      <c r="I604" s="12" t="s">
        <v>2337</v>
      </c>
      <c r="J604" s="12" t="s">
        <v>2338</v>
      </c>
      <c r="K604" s="12" t="s">
        <v>2339</v>
      </c>
      <c r="L604" s="12"/>
      <c r="M604" s="12" t="str">
        <f>HYPERLINK("https://ceds.ed.gov/cedselementdetails.aspx?termid=10285")</f>
        <v>https://ceds.ed.gov/cedselementdetails.aspx?termid=10285</v>
      </c>
      <c r="N604" s="12" t="str">
        <f>HYPERLINK("https://ceds.ed.gov/elementComment.aspx?elementName=Disability Condition Status Type &amp;elementID=10285", "Click here to submit comment")</f>
        <v>Click here to submit comment</v>
      </c>
    </row>
    <row r="605" spans="1:14" ht="255" x14ac:dyDescent="0.25">
      <c r="A605" s="12" t="s">
        <v>2340</v>
      </c>
      <c r="B605" s="12" t="s">
        <v>2341</v>
      </c>
      <c r="C605" s="13" t="s">
        <v>6863</v>
      </c>
      <c r="D605" s="12" t="s">
        <v>6505</v>
      </c>
      <c r="E605" s="12"/>
      <c r="F605" s="12"/>
      <c r="G605" s="12"/>
      <c r="H605" s="12" t="s">
        <v>2342</v>
      </c>
      <c r="I605" s="12" t="s">
        <v>2343</v>
      </c>
      <c r="J605" s="12"/>
      <c r="K605" s="12" t="s">
        <v>2344</v>
      </c>
      <c r="L605" s="12"/>
      <c r="M605" s="12" t="str">
        <f>HYPERLINK("https://ceds.ed.gov/cedselementdetails.aspx?termid=10286")</f>
        <v>https://ceds.ed.gov/cedselementdetails.aspx?termid=10286</v>
      </c>
      <c r="N605" s="12" t="str">
        <f>HYPERLINK("https://ceds.ed.gov/elementComment.aspx?elementName=Disability Condition Type &amp;elementID=10286", "Click here to submit comment")</f>
        <v>Click here to submit comment</v>
      </c>
    </row>
    <row r="606" spans="1:14" ht="195" x14ac:dyDescent="0.25">
      <c r="A606" s="12" t="s">
        <v>2345</v>
      </c>
      <c r="B606" s="12" t="s">
        <v>2346</v>
      </c>
      <c r="C606" s="13" t="s">
        <v>6864</v>
      </c>
      <c r="D606" s="12" t="s">
        <v>6506</v>
      </c>
      <c r="E606" s="12"/>
      <c r="F606" s="12"/>
      <c r="G606" s="12"/>
      <c r="H606" s="12" t="s">
        <v>2342</v>
      </c>
      <c r="I606" s="12" t="s">
        <v>2347</v>
      </c>
      <c r="J606" s="12"/>
      <c r="K606" s="12" t="s">
        <v>2348</v>
      </c>
      <c r="L606" s="12"/>
      <c r="M606" s="12" t="str">
        <f>HYPERLINK("https://ceds.ed.gov/cedselementdetails.aspx?termid=10287")</f>
        <v>https://ceds.ed.gov/cedselementdetails.aspx?termid=10287</v>
      </c>
      <c r="N606" s="12" t="str">
        <f>HYPERLINK("https://ceds.ed.gov/elementComment.aspx?elementName=Disability Determination Source Type &amp;elementID=10287", "Click here to submit comment")</f>
        <v>Click here to submit comment</v>
      </c>
    </row>
    <row r="607" spans="1:14" ht="195" x14ac:dyDescent="0.25">
      <c r="A607" s="12" t="s">
        <v>2349</v>
      </c>
      <c r="B607" s="12" t="s">
        <v>2350</v>
      </c>
      <c r="C607" s="12" t="s">
        <v>6364</v>
      </c>
      <c r="D607" s="12" t="s">
        <v>6507</v>
      </c>
      <c r="E607" s="12"/>
      <c r="F607" s="12"/>
      <c r="G607" s="12"/>
      <c r="H607" s="12"/>
      <c r="I607" s="12" t="s">
        <v>2351</v>
      </c>
      <c r="J607" s="12"/>
      <c r="K607" s="12" t="s">
        <v>2352</v>
      </c>
      <c r="L607" s="12" t="s">
        <v>222</v>
      </c>
      <c r="M607" s="12" t="str">
        <f>HYPERLINK("https://ceds.ed.gov/cedselementdetails.aspx?termid=9569")</f>
        <v>https://ceds.ed.gov/cedselementdetails.aspx?termid=9569</v>
      </c>
      <c r="N607" s="12" t="str">
        <f>HYPERLINK("https://ceds.ed.gov/elementComment.aspx?elementName=Disability Status &amp;elementID=9569", "Click here to submit comment")</f>
        <v>Click here to submit comment</v>
      </c>
    </row>
    <row r="608" spans="1:14" ht="45" x14ac:dyDescent="0.25">
      <c r="A608" s="12" t="s">
        <v>2353</v>
      </c>
      <c r="B608" s="12" t="s">
        <v>2354</v>
      </c>
      <c r="C608" s="12" t="s">
        <v>12</v>
      </c>
      <c r="D608" s="12" t="s">
        <v>6508</v>
      </c>
      <c r="E608" s="12"/>
      <c r="F608" s="12" t="s">
        <v>73</v>
      </c>
      <c r="G608" s="12"/>
      <c r="H608" s="12"/>
      <c r="I608" s="12" t="s">
        <v>2355</v>
      </c>
      <c r="J608" s="12"/>
      <c r="K608" s="12" t="s">
        <v>2356</v>
      </c>
      <c r="L608" s="12" t="s">
        <v>4</v>
      </c>
      <c r="M608" s="12" t="str">
        <f>HYPERLINK("https://ceds.ed.gov/cedselementdetails.aspx?termid=9082")</f>
        <v>https://ceds.ed.gov/cedselementdetails.aspx?termid=9082</v>
      </c>
      <c r="N608" s="12" t="str">
        <f>HYPERLINK("https://ceds.ed.gov/elementComment.aspx?elementName=Disciplinary Action End Date &amp;elementID=9082", "Click here to submit comment")</f>
        <v>Click here to submit comment</v>
      </c>
    </row>
    <row r="609" spans="1:14" ht="75" x14ac:dyDescent="0.25">
      <c r="A609" s="12" t="s">
        <v>2357</v>
      </c>
      <c r="B609" s="12" t="s">
        <v>2358</v>
      </c>
      <c r="C609" s="12" t="s">
        <v>6364</v>
      </c>
      <c r="D609" s="12" t="s">
        <v>2359</v>
      </c>
      <c r="E609" s="12"/>
      <c r="F609" s="12"/>
      <c r="G609" s="12"/>
      <c r="H609" s="12"/>
      <c r="I609" s="12" t="s">
        <v>2360</v>
      </c>
      <c r="J609" s="12"/>
      <c r="K609" s="12" t="s">
        <v>2361</v>
      </c>
      <c r="L609" s="12"/>
      <c r="M609" s="12" t="str">
        <f>HYPERLINK("https://ceds.ed.gov/cedselementdetails.aspx?termid=10288")</f>
        <v>https://ceds.ed.gov/cedselementdetails.aspx?termid=10288</v>
      </c>
      <c r="N609" s="12" t="str">
        <f>HYPERLINK("https://ceds.ed.gov/elementComment.aspx?elementName=Disciplinary Action IEP Placement Meeting Indicator &amp;elementID=10288", "Click here to submit comment")</f>
        <v>Click here to submit comment</v>
      </c>
    </row>
    <row r="610" spans="1:14" ht="45" x14ac:dyDescent="0.25">
      <c r="A610" s="12" t="s">
        <v>2362</v>
      </c>
      <c r="B610" s="12" t="s">
        <v>2363</v>
      </c>
      <c r="C610" s="12" t="s">
        <v>12</v>
      </c>
      <c r="D610" s="12" t="s">
        <v>6508</v>
      </c>
      <c r="E610" s="12"/>
      <c r="F610" s="12" t="s">
        <v>73</v>
      </c>
      <c r="G610" s="12"/>
      <c r="H610" s="12"/>
      <c r="I610" s="12" t="s">
        <v>2364</v>
      </c>
      <c r="J610" s="12"/>
      <c r="K610" s="12" t="s">
        <v>2365</v>
      </c>
      <c r="L610" s="12" t="s">
        <v>4</v>
      </c>
      <c r="M610" s="12" t="str">
        <f>HYPERLINK("https://ceds.ed.gov/cedselementdetails.aspx?termid=9083")</f>
        <v>https://ceds.ed.gov/cedselementdetails.aspx?termid=9083</v>
      </c>
      <c r="N610" s="12" t="str">
        <f>HYPERLINK("https://ceds.ed.gov/elementComment.aspx?elementName=Disciplinary Action Start Date &amp;elementID=9083", "Click here to submit comment")</f>
        <v>Click here to submit comment</v>
      </c>
    </row>
    <row r="611" spans="1:14" ht="409.5" x14ac:dyDescent="0.25">
      <c r="A611" s="12" t="s">
        <v>2366</v>
      </c>
      <c r="B611" s="12" t="s">
        <v>2367</v>
      </c>
      <c r="C611" s="13" t="s">
        <v>6865</v>
      </c>
      <c r="D611" s="12" t="s">
        <v>6508</v>
      </c>
      <c r="E611" s="12"/>
      <c r="F611" s="12"/>
      <c r="G611" s="12"/>
      <c r="H611" s="12"/>
      <c r="I611" s="12" t="s">
        <v>2368</v>
      </c>
      <c r="J611" s="12"/>
      <c r="K611" s="12" t="s">
        <v>2369</v>
      </c>
      <c r="L611" s="12" t="s">
        <v>4</v>
      </c>
      <c r="M611" s="12" t="str">
        <f>HYPERLINK("https://ceds.ed.gov/cedselementdetails.aspx?termid=9479")</f>
        <v>https://ceds.ed.gov/cedselementdetails.aspx?termid=9479</v>
      </c>
      <c r="N611" s="12" t="str">
        <f>HYPERLINK("https://ceds.ed.gov/elementComment.aspx?elementName=Disciplinary Action Taken &amp;elementID=9479", "Click here to submit comment")</f>
        <v>Click here to submit comment</v>
      </c>
    </row>
    <row r="612" spans="1:14" ht="300" x14ac:dyDescent="0.25">
      <c r="A612" s="12" t="s">
        <v>2370</v>
      </c>
      <c r="B612" s="12" t="s">
        <v>2371</v>
      </c>
      <c r="C612" s="13" t="s">
        <v>6866</v>
      </c>
      <c r="D612" s="12" t="s">
        <v>6508</v>
      </c>
      <c r="E612" s="12"/>
      <c r="F612" s="12"/>
      <c r="G612" s="12"/>
      <c r="H612" s="12"/>
      <c r="I612" s="12" t="s">
        <v>2372</v>
      </c>
      <c r="J612" s="12"/>
      <c r="K612" s="12" t="s">
        <v>2373</v>
      </c>
      <c r="L612" s="12"/>
      <c r="M612" s="12" t="str">
        <f>HYPERLINK("https://ceds.ed.gov/cedselementdetails.aspx?termid=9602")</f>
        <v>https://ceds.ed.gov/cedselementdetails.aspx?termid=9602</v>
      </c>
      <c r="N612" s="12" t="str">
        <f>HYPERLINK("https://ceds.ed.gov/elementComment.aspx?elementName=Discipline Action Length Difference Reason &amp;elementID=9602", "Click here to submit comment")</f>
        <v>Click here to submit comment</v>
      </c>
    </row>
    <row r="613" spans="1:14" ht="255" x14ac:dyDescent="0.25">
      <c r="A613" s="12" t="s">
        <v>2374</v>
      </c>
      <c r="B613" s="12" t="s">
        <v>2375</v>
      </c>
      <c r="C613" s="13" t="s">
        <v>6867</v>
      </c>
      <c r="D613" s="12" t="s">
        <v>2376</v>
      </c>
      <c r="E613" s="12"/>
      <c r="F613" s="12"/>
      <c r="G613" s="12"/>
      <c r="H613" s="12"/>
      <c r="I613" s="12" t="s">
        <v>2377</v>
      </c>
      <c r="J613" s="12"/>
      <c r="K613" s="12" t="s">
        <v>2378</v>
      </c>
      <c r="L613" s="12" t="s">
        <v>222</v>
      </c>
      <c r="M613" s="12" t="str">
        <f>HYPERLINK("https://ceds.ed.gov/cedselementdetails.aspx?termid=9546")</f>
        <v>https://ceds.ed.gov/cedselementdetails.aspx?termid=9546</v>
      </c>
      <c r="N613" s="12" t="str">
        <f>HYPERLINK("https://ceds.ed.gov/elementComment.aspx?elementName=Discipline Method for Firearms Incidents &amp;elementID=9546", "Click here to submit comment")</f>
        <v>Click here to submit comment</v>
      </c>
    </row>
    <row r="614" spans="1:14" ht="60" x14ac:dyDescent="0.25">
      <c r="A614" s="12" t="s">
        <v>2379</v>
      </c>
      <c r="B614" s="12" t="s">
        <v>2380</v>
      </c>
      <c r="C614" s="13" t="s">
        <v>6868</v>
      </c>
      <c r="D614" s="12" t="s">
        <v>2376</v>
      </c>
      <c r="E614" s="12"/>
      <c r="F614" s="12"/>
      <c r="G614" s="12"/>
      <c r="H614" s="12"/>
      <c r="I614" s="12" t="s">
        <v>2381</v>
      </c>
      <c r="J614" s="12"/>
      <c r="K614" s="12" t="s">
        <v>2382</v>
      </c>
      <c r="L614" s="12" t="s">
        <v>222</v>
      </c>
      <c r="M614" s="12" t="str">
        <f>HYPERLINK("https://ceds.ed.gov/cedselementdetails.aspx?termid=9529")</f>
        <v>https://ceds.ed.gov/cedselementdetails.aspx?termid=9529</v>
      </c>
      <c r="N614" s="12" t="str">
        <f>HYPERLINK("https://ceds.ed.gov/elementComment.aspx?elementName=Discipline Method of Children with Disabilities &amp;elementID=9529", "Click here to submit comment")</f>
        <v>Click here to submit comment</v>
      </c>
    </row>
    <row r="615" spans="1:14" ht="180" x14ac:dyDescent="0.25">
      <c r="A615" s="12" t="s">
        <v>2383</v>
      </c>
      <c r="B615" s="12" t="s">
        <v>2384</v>
      </c>
      <c r="C615" s="13" t="s">
        <v>6869</v>
      </c>
      <c r="D615" s="12" t="s">
        <v>6508</v>
      </c>
      <c r="E615" s="12"/>
      <c r="F615" s="12"/>
      <c r="G615" s="12"/>
      <c r="H615" s="12"/>
      <c r="I615" s="12" t="s">
        <v>2385</v>
      </c>
      <c r="J615" s="12"/>
      <c r="K615" s="12" t="s">
        <v>2386</v>
      </c>
      <c r="L615" s="12" t="s">
        <v>222</v>
      </c>
      <c r="M615" s="12" t="str">
        <f>HYPERLINK("https://ceds.ed.gov/cedselementdetails.aspx?termid=9536")</f>
        <v>https://ceds.ed.gov/cedselementdetails.aspx?termid=9536</v>
      </c>
      <c r="N615" s="12" t="str">
        <f>HYPERLINK("https://ceds.ed.gov/elementComment.aspx?elementName=Discipline Reason &amp;elementID=9536", "Click here to submit comment")</f>
        <v>Click here to submit comment</v>
      </c>
    </row>
    <row r="616" spans="1:14" ht="135" x14ac:dyDescent="0.25">
      <c r="A616" s="12" t="s">
        <v>2387</v>
      </c>
      <c r="B616" s="12" t="s">
        <v>2388</v>
      </c>
      <c r="C616" s="12" t="s">
        <v>6364</v>
      </c>
      <c r="D616" s="12" t="s">
        <v>2389</v>
      </c>
      <c r="E616" s="12"/>
      <c r="F616" s="12"/>
      <c r="G616" s="12"/>
      <c r="H616" s="12"/>
      <c r="I616" s="12" t="s">
        <v>2390</v>
      </c>
      <c r="J616" s="12"/>
      <c r="K616" s="12" t="s">
        <v>2391</v>
      </c>
      <c r="L616" s="12"/>
      <c r="M616" s="12" t="str">
        <f>HYPERLINK("https://ceds.ed.gov/cedselementdetails.aspx?termid=9759")</f>
        <v>https://ceds.ed.gov/cedselementdetails.aspx?termid=9759</v>
      </c>
      <c r="N616" s="12" t="str">
        <f>HYPERLINK("https://ceds.ed.gov/elementComment.aspx?elementName=Dislocated Worker Status &amp;elementID=9759", "Click here to submit comment")</f>
        <v>Click here to submit comment</v>
      </c>
    </row>
    <row r="617" spans="1:14" ht="45" x14ac:dyDescent="0.25">
      <c r="A617" s="12" t="s">
        <v>2392</v>
      </c>
      <c r="B617" s="12" t="s">
        <v>2393</v>
      </c>
      <c r="C617" s="12" t="s">
        <v>6364</v>
      </c>
      <c r="D617" s="12" t="s">
        <v>2394</v>
      </c>
      <c r="E617" s="12"/>
      <c r="F617" s="12"/>
      <c r="G617" s="12"/>
      <c r="H617" s="12"/>
      <c r="I617" s="12" t="s">
        <v>2395</v>
      </c>
      <c r="J617" s="12"/>
      <c r="K617" s="12" t="s">
        <v>2396</v>
      </c>
      <c r="L617" s="12"/>
      <c r="M617" s="12" t="str">
        <f>HYPERLINK("https://ceds.ed.gov/cedselementdetails.aspx?termid=9603")</f>
        <v>https://ceds.ed.gov/cedselementdetails.aspx?termid=9603</v>
      </c>
      <c r="N617" s="12" t="str">
        <f>HYPERLINK("https://ceds.ed.gov/elementComment.aspx?elementName=Displaced Student Status &amp;elementID=9603", "Click here to submit comment")</f>
        <v>Click here to submit comment</v>
      </c>
    </row>
    <row r="618" spans="1:14" ht="345" x14ac:dyDescent="0.25">
      <c r="A618" s="12" t="s">
        <v>2397</v>
      </c>
      <c r="B618" s="12" t="s">
        <v>2398</v>
      </c>
      <c r="C618" s="13" t="s">
        <v>6870</v>
      </c>
      <c r="D618" s="12" t="s">
        <v>2399</v>
      </c>
      <c r="E618" s="12"/>
      <c r="F618" s="12"/>
      <c r="G618" s="12"/>
      <c r="H618" s="12" t="s">
        <v>2400</v>
      </c>
      <c r="I618" s="12" t="s">
        <v>2401</v>
      </c>
      <c r="J618" s="12"/>
      <c r="K618" s="12" t="s">
        <v>2402</v>
      </c>
      <c r="L618" s="12" t="s">
        <v>2403</v>
      </c>
      <c r="M618" s="12" t="str">
        <f>HYPERLINK("https://ceds.ed.gov/cedselementdetails.aspx?termid=9704")</f>
        <v>https://ceds.ed.gov/cedselementdetails.aspx?termid=9704</v>
      </c>
      <c r="N618" s="12" t="str">
        <f>HYPERLINK("https://ceds.ed.gov/elementComment.aspx?elementName=Distance Education Course Enrollment &amp;elementID=9704", "Click here to submit comment")</f>
        <v>Click here to submit comment</v>
      </c>
    </row>
    <row r="619" spans="1:14" ht="180" x14ac:dyDescent="0.25">
      <c r="A619" s="12" t="s">
        <v>2404</v>
      </c>
      <c r="B619" s="12" t="s">
        <v>2405</v>
      </c>
      <c r="C619" s="12" t="s">
        <v>6364</v>
      </c>
      <c r="D619" s="12" t="s">
        <v>6509</v>
      </c>
      <c r="E619" s="12"/>
      <c r="F619" s="12"/>
      <c r="G619" s="12"/>
      <c r="H619" s="12" t="s">
        <v>2400</v>
      </c>
      <c r="I619" s="12" t="s">
        <v>2406</v>
      </c>
      <c r="J619" s="12"/>
      <c r="K619" s="12" t="s">
        <v>2407</v>
      </c>
      <c r="L619" s="12"/>
      <c r="M619" s="12" t="str">
        <f>HYPERLINK("https://ceds.ed.gov/cedselementdetails.aspx?termid=10289")</f>
        <v>https://ceds.ed.gov/cedselementdetails.aspx?termid=10289</v>
      </c>
      <c r="N619" s="12" t="str">
        <f>HYPERLINK("https://ceds.ed.gov/elementComment.aspx?elementName=Distance Education Program Enrollment Indicator &amp;elementID=10289", "Click here to submit comment")</f>
        <v>Click here to submit comment</v>
      </c>
    </row>
    <row r="620" spans="1:14" ht="75" x14ac:dyDescent="0.25">
      <c r="A620" s="12" t="s">
        <v>2408</v>
      </c>
      <c r="B620" s="12" t="s">
        <v>2409</v>
      </c>
      <c r="C620" s="13" t="s">
        <v>6871</v>
      </c>
      <c r="D620" s="12" t="s">
        <v>2410</v>
      </c>
      <c r="E620" s="12"/>
      <c r="F620" s="12"/>
      <c r="G620" s="12"/>
      <c r="H620" s="12"/>
      <c r="I620" s="12" t="s">
        <v>2411</v>
      </c>
      <c r="J620" s="12"/>
      <c r="K620" s="12" t="s">
        <v>2412</v>
      </c>
      <c r="L620" s="12"/>
      <c r="M620" s="12" t="str">
        <f>HYPERLINK("https://ceds.ed.gov/cedselementdetails.aspx?termid=10290")</f>
        <v>https://ceds.ed.gov/cedselementdetails.aspx?termid=10290</v>
      </c>
      <c r="N620" s="12" t="str">
        <f>HYPERLINK("https://ceds.ed.gov/elementComment.aspx?elementName=Doctoral Candidacy Admit Indicator &amp;elementID=10290", "Click here to submit comment")</f>
        <v>Click here to submit comment</v>
      </c>
    </row>
    <row r="621" spans="1:14" ht="45" x14ac:dyDescent="0.25">
      <c r="A621" s="12" t="s">
        <v>2413</v>
      </c>
      <c r="B621" s="12" t="s">
        <v>2414</v>
      </c>
      <c r="C621" s="12" t="s">
        <v>12</v>
      </c>
      <c r="D621" s="12" t="s">
        <v>2410</v>
      </c>
      <c r="E621" s="12"/>
      <c r="F621" s="12" t="s">
        <v>73</v>
      </c>
      <c r="G621" s="12"/>
      <c r="H621" s="12"/>
      <c r="I621" s="12" t="s">
        <v>2415</v>
      </c>
      <c r="J621" s="12"/>
      <c r="K621" s="12" t="s">
        <v>2416</v>
      </c>
      <c r="L621" s="12"/>
      <c r="M621" s="12" t="str">
        <f>HYPERLINK("https://ceds.ed.gov/cedselementdetails.aspx?termid=10291")</f>
        <v>https://ceds.ed.gov/cedselementdetails.aspx?termid=10291</v>
      </c>
      <c r="N621" s="12" t="str">
        <f>HYPERLINK("https://ceds.ed.gov/elementComment.aspx?elementName=Doctoral Candidacy Date &amp;elementID=10291", "Click here to submit comment")</f>
        <v>Click here to submit comment</v>
      </c>
    </row>
    <row r="622" spans="1:14" ht="60" x14ac:dyDescent="0.25">
      <c r="A622" s="12" t="s">
        <v>2417</v>
      </c>
      <c r="B622" s="12" t="s">
        <v>2418</v>
      </c>
      <c r="C622" s="12" t="s">
        <v>12</v>
      </c>
      <c r="D622" s="12" t="s">
        <v>2410</v>
      </c>
      <c r="E622" s="12"/>
      <c r="F622" s="12" t="s">
        <v>73</v>
      </c>
      <c r="G622" s="12"/>
      <c r="H622" s="12"/>
      <c r="I622" s="12" t="s">
        <v>2419</v>
      </c>
      <c r="J622" s="12"/>
      <c r="K622" s="12" t="s">
        <v>2420</v>
      </c>
      <c r="L622" s="12"/>
      <c r="M622" s="12" t="str">
        <f>HYPERLINK("https://ceds.ed.gov/cedselementdetails.aspx?termid=10292")</f>
        <v>https://ceds.ed.gov/cedselementdetails.aspx?termid=10292</v>
      </c>
      <c r="N622" s="12" t="str">
        <f>HYPERLINK("https://ceds.ed.gov/elementComment.aspx?elementName=Doctoral Exam Taken Date &amp;elementID=10292", "Click here to submit comment")</f>
        <v>Click here to submit comment</v>
      </c>
    </row>
    <row r="623" spans="1:14" ht="135" x14ac:dyDescent="0.25">
      <c r="A623" s="12" t="s">
        <v>2421</v>
      </c>
      <c r="B623" s="12" t="s">
        <v>2422</v>
      </c>
      <c r="C623" s="13" t="s">
        <v>6872</v>
      </c>
      <c r="D623" s="12" t="s">
        <v>2410</v>
      </c>
      <c r="E623" s="12"/>
      <c r="F623" s="12"/>
      <c r="G623" s="12"/>
      <c r="H623" s="12"/>
      <c r="I623" s="12" t="s">
        <v>2423</v>
      </c>
      <c r="J623" s="12"/>
      <c r="K623" s="12" t="s">
        <v>2424</v>
      </c>
      <c r="L623" s="12"/>
      <c r="M623" s="12" t="str">
        <f>HYPERLINK("https://ceds.ed.gov/cedselementdetails.aspx?termid=10293")</f>
        <v>https://ceds.ed.gov/cedselementdetails.aspx?termid=10293</v>
      </c>
      <c r="N623" s="12" t="str">
        <f>HYPERLINK("https://ceds.ed.gov/elementComment.aspx?elementName=Doctoral Exams Required Type &amp;elementID=10293", "Click here to submit comment")</f>
        <v>Click here to submit comment</v>
      </c>
    </row>
    <row r="624" spans="1:14" ht="270" x14ac:dyDescent="0.25">
      <c r="A624" s="12" t="s">
        <v>2425</v>
      </c>
      <c r="B624" s="12" t="s">
        <v>2426</v>
      </c>
      <c r="C624" s="13" t="s">
        <v>6873</v>
      </c>
      <c r="D624" s="12" t="s">
        <v>6510</v>
      </c>
      <c r="E624" s="12" t="s">
        <v>1498</v>
      </c>
      <c r="F624" s="12"/>
      <c r="G624" s="12"/>
      <c r="H624" s="14" t="s">
        <v>2427</v>
      </c>
      <c r="I624" s="12" t="s">
        <v>2428</v>
      </c>
      <c r="J624" s="12"/>
      <c r="K624" s="12" t="s">
        <v>2429</v>
      </c>
      <c r="L624" s="12"/>
      <c r="M624" s="12" t="str">
        <f>HYPERLINK("https://ceds.ed.gov/cedselementdetails.aspx?termid=10622")</f>
        <v>https://ceds.ed.gov/cedselementdetails.aspx?termid=10622</v>
      </c>
      <c r="N624" s="12" t="str">
        <f>HYPERLINK("https://ceds.ed.gov/elementComment.aspx?elementName=DQP Categories of Learning &amp;elementID=10622", "Click here to submit comment")</f>
        <v>Click here to submit comment</v>
      </c>
    </row>
    <row r="625" spans="1:14" ht="75" x14ac:dyDescent="0.25">
      <c r="A625" s="12" t="s">
        <v>2430</v>
      </c>
      <c r="B625" s="12" t="s">
        <v>2431</v>
      </c>
      <c r="C625" s="12" t="s">
        <v>12</v>
      </c>
      <c r="D625" s="12" t="s">
        <v>316</v>
      </c>
      <c r="E625" s="12"/>
      <c r="F625" s="12" t="s">
        <v>1554</v>
      </c>
      <c r="G625" s="12"/>
      <c r="H625" s="12"/>
      <c r="I625" s="12" t="s">
        <v>2432</v>
      </c>
      <c r="J625" s="12"/>
      <c r="K625" s="12" t="s">
        <v>2433</v>
      </c>
      <c r="L625" s="12" t="s">
        <v>25</v>
      </c>
      <c r="M625" s="12" t="str">
        <f>HYPERLINK("https://ceds.ed.gov/cedselementdetails.aspx?termid=9085")</f>
        <v>https://ceds.ed.gov/cedselementdetails.aspx?termid=9085</v>
      </c>
      <c r="N625" s="12" t="str">
        <f>HYPERLINK("https://ceds.ed.gov/elementComment.aspx?elementName=Dual Credit Dual Enrollment Credits Awarded &amp;elementID=9085", "Click here to submit comment")</f>
        <v>Click here to submit comment</v>
      </c>
    </row>
    <row r="626" spans="1:14" ht="45" x14ac:dyDescent="0.25">
      <c r="A626" s="12" t="s">
        <v>2434</v>
      </c>
      <c r="B626" s="12" t="s">
        <v>2435</v>
      </c>
      <c r="C626" s="12" t="s">
        <v>12</v>
      </c>
      <c r="D626" s="12" t="s">
        <v>6508</v>
      </c>
      <c r="E626" s="12"/>
      <c r="F626" s="12" t="s">
        <v>1554</v>
      </c>
      <c r="G626" s="12"/>
      <c r="H626" s="12"/>
      <c r="I626" s="12" t="s">
        <v>2436</v>
      </c>
      <c r="J626" s="12"/>
      <c r="K626" s="12" t="s">
        <v>2437</v>
      </c>
      <c r="L626" s="12"/>
      <c r="M626" s="12" t="str">
        <f>HYPERLINK("https://ceds.ed.gov/cedselementdetails.aspx?termid=9502")</f>
        <v>https://ceds.ed.gov/cedselementdetails.aspx?termid=9502</v>
      </c>
      <c r="N626" s="12" t="str">
        <f>HYPERLINK("https://ceds.ed.gov/elementComment.aspx?elementName=Duration of Disciplinary Action &amp;elementID=9502", "Click here to submit comment")</f>
        <v>Click here to submit comment</v>
      </c>
    </row>
    <row r="627" spans="1:14" ht="180" x14ac:dyDescent="0.25">
      <c r="A627" s="12" t="s">
        <v>2438</v>
      </c>
      <c r="B627" s="12" t="s">
        <v>2439</v>
      </c>
      <c r="C627" s="13" t="s">
        <v>6874</v>
      </c>
      <c r="D627" s="12" t="s">
        <v>1750</v>
      </c>
      <c r="E627" s="12"/>
      <c r="F627" s="12"/>
      <c r="G627" s="12"/>
      <c r="H627" s="12"/>
      <c r="I627" s="12" t="s">
        <v>2440</v>
      </c>
      <c r="J627" s="12"/>
      <c r="K627" s="12" t="s">
        <v>2441</v>
      </c>
      <c r="L627" s="12" t="s">
        <v>6495</v>
      </c>
      <c r="M627" s="12" t="str">
        <f>HYPERLINK("https://ceds.ed.gov/cedselementdetails.aspx?termid=9344")</f>
        <v>https://ceds.ed.gov/cedselementdetails.aspx?termid=9344</v>
      </c>
      <c r="N627" s="12" t="str">
        <f>HYPERLINK("https://ceds.ed.gov/elementComment.aspx?elementName=Early Childhood Credential &amp;elementID=9344", "Click here to submit comment")</f>
        <v>Click here to submit comment</v>
      </c>
    </row>
    <row r="628" spans="1:14" ht="45" x14ac:dyDescent="0.25">
      <c r="A628" s="12" t="s">
        <v>2442</v>
      </c>
      <c r="B628" s="12" t="s">
        <v>2443</v>
      </c>
      <c r="C628" s="12" t="s">
        <v>6364</v>
      </c>
      <c r="D628" s="12" t="s">
        <v>2444</v>
      </c>
      <c r="E628" s="12"/>
      <c r="F628" s="12"/>
      <c r="G628" s="12"/>
      <c r="H628" s="12"/>
      <c r="I628" s="12" t="s">
        <v>2445</v>
      </c>
      <c r="J628" s="12"/>
      <c r="K628" s="12" t="s">
        <v>2446</v>
      </c>
      <c r="L628" s="12" t="s">
        <v>205</v>
      </c>
      <c r="M628" s="12" t="str">
        <f>HYPERLINK("https://ceds.ed.gov/cedselementdetails.aspx?termid=9786")</f>
        <v>https://ceds.ed.gov/cedselementdetails.aspx?termid=9786</v>
      </c>
      <c r="N628" s="12" t="str">
        <f>HYPERLINK("https://ceds.ed.gov/elementComment.aspx?elementName=Early Childhood Degree or Certificate Holder &amp;elementID=9786", "Click here to submit comment")</f>
        <v>Click here to submit comment</v>
      </c>
    </row>
    <row r="629" spans="1:14" ht="60" x14ac:dyDescent="0.25">
      <c r="A629" s="12" t="s">
        <v>2447</v>
      </c>
      <c r="B629" s="12" t="s">
        <v>2448</v>
      </c>
      <c r="C629" s="12" t="s">
        <v>6364</v>
      </c>
      <c r="D629" s="12" t="s">
        <v>2449</v>
      </c>
      <c r="E629" s="12"/>
      <c r="F629" s="12"/>
      <c r="G629" s="12"/>
      <c r="H629" s="12"/>
      <c r="I629" s="12" t="s">
        <v>2450</v>
      </c>
      <c r="J629" s="12"/>
      <c r="K629" s="12" t="s">
        <v>2451</v>
      </c>
      <c r="L629" s="12"/>
      <c r="M629" s="12" t="str">
        <f>HYPERLINK("https://ceds.ed.gov/cedselementdetails.aspx?termid=10570")</f>
        <v>https://ceds.ed.gov/cedselementdetails.aspx?termid=10570</v>
      </c>
      <c r="N629" s="12" t="str">
        <f>HYPERLINK("https://ceds.ed.gov/elementComment.aspx?elementName=Early Childhood Education and Assistance Program Eligibility &amp;elementID=10570", "Click here to submit comment")</f>
        <v>Click here to submit comment</v>
      </c>
    </row>
    <row r="630" spans="1:14" ht="210" x14ac:dyDescent="0.25">
      <c r="A630" s="12" t="s">
        <v>2452</v>
      </c>
      <c r="B630" s="12" t="s">
        <v>2453</v>
      </c>
      <c r="C630" s="13" t="s">
        <v>6875</v>
      </c>
      <c r="D630" s="12" t="s">
        <v>6462</v>
      </c>
      <c r="E630" s="12"/>
      <c r="F630" s="12"/>
      <c r="G630" s="12"/>
      <c r="H630" s="12"/>
      <c r="I630" s="12" t="s">
        <v>2454</v>
      </c>
      <c r="J630" s="12"/>
      <c r="K630" s="12" t="s">
        <v>2455</v>
      </c>
      <c r="L630" s="12" t="s">
        <v>64</v>
      </c>
      <c r="M630" s="12" t="str">
        <f>HYPERLINK("https://ceds.ed.gov/cedselementdetails.aspx?termid=9829")</f>
        <v>https://ceds.ed.gov/cedselementdetails.aspx?termid=9829</v>
      </c>
      <c r="N630" s="12" t="str">
        <f>HYPERLINK("https://ceds.ed.gov/elementComment.aspx?elementName=Early Childhood Program Enrollment Type &amp;elementID=9829", "Click here to submit comment")</f>
        <v>Click here to submit comment</v>
      </c>
    </row>
    <row r="631" spans="1:14" ht="345" x14ac:dyDescent="0.25">
      <c r="A631" s="12" t="s">
        <v>2456</v>
      </c>
      <c r="B631" s="12" t="s">
        <v>2457</v>
      </c>
      <c r="C631" s="13" t="s">
        <v>6876</v>
      </c>
      <c r="D631" s="12" t="s">
        <v>2449</v>
      </c>
      <c r="E631" s="12"/>
      <c r="F631" s="12"/>
      <c r="G631" s="12"/>
      <c r="H631" s="12"/>
      <c r="I631" s="12" t="s">
        <v>2458</v>
      </c>
      <c r="J631" s="12"/>
      <c r="K631" s="12" t="s">
        <v>2459</v>
      </c>
      <c r="L631" s="12"/>
      <c r="M631" s="12" t="str">
        <f>HYPERLINK("https://ceds.ed.gov/cedselementdetails.aspx?termid=10529")</f>
        <v>https://ceds.ed.gov/cedselementdetails.aspx?termid=10529</v>
      </c>
      <c r="N631" s="12" t="str">
        <f>HYPERLINK("https://ceds.ed.gov/elementComment.aspx?elementName=Early Childhood Services Offered &amp;elementID=10529", "Click here to submit comment")</f>
        <v>Click here to submit comment</v>
      </c>
    </row>
    <row r="632" spans="1:14" ht="345" x14ac:dyDescent="0.25">
      <c r="A632" s="12" t="s">
        <v>2460</v>
      </c>
      <c r="B632" s="12" t="s">
        <v>2461</v>
      </c>
      <c r="C632" s="13" t="s">
        <v>6876</v>
      </c>
      <c r="D632" s="12" t="s">
        <v>2449</v>
      </c>
      <c r="E632" s="12"/>
      <c r="F632" s="12"/>
      <c r="G632" s="12"/>
      <c r="H632" s="12"/>
      <c r="I632" s="12" t="s">
        <v>2462</v>
      </c>
      <c r="J632" s="12"/>
      <c r="K632" s="12" t="s">
        <v>2463</v>
      </c>
      <c r="L632" s="12" t="s">
        <v>1759</v>
      </c>
      <c r="M632" s="12" t="str">
        <f>HYPERLINK("https://ceds.ed.gov/cedselementdetails.aspx?termid=9321")</f>
        <v>https://ceds.ed.gov/cedselementdetails.aspx?termid=9321</v>
      </c>
      <c r="N632" s="12" t="str">
        <f>HYPERLINK("https://ceds.ed.gov/elementComment.aspx?elementName=Early Childhood Services Received &amp;elementID=9321", "Click here to submit comment")</f>
        <v>Click here to submit comment</v>
      </c>
    </row>
    <row r="633" spans="1:14" ht="195" x14ac:dyDescent="0.25">
      <c r="A633" s="12" t="s">
        <v>2464</v>
      </c>
      <c r="B633" s="12" t="s">
        <v>2465</v>
      </c>
      <c r="C633" s="13" t="s">
        <v>6877</v>
      </c>
      <c r="D633" s="12" t="s">
        <v>6492</v>
      </c>
      <c r="E633" s="12"/>
      <c r="F633" s="12"/>
      <c r="G633" s="12"/>
      <c r="H633" s="12"/>
      <c r="I633" s="12" t="s">
        <v>2466</v>
      </c>
      <c r="J633" s="12"/>
      <c r="K633" s="12" t="s">
        <v>2467</v>
      </c>
      <c r="L633" s="12" t="s">
        <v>6493</v>
      </c>
      <c r="M633" s="12" t="str">
        <f>HYPERLINK("https://ceds.ed.gov/cedselementdetails.aspx?termid=9355")</f>
        <v>https://ceds.ed.gov/cedselementdetails.aspx?termid=9355</v>
      </c>
      <c r="N633" s="12" t="str">
        <f>HYPERLINK("https://ceds.ed.gov/elementComment.aspx?elementName=Early Childhood Setting &amp;elementID=9355", "Click here to submit comment")</f>
        <v>Click here to submit comment</v>
      </c>
    </row>
    <row r="634" spans="1:14" ht="105" x14ac:dyDescent="0.25">
      <c r="A634" s="18" t="s">
        <v>2468</v>
      </c>
      <c r="B634" s="18" t="s">
        <v>2469</v>
      </c>
      <c r="C634" s="18" t="s">
        <v>12</v>
      </c>
      <c r="D634" s="18" t="s">
        <v>2470</v>
      </c>
      <c r="E634" s="18"/>
      <c r="F634" s="18" t="s">
        <v>142</v>
      </c>
      <c r="G634" s="18"/>
      <c r="H634" s="12" t="s">
        <v>143</v>
      </c>
      <c r="I634" s="18" t="s">
        <v>2471</v>
      </c>
      <c r="J634" s="18"/>
      <c r="K634" s="18" t="s">
        <v>2472</v>
      </c>
      <c r="L634" s="18"/>
      <c r="M634" s="18" t="str">
        <f>HYPERLINK("https://ceds.ed.gov/cedselementdetails.aspx?termid=10576")</f>
        <v>https://ceds.ed.gov/cedselementdetails.aspx?termid=10576</v>
      </c>
      <c r="N634" s="18" t="str">
        <f>HYPERLINK("https://ceds.ed.gov/elementComment.aspx?elementName=Early Learning Application Identifier &amp;elementID=10576", "Click here to submit comment")</f>
        <v>Click here to submit comment</v>
      </c>
    </row>
    <row r="635" spans="1:14" x14ac:dyDescent="0.25">
      <c r="A635" s="18"/>
      <c r="B635" s="18"/>
      <c r="C635" s="18"/>
      <c r="D635" s="18"/>
      <c r="E635" s="18"/>
      <c r="F635" s="18"/>
      <c r="G635" s="18"/>
      <c r="H635" s="12"/>
      <c r="I635" s="18"/>
      <c r="J635" s="18"/>
      <c r="K635" s="18"/>
      <c r="L635" s="18"/>
      <c r="M635" s="18"/>
      <c r="N635" s="18"/>
    </row>
    <row r="636" spans="1:14" ht="90" x14ac:dyDescent="0.25">
      <c r="A636" s="18"/>
      <c r="B636" s="18"/>
      <c r="C636" s="18"/>
      <c r="D636" s="18"/>
      <c r="E636" s="18"/>
      <c r="F636" s="18"/>
      <c r="G636" s="18"/>
      <c r="H636" s="12" t="s">
        <v>144</v>
      </c>
      <c r="I636" s="18"/>
      <c r="J636" s="18"/>
      <c r="K636" s="18"/>
      <c r="L636" s="18"/>
      <c r="M636" s="18"/>
      <c r="N636" s="18"/>
    </row>
    <row r="637" spans="1:14" ht="45" x14ac:dyDescent="0.25">
      <c r="A637" s="12" t="s">
        <v>2473</v>
      </c>
      <c r="B637" s="12" t="s">
        <v>2474</v>
      </c>
      <c r="C637" s="12" t="s">
        <v>6364</v>
      </c>
      <c r="D637" s="12" t="s">
        <v>2470</v>
      </c>
      <c r="E637" s="12"/>
      <c r="F637" s="12"/>
      <c r="G637" s="12"/>
      <c r="H637" s="12"/>
      <c r="I637" s="12" t="s">
        <v>2475</v>
      </c>
      <c r="J637" s="12"/>
      <c r="K637" s="12" t="s">
        <v>2476</v>
      </c>
      <c r="L637" s="12"/>
      <c r="M637" s="12" t="str">
        <f>HYPERLINK("https://ceds.ed.gov/cedselementdetails.aspx?termid=10578")</f>
        <v>https://ceds.ed.gov/cedselementdetails.aspx?termid=10578</v>
      </c>
      <c r="N637" s="12" t="str">
        <f>HYPERLINK("https://ceds.ed.gov/elementComment.aspx?elementName=Early Learning Application Required Document &amp;elementID=10578", "Click here to submit comment")</f>
        <v>Click here to submit comment</v>
      </c>
    </row>
    <row r="638" spans="1:14" ht="180" x14ac:dyDescent="0.25">
      <c r="A638" s="12" t="s">
        <v>2477</v>
      </c>
      <c r="B638" s="12" t="s">
        <v>2478</v>
      </c>
      <c r="C638" s="13" t="s">
        <v>6878</v>
      </c>
      <c r="D638" s="12" t="s">
        <v>2479</v>
      </c>
      <c r="E638" s="12"/>
      <c r="F638" s="12" t="s">
        <v>99</v>
      </c>
      <c r="G638" s="12"/>
      <c r="H638" s="12"/>
      <c r="I638" s="12" t="s">
        <v>2480</v>
      </c>
      <c r="J638" s="12"/>
      <c r="K638" s="12" t="s">
        <v>2481</v>
      </c>
      <c r="L638" s="12" t="s">
        <v>64</v>
      </c>
      <c r="M638" s="12" t="str">
        <f>HYPERLINK("https://ceds.ed.gov/cedselementdetails.aspx?termid=9822")</f>
        <v>https://ceds.ed.gov/cedselementdetails.aspx?termid=9822</v>
      </c>
      <c r="N638" s="12" t="str">
        <f>HYPERLINK("https://ceds.ed.gov/elementComment.aspx?elementName=Early Learning Class Group Curriculum Type &amp;elementID=9822", "Click here to submit comment")</f>
        <v>Click here to submit comment</v>
      </c>
    </row>
    <row r="639" spans="1:14" ht="105" x14ac:dyDescent="0.25">
      <c r="A639" s="18" t="s">
        <v>2482</v>
      </c>
      <c r="B639" s="18" t="s">
        <v>2483</v>
      </c>
      <c r="C639" s="18" t="s">
        <v>12</v>
      </c>
      <c r="D639" s="18" t="s">
        <v>2479</v>
      </c>
      <c r="E639" s="18"/>
      <c r="F639" s="18" t="s">
        <v>142</v>
      </c>
      <c r="G639" s="18"/>
      <c r="H639" s="12" t="s">
        <v>143</v>
      </c>
      <c r="I639" s="18" t="s">
        <v>2484</v>
      </c>
      <c r="J639" s="18"/>
      <c r="K639" s="18" t="s">
        <v>2485</v>
      </c>
      <c r="L639" s="18" t="s">
        <v>6450</v>
      </c>
      <c r="M639" s="18" t="str">
        <f>HYPERLINK("https://ceds.ed.gov/cedselementdetails.aspx?termid=9819")</f>
        <v>https://ceds.ed.gov/cedselementdetails.aspx?termid=9819</v>
      </c>
      <c r="N639" s="18" t="str">
        <f>HYPERLINK("https://ceds.ed.gov/elementComment.aspx?elementName=Early Learning Class Group Identifier &amp;elementID=9819", "Click here to submit comment")</f>
        <v>Click here to submit comment</v>
      </c>
    </row>
    <row r="640" spans="1:14" x14ac:dyDescent="0.25">
      <c r="A640" s="18"/>
      <c r="B640" s="18"/>
      <c r="C640" s="18"/>
      <c r="D640" s="18"/>
      <c r="E640" s="18"/>
      <c r="F640" s="18"/>
      <c r="G640" s="18"/>
      <c r="H640" s="12"/>
      <c r="I640" s="18"/>
      <c r="J640" s="18"/>
      <c r="K640" s="18"/>
      <c r="L640" s="18"/>
      <c r="M640" s="18"/>
      <c r="N640" s="18"/>
    </row>
    <row r="641" spans="1:14" ht="90" x14ac:dyDescent="0.25">
      <c r="A641" s="18"/>
      <c r="B641" s="18"/>
      <c r="C641" s="18"/>
      <c r="D641" s="18"/>
      <c r="E641" s="18"/>
      <c r="F641" s="18"/>
      <c r="G641" s="18"/>
      <c r="H641" s="12" t="s">
        <v>144</v>
      </c>
      <c r="I641" s="18"/>
      <c r="J641" s="18"/>
      <c r="K641" s="18"/>
      <c r="L641" s="18"/>
      <c r="M641" s="18"/>
      <c r="N641" s="18"/>
    </row>
    <row r="642" spans="1:14" ht="60" x14ac:dyDescent="0.25">
      <c r="A642" s="12" t="s">
        <v>2486</v>
      </c>
      <c r="B642" s="12" t="s">
        <v>2487</v>
      </c>
      <c r="C642" s="12" t="s">
        <v>12</v>
      </c>
      <c r="D642" s="12" t="s">
        <v>2479</v>
      </c>
      <c r="E642" s="12"/>
      <c r="F642" s="12" t="s">
        <v>99</v>
      </c>
      <c r="G642" s="12"/>
      <c r="H642" s="12"/>
      <c r="I642" s="12" t="s">
        <v>2488</v>
      </c>
      <c r="J642" s="12"/>
      <c r="K642" s="12" t="s">
        <v>2489</v>
      </c>
      <c r="L642" s="12" t="s">
        <v>6450</v>
      </c>
      <c r="M642" s="12" t="str">
        <f>HYPERLINK("https://ceds.ed.gov/cedselementdetails.aspx?termid=9820")</f>
        <v>https://ceds.ed.gov/cedselementdetails.aspx?termid=9820</v>
      </c>
      <c r="N642" s="12" t="str">
        <f>HYPERLINK("https://ceds.ed.gov/elementComment.aspx?elementName=Early Learning Class Group Name &amp;elementID=9820", "Click here to submit comment")</f>
        <v>Click here to submit comment</v>
      </c>
    </row>
    <row r="643" spans="1:14" ht="165" x14ac:dyDescent="0.25">
      <c r="A643" s="12" t="s">
        <v>2490</v>
      </c>
      <c r="B643" s="12" t="s">
        <v>2491</v>
      </c>
      <c r="C643" s="13" t="s">
        <v>6879</v>
      </c>
      <c r="D643" s="12" t="s">
        <v>1635</v>
      </c>
      <c r="E643" s="12"/>
      <c r="F643" s="12"/>
      <c r="G643" s="12"/>
      <c r="H643" s="12"/>
      <c r="I643" s="12" t="s">
        <v>2492</v>
      </c>
      <c r="J643" s="12"/>
      <c r="K643" s="12" t="s">
        <v>2493</v>
      </c>
      <c r="L643" s="12" t="s">
        <v>205</v>
      </c>
      <c r="M643" s="12" t="str">
        <f>HYPERLINK("https://ceds.ed.gov/cedselementdetails.aspx?termid=9812")</f>
        <v>https://ceds.ed.gov/cedselementdetails.aspx?termid=9812</v>
      </c>
      <c r="N643" s="12" t="str">
        <f>HYPERLINK("https://ceds.ed.gov/elementComment.aspx?elementName=Early Learning Core Knowledge Area &amp;elementID=9812", "Click here to submit comment")</f>
        <v>Click here to submit comment</v>
      </c>
    </row>
    <row r="644" spans="1:14" ht="409.5" x14ac:dyDescent="0.25">
      <c r="A644" s="12" t="s">
        <v>2494</v>
      </c>
      <c r="B644" s="12" t="s">
        <v>2495</v>
      </c>
      <c r="C644" s="13" t="s">
        <v>6880</v>
      </c>
      <c r="D644" s="12" t="s">
        <v>2496</v>
      </c>
      <c r="E644" s="12"/>
      <c r="F644" s="12"/>
      <c r="G644" s="12"/>
      <c r="H644" s="12"/>
      <c r="I644" s="12" t="s">
        <v>2497</v>
      </c>
      <c r="J644" s="12"/>
      <c r="K644" s="12" t="s">
        <v>2498</v>
      </c>
      <c r="L644" s="12"/>
      <c r="M644" s="12" t="str">
        <f>HYPERLINK("https://ceds.ed.gov/cedselementdetails.aspx?termid=10581")</f>
        <v>https://ceds.ed.gov/cedselementdetails.aspx?termid=10581</v>
      </c>
      <c r="N644" s="12" t="str">
        <f>HYPERLINK("https://ceds.ed.gov/elementComment.aspx?elementName=Early Learning Education Staff Classification &amp;elementID=10581", "Click here to submit comment")</f>
        <v>Click here to submit comment</v>
      </c>
    </row>
    <row r="645" spans="1:14" ht="405" x14ac:dyDescent="0.25">
      <c r="A645" s="12" t="s">
        <v>2499</v>
      </c>
      <c r="B645" s="12" t="s">
        <v>2500</v>
      </c>
      <c r="C645" s="13" t="s">
        <v>6881</v>
      </c>
      <c r="D645" s="12" t="s">
        <v>2496</v>
      </c>
      <c r="E645" s="12"/>
      <c r="F645" s="12"/>
      <c r="G645" s="12"/>
      <c r="H645" s="12"/>
      <c r="I645" s="12" t="s">
        <v>2501</v>
      </c>
      <c r="J645" s="12"/>
      <c r="K645" s="12" t="s">
        <v>2502</v>
      </c>
      <c r="L645" s="12"/>
      <c r="M645" s="12" t="str">
        <f>HYPERLINK("https://ceds.ed.gov/cedselementdetails.aspx?termid=10613")</f>
        <v>https://ceds.ed.gov/cedselementdetails.aspx?termid=10613</v>
      </c>
      <c r="N645" s="12" t="str">
        <f>HYPERLINK("https://ceds.ed.gov/elementComment.aspx?elementName=Early Learning Employment Separation Reason &amp;elementID=10613", "Click here to submit comment")</f>
        <v>Click here to submit comment</v>
      </c>
    </row>
    <row r="646" spans="1:14" ht="105" x14ac:dyDescent="0.25">
      <c r="A646" s="18" t="s">
        <v>2503</v>
      </c>
      <c r="B646" s="18" t="s">
        <v>2504</v>
      </c>
      <c r="C646" s="18" t="s">
        <v>12</v>
      </c>
      <c r="D646" s="18" t="s">
        <v>2470</v>
      </c>
      <c r="E646" s="18"/>
      <c r="F646" s="18" t="s">
        <v>142</v>
      </c>
      <c r="G646" s="18"/>
      <c r="H646" s="12" t="s">
        <v>143</v>
      </c>
      <c r="I646" s="18" t="s">
        <v>2505</v>
      </c>
      <c r="J646" s="18"/>
      <c r="K646" s="18" t="s">
        <v>2506</v>
      </c>
      <c r="L646" s="18"/>
      <c r="M646" s="18" t="str">
        <f>HYPERLINK("https://ceds.ed.gov/cedselementdetails.aspx?termid=10572")</f>
        <v>https://ceds.ed.gov/cedselementdetails.aspx?termid=10572</v>
      </c>
      <c r="N646" s="18" t="str">
        <f>HYPERLINK("https://ceds.ed.gov/elementComment.aspx?elementName=Early Learning Enrollment Application Document Identifier &amp;elementID=10572", "Click here to submit comment")</f>
        <v>Click here to submit comment</v>
      </c>
    </row>
    <row r="647" spans="1:14" x14ac:dyDescent="0.25">
      <c r="A647" s="18"/>
      <c r="B647" s="18"/>
      <c r="C647" s="18"/>
      <c r="D647" s="18"/>
      <c r="E647" s="18"/>
      <c r="F647" s="18"/>
      <c r="G647" s="18"/>
      <c r="H647" s="12"/>
      <c r="I647" s="18"/>
      <c r="J647" s="18"/>
      <c r="K647" s="18"/>
      <c r="L647" s="18"/>
      <c r="M647" s="18"/>
      <c r="N647" s="18"/>
    </row>
    <row r="648" spans="1:14" ht="90" x14ac:dyDescent="0.25">
      <c r="A648" s="18"/>
      <c r="B648" s="18"/>
      <c r="C648" s="18"/>
      <c r="D648" s="18"/>
      <c r="E648" s="18"/>
      <c r="F648" s="18"/>
      <c r="G648" s="18"/>
      <c r="H648" s="12" t="s">
        <v>144</v>
      </c>
      <c r="I648" s="18"/>
      <c r="J648" s="18"/>
      <c r="K648" s="18"/>
      <c r="L648" s="18"/>
      <c r="M648" s="18"/>
      <c r="N648" s="18"/>
    </row>
    <row r="649" spans="1:14" ht="45" x14ac:dyDescent="0.25">
      <c r="A649" s="12" t="s">
        <v>2507</v>
      </c>
      <c r="B649" s="12" t="s">
        <v>2508</v>
      </c>
      <c r="C649" s="12" t="s">
        <v>12</v>
      </c>
      <c r="D649" s="12" t="s">
        <v>2470</v>
      </c>
      <c r="E649" s="12"/>
      <c r="F649" s="12" t="s">
        <v>99</v>
      </c>
      <c r="G649" s="12"/>
      <c r="H649" s="12"/>
      <c r="I649" s="12" t="s">
        <v>2509</v>
      </c>
      <c r="J649" s="12"/>
      <c r="K649" s="12" t="s">
        <v>2510</v>
      </c>
      <c r="L649" s="12"/>
      <c r="M649" s="12" t="str">
        <f>HYPERLINK("https://ceds.ed.gov/cedselementdetails.aspx?termid=10573")</f>
        <v>https://ceds.ed.gov/cedselementdetails.aspx?termid=10573</v>
      </c>
      <c r="N649" s="12" t="str">
        <f>HYPERLINK("https://ceds.ed.gov/elementComment.aspx?elementName=Early Learning Enrollment Application Document Name &amp;elementID=10573", "Click here to submit comment")</f>
        <v>Click here to submit comment</v>
      </c>
    </row>
    <row r="650" spans="1:14" ht="45" x14ac:dyDescent="0.25">
      <c r="A650" s="12" t="s">
        <v>2511</v>
      </c>
      <c r="B650" s="12" t="s">
        <v>2512</v>
      </c>
      <c r="C650" s="12" t="s">
        <v>12</v>
      </c>
      <c r="D650" s="12" t="s">
        <v>2470</v>
      </c>
      <c r="E650" s="12"/>
      <c r="F650" s="12" t="s">
        <v>794</v>
      </c>
      <c r="G650" s="12"/>
      <c r="H650" s="12"/>
      <c r="I650" s="12" t="s">
        <v>2513</v>
      </c>
      <c r="J650" s="12"/>
      <c r="K650" s="12" t="s">
        <v>2514</v>
      </c>
      <c r="L650" s="12"/>
      <c r="M650" s="12" t="str">
        <f>HYPERLINK("https://ceds.ed.gov/cedselementdetails.aspx?termid=10574")</f>
        <v>https://ceds.ed.gov/cedselementdetails.aspx?termid=10574</v>
      </c>
      <c r="N650" s="12" t="str">
        <f>HYPERLINK("https://ceds.ed.gov/elementComment.aspx?elementName=Early Learning Enrollment Application Document Type &amp;elementID=10574", "Click here to submit comment")</f>
        <v>Click here to submit comment</v>
      </c>
    </row>
    <row r="651" spans="1:14" ht="45" x14ac:dyDescent="0.25">
      <c r="A651" s="12" t="s">
        <v>2515</v>
      </c>
      <c r="B651" s="12" t="s">
        <v>2516</v>
      </c>
      <c r="C651" s="12" t="s">
        <v>12</v>
      </c>
      <c r="D651" s="12" t="s">
        <v>2470</v>
      </c>
      <c r="E651" s="12"/>
      <c r="F651" s="12" t="s">
        <v>73</v>
      </c>
      <c r="G651" s="12"/>
      <c r="H651" s="12"/>
      <c r="I651" s="12" t="s">
        <v>2517</v>
      </c>
      <c r="J651" s="12"/>
      <c r="K651" s="12" t="s">
        <v>2518</v>
      </c>
      <c r="L651" s="12"/>
      <c r="M651" s="12" t="str">
        <f>HYPERLINK("https://ceds.ed.gov/cedselementdetails.aspx?termid=10571")</f>
        <v>https://ceds.ed.gov/cedselementdetails.aspx?termid=10571</v>
      </c>
      <c r="N651" s="12" t="str">
        <f>HYPERLINK("https://ceds.ed.gov/elementComment.aspx?elementName=Early Learning Enrollment Application Verification Date &amp;elementID=10571", "Click here to submit comment")</f>
        <v>Click here to submit comment</v>
      </c>
    </row>
    <row r="652" spans="1:14" ht="45" x14ac:dyDescent="0.25">
      <c r="A652" s="12" t="s">
        <v>2519</v>
      </c>
      <c r="B652" s="12" t="s">
        <v>2520</v>
      </c>
      <c r="C652" s="12" t="s">
        <v>12</v>
      </c>
      <c r="D652" s="12" t="s">
        <v>2470</v>
      </c>
      <c r="E652" s="12"/>
      <c r="F652" s="12" t="s">
        <v>794</v>
      </c>
      <c r="G652" s="12"/>
      <c r="H652" s="12"/>
      <c r="I652" s="12" t="s">
        <v>2521</v>
      </c>
      <c r="J652" s="12"/>
      <c r="K652" s="12" t="s">
        <v>2522</v>
      </c>
      <c r="L652" s="12"/>
      <c r="M652" s="12" t="str">
        <f>HYPERLINK("https://ceds.ed.gov/cedselementdetails.aspx?termid=10579")</f>
        <v>https://ceds.ed.gov/cedselementdetails.aspx?termid=10579</v>
      </c>
      <c r="N652" s="12" t="str">
        <f>HYPERLINK("https://ceds.ed.gov/elementComment.aspx?elementName=Early Learning Enrollment Application Verification Reason Type &amp;elementID=10579", "Click here to submit comment")</f>
        <v>Click here to submit comment</v>
      </c>
    </row>
    <row r="653" spans="1:14" ht="409.5" x14ac:dyDescent="0.25">
      <c r="A653" s="12" t="s">
        <v>2523</v>
      </c>
      <c r="B653" s="12" t="s">
        <v>2524</v>
      </c>
      <c r="C653" s="13" t="s">
        <v>6882</v>
      </c>
      <c r="D653" s="12" t="s">
        <v>6511</v>
      </c>
      <c r="E653" s="12"/>
      <c r="F653" s="12"/>
      <c r="G653" s="12"/>
      <c r="H653" s="12"/>
      <c r="I653" s="12" t="s">
        <v>2525</v>
      </c>
      <c r="J653" s="12"/>
      <c r="K653" s="12" t="s">
        <v>2526</v>
      </c>
      <c r="L653" s="12"/>
      <c r="M653" s="12" t="str">
        <f>HYPERLINK("https://ceds.ed.gov/cedselementdetails.aspx?termid=10294")</f>
        <v>https://ceds.ed.gov/cedselementdetails.aspx?termid=10294</v>
      </c>
      <c r="N653" s="12" t="str">
        <f>HYPERLINK("https://ceds.ed.gov/elementComment.aspx?elementName=Early Learning Federal Funding Type &amp;elementID=10294", "Click here to submit comment")</f>
        <v>Click here to submit comment</v>
      </c>
    </row>
    <row r="654" spans="1:14" ht="45" x14ac:dyDescent="0.25">
      <c r="A654" s="12" t="s">
        <v>2527</v>
      </c>
      <c r="B654" s="12" t="s">
        <v>2528</v>
      </c>
      <c r="C654" s="12" t="s">
        <v>12</v>
      </c>
      <c r="D654" s="12" t="s">
        <v>2479</v>
      </c>
      <c r="E654" s="12"/>
      <c r="F654" s="12" t="s">
        <v>620</v>
      </c>
      <c r="G654" s="12"/>
      <c r="H654" s="12"/>
      <c r="I654" s="12" t="s">
        <v>2529</v>
      </c>
      <c r="J654" s="12"/>
      <c r="K654" s="12" t="s">
        <v>2530</v>
      </c>
      <c r="L654" s="12"/>
      <c r="M654" s="12" t="str">
        <f>HYPERLINK("https://ceds.ed.gov/cedselementdetails.aspx?termid=10295")</f>
        <v>https://ceds.ed.gov/cedselementdetails.aspx?termid=10295</v>
      </c>
      <c r="N654" s="12" t="str">
        <f>HYPERLINK("https://ceds.ed.gov/elementComment.aspx?elementName=Early Learning Group Size &amp;elementID=10295", "Click here to submit comment")</f>
        <v>Click here to submit comment</v>
      </c>
    </row>
    <row r="655" spans="1:14" ht="135" x14ac:dyDescent="0.25">
      <c r="A655" s="12" t="s">
        <v>2531</v>
      </c>
      <c r="B655" s="12" t="s">
        <v>2532</v>
      </c>
      <c r="C655" s="13" t="s">
        <v>6883</v>
      </c>
      <c r="D655" s="12" t="s">
        <v>2479</v>
      </c>
      <c r="E655" s="12"/>
      <c r="F655" s="12"/>
      <c r="G655" s="12"/>
      <c r="H655" s="12"/>
      <c r="I655" s="12" t="s">
        <v>2533</v>
      </c>
      <c r="J655" s="12"/>
      <c r="K655" s="12" t="s">
        <v>2534</v>
      </c>
      <c r="L655" s="12" t="s">
        <v>64</v>
      </c>
      <c r="M655" s="12" t="str">
        <f>HYPERLINK("https://ceds.ed.gov/cedselementdetails.aspx?termid=9823")</f>
        <v>https://ceds.ed.gov/cedselementdetails.aspx?termid=9823</v>
      </c>
      <c r="N655" s="12" t="str">
        <f>HYPERLINK("https://ceds.ed.gov/elementComment.aspx?elementName=Early Learning Group Size Standards Met &amp;elementID=9823", "Click here to submit comment")</f>
        <v>Click here to submit comment</v>
      </c>
    </row>
    <row r="656" spans="1:14" ht="180" x14ac:dyDescent="0.25">
      <c r="A656" s="12" t="s">
        <v>2535</v>
      </c>
      <c r="B656" s="12" t="s">
        <v>2536</v>
      </c>
      <c r="C656" s="13" t="s">
        <v>6884</v>
      </c>
      <c r="D656" s="12" t="s">
        <v>1568</v>
      </c>
      <c r="E656" s="12"/>
      <c r="F656" s="12"/>
      <c r="G656" s="12"/>
      <c r="H656" s="12"/>
      <c r="I656" s="12" t="s">
        <v>2537</v>
      </c>
      <c r="J656" s="12"/>
      <c r="K656" s="12" t="s">
        <v>2538</v>
      </c>
      <c r="L656" s="12"/>
      <c r="M656" s="12" t="str">
        <f>HYPERLINK("https://ceds.ed.gov/cedselementdetails.aspx?termid=10582")</f>
        <v>https://ceds.ed.gov/cedselementdetails.aspx?termid=10582</v>
      </c>
      <c r="N656" s="12" t="str">
        <f>HYPERLINK("https://ceds.ed.gov/elementComment.aspx?elementName=Early Learning Local Revenue Source &amp;elementID=10582", "Click here to submit comment")</f>
        <v>Click here to submit comment</v>
      </c>
    </row>
    <row r="657" spans="1:14" ht="75" x14ac:dyDescent="0.25">
      <c r="A657" s="12" t="s">
        <v>2539</v>
      </c>
      <c r="B657" s="12" t="s">
        <v>2540</v>
      </c>
      <c r="C657" s="12" t="s">
        <v>12</v>
      </c>
      <c r="D657" s="12" t="s">
        <v>6492</v>
      </c>
      <c r="E657" s="12"/>
      <c r="F657" s="12" t="s">
        <v>620</v>
      </c>
      <c r="G657" s="12"/>
      <c r="H657" s="12"/>
      <c r="I657" s="12" t="s">
        <v>2541</v>
      </c>
      <c r="J657" s="12"/>
      <c r="K657" s="12" t="s">
        <v>2542</v>
      </c>
      <c r="L657" s="12" t="s">
        <v>6512</v>
      </c>
      <c r="M657" s="12" t="str">
        <f>HYPERLINK("https://ceds.ed.gov/cedselementdetails.aspx?termid=10189")</f>
        <v>https://ceds.ed.gov/cedselementdetails.aspx?termid=10189</v>
      </c>
      <c r="N657" s="12" t="str">
        <f>HYPERLINK("https://ceds.ed.gov/elementComment.aspx?elementName=Early Learning Oldest Age Authorized to Serve &amp;elementID=10189", "Click here to submit comment")</f>
        <v>Click here to submit comment</v>
      </c>
    </row>
    <row r="658" spans="1:14" ht="120" x14ac:dyDescent="0.25">
      <c r="A658" s="12" t="s">
        <v>2543</v>
      </c>
      <c r="B658" s="12" t="s">
        <v>2544</v>
      </c>
      <c r="C658" s="13" t="s">
        <v>6885</v>
      </c>
      <c r="D658" s="12" t="s">
        <v>6511</v>
      </c>
      <c r="E658" s="12"/>
      <c r="F658" s="12"/>
      <c r="G658" s="12"/>
      <c r="H658" s="12"/>
      <c r="I658" s="12" t="s">
        <v>2545</v>
      </c>
      <c r="J658" s="12"/>
      <c r="K658" s="12" t="s">
        <v>2546</v>
      </c>
      <c r="L658" s="12"/>
      <c r="M658" s="12" t="str">
        <f>HYPERLINK("https://ceds.ed.gov/cedselementdetails.aspx?termid=10302")</f>
        <v>https://ceds.ed.gov/cedselementdetails.aspx?termid=10302</v>
      </c>
      <c r="N658" s="12" t="str">
        <f>HYPERLINK("https://ceds.ed.gov/elementComment.aspx?elementName=Early Learning Other Federal Funding Sources &amp;elementID=10302", "Click here to submit comment")</f>
        <v>Click here to submit comment</v>
      </c>
    </row>
    <row r="659" spans="1:14" ht="75" x14ac:dyDescent="0.25">
      <c r="A659" s="12" t="s">
        <v>2547</v>
      </c>
      <c r="B659" s="12" t="s">
        <v>2548</v>
      </c>
      <c r="C659" s="13" t="s">
        <v>6886</v>
      </c>
      <c r="D659" s="12" t="s">
        <v>2549</v>
      </c>
      <c r="E659" s="12"/>
      <c r="F659" s="12"/>
      <c r="G659" s="12"/>
      <c r="H659" s="12"/>
      <c r="I659" s="12" t="s">
        <v>2550</v>
      </c>
      <c r="J659" s="12"/>
      <c r="K659" s="12" t="s">
        <v>2551</v>
      </c>
      <c r="L659" s="12"/>
      <c r="M659" s="12" t="str">
        <f>HYPERLINK("https://ceds.ed.gov/cedselementdetails.aspx?termid=10303")</f>
        <v>https://ceds.ed.gov/cedselementdetails.aspx?termid=10303</v>
      </c>
      <c r="N659" s="12" t="str">
        <f>HYPERLINK("https://ceds.ed.gov/elementComment.aspx?elementName=Early Learning Outcome Measurement Level &amp;elementID=10303", "Click here to submit comment")</f>
        <v>Click here to submit comment</v>
      </c>
    </row>
    <row r="660" spans="1:14" ht="75" x14ac:dyDescent="0.25">
      <c r="A660" s="12" t="s">
        <v>2552</v>
      </c>
      <c r="B660" s="12" t="s">
        <v>2553</v>
      </c>
      <c r="C660" s="13" t="s">
        <v>6887</v>
      </c>
      <c r="D660" s="12" t="s">
        <v>2549</v>
      </c>
      <c r="E660" s="12"/>
      <c r="F660" s="12"/>
      <c r="G660" s="12"/>
      <c r="H660" s="12"/>
      <c r="I660" s="12" t="s">
        <v>2554</v>
      </c>
      <c r="J660" s="12"/>
      <c r="K660" s="12" t="s">
        <v>2555</v>
      </c>
      <c r="L660" s="12"/>
      <c r="M660" s="12" t="str">
        <f>HYPERLINK("https://ceds.ed.gov/cedselementdetails.aspx?termid=10475")</f>
        <v>https://ceds.ed.gov/cedselementdetails.aspx?termid=10475</v>
      </c>
      <c r="N660" s="12" t="str">
        <f>HYPERLINK("https://ceds.ed.gov/elementComment.aspx?elementName=Early Learning Outcome Time Point &amp;elementID=10475", "Click here to submit comment")</f>
        <v>Click here to submit comment</v>
      </c>
    </row>
    <row r="661" spans="1:14" ht="180" x14ac:dyDescent="0.25">
      <c r="A661" s="12" t="s">
        <v>2556</v>
      </c>
      <c r="B661" s="12" t="s">
        <v>2557</v>
      </c>
      <c r="C661" s="13" t="s">
        <v>6888</v>
      </c>
      <c r="D661" s="12" t="s">
        <v>1635</v>
      </c>
      <c r="E661" s="12"/>
      <c r="F661" s="12"/>
      <c r="G661" s="12"/>
      <c r="H661" s="12"/>
      <c r="I661" s="12" t="s">
        <v>2558</v>
      </c>
      <c r="J661" s="12"/>
      <c r="K661" s="12" t="s">
        <v>2559</v>
      </c>
      <c r="L661" s="12"/>
      <c r="M661" s="12" t="str">
        <f>HYPERLINK("https://ceds.ed.gov/cedselementdetails.aspx?termid=10304")</f>
        <v>https://ceds.ed.gov/cedselementdetails.aspx?termid=10304</v>
      </c>
      <c r="N661" s="12" t="str">
        <f>HYPERLINK("https://ceds.ed.gov/elementComment.aspx?elementName=Early Learning Professional Development Topic Area &amp;elementID=10304", "Click here to submit comment")</f>
        <v>Click here to submit comment</v>
      </c>
    </row>
    <row r="662" spans="1:14" ht="75" x14ac:dyDescent="0.25">
      <c r="A662" s="12" t="s">
        <v>2560</v>
      </c>
      <c r="B662" s="12" t="s">
        <v>2561</v>
      </c>
      <c r="C662" s="12" t="s">
        <v>12</v>
      </c>
      <c r="D662" s="12" t="s">
        <v>6513</v>
      </c>
      <c r="E662" s="12"/>
      <c r="F662" s="12" t="s">
        <v>2562</v>
      </c>
      <c r="G662" s="12"/>
      <c r="H662" s="12"/>
      <c r="I662" s="12" t="s">
        <v>2563</v>
      </c>
      <c r="J662" s="12"/>
      <c r="K662" s="12" t="s">
        <v>2564</v>
      </c>
      <c r="L662" s="12" t="s">
        <v>6453</v>
      </c>
      <c r="M662" s="12" t="str">
        <f>HYPERLINK("https://ceds.ed.gov/cedselementdetails.aspx?termid=9824")</f>
        <v>https://ceds.ed.gov/cedselementdetails.aspx?termid=9824</v>
      </c>
      <c r="N662" s="12" t="str">
        <f>HYPERLINK("https://ceds.ed.gov/elementComment.aspx?elementName=Early Learning Program Annual Operating Weeks &amp;elementID=9824", "Click here to submit comment")</f>
        <v>Click here to submit comment</v>
      </c>
    </row>
    <row r="663" spans="1:14" ht="60" x14ac:dyDescent="0.25">
      <c r="A663" s="12" t="s">
        <v>2565</v>
      </c>
      <c r="B663" s="12" t="s">
        <v>2566</v>
      </c>
      <c r="C663" s="12" t="s">
        <v>6364</v>
      </c>
      <c r="D663" s="12" t="s">
        <v>2567</v>
      </c>
      <c r="E663" s="12"/>
      <c r="F663" s="12"/>
      <c r="G663" s="12"/>
      <c r="H663" s="12"/>
      <c r="I663" s="12" t="s">
        <v>2568</v>
      </c>
      <c r="J663" s="12"/>
      <c r="K663" s="12" t="s">
        <v>2569</v>
      </c>
      <c r="L663" s="12" t="s">
        <v>64</v>
      </c>
      <c r="M663" s="12" t="str">
        <f>HYPERLINK("https://ceds.ed.gov/cedselementdetails.aspx?termid=9848")</f>
        <v>https://ceds.ed.gov/cedselementdetails.aspx?termid=9848</v>
      </c>
      <c r="N663" s="12" t="str">
        <f>HYPERLINK("https://ceds.ed.gov/elementComment.aspx?elementName=Early Learning Program Developmental Screening Status &amp;elementID=9848", "Click here to submit comment")</f>
        <v>Click here to submit comment</v>
      </c>
    </row>
    <row r="664" spans="1:14" ht="300" x14ac:dyDescent="0.25">
      <c r="A664" s="12" t="s">
        <v>2570</v>
      </c>
      <c r="B664" s="12" t="s">
        <v>2571</v>
      </c>
      <c r="C664" s="13" t="s">
        <v>6889</v>
      </c>
      <c r="D664" s="12" t="s">
        <v>2572</v>
      </c>
      <c r="E664" s="12"/>
      <c r="F664" s="12"/>
      <c r="G664" s="12"/>
      <c r="H664" s="12"/>
      <c r="I664" s="12" t="s">
        <v>2573</v>
      </c>
      <c r="J664" s="12"/>
      <c r="K664" s="12" t="s">
        <v>2574</v>
      </c>
      <c r="L664" s="12" t="s">
        <v>2283</v>
      </c>
      <c r="M664" s="12" t="str">
        <f>HYPERLINK("https://ceds.ed.gov/cedselementdetails.aspx?termid=9304")</f>
        <v>https://ceds.ed.gov/cedselementdetails.aspx?termid=9304</v>
      </c>
      <c r="N664" s="12" t="str">
        <f>HYPERLINK("https://ceds.ed.gov/elementComment.aspx?elementName=Early Learning Program Eligibility Category &amp;elementID=9304", "Click here to submit comment")</f>
        <v>Click here to submit comment</v>
      </c>
    </row>
    <row r="665" spans="1:14" ht="45" x14ac:dyDescent="0.25">
      <c r="A665" s="12" t="s">
        <v>2575</v>
      </c>
      <c r="B665" s="12" t="s">
        <v>2576</v>
      </c>
      <c r="C665" s="12" t="s">
        <v>12</v>
      </c>
      <c r="D665" s="12" t="s">
        <v>2572</v>
      </c>
      <c r="E665" s="12"/>
      <c r="F665" s="12" t="s">
        <v>73</v>
      </c>
      <c r="G665" s="12"/>
      <c r="H665" s="12"/>
      <c r="I665" s="12" t="s">
        <v>2577</v>
      </c>
      <c r="J665" s="12"/>
      <c r="K665" s="12" t="s">
        <v>2578</v>
      </c>
      <c r="L665" s="12"/>
      <c r="M665" s="12" t="str">
        <f>HYPERLINK("https://ceds.ed.gov/cedselementdetails.aspx?termid=10305")</f>
        <v>https://ceds.ed.gov/cedselementdetails.aspx?termid=10305</v>
      </c>
      <c r="N665" s="12" t="str">
        <f>HYPERLINK("https://ceds.ed.gov/elementComment.aspx?elementName=Early Learning Program Eligibility Expiration Date &amp;elementID=10305", "Click here to submit comment")</f>
        <v>Click here to submit comment</v>
      </c>
    </row>
    <row r="666" spans="1:14" ht="75" x14ac:dyDescent="0.25">
      <c r="A666" s="12" t="s">
        <v>2579</v>
      </c>
      <c r="B666" s="12" t="s">
        <v>2580</v>
      </c>
      <c r="C666" s="13" t="s">
        <v>6890</v>
      </c>
      <c r="D666" s="12" t="s">
        <v>2572</v>
      </c>
      <c r="E666" s="12"/>
      <c r="F666" s="12"/>
      <c r="G666" s="12"/>
      <c r="H666" s="12"/>
      <c r="I666" s="12" t="s">
        <v>2581</v>
      </c>
      <c r="J666" s="12"/>
      <c r="K666" s="12" t="s">
        <v>2582</v>
      </c>
      <c r="L666" s="12"/>
      <c r="M666" s="12" t="str">
        <f>HYPERLINK("https://ceds.ed.gov/cedselementdetails.aspx?termid=10306")</f>
        <v>https://ceds.ed.gov/cedselementdetails.aspx?termid=10306</v>
      </c>
      <c r="N666" s="12" t="str">
        <f>HYPERLINK("https://ceds.ed.gov/elementComment.aspx?elementName=Early Learning Program Eligibility Status &amp;elementID=10306", "Click here to submit comment")</f>
        <v>Click here to submit comment</v>
      </c>
    </row>
    <row r="667" spans="1:14" ht="45" x14ac:dyDescent="0.25">
      <c r="A667" s="12" t="s">
        <v>2583</v>
      </c>
      <c r="B667" s="12" t="s">
        <v>2584</v>
      </c>
      <c r="C667" s="12" t="s">
        <v>12</v>
      </c>
      <c r="D667" s="12" t="s">
        <v>2572</v>
      </c>
      <c r="E667" s="12"/>
      <c r="F667" s="12" t="s">
        <v>73</v>
      </c>
      <c r="G667" s="12"/>
      <c r="H667" s="12"/>
      <c r="I667" s="12" t="s">
        <v>2585</v>
      </c>
      <c r="J667" s="12"/>
      <c r="K667" s="12" t="s">
        <v>2586</v>
      </c>
      <c r="L667" s="12"/>
      <c r="M667" s="12" t="str">
        <f>HYPERLINK("https://ceds.ed.gov/cedselementdetails.aspx?termid=10307")</f>
        <v>https://ceds.ed.gov/cedselementdetails.aspx?termid=10307</v>
      </c>
      <c r="N667" s="12" t="str">
        <f>HYPERLINK("https://ceds.ed.gov/elementComment.aspx?elementName=Early Learning Program Eligibility Status Date &amp;elementID=10307", "Click here to submit comment")</f>
        <v>Click here to submit comment</v>
      </c>
    </row>
    <row r="668" spans="1:14" ht="45" x14ac:dyDescent="0.25">
      <c r="A668" s="12" t="s">
        <v>2587</v>
      </c>
      <c r="B668" s="12" t="s">
        <v>2588</v>
      </c>
      <c r="C668" s="12" t="s">
        <v>6364</v>
      </c>
      <c r="D668" s="12" t="s">
        <v>1899</v>
      </c>
      <c r="E668" s="12"/>
      <c r="F668" s="12"/>
      <c r="G668" s="12"/>
      <c r="H668" s="12"/>
      <c r="I668" s="12" t="s">
        <v>2589</v>
      </c>
      <c r="J668" s="12"/>
      <c r="K668" s="12" t="s">
        <v>2590</v>
      </c>
      <c r="L668" s="12" t="s">
        <v>64</v>
      </c>
      <c r="M668" s="12" t="str">
        <f>HYPERLINK("https://ceds.ed.gov/cedselementdetails.aspx?termid=9838")</f>
        <v>https://ceds.ed.gov/cedselementdetails.aspx?termid=9838</v>
      </c>
      <c r="N668" s="12" t="str">
        <f>HYPERLINK("https://ceds.ed.gov/elementComment.aspx?elementName=Early Learning Program License Revocation Status &amp;elementID=9838", "Click here to submit comment")</f>
        <v>Click here to submit comment</v>
      </c>
    </row>
    <row r="669" spans="1:14" ht="45" x14ac:dyDescent="0.25">
      <c r="A669" s="12" t="s">
        <v>2591</v>
      </c>
      <c r="B669" s="12" t="s">
        <v>2592</v>
      </c>
      <c r="C669" s="12" t="s">
        <v>6364</v>
      </c>
      <c r="D669" s="12" t="s">
        <v>1899</v>
      </c>
      <c r="E669" s="12"/>
      <c r="F669" s="12"/>
      <c r="G669" s="12"/>
      <c r="H669" s="12"/>
      <c r="I669" s="12" t="s">
        <v>2593</v>
      </c>
      <c r="J669" s="12"/>
      <c r="K669" s="12" t="s">
        <v>2594</v>
      </c>
      <c r="L669" s="12" t="s">
        <v>64</v>
      </c>
      <c r="M669" s="12" t="str">
        <f>HYPERLINK("https://ceds.ed.gov/cedselementdetails.aspx?termid=9837")</f>
        <v>https://ceds.ed.gov/cedselementdetails.aspx?termid=9837</v>
      </c>
      <c r="N669" s="12" t="str">
        <f>HYPERLINK("https://ceds.ed.gov/elementComment.aspx?elementName=Early Learning Program License Suspension Status &amp;elementID=9837", "Click here to submit comment")</f>
        <v>Click here to submit comment</v>
      </c>
    </row>
    <row r="670" spans="1:14" ht="90" x14ac:dyDescent="0.25">
      <c r="A670" s="12" t="s">
        <v>2595</v>
      </c>
      <c r="B670" s="12" t="s">
        <v>2596</v>
      </c>
      <c r="C670" s="13" t="s">
        <v>6891</v>
      </c>
      <c r="D670" s="12" t="s">
        <v>1899</v>
      </c>
      <c r="E670" s="12"/>
      <c r="F670" s="12"/>
      <c r="G670" s="12"/>
      <c r="H670" s="12"/>
      <c r="I670" s="12" t="s">
        <v>2597</v>
      </c>
      <c r="J670" s="12"/>
      <c r="K670" s="12" t="s">
        <v>2598</v>
      </c>
      <c r="L670" s="12" t="s">
        <v>64</v>
      </c>
      <c r="M670" s="12" t="str">
        <f>HYPERLINK("https://ceds.ed.gov/cedselementdetails.aspx?termid=9828")</f>
        <v>https://ceds.ed.gov/cedselementdetails.aspx?termid=9828</v>
      </c>
      <c r="N670" s="12" t="str">
        <f>HYPERLINK("https://ceds.ed.gov/elementComment.aspx?elementName=Early Learning Program Licensing Status &amp;elementID=9828", "Click here to submit comment")</f>
        <v>Click here to submit comment</v>
      </c>
    </row>
    <row r="671" spans="1:14" ht="45" x14ac:dyDescent="0.25">
      <c r="A671" s="12" t="s">
        <v>2599</v>
      </c>
      <c r="B671" s="12" t="s">
        <v>2600</v>
      </c>
      <c r="C671" s="12" t="s">
        <v>12</v>
      </c>
      <c r="D671" s="12" t="s">
        <v>2323</v>
      </c>
      <c r="E671" s="12"/>
      <c r="F671" s="12" t="s">
        <v>1861</v>
      </c>
      <c r="G671" s="12"/>
      <c r="H671" s="12"/>
      <c r="I671" s="12" t="s">
        <v>2601</v>
      </c>
      <c r="J671" s="12"/>
      <c r="K671" s="12" t="s">
        <v>2602</v>
      </c>
      <c r="L671" s="12" t="s">
        <v>6453</v>
      </c>
      <c r="M671" s="12" t="str">
        <f>HYPERLINK("https://ceds.ed.gov/cedselementdetails.aspx?termid=9864")</f>
        <v>https://ceds.ed.gov/cedselementdetails.aspx?termid=9864</v>
      </c>
      <c r="N671" s="12" t="str">
        <f>HYPERLINK("https://ceds.ed.gov/elementComment.aspx?elementName=Early Learning Program Year &amp;elementID=9864", "Click here to submit comment")</f>
        <v>Click here to submit comment</v>
      </c>
    </row>
    <row r="672" spans="1:14" ht="409.5" x14ac:dyDescent="0.25">
      <c r="A672" s="12" t="s">
        <v>2603</v>
      </c>
      <c r="B672" s="12" t="s">
        <v>2604</v>
      </c>
      <c r="C672" s="13" t="s">
        <v>6892</v>
      </c>
      <c r="D672" s="12" t="s">
        <v>2496</v>
      </c>
      <c r="E672" s="12"/>
      <c r="F672" s="12"/>
      <c r="G672" s="12"/>
      <c r="H672" s="12"/>
      <c r="I672" s="12" t="s">
        <v>2605</v>
      </c>
      <c r="J672" s="12"/>
      <c r="K672" s="12" t="s">
        <v>2606</v>
      </c>
      <c r="L672" s="12"/>
      <c r="M672" s="12" t="str">
        <f>HYPERLINK("https://ceds.ed.gov/cedselementdetails.aspx?termid=10617")</f>
        <v>https://ceds.ed.gov/cedselementdetails.aspx?termid=10617</v>
      </c>
      <c r="N672" s="12" t="str">
        <f>HYPERLINK("https://ceds.ed.gov/elementComment.aspx?elementName=Early Learning Service Professional Staff Classification &amp;elementID=10617", "Click here to submit comment")</f>
        <v>Click here to submit comment</v>
      </c>
    </row>
    <row r="673" spans="1:14" ht="120" x14ac:dyDescent="0.25">
      <c r="A673" s="12" t="s">
        <v>2607</v>
      </c>
      <c r="B673" s="12" t="s">
        <v>2608</v>
      </c>
      <c r="C673" s="13" t="s">
        <v>6893</v>
      </c>
      <c r="D673" s="12" t="s">
        <v>2449</v>
      </c>
      <c r="E673" s="12"/>
      <c r="F673" s="12"/>
      <c r="G673" s="12"/>
      <c r="H673" s="12"/>
      <c r="I673" s="12" t="s">
        <v>2609</v>
      </c>
      <c r="J673" s="12"/>
      <c r="K673" s="12" t="s">
        <v>2610</v>
      </c>
      <c r="L673" s="12"/>
      <c r="M673" s="12" t="str">
        <f>HYPERLINK("https://ceds.ed.gov/cedselementdetails.aspx?termid=10583")</f>
        <v>https://ceds.ed.gov/cedselementdetails.aspx?termid=10583</v>
      </c>
      <c r="N673" s="12" t="str">
        <f>HYPERLINK("https://ceds.ed.gov/elementComment.aspx?elementName=Early Learning Service Type &amp;elementID=10583", "Click here to submit comment")</f>
        <v>Click here to submit comment</v>
      </c>
    </row>
    <row r="674" spans="1:14" ht="75" x14ac:dyDescent="0.25">
      <c r="A674" s="12" t="s">
        <v>2611</v>
      </c>
      <c r="B674" s="12" t="s">
        <v>2612</v>
      </c>
      <c r="C674" s="12" t="s">
        <v>12</v>
      </c>
      <c r="D674" s="12" t="s">
        <v>2444</v>
      </c>
      <c r="E674" s="12"/>
      <c r="F674" s="12" t="s">
        <v>2613</v>
      </c>
      <c r="G674" s="12"/>
      <c r="H674" s="12"/>
      <c r="I674" s="12" t="s">
        <v>2614</v>
      </c>
      <c r="J674" s="12"/>
      <c r="K674" s="12" t="s">
        <v>2615</v>
      </c>
      <c r="L674" s="12" t="s">
        <v>205</v>
      </c>
      <c r="M674" s="12" t="str">
        <f>HYPERLINK("https://ceds.ed.gov/cedselementdetails.aspx?termid=9791")</f>
        <v>https://ceds.ed.gov/cedselementdetails.aspx?termid=9791</v>
      </c>
      <c r="N674" s="12" t="str">
        <f>HYPERLINK("https://ceds.ed.gov/elementComment.aspx?elementName=Early Learning Staff Total College Credits Earned &amp;elementID=9791", "Click here to submit comment")</f>
        <v>Click here to submit comment</v>
      </c>
    </row>
    <row r="675" spans="1:14" ht="409.5" x14ac:dyDescent="0.25">
      <c r="A675" s="12" t="s">
        <v>2616</v>
      </c>
      <c r="B675" s="12" t="s">
        <v>2617</v>
      </c>
      <c r="C675" s="13" t="s">
        <v>6894</v>
      </c>
      <c r="D675" s="12" t="s">
        <v>1568</v>
      </c>
      <c r="E675" s="12"/>
      <c r="F675" s="12"/>
      <c r="G675" s="12"/>
      <c r="H675" s="12"/>
      <c r="I675" s="12" t="s">
        <v>2618</v>
      </c>
      <c r="J675" s="12"/>
      <c r="K675" s="12" t="s">
        <v>2619</v>
      </c>
      <c r="L675" s="12"/>
      <c r="M675" s="12" t="str">
        <f>HYPERLINK("https://ceds.ed.gov/cedselementdetails.aspx?termid=10584")</f>
        <v>https://ceds.ed.gov/cedselementdetails.aspx?termid=10584</v>
      </c>
      <c r="N675" s="12" t="str">
        <f>HYPERLINK("https://ceds.ed.gov/elementComment.aspx?elementName=Early Learning State Revenue Source &amp;elementID=10584", "Click here to submit comment")</f>
        <v>Click here to submit comment</v>
      </c>
    </row>
    <row r="676" spans="1:14" ht="180" x14ac:dyDescent="0.25">
      <c r="A676" s="12" t="s">
        <v>2620</v>
      </c>
      <c r="B676" s="12" t="s">
        <v>2621</v>
      </c>
      <c r="C676" s="13" t="s">
        <v>6895</v>
      </c>
      <c r="D676" s="12" t="s">
        <v>6514</v>
      </c>
      <c r="E676" s="12"/>
      <c r="F676" s="12"/>
      <c r="G676" s="12"/>
      <c r="H676" s="12"/>
      <c r="I676" s="12" t="s">
        <v>2622</v>
      </c>
      <c r="J676" s="12"/>
      <c r="K676" s="12" t="s">
        <v>2623</v>
      </c>
      <c r="L676" s="12"/>
      <c r="M676" s="12" t="str">
        <f>HYPERLINK("https://ceds.ed.gov/cedselementdetails.aspx?termid=10585")</f>
        <v>https://ceds.ed.gov/cedselementdetails.aspx?termid=10585</v>
      </c>
      <c r="N676" s="12" t="str">
        <f>HYPERLINK("https://ceds.ed.gov/elementComment.aspx?elementName=Early Learning Trainer Core Knowledge Area &amp;elementID=10585", "Click here to submit comment")</f>
        <v>Click here to submit comment</v>
      </c>
    </row>
    <row r="677" spans="1:14" ht="75" x14ac:dyDescent="0.25">
      <c r="A677" s="12" t="s">
        <v>2624</v>
      </c>
      <c r="B677" s="12" t="s">
        <v>2625</v>
      </c>
      <c r="C677" s="12" t="s">
        <v>12</v>
      </c>
      <c r="D677" s="12" t="s">
        <v>6492</v>
      </c>
      <c r="E677" s="12"/>
      <c r="F677" s="12" t="s">
        <v>620</v>
      </c>
      <c r="G677" s="12"/>
      <c r="H677" s="12"/>
      <c r="I677" s="12" t="s">
        <v>2626</v>
      </c>
      <c r="J677" s="12"/>
      <c r="K677" s="12" t="s">
        <v>2627</v>
      </c>
      <c r="L677" s="12" t="s">
        <v>6512</v>
      </c>
      <c r="M677" s="12" t="str">
        <f>HYPERLINK("https://ceds.ed.gov/cedselementdetails.aspx?termid=9626")</f>
        <v>https://ceds.ed.gov/cedselementdetails.aspx?termid=9626</v>
      </c>
      <c r="N677" s="12" t="str">
        <f>HYPERLINK("https://ceds.ed.gov/elementComment.aspx?elementName=Early Learning Youngest Age Authorized to Serve &amp;elementID=9626", "Click here to submit comment")</f>
        <v>Click here to submit comment</v>
      </c>
    </row>
    <row r="678" spans="1:14" ht="60" x14ac:dyDescent="0.25">
      <c r="A678" s="12" t="s">
        <v>2628</v>
      </c>
      <c r="B678" s="12" t="s">
        <v>2629</v>
      </c>
      <c r="C678" s="12" t="s">
        <v>6364</v>
      </c>
      <c r="D678" s="12" t="s">
        <v>2630</v>
      </c>
      <c r="E678" s="12"/>
      <c r="F678" s="12"/>
      <c r="G678" s="12"/>
      <c r="H678" s="12"/>
      <c r="I678" s="12" t="s">
        <v>2631</v>
      </c>
      <c r="J678" s="12"/>
      <c r="K678" s="12" t="s">
        <v>2632</v>
      </c>
      <c r="L678" s="12" t="s">
        <v>6438</v>
      </c>
      <c r="M678" s="12" t="str">
        <f>HYPERLINK("https://ceds.ed.gov/cedselementdetails.aspx?termid=9086")</f>
        <v>https://ceds.ed.gov/cedselementdetails.aspx?termid=9086</v>
      </c>
      <c r="N678" s="12" t="str">
        <f>HYPERLINK("https://ceds.ed.gov/elementComment.aspx?elementName=Economic Disadvantage Status &amp;elementID=9086", "Click here to submit comment")</f>
        <v>Click here to submit comment</v>
      </c>
    </row>
    <row r="679" spans="1:14" ht="315" x14ac:dyDescent="0.25">
      <c r="A679" s="12" t="s">
        <v>2633</v>
      </c>
      <c r="B679" s="12" t="s">
        <v>2634</v>
      </c>
      <c r="C679" s="13" t="s">
        <v>6896</v>
      </c>
      <c r="D679" s="12" t="s">
        <v>2635</v>
      </c>
      <c r="E679" s="12"/>
      <c r="F679" s="12"/>
      <c r="G679" s="12"/>
      <c r="H679" s="12"/>
      <c r="I679" s="12" t="s">
        <v>2636</v>
      </c>
      <c r="J679" s="12" t="s">
        <v>2637</v>
      </c>
      <c r="K679" s="12" t="s">
        <v>2638</v>
      </c>
      <c r="L679" s="12" t="s">
        <v>6515</v>
      </c>
      <c r="M679" s="12" t="str">
        <f>HYPERLINK("https://ceds.ed.gov/cedselementdetails.aspx?termid=9862")</f>
        <v>https://ceds.ed.gov/cedselementdetails.aspx?termid=9862</v>
      </c>
      <c r="N679" s="12" t="str">
        <f>HYPERLINK("https://ceds.ed.gov/elementComment.aspx?elementName=Economic Research Service Rural-Urban Continuum Code &amp;elementID=9862", "Click here to submit comment")</f>
        <v>Click here to submit comment</v>
      </c>
    </row>
    <row r="680" spans="1:14" ht="90" x14ac:dyDescent="0.25">
      <c r="A680" s="12" t="s">
        <v>2639</v>
      </c>
      <c r="B680" s="12" t="s">
        <v>2640</v>
      </c>
      <c r="C680" s="13" t="s">
        <v>6897</v>
      </c>
      <c r="D680" s="12" t="s">
        <v>6516</v>
      </c>
      <c r="E680" s="12"/>
      <c r="F680" s="12"/>
      <c r="G680" s="12"/>
      <c r="H680" s="12"/>
      <c r="I680" s="12" t="s">
        <v>2641</v>
      </c>
      <c r="J680" s="12"/>
      <c r="K680" s="12" t="s">
        <v>2642</v>
      </c>
      <c r="L680" s="12"/>
      <c r="M680" s="12" t="str">
        <f>HYPERLINK("https://ceds.ed.gov/cedselementdetails.aspx?termid=10586")</f>
        <v>https://ceds.ed.gov/cedselementdetails.aspx?termid=10586</v>
      </c>
      <c r="N680" s="12" t="str">
        <f>HYPERLINK("https://ceds.ed.gov/elementComment.aspx?elementName=Education Verification Method &amp;elementID=10586", "Click here to submit comment")</f>
        <v>Click here to submit comment</v>
      </c>
    </row>
    <row r="681" spans="1:14" ht="75" x14ac:dyDescent="0.25">
      <c r="A681" s="12" t="s">
        <v>2643</v>
      </c>
      <c r="B681" s="12" t="s">
        <v>2644</v>
      </c>
      <c r="C681" s="12" t="s">
        <v>6364</v>
      </c>
      <c r="D681" s="12" t="s">
        <v>6508</v>
      </c>
      <c r="E681" s="12"/>
      <c r="F681" s="12"/>
      <c r="G681" s="12"/>
      <c r="H681" s="12"/>
      <c r="I681" s="12" t="s">
        <v>2645</v>
      </c>
      <c r="J681" s="12"/>
      <c r="K681" s="12" t="s">
        <v>2646</v>
      </c>
      <c r="L681" s="12"/>
      <c r="M681" s="12" t="str">
        <f>HYPERLINK("https://ceds.ed.gov/cedselementdetails.aspx?termid=9570")</f>
        <v>https://ceds.ed.gov/cedselementdetails.aspx?termid=9570</v>
      </c>
      <c r="N681" s="12" t="str">
        <f>HYPERLINK("https://ceds.ed.gov/elementComment.aspx?elementName=Educational Services After Removal &amp;elementID=9570", "Click here to submit comment")</f>
        <v>Click here to submit comment</v>
      </c>
    </row>
    <row r="682" spans="1:14" ht="409.5" x14ac:dyDescent="0.25">
      <c r="A682" s="12" t="s">
        <v>2647</v>
      </c>
      <c r="B682" s="12" t="s">
        <v>2648</v>
      </c>
      <c r="C682" s="12" t="s">
        <v>12</v>
      </c>
      <c r="D682" s="12" t="s">
        <v>6517</v>
      </c>
      <c r="E682" s="12"/>
      <c r="F682" s="12" t="s">
        <v>2649</v>
      </c>
      <c r="G682" s="12"/>
      <c r="H682" s="12"/>
      <c r="I682" s="12" t="s">
        <v>2650</v>
      </c>
      <c r="J682" s="12" t="s">
        <v>2651</v>
      </c>
      <c r="K682" s="12" t="s">
        <v>2652</v>
      </c>
      <c r="L682" s="12" t="s">
        <v>6369</v>
      </c>
      <c r="M682" s="12" t="str">
        <f>HYPERLINK("https://ceds.ed.gov/cedselementdetails.aspx?termid=9088")</f>
        <v>https://ceds.ed.gov/cedselementdetails.aspx?termid=9088</v>
      </c>
      <c r="N682" s="12" t="str">
        <f>HYPERLINK("https://ceds.ed.gov/elementComment.aspx?elementName=Electronic Mail Address &amp;elementID=9088", "Click here to submit comment")</f>
        <v>Click here to submit comment</v>
      </c>
    </row>
    <row r="683" spans="1:14" ht="409.5" x14ac:dyDescent="0.25">
      <c r="A683" s="12" t="s">
        <v>2653</v>
      </c>
      <c r="B683" s="12" t="s">
        <v>2654</v>
      </c>
      <c r="C683" s="13" t="s">
        <v>6898</v>
      </c>
      <c r="D683" s="12" t="s">
        <v>6517</v>
      </c>
      <c r="E683" s="12"/>
      <c r="F683" s="12"/>
      <c r="G683" s="12"/>
      <c r="H683" s="12"/>
      <c r="I683" s="12" t="s">
        <v>2655</v>
      </c>
      <c r="J683" s="12" t="s">
        <v>2656</v>
      </c>
      <c r="K683" s="12" t="s">
        <v>2657</v>
      </c>
      <c r="L683" s="12" t="s">
        <v>6369</v>
      </c>
      <c r="M683" s="12" t="str">
        <f>HYPERLINK("https://ceds.ed.gov/cedselementdetails.aspx?termid=9089")</f>
        <v>https://ceds.ed.gov/cedselementdetails.aspx?termid=9089</v>
      </c>
      <c r="N683" s="12" t="str">
        <f>HYPERLINK("https://ceds.ed.gov/elementComment.aspx?elementName=Electronic Mail Address Type &amp;elementID=9089", "Click here to submit comment")</f>
        <v>Click here to submit comment</v>
      </c>
    </row>
    <row r="684" spans="1:14" ht="105" x14ac:dyDescent="0.25">
      <c r="A684" s="12" t="s">
        <v>2658</v>
      </c>
      <c r="B684" s="12" t="s">
        <v>2659</v>
      </c>
      <c r="C684" s="13" t="s">
        <v>6899</v>
      </c>
      <c r="D684" s="12" t="s">
        <v>6383</v>
      </c>
      <c r="E684" s="12"/>
      <c r="F684" s="12"/>
      <c r="G684" s="12"/>
      <c r="H684" s="12"/>
      <c r="I684" s="12" t="s">
        <v>2660</v>
      </c>
      <c r="J684" s="12"/>
      <c r="K684" s="12" t="s">
        <v>2661</v>
      </c>
      <c r="L684" s="12" t="s">
        <v>222</v>
      </c>
      <c r="M684" s="12" t="str">
        <f>HYPERLINK("https://ceds.ed.gov/cedselementdetails.aspx?termid=9091")</f>
        <v>https://ceds.ed.gov/cedselementdetails.aspx?termid=9091</v>
      </c>
      <c r="N684" s="12" t="str">
        <f>HYPERLINK("https://ceds.ed.gov/elementComment.aspx?elementName=Elementary-Middle Additional Indicator Status &amp;elementID=9091", "Click here to submit comment")</f>
        <v>Click here to submit comment</v>
      </c>
    </row>
    <row r="685" spans="1:14" ht="45" x14ac:dyDescent="0.25">
      <c r="A685" s="12" t="s">
        <v>2662</v>
      </c>
      <c r="B685" s="12" t="s">
        <v>2663</v>
      </c>
      <c r="C685" s="12" t="s">
        <v>12</v>
      </c>
      <c r="D685" s="12" t="s">
        <v>2449</v>
      </c>
      <c r="E685" s="12"/>
      <c r="F685" s="12" t="s">
        <v>794</v>
      </c>
      <c r="G685" s="12"/>
      <c r="H685" s="12"/>
      <c r="I685" s="12" t="s">
        <v>2664</v>
      </c>
      <c r="J685" s="12"/>
      <c r="K685" s="12" t="s">
        <v>2665</v>
      </c>
      <c r="L685" s="12"/>
      <c r="M685" s="12" t="str">
        <f>HYPERLINK("https://ceds.ed.gov/cedselementdetails.aspx?termid=10597")</f>
        <v>https://ceds.ed.gov/cedselementdetails.aspx?termid=10597</v>
      </c>
      <c r="N685" s="12" t="str">
        <f>HYPERLINK("https://ceds.ed.gov/elementComment.aspx?elementName=Eligibility Priority Points &amp;elementID=10597", "Click here to submit comment")</f>
        <v>Click here to submit comment</v>
      </c>
    </row>
    <row r="686" spans="1:14" ht="75" x14ac:dyDescent="0.25">
      <c r="A686" s="12" t="s">
        <v>2666</v>
      </c>
      <c r="B686" s="12" t="s">
        <v>2667</v>
      </c>
      <c r="C686" s="13" t="s">
        <v>6900</v>
      </c>
      <c r="D686" s="12" t="s">
        <v>2630</v>
      </c>
      <c r="E686" s="12"/>
      <c r="F686" s="12"/>
      <c r="G686" s="12"/>
      <c r="H686" s="12"/>
      <c r="I686" s="12" t="s">
        <v>2668</v>
      </c>
      <c r="J686" s="12"/>
      <c r="K686" s="12" t="s">
        <v>2669</v>
      </c>
      <c r="L686" s="12" t="s">
        <v>6369</v>
      </c>
      <c r="M686" s="12" t="str">
        <f>HYPERLINK("https://ceds.ed.gov/cedselementdetails.aspx?termid=9092")</f>
        <v>https://ceds.ed.gov/cedselementdetails.aspx?termid=9092</v>
      </c>
      <c r="N686" s="12" t="str">
        <f>HYPERLINK("https://ceds.ed.gov/elementComment.aspx?elementName=Eligibility Status for School Food Service Programs &amp;elementID=9092", "Click here to submit comment")</f>
        <v>Click here to submit comment</v>
      </c>
    </row>
    <row r="687" spans="1:14" ht="60" x14ac:dyDescent="0.25">
      <c r="A687" s="12" t="s">
        <v>2670</v>
      </c>
      <c r="B687" s="12" t="s">
        <v>2671</v>
      </c>
      <c r="C687" s="12" t="s">
        <v>6364</v>
      </c>
      <c r="D687" s="12" t="s">
        <v>6518</v>
      </c>
      <c r="E687" s="12"/>
      <c r="F687" s="12"/>
      <c r="G687" s="12"/>
      <c r="H687" s="12"/>
      <c r="I687" s="12" t="s">
        <v>2672</v>
      </c>
      <c r="J687" s="12"/>
      <c r="K687" s="12" t="s">
        <v>2673</v>
      </c>
      <c r="L687" s="12"/>
      <c r="M687" s="12" t="str">
        <f>HYPERLINK("https://ceds.ed.gov/cedselementdetails.aspx?termid=10308")</f>
        <v>https://ceds.ed.gov/cedselementdetails.aspx?termid=10308</v>
      </c>
      <c r="N687" s="12" t="str">
        <f>HYPERLINK("https://ceds.ed.gov/elementComment.aspx?elementName=Emergency Contact Indicator &amp;elementID=10308", "Click here to submit comment")</f>
        <v>Click here to submit comment</v>
      </c>
    </row>
    <row r="688" spans="1:14" ht="270" x14ac:dyDescent="0.25">
      <c r="A688" s="12" t="s">
        <v>2674</v>
      </c>
      <c r="B688" s="12" t="s">
        <v>2675</v>
      </c>
      <c r="C688" s="12" t="s">
        <v>6519</v>
      </c>
      <c r="D688" s="12" t="s">
        <v>6520</v>
      </c>
      <c r="E688" s="12"/>
      <c r="F688" s="12"/>
      <c r="G688" s="12"/>
      <c r="H688" s="12" t="s">
        <v>2676</v>
      </c>
      <c r="I688" s="12" t="s">
        <v>2677</v>
      </c>
      <c r="J688" s="12"/>
      <c r="K688" s="12" t="s">
        <v>2678</v>
      </c>
      <c r="L688" s="12" t="s">
        <v>2679</v>
      </c>
      <c r="M688" s="12" t="str">
        <f>HYPERLINK("https://ceds.ed.gov/cedselementdetails.aspx?termid=9990")</f>
        <v>https://ceds.ed.gov/cedselementdetails.aspx?termid=9990</v>
      </c>
      <c r="N688" s="12" t="str">
        <f>HYPERLINK("https://ceds.ed.gov/elementComment.aspx?elementName=Employed After Exit &amp;elementID=9990", "Click here to submit comment")</f>
        <v>Click here to submit comment</v>
      </c>
    </row>
    <row r="689" spans="1:14" ht="225" x14ac:dyDescent="0.25">
      <c r="A689" s="12" t="s">
        <v>2680</v>
      </c>
      <c r="B689" s="12" t="s">
        <v>2681</v>
      </c>
      <c r="C689" s="12" t="s">
        <v>6519</v>
      </c>
      <c r="D689" s="12" t="s">
        <v>2682</v>
      </c>
      <c r="E689" s="12"/>
      <c r="F689" s="12"/>
      <c r="G689" s="12"/>
      <c r="H689" s="12" t="s">
        <v>2683</v>
      </c>
      <c r="I689" s="12" t="s">
        <v>2684</v>
      </c>
      <c r="J689" s="12"/>
      <c r="K689" s="12" t="s">
        <v>2685</v>
      </c>
      <c r="L689" s="12"/>
      <c r="M689" s="12" t="str">
        <f>HYPERLINK("https://ceds.ed.gov/cedselementdetails.aspx?termid=10309")</f>
        <v>https://ceds.ed.gov/cedselementdetails.aspx?termid=10309</v>
      </c>
      <c r="N689" s="12" t="str">
        <f>HYPERLINK("https://ceds.ed.gov/elementComment.aspx?elementName=Employed Prior to Enrollment &amp;elementID=10309", "Click here to submit comment")</f>
        <v>Click here to submit comment</v>
      </c>
    </row>
    <row r="690" spans="1:14" ht="225" x14ac:dyDescent="0.25">
      <c r="A690" s="12" t="s">
        <v>2686</v>
      </c>
      <c r="B690" s="12" t="s">
        <v>2687</v>
      </c>
      <c r="C690" s="12" t="s">
        <v>6519</v>
      </c>
      <c r="D690" s="12" t="s">
        <v>6520</v>
      </c>
      <c r="E690" s="12"/>
      <c r="F690" s="12"/>
      <c r="G690" s="12"/>
      <c r="H690" s="12" t="s">
        <v>2688</v>
      </c>
      <c r="I690" s="12" t="s">
        <v>2689</v>
      </c>
      <c r="J690" s="12"/>
      <c r="K690" s="12" t="s">
        <v>2690</v>
      </c>
      <c r="L690" s="12" t="s">
        <v>2679</v>
      </c>
      <c r="M690" s="12" t="str">
        <f>HYPERLINK("https://ceds.ed.gov/cedselementdetails.aspx?termid=9989")</f>
        <v>https://ceds.ed.gov/cedselementdetails.aspx?termid=9989</v>
      </c>
      <c r="N690" s="12" t="str">
        <f>HYPERLINK("https://ceds.ed.gov/elementComment.aspx?elementName=Employed While Enrolled &amp;elementID=9989", "Click here to submit comment")</f>
        <v>Click here to submit comment</v>
      </c>
    </row>
    <row r="691" spans="1:14" ht="315" x14ac:dyDescent="0.25">
      <c r="A691" s="12" t="s">
        <v>2691</v>
      </c>
      <c r="B691" s="12" t="s">
        <v>2692</v>
      </c>
      <c r="C691" s="12" t="s">
        <v>12</v>
      </c>
      <c r="D691" s="12" t="s">
        <v>6521</v>
      </c>
      <c r="E691" s="12"/>
      <c r="F691" s="12" t="s">
        <v>73</v>
      </c>
      <c r="G691" s="12"/>
      <c r="H691" s="12"/>
      <c r="I691" s="12" t="s">
        <v>2693</v>
      </c>
      <c r="J691" s="12"/>
      <c r="K691" s="12" t="s">
        <v>2694</v>
      </c>
      <c r="L691" s="12" t="s">
        <v>205</v>
      </c>
      <c r="M691" s="12" t="str">
        <f>HYPERLINK("https://ceds.ed.gov/cedselementdetails.aspx?termid=9794")</f>
        <v>https://ceds.ed.gov/cedselementdetails.aspx?termid=9794</v>
      </c>
      <c r="N691" s="12" t="str">
        <f>HYPERLINK("https://ceds.ed.gov/elementComment.aspx?elementName=Employment End Date &amp;elementID=9794", "Click here to submit comment")</f>
        <v>Click here to submit comment</v>
      </c>
    </row>
    <row r="692" spans="1:14" ht="409.5" x14ac:dyDescent="0.25">
      <c r="A692" s="12" t="s">
        <v>2695</v>
      </c>
      <c r="B692" s="12" t="s">
        <v>2696</v>
      </c>
      <c r="C692" s="13" t="s">
        <v>6901</v>
      </c>
      <c r="D692" s="12" t="s">
        <v>2682</v>
      </c>
      <c r="E692" s="12"/>
      <c r="F692" s="12"/>
      <c r="G692" s="12"/>
      <c r="H692" s="12" t="s">
        <v>2697</v>
      </c>
      <c r="I692" s="12" t="s">
        <v>2698</v>
      </c>
      <c r="J692" s="12"/>
      <c r="K692" s="12" t="s">
        <v>2699</v>
      </c>
      <c r="L692" s="12"/>
      <c r="M692" s="12" t="str">
        <f>HYPERLINK("https://ceds.ed.gov/cedselementdetails.aspx?termid=9992")</f>
        <v>https://ceds.ed.gov/cedselementdetails.aspx?termid=9992</v>
      </c>
      <c r="N692" s="12" t="str">
        <f>HYPERLINK("https://ceds.ed.gov/elementComment.aspx?elementName=Employment Location &amp;elementID=9992", "Click here to submit comment")</f>
        <v>Click here to submit comment</v>
      </c>
    </row>
    <row r="693" spans="1:14" ht="195" x14ac:dyDescent="0.25">
      <c r="A693" s="12" t="s">
        <v>2700</v>
      </c>
      <c r="B693" s="12" t="s">
        <v>2701</v>
      </c>
      <c r="C693" s="12" t="s">
        <v>2702</v>
      </c>
      <c r="D693" s="12" t="s">
        <v>6520</v>
      </c>
      <c r="E693" s="12"/>
      <c r="F693" s="12" t="s">
        <v>2703</v>
      </c>
      <c r="G693" s="12"/>
      <c r="H693" s="12"/>
      <c r="I693" s="12" t="s">
        <v>2704</v>
      </c>
      <c r="J693" s="12"/>
      <c r="K693" s="12" t="s">
        <v>2705</v>
      </c>
      <c r="L693" s="12"/>
      <c r="M693" s="12" t="str">
        <f>HYPERLINK("https://ceds.ed.gov/cedselementdetails.aspx?termid=10070")</f>
        <v>https://ceds.ed.gov/cedselementdetails.aspx?termid=10070</v>
      </c>
      <c r="N693" s="12" t="str">
        <f>HYPERLINK("https://ceds.ed.gov/elementComment.aspx?elementName=Employment NAICS Code &amp;elementID=10070", "Click here to submit comment")</f>
        <v>Click here to submit comment</v>
      </c>
    </row>
    <row r="694" spans="1:14" ht="300" x14ac:dyDescent="0.25">
      <c r="A694" s="12" t="s">
        <v>2706</v>
      </c>
      <c r="B694" s="12" t="s">
        <v>2707</v>
      </c>
      <c r="C694" s="13" t="s">
        <v>6902</v>
      </c>
      <c r="D694" s="12" t="s">
        <v>2682</v>
      </c>
      <c r="E694" s="12"/>
      <c r="F694" s="12"/>
      <c r="G694" s="12"/>
      <c r="H694" s="12" t="s">
        <v>2708</v>
      </c>
      <c r="I694" s="12" t="s">
        <v>2709</v>
      </c>
      <c r="J694" s="12"/>
      <c r="K694" s="12" t="s">
        <v>2710</v>
      </c>
      <c r="L694" s="12"/>
      <c r="M694" s="12" t="str">
        <f>HYPERLINK("https://ceds.ed.gov/cedselementdetails.aspx?termid=9996")</f>
        <v>https://ceds.ed.gov/cedselementdetails.aspx?termid=9996</v>
      </c>
      <c r="N694" s="12" t="str">
        <f>HYPERLINK("https://ceds.ed.gov/elementComment.aspx?elementName=Employment Record Administrative Data Source &amp;elementID=9996", "Click here to submit comment")</f>
        <v>Click here to submit comment</v>
      </c>
    </row>
    <row r="695" spans="1:14" ht="360" x14ac:dyDescent="0.25">
      <c r="A695" s="12" t="s">
        <v>2711</v>
      </c>
      <c r="B695" s="12" t="s">
        <v>2712</v>
      </c>
      <c r="C695" s="12" t="s">
        <v>12</v>
      </c>
      <c r="D695" s="12" t="s">
        <v>2682</v>
      </c>
      <c r="E695" s="12"/>
      <c r="F695" s="12" t="s">
        <v>73</v>
      </c>
      <c r="G695" s="12"/>
      <c r="H695" s="12" t="s">
        <v>2713</v>
      </c>
      <c r="I695" s="12" t="s">
        <v>2714</v>
      </c>
      <c r="J695" s="12"/>
      <c r="K695" s="12" t="s">
        <v>2715</v>
      </c>
      <c r="L695" s="12"/>
      <c r="M695" s="12" t="str">
        <f>HYPERLINK("https://ceds.ed.gov/cedselementdetails.aspx?termid=9995")</f>
        <v>https://ceds.ed.gov/cedselementdetails.aspx?termid=9995</v>
      </c>
      <c r="N695" s="12" t="str">
        <f>HYPERLINK("https://ceds.ed.gov/elementComment.aspx?elementName=Employment Record Reference Period End Date &amp;elementID=9995", "Click here to submit comment")</f>
        <v>Click here to submit comment</v>
      </c>
    </row>
    <row r="696" spans="1:14" ht="360" x14ac:dyDescent="0.25">
      <c r="A696" s="12" t="s">
        <v>2716</v>
      </c>
      <c r="B696" s="12" t="s">
        <v>2717</v>
      </c>
      <c r="C696" s="12" t="s">
        <v>12</v>
      </c>
      <c r="D696" s="12" t="s">
        <v>2682</v>
      </c>
      <c r="E696" s="12"/>
      <c r="F696" s="12" t="s">
        <v>73</v>
      </c>
      <c r="G696" s="12"/>
      <c r="H696" s="12" t="s">
        <v>2713</v>
      </c>
      <c r="I696" s="12" t="s">
        <v>2718</v>
      </c>
      <c r="J696" s="12"/>
      <c r="K696" s="12" t="s">
        <v>2719</v>
      </c>
      <c r="L696" s="12"/>
      <c r="M696" s="12" t="str">
        <f>HYPERLINK("https://ceds.ed.gov/cedselementdetails.aspx?termid=9994")</f>
        <v>https://ceds.ed.gov/cedselementdetails.aspx?termid=9994</v>
      </c>
      <c r="N696" s="12" t="str">
        <f>HYPERLINK("https://ceds.ed.gov/elementComment.aspx?elementName=Employment Record Reference Period Start Date &amp;elementID=9994", "Click here to submit comment")</f>
        <v>Click here to submit comment</v>
      </c>
    </row>
    <row r="697" spans="1:14" ht="405" x14ac:dyDescent="0.25">
      <c r="A697" s="12" t="s">
        <v>2720</v>
      </c>
      <c r="B697" s="12" t="s">
        <v>2500</v>
      </c>
      <c r="C697" s="13" t="s">
        <v>6881</v>
      </c>
      <c r="D697" s="12" t="s">
        <v>6522</v>
      </c>
      <c r="E697" s="12"/>
      <c r="F697" s="12"/>
      <c r="G697" s="12"/>
      <c r="H697" s="12"/>
      <c r="I697" s="12" t="s">
        <v>2721</v>
      </c>
      <c r="J697" s="12"/>
      <c r="K697" s="12" t="s">
        <v>2722</v>
      </c>
      <c r="L697" s="12"/>
      <c r="M697" s="12" t="str">
        <f>HYPERLINK("https://ceds.ed.gov/cedselementdetails.aspx?termid=9613")</f>
        <v>https://ceds.ed.gov/cedselementdetails.aspx?termid=9613</v>
      </c>
      <c r="N697" s="12" t="str">
        <f>HYPERLINK("https://ceds.ed.gov/elementComment.aspx?elementName=Employment Separation Reason &amp;elementID=9613", "Click here to submit comment")</f>
        <v>Click here to submit comment</v>
      </c>
    </row>
    <row r="698" spans="1:14" ht="75" x14ac:dyDescent="0.25">
      <c r="A698" s="12" t="s">
        <v>2723</v>
      </c>
      <c r="B698" s="12" t="s">
        <v>2724</v>
      </c>
      <c r="C698" s="13" t="s">
        <v>6903</v>
      </c>
      <c r="D698" s="12" t="s">
        <v>6522</v>
      </c>
      <c r="E698" s="12"/>
      <c r="F698" s="12"/>
      <c r="G698" s="12"/>
      <c r="H698" s="12"/>
      <c r="I698" s="12" t="s">
        <v>2725</v>
      </c>
      <c r="J698" s="12"/>
      <c r="K698" s="12" t="s">
        <v>2726</v>
      </c>
      <c r="L698" s="12"/>
      <c r="M698" s="12" t="str">
        <f>HYPERLINK("https://ceds.ed.gov/cedselementdetails.aspx?termid=9614")</f>
        <v>https://ceds.ed.gov/cedselementdetails.aspx?termid=9614</v>
      </c>
      <c r="N698" s="12" t="str">
        <f>HYPERLINK("https://ceds.ed.gov/elementComment.aspx?elementName=Employment Separation Type &amp;elementID=9614", "Click here to submit comment")</f>
        <v>Click here to submit comment</v>
      </c>
    </row>
    <row r="699" spans="1:14" ht="315" x14ac:dyDescent="0.25">
      <c r="A699" s="12" t="s">
        <v>2727</v>
      </c>
      <c r="B699" s="12" t="s">
        <v>2728</v>
      </c>
      <c r="C699" s="12" t="s">
        <v>12</v>
      </c>
      <c r="D699" s="12" t="s">
        <v>6521</v>
      </c>
      <c r="E699" s="12"/>
      <c r="F699" s="12" t="s">
        <v>73</v>
      </c>
      <c r="G699" s="12"/>
      <c r="H699" s="12"/>
      <c r="I699" s="12" t="s">
        <v>2729</v>
      </c>
      <c r="J699" s="12"/>
      <c r="K699" s="12" t="s">
        <v>2730</v>
      </c>
      <c r="L699" s="12" t="s">
        <v>6523</v>
      </c>
      <c r="M699" s="12" t="str">
        <f>HYPERLINK("https://ceds.ed.gov/cedselementdetails.aspx?termid=9345")</f>
        <v>https://ceds.ed.gov/cedselementdetails.aspx?termid=9345</v>
      </c>
      <c r="N699" s="12" t="str">
        <f>HYPERLINK("https://ceds.ed.gov/elementComment.aspx?elementName=Employment Start Date &amp;elementID=9345", "Click here to submit comment")</f>
        <v>Click here to submit comment</v>
      </c>
    </row>
    <row r="700" spans="1:14" ht="210" x14ac:dyDescent="0.25">
      <c r="A700" s="12" t="s">
        <v>2731</v>
      </c>
      <c r="B700" s="12" t="s">
        <v>293</v>
      </c>
      <c r="C700" s="13" t="s">
        <v>6904</v>
      </c>
      <c r="D700" s="12" t="s">
        <v>6522</v>
      </c>
      <c r="E700" s="12"/>
      <c r="F700" s="12"/>
      <c r="G700" s="12"/>
      <c r="H700" s="12"/>
      <c r="I700" s="12" t="s">
        <v>2732</v>
      </c>
      <c r="J700" s="12"/>
      <c r="K700" s="12" t="s">
        <v>2733</v>
      </c>
      <c r="L700" s="12" t="s">
        <v>6495</v>
      </c>
      <c r="M700" s="12" t="str">
        <f>HYPERLINK("https://ceds.ed.gov/cedselementdetails.aspx?termid=9346")</f>
        <v>https://ceds.ed.gov/cedselementdetails.aspx?termid=9346</v>
      </c>
      <c r="N700" s="12" t="str">
        <f>HYPERLINK("https://ceds.ed.gov/elementComment.aspx?elementName=Employment Status &amp;elementID=9346", "Click here to submit comment")</f>
        <v>Click here to submit comment</v>
      </c>
    </row>
    <row r="701" spans="1:14" ht="75" x14ac:dyDescent="0.25">
      <c r="A701" s="12" t="s">
        <v>2734</v>
      </c>
      <c r="B701" s="12" t="s">
        <v>2735</v>
      </c>
      <c r="C701" s="13" t="s">
        <v>6905</v>
      </c>
      <c r="D701" s="12" t="s">
        <v>2736</v>
      </c>
      <c r="E701" s="12"/>
      <c r="F701" s="12"/>
      <c r="G701" s="12"/>
      <c r="H701" s="12"/>
      <c r="I701" s="12" t="s">
        <v>2737</v>
      </c>
      <c r="J701" s="12"/>
      <c r="K701" s="12" t="s">
        <v>2738</v>
      </c>
      <c r="L701" s="12"/>
      <c r="M701" s="12" t="str">
        <f>HYPERLINK("https://ceds.ed.gov/cedselementdetails.aspx?termid=10310")</f>
        <v>https://ceds.ed.gov/cedselementdetails.aspx?termid=10310</v>
      </c>
      <c r="N701" s="12" t="str">
        <f>HYPERLINK("https://ceds.ed.gov/elementComment.aspx?elementName=Employment Status While Enrolled &amp;elementID=10310", "Click here to submit comment")</f>
        <v>Click here to submit comment</v>
      </c>
    </row>
    <row r="702" spans="1:14" ht="45" x14ac:dyDescent="0.25">
      <c r="A702" s="12" t="s">
        <v>2739</v>
      </c>
      <c r="B702" s="12" t="s">
        <v>2740</v>
      </c>
      <c r="C702" s="13" t="s">
        <v>6906</v>
      </c>
      <c r="D702" s="12" t="s">
        <v>28</v>
      </c>
      <c r="E702" s="12"/>
      <c r="F702" s="12"/>
      <c r="G702" s="12"/>
      <c r="H702" s="12"/>
      <c r="I702" s="12" t="s">
        <v>2741</v>
      </c>
      <c r="J702" s="12"/>
      <c r="K702" s="12" t="s">
        <v>2742</v>
      </c>
      <c r="L702" s="12" t="s">
        <v>4</v>
      </c>
      <c r="M702" s="12" t="str">
        <f>HYPERLINK("https://ceds.ed.gov/cedselementdetails.aspx?termid=9093")</f>
        <v>https://ceds.ed.gov/cedselementdetails.aspx?termid=9093</v>
      </c>
      <c r="N702" s="12" t="str">
        <f>HYPERLINK("https://ceds.ed.gov/elementComment.aspx?elementName=End of Term Status &amp;elementID=9093", "Click here to submit comment")</f>
        <v>Click here to submit comment</v>
      </c>
    </row>
    <row r="703" spans="1:14" ht="60" x14ac:dyDescent="0.25">
      <c r="A703" s="12" t="s">
        <v>2743</v>
      </c>
      <c r="B703" s="12" t="s">
        <v>2744</v>
      </c>
      <c r="C703" s="12" t="s">
        <v>12</v>
      </c>
      <c r="D703" s="12" t="s">
        <v>6524</v>
      </c>
      <c r="E703" s="12"/>
      <c r="F703" s="12" t="s">
        <v>73</v>
      </c>
      <c r="G703" s="12"/>
      <c r="H703" s="12"/>
      <c r="I703" s="12" t="s">
        <v>2745</v>
      </c>
      <c r="J703" s="12"/>
      <c r="K703" s="12" t="s">
        <v>2746</v>
      </c>
      <c r="L703" s="12" t="s">
        <v>6393</v>
      </c>
      <c r="M703" s="12" t="str">
        <f>HYPERLINK("https://ceds.ed.gov/cedselementdetails.aspx?termid=9324")</f>
        <v>https://ceds.ed.gov/cedselementdetails.aspx?termid=9324</v>
      </c>
      <c r="N703" s="12" t="str">
        <f>HYPERLINK("https://ceds.ed.gov/elementComment.aspx?elementName=Enrollment Date &amp;elementID=9324", "Click here to submit comment")</f>
        <v>Click here to submit comment</v>
      </c>
    </row>
    <row r="704" spans="1:14" ht="135" x14ac:dyDescent="0.25">
      <c r="A704" s="12" t="s">
        <v>2747</v>
      </c>
      <c r="B704" s="12" t="s">
        <v>2748</v>
      </c>
      <c r="C704" s="12" t="s">
        <v>12</v>
      </c>
      <c r="D704" s="12" t="s">
        <v>6525</v>
      </c>
      <c r="E704" s="12"/>
      <c r="F704" s="12" t="s">
        <v>73</v>
      </c>
      <c r="G704" s="12"/>
      <c r="H704" s="12"/>
      <c r="I704" s="12" t="s">
        <v>2749</v>
      </c>
      <c r="J704" s="12"/>
      <c r="K704" s="12" t="s">
        <v>2750</v>
      </c>
      <c r="L704" s="12" t="s">
        <v>6526</v>
      </c>
      <c r="M704" s="12" t="str">
        <f>HYPERLINK("https://ceds.ed.gov/cedselementdetails.aspx?termid=9097")</f>
        <v>https://ceds.ed.gov/cedselementdetails.aspx?termid=9097</v>
      </c>
      <c r="N704" s="12" t="str">
        <f>HYPERLINK("https://ceds.ed.gov/elementComment.aspx?elementName=Enrollment Entry Date &amp;elementID=9097", "Click here to submit comment")</f>
        <v>Click here to submit comment</v>
      </c>
    </row>
    <row r="705" spans="1:14" ht="135" x14ac:dyDescent="0.25">
      <c r="A705" s="12" t="s">
        <v>2751</v>
      </c>
      <c r="B705" s="12" t="s">
        <v>2752</v>
      </c>
      <c r="C705" s="12" t="s">
        <v>12</v>
      </c>
      <c r="D705" s="12" t="s">
        <v>6527</v>
      </c>
      <c r="E705" s="12"/>
      <c r="F705" s="12" t="s">
        <v>73</v>
      </c>
      <c r="G705" s="12"/>
      <c r="H705" s="12"/>
      <c r="I705" s="12" t="s">
        <v>2753</v>
      </c>
      <c r="J705" s="12"/>
      <c r="K705" s="12" t="s">
        <v>2754</v>
      </c>
      <c r="L705" s="12" t="s">
        <v>25</v>
      </c>
      <c r="M705" s="12" t="str">
        <f>HYPERLINK("https://ceds.ed.gov/cedselementdetails.aspx?termid=9107")</f>
        <v>https://ceds.ed.gov/cedselementdetails.aspx?termid=9107</v>
      </c>
      <c r="N705" s="12" t="str">
        <f>HYPERLINK("https://ceds.ed.gov/elementComment.aspx?elementName=Enrollment Exit Date &amp;elementID=9107", "Click here to submit comment")</f>
        <v>Click here to submit comment</v>
      </c>
    </row>
    <row r="706" spans="1:14" ht="285" x14ac:dyDescent="0.25">
      <c r="A706" s="12" t="s">
        <v>2755</v>
      </c>
      <c r="B706" s="12" t="s">
        <v>2756</v>
      </c>
      <c r="C706" s="13" t="s">
        <v>6718</v>
      </c>
      <c r="D706" s="12" t="s">
        <v>2757</v>
      </c>
      <c r="E706" s="12"/>
      <c r="F706" s="12"/>
      <c r="G706" s="12"/>
      <c r="H706" s="12"/>
      <c r="I706" s="12" t="s">
        <v>2758</v>
      </c>
      <c r="J706" s="12"/>
      <c r="K706" s="12" t="s">
        <v>2759</v>
      </c>
      <c r="L706" s="12" t="s">
        <v>6380</v>
      </c>
      <c r="M706" s="12" t="str">
        <f>HYPERLINK("https://ceds.ed.gov/cedselementdetails.aspx?termid=9360")</f>
        <v>https://ceds.ed.gov/cedselementdetails.aspx?termid=9360</v>
      </c>
      <c r="N706" s="12" t="str">
        <f>HYPERLINK("https://ceds.ed.gov/elementComment.aspx?elementName=Enrollment in Postsecondary Award Type &amp;elementID=9360", "Click here to submit comment")</f>
        <v>Click here to submit comment</v>
      </c>
    </row>
    <row r="707" spans="1:14" ht="75" x14ac:dyDescent="0.25">
      <c r="A707" s="12" t="s">
        <v>2760</v>
      </c>
      <c r="B707" s="12" t="s">
        <v>2761</v>
      </c>
      <c r="C707" s="13" t="s">
        <v>6907</v>
      </c>
      <c r="D707" s="12" t="s">
        <v>2394</v>
      </c>
      <c r="E707" s="12"/>
      <c r="F707" s="12"/>
      <c r="G707" s="12"/>
      <c r="H707" s="12"/>
      <c r="I707" s="12" t="s">
        <v>2762</v>
      </c>
      <c r="J707" s="12"/>
      <c r="K707" s="12" t="s">
        <v>2763</v>
      </c>
      <c r="L707" s="12" t="s">
        <v>222</v>
      </c>
      <c r="M707" s="12" t="str">
        <f>HYPERLINK("https://ceds.ed.gov/cedselementdetails.aspx?termid=9094")</f>
        <v>https://ceds.ed.gov/cedselementdetails.aspx?termid=9094</v>
      </c>
      <c r="N707" s="12" t="str">
        <f>HYPERLINK("https://ceds.ed.gov/elementComment.aspx?elementName=Enrollment Status &amp;elementID=9094", "Click here to submit comment")</f>
        <v>Click here to submit comment</v>
      </c>
    </row>
    <row r="708" spans="1:14" ht="90" x14ac:dyDescent="0.25">
      <c r="A708" s="12" t="s">
        <v>2764</v>
      </c>
      <c r="B708" s="12" t="s">
        <v>2765</v>
      </c>
      <c r="C708" s="12" t="s">
        <v>12</v>
      </c>
      <c r="D708" s="12" t="s">
        <v>1856</v>
      </c>
      <c r="E708" s="12"/>
      <c r="F708" s="12" t="s">
        <v>73</v>
      </c>
      <c r="G708" s="12"/>
      <c r="H708" s="12"/>
      <c r="I708" s="12" t="s">
        <v>2766</v>
      </c>
      <c r="J708" s="12"/>
      <c r="K708" s="12" t="s">
        <v>2767</v>
      </c>
      <c r="L708" s="12" t="s">
        <v>6528</v>
      </c>
      <c r="M708" s="12" t="str">
        <f>HYPERLINK("https://ceds.ed.gov/cedselementdetails.aspx?termid=9098")</f>
        <v>https://ceds.ed.gov/cedselementdetails.aspx?termid=9098</v>
      </c>
      <c r="N708" s="12" t="str">
        <f>HYPERLINK("https://ceds.ed.gov/elementComment.aspx?elementName=Entry Date into Postsecondary &amp;elementID=9098", "Click here to submit comment")</f>
        <v>Click here to submit comment</v>
      </c>
    </row>
    <row r="709" spans="1:14" ht="330" x14ac:dyDescent="0.25">
      <c r="A709" s="12" t="s">
        <v>2768</v>
      </c>
      <c r="B709" s="12" t="s">
        <v>2769</v>
      </c>
      <c r="C709" s="13" t="s">
        <v>6908</v>
      </c>
      <c r="D709" s="12" t="s">
        <v>6529</v>
      </c>
      <c r="E709" s="12"/>
      <c r="F709" s="12"/>
      <c r="G709" s="12"/>
      <c r="H709" s="12"/>
      <c r="I709" s="12" t="s">
        <v>2770</v>
      </c>
      <c r="J709" s="12"/>
      <c r="K709" s="12" t="s">
        <v>2771</v>
      </c>
      <c r="L709" s="12" t="s">
        <v>6438</v>
      </c>
      <c r="M709" s="12" t="str">
        <f>HYPERLINK("https://ceds.ed.gov/cedselementdetails.aspx?termid=9100")</f>
        <v>https://ceds.ed.gov/cedselementdetails.aspx?termid=9100</v>
      </c>
      <c r="N709" s="12" t="str">
        <f>HYPERLINK("https://ceds.ed.gov/elementComment.aspx?elementName=Entry Grade Level &amp;elementID=9100", "Click here to submit comment")</f>
        <v>Click here to submit comment</v>
      </c>
    </row>
    <row r="710" spans="1:14" ht="409.5" x14ac:dyDescent="0.25">
      <c r="A710" s="12" t="s">
        <v>2772</v>
      </c>
      <c r="B710" s="12" t="s">
        <v>2773</v>
      </c>
      <c r="C710" s="13" t="s">
        <v>6909</v>
      </c>
      <c r="D710" s="12" t="s">
        <v>2394</v>
      </c>
      <c r="E710" s="12"/>
      <c r="F710" s="12"/>
      <c r="G710" s="12"/>
      <c r="H710" s="12"/>
      <c r="I710" s="12" t="s">
        <v>2774</v>
      </c>
      <c r="J710" s="12"/>
      <c r="K710" s="12" t="s">
        <v>2775</v>
      </c>
      <c r="L710" s="12" t="s">
        <v>6369</v>
      </c>
      <c r="M710" s="12" t="str">
        <f>HYPERLINK("https://ceds.ed.gov/cedselementdetails.aspx?termid=9099")</f>
        <v>https://ceds.ed.gov/cedselementdetails.aspx?termid=9099</v>
      </c>
      <c r="N710" s="12" t="str">
        <f>HYPERLINK("https://ceds.ed.gov/elementComment.aspx?elementName=Entry Type &amp;elementID=9099", "Click here to submit comment")</f>
        <v>Click here to submit comment</v>
      </c>
    </row>
    <row r="711" spans="1:14" ht="330" x14ac:dyDescent="0.25">
      <c r="A711" s="12" t="s">
        <v>2776</v>
      </c>
      <c r="B711" s="12" t="s">
        <v>2777</v>
      </c>
      <c r="C711" s="13" t="s">
        <v>6908</v>
      </c>
      <c r="D711" s="12" t="s">
        <v>6529</v>
      </c>
      <c r="E711" s="12"/>
      <c r="F711" s="12"/>
      <c r="G711" s="12"/>
      <c r="H711" s="12"/>
      <c r="I711" s="12" t="s">
        <v>2778</v>
      </c>
      <c r="J711" s="12"/>
      <c r="K711" s="12" t="s">
        <v>2779</v>
      </c>
      <c r="L711" s="12"/>
      <c r="M711" s="12" t="str">
        <f>HYPERLINK("https://ceds.ed.gov/cedselementdetails.aspx?termid=10177")</f>
        <v>https://ceds.ed.gov/cedselementdetails.aspx?termid=10177</v>
      </c>
      <c r="N711" s="12" t="str">
        <f>HYPERLINK("https://ceds.ed.gov/elementComment.aspx?elementName=Exit Grade Level &amp;elementID=10177", "Click here to submit comment")</f>
        <v>Click here to submit comment</v>
      </c>
    </row>
    <row r="712" spans="1:14" ht="60" x14ac:dyDescent="0.25">
      <c r="A712" s="12" t="s">
        <v>2780</v>
      </c>
      <c r="B712" s="12" t="s">
        <v>2781</v>
      </c>
      <c r="C712" s="13" t="s">
        <v>6910</v>
      </c>
      <c r="D712" s="12" t="s">
        <v>6530</v>
      </c>
      <c r="E712" s="12"/>
      <c r="F712" s="12"/>
      <c r="G712" s="12"/>
      <c r="H712" s="12"/>
      <c r="I712" s="12" t="s">
        <v>2782</v>
      </c>
      <c r="J712" s="12"/>
      <c r="K712" s="12" t="s">
        <v>2783</v>
      </c>
      <c r="L712" s="12" t="s">
        <v>2107</v>
      </c>
      <c r="M712" s="12" t="str">
        <f>HYPERLINK("https://ceds.ed.gov/cedselementdetails.aspx?termid=9108")</f>
        <v>https://ceds.ed.gov/cedselementdetails.aspx?termid=9108</v>
      </c>
      <c r="N712" s="12" t="str">
        <f>HYPERLINK("https://ceds.ed.gov/elementComment.aspx?elementName=Exit or Withdrawal Status &amp;elementID=9108", "Click here to submit comment")</f>
        <v>Click here to submit comment</v>
      </c>
    </row>
    <row r="713" spans="1:14" ht="409.5" x14ac:dyDescent="0.25">
      <c r="A713" s="12" t="s">
        <v>2784</v>
      </c>
      <c r="B713" s="12" t="s">
        <v>2785</v>
      </c>
      <c r="C713" s="13" t="s">
        <v>6911</v>
      </c>
      <c r="D713" s="12" t="s">
        <v>2394</v>
      </c>
      <c r="E713" s="12"/>
      <c r="F713" s="12"/>
      <c r="G713" s="12"/>
      <c r="H713" s="12"/>
      <c r="I713" s="12" t="s">
        <v>2786</v>
      </c>
      <c r="J713" s="12"/>
      <c r="K713" s="12" t="s">
        <v>2787</v>
      </c>
      <c r="L713" s="12" t="s">
        <v>6531</v>
      </c>
      <c r="M713" s="12" t="str">
        <f>HYPERLINK("https://ceds.ed.gov/cedselementdetails.aspx?termid=9110")</f>
        <v>https://ceds.ed.gov/cedselementdetails.aspx?termid=9110</v>
      </c>
      <c r="N713" s="12" t="str">
        <f>HYPERLINK("https://ceds.ed.gov/elementComment.aspx?elementName=Exit or Withdrawal Type &amp;elementID=9110", "Click here to submit comment")</f>
        <v>Click here to submit comment</v>
      </c>
    </row>
    <row r="714" spans="1:14" ht="409.5" x14ac:dyDescent="0.25">
      <c r="A714" s="12" t="s">
        <v>2788</v>
      </c>
      <c r="B714" s="12" t="s">
        <v>2789</v>
      </c>
      <c r="C714" s="13" t="s">
        <v>6912</v>
      </c>
      <c r="D714" s="12" t="s">
        <v>6532</v>
      </c>
      <c r="E714" s="12"/>
      <c r="F714" s="12"/>
      <c r="G714" s="12"/>
      <c r="H714" s="12"/>
      <c r="I714" s="12" t="s">
        <v>2790</v>
      </c>
      <c r="J714" s="12"/>
      <c r="K714" s="12" t="s">
        <v>2791</v>
      </c>
      <c r="L714" s="12"/>
      <c r="M714" s="12" t="str">
        <f>HYPERLINK("https://ceds.ed.gov/cedselementdetails.aspx?termid=9222")</f>
        <v>https://ceds.ed.gov/cedselementdetails.aspx?termid=9222</v>
      </c>
      <c r="N714" s="12" t="str">
        <f>HYPERLINK("https://ceds.ed.gov/elementComment.aspx?elementName=Exit Reason &amp;elementID=9222", "Click here to submit comment")</f>
        <v>Click here to submit comment</v>
      </c>
    </row>
    <row r="715" spans="1:14" ht="105" x14ac:dyDescent="0.25">
      <c r="A715" s="18" t="s">
        <v>2792</v>
      </c>
      <c r="B715" s="18" t="s">
        <v>2793</v>
      </c>
      <c r="C715" s="18" t="s">
        <v>12</v>
      </c>
      <c r="D715" s="18" t="s">
        <v>6533</v>
      </c>
      <c r="E715" s="18"/>
      <c r="F715" s="18" t="s">
        <v>142</v>
      </c>
      <c r="G715" s="18"/>
      <c r="H715" s="12" t="s">
        <v>143</v>
      </c>
      <c r="I715" s="18" t="s">
        <v>2794</v>
      </c>
      <c r="J715" s="18"/>
      <c r="K715" s="18" t="s">
        <v>2795</v>
      </c>
      <c r="L715" s="18"/>
      <c r="M715" s="18" t="str">
        <f>HYPERLINK("https://ceds.ed.gov/cedselementdetails.aspx?termid=9495")</f>
        <v>https://ceds.ed.gov/cedselementdetails.aspx?termid=9495</v>
      </c>
      <c r="N715" s="18" t="str">
        <f>HYPERLINK("https://ceds.ed.gov/elementComment.aspx?elementName=Facilities Identifier &amp;elementID=9495", "Click here to submit comment")</f>
        <v>Click here to submit comment</v>
      </c>
    </row>
    <row r="716" spans="1:14" x14ac:dyDescent="0.25">
      <c r="A716" s="18"/>
      <c r="B716" s="18"/>
      <c r="C716" s="18"/>
      <c r="D716" s="18"/>
      <c r="E716" s="18"/>
      <c r="F716" s="18"/>
      <c r="G716" s="18"/>
      <c r="H716" s="12"/>
      <c r="I716" s="18"/>
      <c r="J716" s="18"/>
      <c r="K716" s="18"/>
      <c r="L716" s="18"/>
      <c r="M716" s="18"/>
      <c r="N716" s="18"/>
    </row>
    <row r="717" spans="1:14" ht="90" x14ac:dyDescent="0.25">
      <c r="A717" s="18"/>
      <c r="B717" s="18"/>
      <c r="C717" s="18"/>
      <c r="D717" s="18"/>
      <c r="E717" s="18"/>
      <c r="F717" s="18"/>
      <c r="G717" s="18"/>
      <c r="H717" s="12" t="s">
        <v>144</v>
      </c>
      <c r="I717" s="18"/>
      <c r="J717" s="18"/>
      <c r="K717" s="18"/>
      <c r="L717" s="18"/>
      <c r="M717" s="18"/>
      <c r="N717" s="18"/>
    </row>
    <row r="718" spans="1:14" ht="45" x14ac:dyDescent="0.25">
      <c r="A718" s="12" t="s">
        <v>2796</v>
      </c>
      <c r="B718" s="12" t="s">
        <v>2797</v>
      </c>
      <c r="C718" s="12" t="s">
        <v>12</v>
      </c>
      <c r="D718" s="12" t="s">
        <v>1604</v>
      </c>
      <c r="E718" s="12"/>
      <c r="F718" s="12" t="s">
        <v>99</v>
      </c>
      <c r="G718" s="12"/>
      <c r="H718" s="12"/>
      <c r="I718" s="12" t="s">
        <v>2798</v>
      </c>
      <c r="J718" s="12"/>
      <c r="K718" s="12" t="s">
        <v>2799</v>
      </c>
      <c r="L718" s="12"/>
      <c r="M718" s="12" t="str">
        <f>HYPERLINK("https://ceds.ed.gov/cedselementdetails.aspx?termid=10172")</f>
        <v>https://ceds.ed.gov/cedselementdetails.aspx?termid=10172</v>
      </c>
      <c r="N718" s="12" t="str">
        <f>HYPERLINK("https://ceds.ed.gov/elementComment.aspx?elementName=Facility Building Name &amp;elementID=10172", "Click here to submit comment")</f>
        <v>Click here to submit comment</v>
      </c>
    </row>
    <row r="719" spans="1:14" ht="60" x14ac:dyDescent="0.25">
      <c r="A719" s="12" t="s">
        <v>2800</v>
      </c>
      <c r="B719" s="12" t="s">
        <v>2801</v>
      </c>
      <c r="C719" s="13" t="s">
        <v>6913</v>
      </c>
      <c r="D719" s="12" t="s">
        <v>1899</v>
      </c>
      <c r="E719" s="12"/>
      <c r="F719" s="12"/>
      <c r="G719" s="12"/>
      <c r="H719" s="12"/>
      <c r="I719" s="12" t="s">
        <v>2802</v>
      </c>
      <c r="J719" s="12"/>
      <c r="K719" s="12" t="s">
        <v>2803</v>
      </c>
      <c r="L719" s="12" t="s">
        <v>6515</v>
      </c>
      <c r="M719" s="12" t="str">
        <f>HYPERLINK("https://ceds.ed.gov/cedselementdetails.aspx?termid=9985")</f>
        <v>https://ceds.ed.gov/cedselementdetails.aspx?termid=9985</v>
      </c>
      <c r="N719" s="12" t="str">
        <f>HYPERLINK("https://ceds.ed.gov/elementComment.aspx?elementName=Facility Licensing Status &amp;elementID=9985", "Click here to submit comment")</f>
        <v>Click here to submit comment</v>
      </c>
    </row>
    <row r="720" spans="1:14" ht="75" x14ac:dyDescent="0.25">
      <c r="A720" s="12" t="s">
        <v>2804</v>
      </c>
      <c r="B720" s="12" t="s">
        <v>2805</v>
      </c>
      <c r="C720" s="13" t="s">
        <v>6914</v>
      </c>
      <c r="D720" s="12" t="s">
        <v>2806</v>
      </c>
      <c r="E720" s="12"/>
      <c r="F720" s="12"/>
      <c r="G720" s="12"/>
      <c r="H720" s="12"/>
      <c r="I720" s="12" t="s">
        <v>2807</v>
      </c>
      <c r="J720" s="12"/>
      <c r="K720" s="12" t="s">
        <v>2808</v>
      </c>
      <c r="L720" s="12" t="s">
        <v>64</v>
      </c>
      <c r="M720" s="12" t="str">
        <f>HYPERLINK("https://ceds.ed.gov/cedselementdetails.aspx?termid=9834")</f>
        <v>https://ceds.ed.gov/cedselementdetails.aspx?termid=9834</v>
      </c>
      <c r="N720" s="12" t="str">
        <f>HYPERLINK("https://ceds.ed.gov/elementComment.aspx?elementName=Facility Profit Status &amp;elementID=9834", "Click here to submit comment")</f>
        <v>Click here to submit comment</v>
      </c>
    </row>
    <row r="721" spans="1:14" ht="45" x14ac:dyDescent="0.25">
      <c r="A721" s="12" t="s">
        <v>2809</v>
      </c>
      <c r="B721" s="12" t="s">
        <v>2810</v>
      </c>
      <c r="C721" s="12" t="s">
        <v>12</v>
      </c>
      <c r="D721" s="12" t="s">
        <v>1604</v>
      </c>
      <c r="E721" s="12"/>
      <c r="F721" s="12" t="s">
        <v>68</v>
      </c>
      <c r="G721" s="12"/>
      <c r="H721" s="12"/>
      <c r="I721" s="12" t="s">
        <v>2811</v>
      </c>
      <c r="J721" s="12"/>
      <c r="K721" s="12" t="s">
        <v>2812</v>
      </c>
      <c r="L721" s="12"/>
      <c r="M721" s="12" t="str">
        <f>HYPERLINK("https://ceds.ed.gov/cedselementdetails.aspx?termid=10174")</f>
        <v>https://ceds.ed.gov/cedselementdetails.aspx?termid=10174</v>
      </c>
      <c r="N721" s="12" t="str">
        <f>HYPERLINK("https://ceds.ed.gov/elementComment.aspx?elementName=Facility Space Description &amp;elementID=10174", "Click here to submit comment")</f>
        <v>Click here to submit comment</v>
      </c>
    </row>
    <row r="722" spans="1:14" ht="255" x14ac:dyDescent="0.25">
      <c r="A722" s="12" t="s">
        <v>2813</v>
      </c>
      <c r="B722" s="12" t="s">
        <v>2814</v>
      </c>
      <c r="C722" s="13" t="s">
        <v>6915</v>
      </c>
      <c r="D722" s="12" t="s">
        <v>1604</v>
      </c>
      <c r="E722" s="12"/>
      <c r="F722" s="12"/>
      <c r="G722" s="12"/>
      <c r="H722" s="12"/>
      <c r="I722" s="12" t="s">
        <v>2815</v>
      </c>
      <c r="J722" s="12"/>
      <c r="K722" s="12" t="s">
        <v>2816</v>
      </c>
      <c r="L722" s="12"/>
      <c r="M722" s="12" t="str">
        <f>HYPERLINK("https://ceds.ed.gov/cedselementdetails.aspx?termid=10175")</f>
        <v>https://ceds.ed.gov/cedselementdetails.aspx?termid=10175</v>
      </c>
      <c r="N722" s="12" t="str">
        <f>HYPERLINK("https://ceds.ed.gov/elementComment.aspx?elementName=Facility Space Use Type &amp;elementID=10175", "Click here to submit comment")</f>
        <v>Click here to submit comment</v>
      </c>
    </row>
    <row r="723" spans="1:14" ht="120" x14ac:dyDescent="0.25">
      <c r="A723" s="12" t="s">
        <v>2817</v>
      </c>
      <c r="B723" s="12" t="s">
        <v>2818</v>
      </c>
      <c r="C723" s="13" t="s">
        <v>6916</v>
      </c>
      <c r="D723" s="12" t="s">
        <v>2819</v>
      </c>
      <c r="E723" s="12"/>
      <c r="F723" s="12"/>
      <c r="G723" s="12"/>
      <c r="H723" s="12"/>
      <c r="I723" s="12" t="s">
        <v>2820</v>
      </c>
      <c r="J723" s="12"/>
      <c r="K723" s="12" t="s">
        <v>2821</v>
      </c>
      <c r="L723" s="12" t="s">
        <v>6413</v>
      </c>
      <c r="M723" s="12" t="str">
        <f>HYPERLINK("https://ceds.ed.gov/cedselementdetails.aspx?termid=9582")</f>
        <v>https://ceds.ed.gov/cedselementdetails.aspx?termid=9582</v>
      </c>
      <c r="N723" s="12" t="str">
        <f>HYPERLINK("https://ceds.ed.gov/elementComment.aspx?elementName=Faculty and Administration Performance Level &amp;elementID=9582", "Click here to submit comment")</f>
        <v>Click here to submit comment</v>
      </c>
    </row>
    <row r="724" spans="1:14" ht="405" x14ac:dyDescent="0.25">
      <c r="A724" s="12" t="s">
        <v>2822</v>
      </c>
      <c r="B724" s="12" t="s">
        <v>2823</v>
      </c>
      <c r="C724" s="12" t="s">
        <v>6364</v>
      </c>
      <c r="D724" s="12" t="s">
        <v>33</v>
      </c>
      <c r="E724" s="12"/>
      <c r="F724" s="12"/>
      <c r="G724" s="12"/>
      <c r="H724" s="12" t="s">
        <v>2824</v>
      </c>
      <c r="I724" s="12" t="s">
        <v>2825</v>
      </c>
      <c r="J724" s="12"/>
      <c r="K724" s="12" t="s">
        <v>2826</v>
      </c>
      <c r="L724" s="12" t="s">
        <v>37</v>
      </c>
      <c r="M724" s="12" t="str">
        <f>HYPERLINK("https://ceds.ed.gov/cedselementdetails.aspx?termid=9711")</f>
        <v>https://ceds.ed.gov/cedselementdetails.aspx?termid=9711</v>
      </c>
      <c r="N724" s="12" t="str">
        <f>HYPERLINK("https://ceds.ed.gov/elementComment.aspx?elementName=Faculty Status &amp;elementID=9711", "Click here to submit comment")</f>
        <v>Click here to submit comment</v>
      </c>
    </row>
    <row r="725" spans="1:14" ht="135" x14ac:dyDescent="0.25">
      <c r="A725" s="12" t="s">
        <v>2827</v>
      </c>
      <c r="B725" s="12" t="s">
        <v>2828</v>
      </c>
      <c r="C725" s="12" t="s">
        <v>6364</v>
      </c>
      <c r="D725" s="12" t="s">
        <v>6434</v>
      </c>
      <c r="E725" s="12"/>
      <c r="F725" s="12"/>
      <c r="G725" s="12"/>
      <c r="H725" s="12"/>
      <c r="I725" s="12" t="s">
        <v>2829</v>
      </c>
      <c r="J725" s="12"/>
      <c r="K725" s="12" t="s">
        <v>2830</v>
      </c>
      <c r="L725" s="12"/>
      <c r="M725" s="12" t="str">
        <f>HYPERLINK("https://ceds.ed.gov/cedselementdetails.aspx?termid=10311")</f>
        <v>https://ceds.ed.gov/cedselementdetails.aspx?termid=10311</v>
      </c>
      <c r="N725" s="12" t="str">
        <f>HYPERLINK("https://ceds.ed.gov/elementComment.aspx?elementName=Family and Consumer Sciences Course Indicator &amp;elementID=10311", "Click here to submit comment")</f>
        <v>Click here to submit comment</v>
      </c>
    </row>
    <row r="726" spans="1:14" ht="105" x14ac:dyDescent="0.25">
      <c r="A726" s="18" t="s">
        <v>2831</v>
      </c>
      <c r="B726" s="18" t="s">
        <v>2832</v>
      </c>
      <c r="C726" s="18" t="s">
        <v>12</v>
      </c>
      <c r="D726" s="18" t="s">
        <v>2833</v>
      </c>
      <c r="E726" s="18"/>
      <c r="F726" s="18" t="s">
        <v>142</v>
      </c>
      <c r="G726" s="18"/>
      <c r="H726" s="12" t="s">
        <v>143</v>
      </c>
      <c r="I726" s="18" t="s">
        <v>2834</v>
      </c>
      <c r="J726" s="18"/>
      <c r="K726" s="18" t="s">
        <v>2835</v>
      </c>
      <c r="L726" s="18" t="s">
        <v>6450</v>
      </c>
      <c r="M726" s="18" t="str">
        <f>HYPERLINK("https://ceds.ed.gov/cedselementdetails.aspx?termid=9784")</f>
        <v>https://ceds.ed.gov/cedselementdetails.aspx?termid=9784</v>
      </c>
      <c r="N726" s="18" t="str">
        <f>HYPERLINK("https://ceds.ed.gov/elementComment.aspx?elementName=Family Identifier &amp;elementID=9784", "Click here to submit comment")</f>
        <v>Click here to submit comment</v>
      </c>
    </row>
    <row r="727" spans="1:14" x14ac:dyDescent="0.25">
      <c r="A727" s="18"/>
      <c r="B727" s="18"/>
      <c r="C727" s="18"/>
      <c r="D727" s="18"/>
      <c r="E727" s="18"/>
      <c r="F727" s="18"/>
      <c r="G727" s="18"/>
      <c r="H727" s="12"/>
      <c r="I727" s="18"/>
      <c r="J727" s="18"/>
      <c r="K727" s="18"/>
      <c r="L727" s="18"/>
      <c r="M727" s="18"/>
      <c r="N727" s="18"/>
    </row>
    <row r="728" spans="1:14" ht="90" x14ac:dyDescent="0.25">
      <c r="A728" s="18"/>
      <c r="B728" s="18"/>
      <c r="C728" s="18"/>
      <c r="D728" s="18"/>
      <c r="E728" s="18"/>
      <c r="F728" s="18"/>
      <c r="G728" s="18"/>
      <c r="H728" s="12" t="s">
        <v>144</v>
      </c>
      <c r="I728" s="18"/>
      <c r="J728" s="18"/>
      <c r="K728" s="18"/>
      <c r="L728" s="18"/>
      <c r="M728" s="18"/>
      <c r="N728" s="18"/>
    </row>
    <row r="729" spans="1:14" ht="409.5" x14ac:dyDescent="0.25">
      <c r="A729" s="12" t="s">
        <v>2836</v>
      </c>
      <c r="B729" s="12" t="s">
        <v>2837</v>
      </c>
      <c r="C729" s="12" t="s">
        <v>12</v>
      </c>
      <c r="D729" s="12" t="s">
        <v>2838</v>
      </c>
      <c r="E729" s="12"/>
      <c r="F729" s="12" t="s">
        <v>1554</v>
      </c>
      <c r="G729" s="12"/>
      <c r="H729" s="12" t="s">
        <v>2839</v>
      </c>
      <c r="I729" s="12" t="s">
        <v>2840</v>
      </c>
      <c r="J729" s="12"/>
      <c r="K729" s="12" t="s">
        <v>2841</v>
      </c>
      <c r="L729" s="12" t="s">
        <v>6393</v>
      </c>
      <c r="M729" s="12" t="str">
        <f>HYPERLINK("https://ceds.ed.gov/cedselementdetails.aspx?termid=9331")</f>
        <v>https://ceds.ed.gov/cedselementdetails.aspx?termid=9331</v>
      </c>
      <c r="N729" s="12" t="str">
        <f>HYPERLINK("https://ceds.ed.gov/elementComment.aspx?elementName=Family Income &amp;elementID=9331", "Click here to submit comment")</f>
        <v>Click here to submit comment</v>
      </c>
    </row>
    <row r="730" spans="1:14" ht="165" x14ac:dyDescent="0.25">
      <c r="A730" s="12" t="s">
        <v>2842</v>
      </c>
      <c r="B730" s="12" t="s">
        <v>2843</v>
      </c>
      <c r="C730" s="12" t="s">
        <v>12</v>
      </c>
      <c r="D730" s="12" t="s">
        <v>6534</v>
      </c>
      <c r="E730" s="12"/>
      <c r="F730" s="12"/>
      <c r="G730" s="12"/>
      <c r="H730" s="12"/>
      <c r="I730" s="12" t="s">
        <v>2844</v>
      </c>
      <c r="J730" s="12"/>
      <c r="K730" s="12" t="s">
        <v>2845</v>
      </c>
      <c r="L730" s="12" t="s">
        <v>222</v>
      </c>
      <c r="M730" s="12" t="str">
        <f>HYPERLINK("https://ceds.ed.gov/cedselementdetails.aspx?termid=9538")</f>
        <v>https://ceds.ed.gov/cedselementdetails.aspx?termid=9538</v>
      </c>
      <c r="N730" s="12" t="str">
        <f>HYPERLINK("https://ceds.ed.gov/elementComment.aspx?elementName=Federal Program Code &amp;elementID=9538", "Click here to submit comment")</f>
        <v>Click here to submit comment</v>
      </c>
    </row>
    <row r="731" spans="1:14" ht="135" x14ac:dyDescent="0.25">
      <c r="A731" s="12" t="s">
        <v>2846</v>
      </c>
      <c r="B731" s="12" t="s">
        <v>2847</v>
      </c>
      <c r="C731" s="12" t="s">
        <v>12</v>
      </c>
      <c r="D731" s="12" t="s">
        <v>6535</v>
      </c>
      <c r="E731" s="12"/>
      <c r="F731" s="12" t="s">
        <v>1554</v>
      </c>
      <c r="G731" s="12"/>
      <c r="H731" s="12"/>
      <c r="I731" s="12" t="s">
        <v>2848</v>
      </c>
      <c r="J731" s="12"/>
      <c r="K731" s="12" t="s">
        <v>2849</v>
      </c>
      <c r="L731" s="12" t="s">
        <v>222</v>
      </c>
      <c r="M731" s="12" t="str">
        <f>HYPERLINK("https://ceds.ed.gov/cedselementdetails.aspx?termid=9540")</f>
        <v>https://ceds.ed.gov/cedselementdetails.aspx?termid=9540</v>
      </c>
      <c r="N731" s="12" t="str">
        <f>HYPERLINK("https://ceds.ed.gov/elementComment.aspx?elementName=Federal Programs Funding Allocation &amp;elementID=9540", "Click here to submit comment")</f>
        <v>Click here to submit comment</v>
      </c>
    </row>
    <row r="732" spans="1:14" ht="135" x14ac:dyDescent="0.25">
      <c r="A732" s="12" t="s">
        <v>2850</v>
      </c>
      <c r="B732" s="12" t="s">
        <v>2851</v>
      </c>
      <c r="C732" s="13" t="s">
        <v>6917</v>
      </c>
      <c r="D732" s="12" t="s">
        <v>2237</v>
      </c>
      <c r="E732" s="12"/>
      <c r="F732" s="12"/>
      <c r="G732" s="12"/>
      <c r="H732" s="12"/>
      <c r="I732" s="12" t="s">
        <v>2852</v>
      </c>
      <c r="J732" s="12"/>
      <c r="K732" s="12" t="s">
        <v>2853</v>
      </c>
      <c r="L732" s="12"/>
      <c r="M732" s="12" t="str">
        <f>HYPERLINK("https://ceds.ed.gov/cedselementdetails.aspx?termid=9539")</f>
        <v>https://ceds.ed.gov/cedselementdetails.aspx?termid=9539</v>
      </c>
      <c r="N732" s="12" t="str">
        <f>HYPERLINK("https://ceds.ed.gov/elementComment.aspx?elementName=Federal Programs Funding Allocation Type &amp;elementID=9539", "Click here to submit comment")</f>
        <v>Click here to submit comment</v>
      </c>
    </row>
    <row r="733" spans="1:14" ht="135" x14ac:dyDescent="0.25">
      <c r="A733" s="12" t="s">
        <v>2854</v>
      </c>
      <c r="B733" s="12" t="s">
        <v>2855</v>
      </c>
      <c r="C733" s="12" t="s">
        <v>2856</v>
      </c>
      <c r="D733" s="12" t="s">
        <v>1708</v>
      </c>
      <c r="E733" s="12"/>
      <c r="F733" s="12"/>
      <c r="G733" s="12"/>
      <c r="H733" s="12"/>
      <c r="I733" s="12" t="s">
        <v>2857</v>
      </c>
      <c r="J733" s="12"/>
      <c r="K733" s="12" t="s">
        <v>2858</v>
      </c>
      <c r="L733" s="12" t="s">
        <v>239</v>
      </c>
      <c r="M733" s="12" t="str">
        <f>HYPERLINK("https://ceds.ed.gov/cedselementdetails.aspx?termid=9111")</f>
        <v>https://ceds.ed.gov/cedselementdetails.aspx?termid=9111</v>
      </c>
      <c r="N733" s="12" t="str">
        <f>HYPERLINK("https://ceds.ed.gov/elementComment.aspx?elementName=Federal School Code &amp;elementID=9111", "Click here to submit comment")</f>
        <v>Click here to submit comment</v>
      </c>
    </row>
    <row r="734" spans="1:14" ht="409.5" x14ac:dyDescent="0.25">
      <c r="A734" s="12" t="s">
        <v>2859</v>
      </c>
      <c r="B734" s="12" t="s">
        <v>2860</v>
      </c>
      <c r="C734" s="13" t="s">
        <v>6918</v>
      </c>
      <c r="D734" s="12" t="s">
        <v>6536</v>
      </c>
      <c r="E734" s="12" t="s">
        <v>98</v>
      </c>
      <c r="F734" s="12"/>
      <c r="G734" s="12"/>
      <c r="H734" s="14" t="s">
        <v>2861</v>
      </c>
      <c r="I734" s="12" t="s">
        <v>2862</v>
      </c>
      <c r="J734" s="12"/>
      <c r="K734" s="12" t="s">
        <v>2863</v>
      </c>
      <c r="L734" s="12"/>
      <c r="M734" s="12" t="str">
        <f>HYPERLINK("https://ceds.ed.gov/cedselementdetails.aspx?termid=10320")</f>
        <v>https://ceds.ed.gov/cedselementdetails.aspx?termid=10320</v>
      </c>
      <c r="N734" s="12" t="str">
        <f>HYPERLINK("https://ceds.ed.gov/elementComment.aspx?elementName=Financial Account Balance Sheet Code &amp;elementID=10320", "Click here to submit comment")</f>
        <v>Click here to submit comment</v>
      </c>
    </row>
    <row r="735" spans="1:14" ht="105" x14ac:dyDescent="0.25">
      <c r="A735" s="12" t="s">
        <v>2864</v>
      </c>
      <c r="B735" s="12" t="s">
        <v>2865</v>
      </c>
      <c r="C735" s="13" t="s">
        <v>6919</v>
      </c>
      <c r="D735" s="12" t="s">
        <v>6536</v>
      </c>
      <c r="E735" s="12"/>
      <c r="F735" s="12"/>
      <c r="G735" s="12"/>
      <c r="H735" s="12"/>
      <c r="I735" s="12" t="s">
        <v>2866</v>
      </c>
      <c r="J735" s="12"/>
      <c r="K735" s="12" t="s">
        <v>2867</v>
      </c>
      <c r="L735" s="12"/>
      <c r="M735" s="12" t="str">
        <f>HYPERLINK("https://ceds.ed.gov/cedselementdetails.aspx?termid=10312")</f>
        <v>https://ceds.ed.gov/cedselementdetails.aspx?termid=10312</v>
      </c>
      <c r="N735" s="12" t="str">
        <f>HYPERLINK("https://ceds.ed.gov/elementComment.aspx?elementName=Financial Account Category &amp;elementID=10312", "Click here to submit comment")</f>
        <v>Click here to submit comment</v>
      </c>
    </row>
    <row r="736" spans="1:14" ht="105" x14ac:dyDescent="0.25">
      <c r="A736" s="12" t="s">
        <v>2868</v>
      </c>
      <c r="B736" s="12" t="s">
        <v>2869</v>
      </c>
      <c r="C736" s="12" t="s">
        <v>12</v>
      </c>
      <c r="D736" s="12" t="s">
        <v>6536</v>
      </c>
      <c r="E736" s="12"/>
      <c r="F736" s="12" t="s">
        <v>68</v>
      </c>
      <c r="G736" s="12"/>
      <c r="H736" s="12"/>
      <c r="I736" s="12" t="s">
        <v>2870</v>
      </c>
      <c r="J736" s="12"/>
      <c r="K736" s="12" t="s">
        <v>2871</v>
      </c>
      <c r="L736" s="12"/>
      <c r="M736" s="12" t="str">
        <f>HYPERLINK("https://ceds.ed.gov/cedselementdetails.aspx?termid=10313")</f>
        <v>https://ceds.ed.gov/cedselementdetails.aspx?termid=10313</v>
      </c>
      <c r="N736" s="12" t="str">
        <f>HYPERLINK("https://ceds.ed.gov/elementComment.aspx?elementName=Financial Account Description &amp;elementID=10313", "Click here to submit comment")</f>
        <v>Click here to submit comment</v>
      </c>
    </row>
    <row r="737" spans="1:14" ht="150" x14ac:dyDescent="0.25">
      <c r="A737" s="12" t="s">
        <v>2872</v>
      </c>
      <c r="B737" s="12" t="s">
        <v>2873</v>
      </c>
      <c r="C737" s="13" t="s">
        <v>6920</v>
      </c>
      <c r="D737" s="12" t="s">
        <v>6536</v>
      </c>
      <c r="E737" s="12" t="s">
        <v>98</v>
      </c>
      <c r="F737" s="12"/>
      <c r="G737" s="12"/>
      <c r="H737" s="14" t="s">
        <v>2861</v>
      </c>
      <c r="I737" s="12" t="s">
        <v>2874</v>
      </c>
      <c r="J737" s="12"/>
      <c r="K737" s="12" t="s">
        <v>2875</v>
      </c>
      <c r="L737" s="12"/>
      <c r="M737" s="12" t="str">
        <f>HYPERLINK("https://ceds.ed.gov/cedselementdetails.aspx?termid=10314")</f>
        <v>https://ceds.ed.gov/cedselementdetails.aspx?termid=10314</v>
      </c>
      <c r="N737" s="12" t="str">
        <f>HYPERLINK("https://ceds.ed.gov/elementComment.aspx?elementName=Financial Account Fund Classification &amp;elementID=10314", "Click here to submit comment")</f>
        <v>Click here to submit comment</v>
      </c>
    </row>
    <row r="738" spans="1:14" ht="105" x14ac:dyDescent="0.25">
      <c r="A738" s="12" t="s">
        <v>2876</v>
      </c>
      <c r="B738" s="12" t="s">
        <v>2877</v>
      </c>
      <c r="C738" s="12" t="s">
        <v>12</v>
      </c>
      <c r="D738" s="12" t="s">
        <v>6536</v>
      </c>
      <c r="E738" s="12"/>
      <c r="F738" s="12" t="s">
        <v>794</v>
      </c>
      <c r="G738" s="12"/>
      <c r="H738" s="12"/>
      <c r="I738" s="12" t="s">
        <v>2878</v>
      </c>
      <c r="J738" s="12"/>
      <c r="K738" s="12" t="s">
        <v>2879</v>
      </c>
      <c r="L738" s="12"/>
      <c r="M738" s="12" t="str">
        <f>HYPERLINK("https://ceds.ed.gov/cedselementdetails.aspx?termid=10315")</f>
        <v>https://ceds.ed.gov/cedselementdetails.aspx?termid=10315</v>
      </c>
      <c r="N738" s="12" t="str">
        <f>HYPERLINK("https://ceds.ed.gov/elementComment.aspx?elementName=Financial Account Name &amp;elementID=10315", "Click here to submit comment")</f>
        <v>Click here to submit comment</v>
      </c>
    </row>
    <row r="739" spans="1:14" ht="105" x14ac:dyDescent="0.25">
      <c r="A739" s="12" t="s">
        <v>2880</v>
      </c>
      <c r="B739" s="12" t="s">
        <v>2881</v>
      </c>
      <c r="C739" s="12" t="s">
        <v>12</v>
      </c>
      <c r="D739" s="12" t="s">
        <v>6536</v>
      </c>
      <c r="E739" s="12" t="s">
        <v>98</v>
      </c>
      <c r="F739" s="12" t="s">
        <v>92</v>
      </c>
      <c r="G739" s="12"/>
      <c r="H739" s="12"/>
      <c r="I739" s="12" t="s">
        <v>2882</v>
      </c>
      <c r="J739" s="12"/>
      <c r="K739" s="12" t="s">
        <v>2883</v>
      </c>
      <c r="L739" s="12"/>
      <c r="M739" s="12" t="str">
        <f>HYPERLINK("https://ceds.ed.gov/cedselementdetails.aspx?termid=10530")</f>
        <v>https://ceds.ed.gov/cedselementdetails.aspx?termid=10530</v>
      </c>
      <c r="N739" s="12" t="str">
        <f>HYPERLINK("https://ceds.ed.gov/elementComment.aspx?elementName=Financial Account Number &amp;elementID=10530", "Click here to submit comment")</f>
        <v>Click here to submit comment</v>
      </c>
    </row>
    <row r="740" spans="1:14" ht="240" x14ac:dyDescent="0.25">
      <c r="A740" s="12" t="s">
        <v>2884</v>
      </c>
      <c r="B740" s="12" t="s">
        <v>2885</v>
      </c>
      <c r="C740" s="13" t="s">
        <v>6921</v>
      </c>
      <c r="D740" s="12" t="s">
        <v>6536</v>
      </c>
      <c r="E740" s="12" t="s">
        <v>98</v>
      </c>
      <c r="F740" s="12"/>
      <c r="G740" s="12"/>
      <c r="H740" s="14" t="s">
        <v>2861</v>
      </c>
      <c r="I740" s="12" t="s">
        <v>2886</v>
      </c>
      <c r="J740" s="12"/>
      <c r="K740" s="12" t="s">
        <v>2887</v>
      </c>
      <c r="L740" s="12"/>
      <c r="M740" s="12" t="str">
        <f>HYPERLINK("https://ceds.ed.gov/cedselementdetails.aspx?termid=10316")</f>
        <v>https://ceds.ed.gov/cedselementdetails.aspx?termid=10316</v>
      </c>
      <c r="N740" s="12" t="str">
        <f>HYPERLINK("https://ceds.ed.gov/elementComment.aspx?elementName=Financial Account Program Code &amp;elementID=10316", "Click here to submit comment")</f>
        <v>Click here to submit comment</v>
      </c>
    </row>
    <row r="741" spans="1:14" ht="105" x14ac:dyDescent="0.25">
      <c r="A741" s="12" t="s">
        <v>2888</v>
      </c>
      <c r="B741" s="12" t="s">
        <v>2889</v>
      </c>
      <c r="C741" s="12" t="s">
        <v>12</v>
      </c>
      <c r="D741" s="12" t="s">
        <v>6536</v>
      </c>
      <c r="E741" s="12" t="s">
        <v>1498</v>
      </c>
      <c r="F741" s="12" t="s">
        <v>794</v>
      </c>
      <c r="G741" s="12"/>
      <c r="H741" s="12"/>
      <c r="I741" s="12" t="s">
        <v>2890</v>
      </c>
      <c r="J741" s="12"/>
      <c r="K741" s="12" t="s">
        <v>2891</v>
      </c>
      <c r="L741" s="12"/>
      <c r="M741" s="12" t="str">
        <f>HYPERLINK("https://ceds.ed.gov/cedselementdetails.aspx?termid=10626")</f>
        <v>https://ceds.ed.gov/cedselementdetails.aspx?termid=10626</v>
      </c>
      <c r="N741" s="12" t="str">
        <f>HYPERLINK("https://ceds.ed.gov/elementComment.aspx?elementName=Financial Account Program Name &amp;elementID=10626", "Click here to submit comment")</f>
        <v>Click here to submit comment</v>
      </c>
    </row>
    <row r="742" spans="1:14" ht="105" x14ac:dyDescent="0.25">
      <c r="A742" s="12" t="s">
        <v>2892</v>
      </c>
      <c r="B742" s="12" t="s">
        <v>2893</v>
      </c>
      <c r="C742" s="12" t="s">
        <v>12</v>
      </c>
      <c r="D742" s="12" t="s">
        <v>6536</v>
      </c>
      <c r="E742" s="12" t="s">
        <v>1498</v>
      </c>
      <c r="F742" s="12" t="s">
        <v>92</v>
      </c>
      <c r="G742" s="12"/>
      <c r="H742" s="12"/>
      <c r="I742" s="12" t="s">
        <v>2894</v>
      </c>
      <c r="J742" s="12"/>
      <c r="K742" s="12" t="s">
        <v>2895</v>
      </c>
      <c r="L742" s="12"/>
      <c r="M742" s="12" t="str">
        <f>HYPERLINK("https://ceds.ed.gov/cedselementdetails.aspx?termid=10627")</f>
        <v>https://ceds.ed.gov/cedselementdetails.aspx?termid=10627</v>
      </c>
      <c r="N742" s="12" t="str">
        <f>HYPERLINK("https://ceds.ed.gov/elementComment.aspx?elementName=Financial Account Program Number &amp;elementID=10627", "Click here to submit comment")</f>
        <v>Click here to submit comment</v>
      </c>
    </row>
    <row r="743" spans="1:14" ht="15" customHeight="1" x14ac:dyDescent="0.25">
      <c r="A743" s="18" t="s">
        <v>2896</v>
      </c>
      <c r="B743" s="18" t="s">
        <v>2897</v>
      </c>
      <c r="C743" s="20" t="s">
        <v>6922</v>
      </c>
      <c r="D743" s="18" t="s">
        <v>6537</v>
      </c>
      <c r="E743" s="18" t="s">
        <v>98</v>
      </c>
      <c r="F743" s="18"/>
      <c r="G743" s="18"/>
      <c r="H743" s="14" t="s">
        <v>2861</v>
      </c>
      <c r="I743" s="18" t="s">
        <v>2899</v>
      </c>
      <c r="J743" s="18"/>
      <c r="K743" s="18" t="s">
        <v>2900</v>
      </c>
      <c r="L743" s="18"/>
      <c r="M743" s="18" t="str">
        <f>HYPERLINK("https://ceds.ed.gov/cedselementdetails.aspx?termid=10440")</f>
        <v>https://ceds.ed.gov/cedselementdetails.aspx?termid=10440</v>
      </c>
      <c r="N743" s="18" t="str">
        <f>HYPERLINK("https://ceds.ed.gov/elementComment.aspx?elementName=Financial Account Revenue Code &amp;elementID=10440", "Click here to submit comment")</f>
        <v>Click here to submit comment</v>
      </c>
    </row>
    <row r="744" spans="1:14" x14ac:dyDescent="0.25">
      <c r="A744" s="18"/>
      <c r="B744" s="18"/>
      <c r="C744" s="18"/>
      <c r="D744" s="18"/>
      <c r="E744" s="18"/>
      <c r="F744" s="18"/>
      <c r="G744" s="18"/>
      <c r="H744" s="12"/>
      <c r="I744" s="18"/>
      <c r="J744" s="18"/>
      <c r="K744" s="18"/>
      <c r="L744" s="18"/>
      <c r="M744" s="18"/>
      <c r="N744" s="18"/>
    </row>
    <row r="745" spans="1:14" ht="30" x14ac:dyDescent="0.25">
      <c r="A745" s="18"/>
      <c r="B745" s="18"/>
      <c r="C745" s="18"/>
      <c r="D745" s="18"/>
      <c r="E745" s="18"/>
      <c r="F745" s="18"/>
      <c r="G745" s="18"/>
      <c r="H745" s="12" t="s">
        <v>2898</v>
      </c>
      <c r="I745" s="18"/>
      <c r="J745" s="18"/>
      <c r="K745" s="18"/>
      <c r="L745" s="18"/>
      <c r="M745" s="18"/>
      <c r="N745" s="18"/>
    </row>
    <row r="746" spans="1:14" ht="105" x14ac:dyDescent="0.25">
      <c r="A746" s="12" t="s">
        <v>2901</v>
      </c>
      <c r="B746" s="12" t="s">
        <v>2902</v>
      </c>
      <c r="C746" s="12" t="s">
        <v>12</v>
      </c>
      <c r="D746" s="12" t="s">
        <v>6536</v>
      </c>
      <c r="E746" s="12" t="s">
        <v>1498</v>
      </c>
      <c r="F746" s="12" t="s">
        <v>73</v>
      </c>
      <c r="G746" s="12"/>
      <c r="H746" s="12"/>
      <c r="I746" s="12" t="s">
        <v>2903</v>
      </c>
      <c r="J746" s="12"/>
      <c r="K746" s="12" t="s">
        <v>2904</v>
      </c>
      <c r="L746" s="12"/>
      <c r="M746" s="12" t="str">
        <f>HYPERLINK("https://ceds.ed.gov/cedselementdetails.aspx?termid=10629")</f>
        <v>https://ceds.ed.gov/cedselementdetails.aspx?termid=10629</v>
      </c>
      <c r="N746" s="12" t="str">
        <f>HYPERLINK("https://ceds.ed.gov/elementComment.aspx?elementName=Financial Accounting Date &amp;elementID=10629", "Click here to submit comment")</f>
        <v>Click here to submit comment</v>
      </c>
    </row>
    <row r="747" spans="1:14" ht="105" x14ac:dyDescent="0.25">
      <c r="A747" s="12" t="s">
        <v>2905</v>
      </c>
      <c r="B747" s="12" t="s">
        <v>2906</v>
      </c>
      <c r="C747" s="12" t="s">
        <v>12</v>
      </c>
      <c r="D747" s="12" t="s">
        <v>6536</v>
      </c>
      <c r="E747" s="12" t="s">
        <v>98</v>
      </c>
      <c r="F747" s="12" t="s">
        <v>1554</v>
      </c>
      <c r="G747" s="12"/>
      <c r="H747" s="12"/>
      <c r="I747" s="12" t="s">
        <v>2907</v>
      </c>
      <c r="J747" s="12"/>
      <c r="K747" s="12" t="s">
        <v>2908</v>
      </c>
      <c r="L747" s="12"/>
      <c r="M747" s="12" t="str">
        <f>HYPERLINK("https://ceds.ed.gov/cedselementdetails.aspx?termid=10317")</f>
        <v>https://ceds.ed.gov/cedselementdetails.aspx?termid=10317</v>
      </c>
      <c r="N747" s="12" t="str">
        <f>HYPERLINK("https://ceds.ed.gov/elementComment.aspx?elementName=Financial Accounting Period Actual Value &amp;elementID=10317", "Click here to submit comment")</f>
        <v>Click here to submit comment</v>
      </c>
    </row>
    <row r="748" spans="1:14" ht="105" x14ac:dyDescent="0.25">
      <c r="A748" s="12" t="s">
        <v>2909</v>
      </c>
      <c r="B748" s="12" t="s">
        <v>2910</v>
      </c>
      <c r="C748" s="12" t="s">
        <v>12</v>
      </c>
      <c r="D748" s="12" t="s">
        <v>6536</v>
      </c>
      <c r="E748" s="12" t="s">
        <v>98</v>
      </c>
      <c r="F748" s="12" t="s">
        <v>1554</v>
      </c>
      <c r="G748" s="12"/>
      <c r="H748" s="12"/>
      <c r="I748" s="12" t="s">
        <v>2911</v>
      </c>
      <c r="J748" s="12"/>
      <c r="K748" s="12" t="s">
        <v>2912</v>
      </c>
      <c r="L748" s="12"/>
      <c r="M748" s="12" t="str">
        <f>HYPERLINK("https://ceds.ed.gov/cedselementdetails.aspx?termid=10318")</f>
        <v>https://ceds.ed.gov/cedselementdetails.aspx?termid=10318</v>
      </c>
      <c r="N748" s="12" t="str">
        <f>HYPERLINK("https://ceds.ed.gov/elementComment.aspx?elementName=Financial Accounting Period Budgeted Value &amp;elementID=10318", "Click here to submit comment")</f>
        <v>Click here to submit comment</v>
      </c>
    </row>
    <row r="749" spans="1:14" ht="105" x14ac:dyDescent="0.25">
      <c r="A749" s="12" t="s">
        <v>2913</v>
      </c>
      <c r="B749" s="12" t="s">
        <v>2914</v>
      </c>
      <c r="C749" s="12" t="s">
        <v>12</v>
      </c>
      <c r="D749" s="12" t="s">
        <v>6536</v>
      </c>
      <c r="E749" s="12" t="s">
        <v>1498</v>
      </c>
      <c r="F749" s="12" t="s">
        <v>1554</v>
      </c>
      <c r="G749" s="12"/>
      <c r="H749" s="12" t="s">
        <v>2915</v>
      </c>
      <c r="I749" s="12" t="s">
        <v>2916</v>
      </c>
      <c r="J749" s="12"/>
      <c r="K749" s="12" t="s">
        <v>2917</v>
      </c>
      <c r="L749" s="12"/>
      <c r="M749" s="12" t="str">
        <f>HYPERLINK("https://ceds.ed.gov/cedselementdetails.aspx?termid=10625")</f>
        <v>https://ceds.ed.gov/cedselementdetails.aspx?termid=10625</v>
      </c>
      <c r="N749" s="12" t="str">
        <f>HYPERLINK("https://ceds.ed.gov/elementComment.aspx?elementName=Financial Accounting Period Encumbered Value &amp;elementID=10625", "Click here to submit comment")</f>
        <v>Click here to submit comment</v>
      </c>
    </row>
    <row r="750" spans="1:14" ht="135" x14ac:dyDescent="0.25">
      <c r="A750" s="12" t="s">
        <v>2918</v>
      </c>
      <c r="B750" s="12" t="s">
        <v>2919</v>
      </c>
      <c r="C750" s="12" t="s">
        <v>12</v>
      </c>
      <c r="D750" s="12" t="s">
        <v>6536</v>
      </c>
      <c r="E750" s="12" t="s">
        <v>1498</v>
      </c>
      <c r="F750" s="12" t="s">
        <v>1554</v>
      </c>
      <c r="G750" s="12"/>
      <c r="H750" s="12" t="s">
        <v>2920</v>
      </c>
      <c r="I750" s="12" t="s">
        <v>2921</v>
      </c>
      <c r="J750" s="12"/>
      <c r="K750" s="12" t="s">
        <v>2922</v>
      </c>
      <c r="L750" s="12"/>
      <c r="M750" s="12" t="str">
        <f>HYPERLINK("https://ceds.ed.gov/cedselementdetails.aspx?termid=10628")</f>
        <v>https://ceds.ed.gov/cedselementdetails.aspx?termid=10628</v>
      </c>
      <c r="N750" s="12" t="str">
        <f>HYPERLINK("https://ceds.ed.gov/elementComment.aspx?elementName=Financial Accounting Value &amp;elementID=10628", "Click here to submit comment")</f>
        <v>Click here to submit comment</v>
      </c>
    </row>
    <row r="751" spans="1:14" ht="24.75" customHeight="1" x14ac:dyDescent="0.25">
      <c r="A751" s="18" t="s">
        <v>2923</v>
      </c>
      <c r="B751" s="18" t="s">
        <v>2924</v>
      </c>
      <c r="C751" s="18" t="s">
        <v>6364</v>
      </c>
      <c r="D751" s="18" t="s">
        <v>2925</v>
      </c>
      <c r="E751" s="18"/>
      <c r="F751" s="18"/>
      <c r="G751" s="18"/>
      <c r="H751" s="12" t="s">
        <v>2926</v>
      </c>
      <c r="I751" s="18" t="s">
        <v>2928</v>
      </c>
      <c r="J751" s="18"/>
      <c r="K751" s="18" t="s">
        <v>2929</v>
      </c>
      <c r="L751" s="18" t="s">
        <v>250</v>
      </c>
      <c r="M751" s="18" t="str">
        <f>HYPERLINK("https://ceds.ed.gov/cedselementdetails.aspx?termid=9745")</f>
        <v>https://ceds.ed.gov/cedselementdetails.aspx?termid=9745</v>
      </c>
      <c r="N751" s="18" t="str">
        <f>HYPERLINK("https://ceds.ed.gov/elementComment.aspx?elementName=Financial Aid Applicant &amp;elementID=9745", "Click here to submit comment")</f>
        <v>Click here to submit comment</v>
      </c>
    </row>
    <row r="752" spans="1:14" ht="45" x14ac:dyDescent="0.25">
      <c r="A752" s="18"/>
      <c r="B752" s="18"/>
      <c r="C752" s="18"/>
      <c r="D752" s="18"/>
      <c r="E752" s="18"/>
      <c r="F752" s="18"/>
      <c r="G752" s="18"/>
      <c r="H752" s="12" t="s">
        <v>2927</v>
      </c>
      <c r="I752" s="18"/>
      <c r="J752" s="18"/>
      <c r="K752" s="18"/>
      <c r="L752" s="18"/>
      <c r="M752" s="18"/>
      <c r="N752" s="18"/>
    </row>
    <row r="753" spans="1:14" ht="120" x14ac:dyDescent="0.25">
      <c r="A753" s="12" t="s">
        <v>2930</v>
      </c>
      <c r="B753" s="12" t="s">
        <v>2931</v>
      </c>
      <c r="C753" s="13" t="s">
        <v>6923</v>
      </c>
      <c r="D753" s="12" t="s">
        <v>2925</v>
      </c>
      <c r="E753" s="12"/>
      <c r="F753" s="12"/>
      <c r="G753" s="12"/>
      <c r="H753" s="12" t="s">
        <v>2932</v>
      </c>
      <c r="I753" s="12" t="s">
        <v>2933</v>
      </c>
      <c r="J753" s="12"/>
      <c r="K753" s="12" t="s">
        <v>2934</v>
      </c>
      <c r="L753" s="12" t="s">
        <v>250</v>
      </c>
      <c r="M753" s="12" t="str">
        <f>HYPERLINK("https://ceds.ed.gov/cedselementdetails.aspx?termid=10186")</f>
        <v>https://ceds.ed.gov/cedselementdetails.aspx?termid=10186</v>
      </c>
      <c r="N753" s="12" t="str">
        <f>HYPERLINK("https://ceds.ed.gov/elementComment.aspx?elementName=Financial Aid Application Type &amp;elementID=10186", "Click here to submit comment")</f>
        <v>Click here to submit comment</v>
      </c>
    </row>
    <row r="754" spans="1:14" ht="37.5" customHeight="1" x14ac:dyDescent="0.25">
      <c r="A754" s="18" t="s">
        <v>2935</v>
      </c>
      <c r="B754" s="18" t="s">
        <v>2936</v>
      </c>
      <c r="C754" s="18" t="s">
        <v>12</v>
      </c>
      <c r="D754" s="18" t="s">
        <v>2925</v>
      </c>
      <c r="E754" s="18"/>
      <c r="F754" s="18" t="s">
        <v>1554</v>
      </c>
      <c r="G754" s="18"/>
      <c r="H754" s="12" t="s">
        <v>2937</v>
      </c>
      <c r="I754" s="18" t="s">
        <v>2939</v>
      </c>
      <c r="J754" s="18"/>
      <c r="K754" s="18" t="s">
        <v>2940</v>
      </c>
      <c r="L754" s="18" t="s">
        <v>6538</v>
      </c>
      <c r="M754" s="18" t="str">
        <f>HYPERLINK("https://ceds.ed.gov/cedselementdetails.aspx?termid=9112")</f>
        <v>https://ceds.ed.gov/cedselementdetails.aspx?termid=9112</v>
      </c>
      <c r="N754" s="18" t="str">
        <f>HYPERLINK("https://ceds.ed.gov/elementComment.aspx?elementName=Financial Aid Award Amount &amp;elementID=9112", "Click here to submit comment")</f>
        <v>Click here to submit comment</v>
      </c>
    </row>
    <row r="755" spans="1:14" ht="45" x14ac:dyDescent="0.25">
      <c r="A755" s="18"/>
      <c r="B755" s="18"/>
      <c r="C755" s="18"/>
      <c r="D755" s="18"/>
      <c r="E755" s="18"/>
      <c r="F755" s="18"/>
      <c r="G755" s="18"/>
      <c r="H755" s="12" t="s">
        <v>2938</v>
      </c>
      <c r="I755" s="18"/>
      <c r="J755" s="18"/>
      <c r="K755" s="18"/>
      <c r="L755" s="18"/>
      <c r="M755" s="18"/>
      <c r="N755" s="18"/>
    </row>
    <row r="756" spans="1:14" ht="37.5" customHeight="1" x14ac:dyDescent="0.25">
      <c r="A756" s="18" t="s">
        <v>2941</v>
      </c>
      <c r="B756" s="18" t="s">
        <v>2942</v>
      </c>
      <c r="C756" s="20" t="s">
        <v>6924</v>
      </c>
      <c r="D756" s="18" t="s">
        <v>2925</v>
      </c>
      <c r="E756" s="18"/>
      <c r="F756" s="18"/>
      <c r="G756" s="18"/>
      <c r="H756" s="12" t="s">
        <v>2943</v>
      </c>
      <c r="I756" s="18" t="s">
        <v>2945</v>
      </c>
      <c r="J756" s="18"/>
      <c r="K756" s="18" t="s">
        <v>2946</v>
      </c>
      <c r="L756" s="18" t="s">
        <v>6538</v>
      </c>
      <c r="M756" s="18" t="str">
        <f>HYPERLINK("https://ceds.ed.gov/cedselementdetails.aspx?termid=9362")</f>
        <v>https://ceds.ed.gov/cedselementdetails.aspx?termid=9362</v>
      </c>
      <c r="N756" s="18" t="str">
        <f>HYPERLINK("https://ceds.ed.gov/elementComment.aspx?elementName=Financial Aid Award Status &amp;elementID=9362", "Click here to submit comment")</f>
        <v>Click here to submit comment</v>
      </c>
    </row>
    <row r="757" spans="1:14" ht="30" x14ac:dyDescent="0.25">
      <c r="A757" s="18"/>
      <c r="B757" s="18"/>
      <c r="C757" s="18"/>
      <c r="D757" s="18"/>
      <c r="E757" s="18"/>
      <c r="F757" s="18"/>
      <c r="G757" s="18"/>
      <c r="H757" s="12" t="s">
        <v>2944</v>
      </c>
      <c r="I757" s="18"/>
      <c r="J757" s="18"/>
      <c r="K757" s="18"/>
      <c r="L757" s="18"/>
      <c r="M757" s="18"/>
      <c r="N757" s="18"/>
    </row>
    <row r="758" spans="1:14" ht="381.75" customHeight="1" x14ac:dyDescent="0.25">
      <c r="A758" s="18" t="s">
        <v>2947</v>
      </c>
      <c r="B758" s="18" t="s">
        <v>2948</v>
      </c>
      <c r="C758" s="20" t="s">
        <v>6925</v>
      </c>
      <c r="D758" s="18" t="s">
        <v>2925</v>
      </c>
      <c r="E758" s="18"/>
      <c r="F758" s="18"/>
      <c r="G758" s="18"/>
      <c r="H758" s="12" t="s">
        <v>2949</v>
      </c>
      <c r="I758" s="18" t="s">
        <v>2950</v>
      </c>
      <c r="J758" s="18"/>
      <c r="K758" s="18" t="s">
        <v>2951</v>
      </c>
      <c r="L758" s="18" t="s">
        <v>6538</v>
      </c>
      <c r="M758" s="18" t="str">
        <f>HYPERLINK("https://ceds.ed.gov/cedselementdetails.aspx?termid=9113")</f>
        <v>https://ceds.ed.gov/cedselementdetails.aspx?termid=9113</v>
      </c>
      <c r="N758" s="18" t="str">
        <f>HYPERLINK("https://ceds.ed.gov/elementComment.aspx?elementName=Financial Aid Award Type &amp;elementID=9113", "Click here to submit comment")</f>
        <v>Click here to submit comment</v>
      </c>
    </row>
    <row r="759" spans="1:14" ht="45" x14ac:dyDescent="0.25">
      <c r="A759" s="18"/>
      <c r="B759" s="18"/>
      <c r="C759" s="18"/>
      <c r="D759" s="18"/>
      <c r="E759" s="18"/>
      <c r="F759" s="18"/>
      <c r="G759" s="18"/>
      <c r="H759" s="12" t="s">
        <v>2938</v>
      </c>
      <c r="I759" s="18"/>
      <c r="J759" s="18"/>
      <c r="K759" s="18"/>
      <c r="L759" s="18"/>
      <c r="M759" s="18"/>
      <c r="N759" s="18"/>
    </row>
    <row r="760" spans="1:14" ht="150" x14ac:dyDescent="0.25">
      <c r="A760" s="12" t="s">
        <v>2952</v>
      </c>
      <c r="B760" s="12" t="s">
        <v>2953</v>
      </c>
      <c r="C760" s="12" t="s">
        <v>12</v>
      </c>
      <c r="D760" s="12" t="s">
        <v>2925</v>
      </c>
      <c r="E760" s="12"/>
      <c r="F760" s="12" t="s">
        <v>1554</v>
      </c>
      <c r="G760" s="12"/>
      <c r="H760" s="12"/>
      <c r="I760" s="12" t="s">
        <v>2954</v>
      </c>
      <c r="J760" s="12"/>
      <c r="K760" s="12" t="s">
        <v>2955</v>
      </c>
      <c r="L760" s="12"/>
      <c r="M760" s="12" t="str">
        <f>HYPERLINK("https://ceds.ed.gov/cedselementdetails.aspx?termid=10319")</f>
        <v>https://ceds.ed.gov/cedselementdetails.aspx?termid=10319</v>
      </c>
      <c r="N760" s="12" t="str">
        <f>HYPERLINK("https://ceds.ed.gov/elementComment.aspx?elementName=Financial Aid Income Level &amp;elementID=10319", "Click here to submit comment")</f>
        <v>Click here to submit comment</v>
      </c>
    </row>
    <row r="761" spans="1:14" ht="105" x14ac:dyDescent="0.25">
      <c r="A761" s="12" t="s">
        <v>2956</v>
      </c>
      <c r="B761" s="12" t="s">
        <v>2957</v>
      </c>
      <c r="C761" s="13" t="s">
        <v>6926</v>
      </c>
      <c r="D761" s="12" t="s">
        <v>2925</v>
      </c>
      <c r="E761" s="12"/>
      <c r="F761" s="12"/>
      <c r="G761" s="12"/>
      <c r="H761" s="12"/>
      <c r="I761" s="12" t="s">
        <v>2958</v>
      </c>
      <c r="J761" s="12"/>
      <c r="K761" s="12" t="s">
        <v>2959</v>
      </c>
      <c r="L761" s="12" t="s">
        <v>2017</v>
      </c>
      <c r="M761" s="12" t="str">
        <f>HYPERLINK("https://ceds.ed.gov/cedselementdetails.aspx?termid=10588")</f>
        <v>https://ceds.ed.gov/cedselementdetails.aspx?termid=10588</v>
      </c>
      <c r="N761" s="12" t="str">
        <f>HYPERLINK("https://ceds.ed.gov/elementComment.aspx?elementName=Financial Aid Veteran’s Benefit Status &amp;elementID=10588", "Click here to submit comment")</f>
        <v>Click here to submit comment</v>
      </c>
    </row>
    <row r="762" spans="1:14" ht="60" x14ac:dyDescent="0.25">
      <c r="A762" s="12" t="s">
        <v>2960</v>
      </c>
      <c r="B762" s="12" t="s">
        <v>2961</v>
      </c>
      <c r="C762" s="13" t="s">
        <v>6927</v>
      </c>
      <c r="D762" s="12" t="s">
        <v>2925</v>
      </c>
      <c r="E762" s="12"/>
      <c r="F762" s="12"/>
      <c r="G762" s="12"/>
      <c r="H762" s="12"/>
      <c r="I762" s="12" t="s">
        <v>2962</v>
      </c>
      <c r="J762" s="12"/>
      <c r="K762" s="12" t="s">
        <v>2963</v>
      </c>
      <c r="L762" s="12" t="s">
        <v>239</v>
      </c>
      <c r="M762" s="12" t="str">
        <f>HYPERLINK("https://ceds.ed.gov/cedselementdetails.aspx?termid=10589")</f>
        <v>https://ceds.ed.gov/cedselementdetails.aspx?termid=10589</v>
      </c>
      <c r="N762" s="12" t="str">
        <f>HYPERLINK("https://ceds.ed.gov/elementComment.aspx?elementName=Financial Aid Veteran’s Benefit Type &amp;elementID=10589", "Click here to submit comment")</f>
        <v>Click here to submit comment</v>
      </c>
    </row>
    <row r="763" spans="1:14" ht="60" x14ac:dyDescent="0.25">
      <c r="A763" s="12" t="s">
        <v>2964</v>
      </c>
      <c r="B763" s="12" t="s">
        <v>2965</v>
      </c>
      <c r="C763" s="12" t="s">
        <v>12</v>
      </c>
      <c r="D763" s="12" t="s">
        <v>2925</v>
      </c>
      <c r="E763" s="12"/>
      <c r="F763" s="12" t="s">
        <v>45</v>
      </c>
      <c r="G763" s="12"/>
      <c r="H763" s="12"/>
      <c r="I763" s="12" t="s">
        <v>2966</v>
      </c>
      <c r="J763" s="12"/>
      <c r="K763" s="12" t="s">
        <v>2967</v>
      </c>
      <c r="L763" s="12" t="s">
        <v>2308</v>
      </c>
      <c r="M763" s="12" t="str">
        <f>HYPERLINK("https://ceds.ed.gov/cedselementdetails.aspx?termid=10590")</f>
        <v>https://ceds.ed.gov/cedselementdetails.aspx?termid=10590</v>
      </c>
      <c r="N763" s="12" t="str">
        <f>HYPERLINK("https://ceds.ed.gov/elementComment.aspx?elementName=Financial Aid Year Designator &amp;elementID=10590", "Click here to submit comment")</f>
        <v>Click here to submit comment</v>
      </c>
    </row>
    <row r="764" spans="1:14" ht="409.5" x14ac:dyDescent="0.25">
      <c r="A764" s="12" t="s">
        <v>2968</v>
      </c>
      <c r="B764" s="12" t="s">
        <v>2969</v>
      </c>
      <c r="C764" s="13" t="s">
        <v>6928</v>
      </c>
      <c r="D764" s="12" t="s">
        <v>6536</v>
      </c>
      <c r="E764" s="12" t="s">
        <v>98</v>
      </c>
      <c r="F764" s="12"/>
      <c r="G764" s="12"/>
      <c r="H764" s="14" t="s">
        <v>2861</v>
      </c>
      <c r="I764" s="12" t="s">
        <v>2970</v>
      </c>
      <c r="J764" s="12"/>
      <c r="K764" s="12" t="s">
        <v>2971</v>
      </c>
      <c r="L764" s="12"/>
      <c r="M764" s="12" t="str">
        <f>HYPERLINK("https://ceds.ed.gov/cedselementdetails.aspx?termid=10321")</f>
        <v>https://ceds.ed.gov/cedselementdetails.aspx?termid=10321</v>
      </c>
      <c r="N764" s="12" t="str">
        <f>HYPERLINK("https://ceds.ed.gov/elementComment.aspx?elementName=Financial Expenditure Function Code &amp;elementID=10321", "Click here to submit comment")</f>
        <v>Click here to submit comment</v>
      </c>
    </row>
    <row r="765" spans="1:14" ht="195" x14ac:dyDescent="0.25">
      <c r="A765" s="12" t="s">
        <v>2972</v>
      </c>
      <c r="B765" s="12" t="s">
        <v>2973</v>
      </c>
      <c r="C765" s="13" t="s">
        <v>6929</v>
      </c>
      <c r="D765" s="12" t="s">
        <v>6536</v>
      </c>
      <c r="E765" s="12" t="s">
        <v>98</v>
      </c>
      <c r="F765" s="12"/>
      <c r="G765" s="12"/>
      <c r="H765" s="14" t="s">
        <v>2861</v>
      </c>
      <c r="I765" s="12" t="s">
        <v>2974</v>
      </c>
      <c r="J765" s="12"/>
      <c r="K765" s="12" t="s">
        <v>2975</v>
      </c>
      <c r="L765" s="12"/>
      <c r="M765" s="12" t="str">
        <f>HYPERLINK("https://ceds.ed.gov/cedselementdetails.aspx?termid=10531")</f>
        <v>https://ceds.ed.gov/cedselementdetails.aspx?termid=10531</v>
      </c>
      <c r="N765" s="12" t="str">
        <f>HYPERLINK("https://ceds.ed.gov/elementComment.aspx?elementName=Financial Expenditure Level of Instruction Code &amp;elementID=10531", "Click here to submit comment")</f>
        <v>Click here to submit comment</v>
      </c>
    </row>
    <row r="766" spans="1:14" ht="409.5" x14ac:dyDescent="0.25">
      <c r="A766" s="12" t="s">
        <v>2976</v>
      </c>
      <c r="B766" s="12" t="s">
        <v>2977</v>
      </c>
      <c r="C766" s="13" t="s">
        <v>6930</v>
      </c>
      <c r="D766" s="12" t="s">
        <v>6536</v>
      </c>
      <c r="E766" s="12" t="s">
        <v>98</v>
      </c>
      <c r="F766" s="12"/>
      <c r="G766" s="12"/>
      <c r="H766" s="14" t="s">
        <v>2861</v>
      </c>
      <c r="I766" s="12" t="s">
        <v>2978</v>
      </c>
      <c r="J766" s="12"/>
      <c r="K766" s="12" t="s">
        <v>2979</v>
      </c>
      <c r="L766" s="12"/>
      <c r="M766" s="12" t="str">
        <f>HYPERLINK("https://ceds.ed.gov/cedselementdetails.aspx?termid=10322")</f>
        <v>https://ceds.ed.gov/cedselementdetails.aspx?termid=10322</v>
      </c>
      <c r="N766" s="12" t="str">
        <f>HYPERLINK("https://ceds.ed.gov/elementComment.aspx?elementName=Financial Expenditure Object Code &amp;elementID=10322", "Click here to submit comment")</f>
        <v>Click here to submit comment</v>
      </c>
    </row>
    <row r="767" spans="1:14" ht="75" x14ac:dyDescent="0.25">
      <c r="A767" s="18" t="s">
        <v>2980</v>
      </c>
      <c r="B767" s="18" t="s">
        <v>2981</v>
      </c>
      <c r="C767" s="18"/>
      <c r="D767" s="18" t="s">
        <v>6536</v>
      </c>
      <c r="E767" s="18" t="s">
        <v>98</v>
      </c>
      <c r="F767" s="18" t="s">
        <v>157</v>
      </c>
      <c r="G767" s="18"/>
      <c r="H767" s="14" t="s">
        <v>2982</v>
      </c>
      <c r="I767" s="18" t="s">
        <v>2987</v>
      </c>
      <c r="J767" s="18"/>
      <c r="K767" s="18" t="s">
        <v>2988</v>
      </c>
      <c r="L767" s="18"/>
      <c r="M767" s="18" t="str">
        <f>HYPERLINK("https://ceds.ed.gov/cedselementdetails.aspx?termid=10532")</f>
        <v>https://ceds.ed.gov/cedselementdetails.aspx?termid=10532</v>
      </c>
      <c r="N767" s="18" t="str">
        <f>HYPERLINK("https://ceds.ed.gov/elementComment.aspx?elementName=Financial Expenditure Project Reporting Code &amp;elementID=10532", "Click here to submit comment")</f>
        <v>Click here to submit comment</v>
      </c>
    </row>
    <row r="768" spans="1:14" x14ac:dyDescent="0.25">
      <c r="A768" s="18"/>
      <c r="B768" s="18"/>
      <c r="C768" s="18"/>
      <c r="D768" s="18"/>
      <c r="E768" s="18"/>
      <c r="F768" s="18"/>
      <c r="G768" s="18"/>
      <c r="H768" s="12"/>
      <c r="I768" s="18"/>
      <c r="J768" s="18"/>
      <c r="K768" s="18"/>
      <c r="L768" s="18"/>
      <c r="M768" s="18"/>
      <c r="N768" s="18"/>
    </row>
    <row r="769" spans="1:14" ht="45" x14ac:dyDescent="0.25">
      <c r="A769" s="18"/>
      <c r="B769" s="18"/>
      <c r="C769" s="18"/>
      <c r="D769" s="18"/>
      <c r="E769" s="18"/>
      <c r="F769" s="18"/>
      <c r="G769" s="18"/>
      <c r="H769" s="12" t="s">
        <v>2983</v>
      </c>
      <c r="I769" s="18"/>
      <c r="J769" s="18"/>
      <c r="K769" s="18"/>
      <c r="L769" s="18"/>
      <c r="M769" s="18"/>
      <c r="N769" s="18"/>
    </row>
    <row r="770" spans="1:14" x14ac:dyDescent="0.25">
      <c r="A770" s="18"/>
      <c r="B770" s="18"/>
      <c r="C770" s="18"/>
      <c r="D770" s="18"/>
      <c r="E770" s="18"/>
      <c r="F770" s="18"/>
      <c r="G770" s="18"/>
      <c r="H770" s="12"/>
      <c r="I770" s="18"/>
      <c r="J770" s="18"/>
      <c r="K770" s="18"/>
      <c r="L770" s="18"/>
      <c r="M770" s="18"/>
      <c r="N770" s="18"/>
    </row>
    <row r="771" spans="1:14" ht="45" x14ac:dyDescent="0.25">
      <c r="A771" s="18"/>
      <c r="B771" s="18"/>
      <c r="C771" s="18"/>
      <c r="D771" s="18"/>
      <c r="E771" s="18"/>
      <c r="F771" s="18"/>
      <c r="G771" s="18"/>
      <c r="H771" s="12" t="s">
        <v>2984</v>
      </c>
      <c r="I771" s="18"/>
      <c r="J771" s="18"/>
      <c r="K771" s="18"/>
      <c r="L771" s="18"/>
      <c r="M771" s="18"/>
      <c r="N771" s="18"/>
    </row>
    <row r="772" spans="1:14" x14ac:dyDescent="0.25">
      <c r="A772" s="18"/>
      <c r="B772" s="18"/>
      <c r="C772" s="18"/>
      <c r="D772" s="18"/>
      <c r="E772" s="18"/>
      <c r="F772" s="18"/>
      <c r="G772" s="18"/>
      <c r="H772" s="12"/>
      <c r="I772" s="18"/>
      <c r="J772" s="18"/>
      <c r="K772" s="18"/>
      <c r="L772" s="18"/>
      <c r="M772" s="18"/>
      <c r="N772" s="18"/>
    </row>
    <row r="773" spans="1:14" ht="60" x14ac:dyDescent="0.25">
      <c r="A773" s="18"/>
      <c r="B773" s="18"/>
      <c r="C773" s="18"/>
      <c r="D773" s="18"/>
      <c r="E773" s="18"/>
      <c r="F773" s="18"/>
      <c r="G773" s="18"/>
      <c r="H773" s="12" t="s">
        <v>2985</v>
      </c>
      <c r="I773" s="18"/>
      <c r="J773" s="18"/>
      <c r="K773" s="18"/>
      <c r="L773" s="18"/>
      <c r="M773" s="18"/>
      <c r="N773" s="18"/>
    </row>
    <row r="774" spans="1:14" x14ac:dyDescent="0.25">
      <c r="A774" s="18"/>
      <c r="B774" s="18"/>
      <c r="C774" s="18"/>
      <c r="D774" s="18"/>
      <c r="E774" s="18"/>
      <c r="F774" s="18"/>
      <c r="G774" s="18"/>
      <c r="H774" s="12"/>
      <c r="I774" s="18"/>
      <c r="J774" s="18"/>
      <c r="K774" s="18"/>
      <c r="L774" s="18"/>
      <c r="M774" s="18"/>
      <c r="N774" s="18"/>
    </row>
    <row r="775" spans="1:14" ht="30" x14ac:dyDescent="0.25">
      <c r="A775" s="18"/>
      <c r="B775" s="18"/>
      <c r="C775" s="18"/>
      <c r="D775" s="18"/>
      <c r="E775" s="18"/>
      <c r="F775" s="18"/>
      <c r="G775" s="18"/>
      <c r="H775" s="12" t="s">
        <v>2986</v>
      </c>
      <c r="I775" s="18"/>
      <c r="J775" s="18"/>
      <c r="K775" s="18"/>
      <c r="L775" s="18"/>
      <c r="M775" s="18"/>
      <c r="N775" s="18"/>
    </row>
    <row r="776" spans="1:14" ht="60" x14ac:dyDescent="0.25">
      <c r="A776" s="12" t="s">
        <v>2989</v>
      </c>
      <c r="B776" s="12" t="s">
        <v>2990</v>
      </c>
      <c r="C776" s="12" t="s">
        <v>12</v>
      </c>
      <c r="D776" s="12" t="s">
        <v>2925</v>
      </c>
      <c r="E776" s="12"/>
      <c r="F776" s="12" t="s">
        <v>2613</v>
      </c>
      <c r="G776" s="12"/>
      <c r="H776" s="12" t="s">
        <v>2991</v>
      </c>
      <c r="I776" s="12" t="s">
        <v>2992</v>
      </c>
      <c r="J776" s="12"/>
      <c r="K776" s="12" t="s">
        <v>2993</v>
      </c>
      <c r="L776" s="12" t="s">
        <v>250</v>
      </c>
      <c r="M776" s="12" t="str">
        <f>HYPERLINK("https://ceds.ed.gov/cedselementdetails.aspx?termid=9747")</f>
        <v>https://ceds.ed.gov/cedselementdetails.aspx?termid=9747</v>
      </c>
      <c r="N776" s="12" t="str">
        <f>HYPERLINK("https://ceds.ed.gov/elementComment.aspx?elementName=Financial Need &amp;elementID=9747", "Click here to submit comment")</f>
        <v>Click here to submit comment</v>
      </c>
    </row>
    <row r="777" spans="1:14" ht="45" x14ac:dyDescent="0.25">
      <c r="A777" s="12" t="s">
        <v>2994</v>
      </c>
      <c r="B777" s="12" t="s">
        <v>2995</v>
      </c>
      <c r="C777" s="13" t="s">
        <v>6931</v>
      </c>
      <c r="D777" s="12" t="s">
        <v>2925</v>
      </c>
      <c r="E777" s="12"/>
      <c r="F777" s="12"/>
      <c r="G777" s="12"/>
      <c r="H777" s="12" t="s">
        <v>2996</v>
      </c>
      <c r="I777" s="12" t="s">
        <v>2997</v>
      </c>
      <c r="J777" s="12"/>
      <c r="K777" s="12" t="s">
        <v>2998</v>
      </c>
      <c r="L777" s="12" t="s">
        <v>250</v>
      </c>
      <c r="M777" s="12" t="str">
        <f>HYPERLINK("https://ceds.ed.gov/cedselementdetails.aspx?termid=10188")</f>
        <v>https://ceds.ed.gov/cedselementdetails.aspx?termid=10188</v>
      </c>
      <c r="N777" s="12" t="str">
        <f>HYPERLINK("https://ceds.ed.gov/elementComment.aspx?elementName=Financial Need Determination Methodology &amp;elementID=10188", "Click here to submit comment")</f>
        <v>Click here to submit comment</v>
      </c>
    </row>
    <row r="778" spans="1:14" ht="90" x14ac:dyDescent="0.25">
      <c r="A778" s="12" t="s">
        <v>2999</v>
      </c>
      <c r="B778" s="12" t="s">
        <v>3000</v>
      </c>
      <c r="C778" s="13" t="s">
        <v>6932</v>
      </c>
      <c r="D778" s="12" t="s">
        <v>3001</v>
      </c>
      <c r="E778" s="12"/>
      <c r="F778" s="12"/>
      <c r="G778" s="12"/>
      <c r="H778" s="12"/>
      <c r="I778" s="12" t="s">
        <v>3002</v>
      </c>
      <c r="J778" s="12"/>
      <c r="K778" s="12" t="s">
        <v>3003</v>
      </c>
      <c r="L778" s="12" t="s">
        <v>222</v>
      </c>
      <c r="M778" s="12" t="str">
        <f>HYPERLINK("https://ceds.ed.gov/cedselementdetails.aspx?termid=9548")</f>
        <v>https://ceds.ed.gov/cedselementdetails.aspx?termid=9548</v>
      </c>
      <c r="N778" s="12" t="str">
        <f>HYPERLINK("https://ceds.ed.gov/elementComment.aspx?elementName=Firearm Type &amp;elementID=9548", "Click here to submit comment")</f>
        <v>Click here to submit comment</v>
      </c>
    </row>
    <row r="779" spans="1:14" ht="45" x14ac:dyDescent="0.25">
      <c r="A779" s="12" t="s">
        <v>3004</v>
      </c>
      <c r="B779" s="12" t="s">
        <v>3005</v>
      </c>
      <c r="C779" s="12" t="s">
        <v>12</v>
      </c>
      <c r="D779" s="12" t="s">
        <v>1635</v>
      </c>
      <c r="E779" s="12"/>
      <c r="F779" s="12" t="s">
        <v>73</v>
      </c>
      <c r="G779" s="12"/>
      <c r="H779" s="12"/>
      <c r="I779" s="12" t="s">
        <v>3006</v>
      </c>
      <c r="J779" s="12"/>
      <c r="K779" s="12" t="s">
        <v>3007</v>
      </c>
      <c r="L779" s="12" t="s">
        <v>205</v>
      </c>
      <c r="M779" s="12" t="str">
        <f>HYPERLINK("https://ceds.ed.gov/cedselementdetails.aspx?termid=10066")</f>
        <v>https://ceds.ed.gov/cedselementdetails.aspx?termid=10066</v>
      </c>
      <c r="N779" s="12" t="str">
        <f>HYPERLINK("https://ceds.ed.gov/elementComment.aspx?elementName=First Aid Certification Expiration Date &amp;elementID=10066", "Click here to submit comment")</f>
        <v>Click here to submit comment</v>
      </c>
    </row>
    <row r="780" spans="1:14" ht="45" x14ac:dyDescent="0.25">
      <c r="A780" s="12" t="s">
        <v>3008</v>
      </c>
      <c r="B780" s="12" t="s">
        <v>3009</v>
      </c>
      <c r="C780" s="12" t="s">
        <v>12</v>
      </c>
      <c r="D780" s="12" t="s">
        <v>3010</v>
      </c>
      <c r="E780" s="12"/>
      <c r="F780" s="12" t="s">
        <v>73</v>
      </c>
      <c r="G780" s="12"/>
      <c r="H780" s="12"/>
      <c r="I780" s="12" t="s">
        <v>3011</v>
      </c>
      <c r="J780" s="12"/>
      <c r="K780" s="12" t="s">
        <v>3012</v>
      </c>
      <c r="L780" s="12"/>
      <c r="M780" s="12" t="str">
        <f>HYPERLINK("https://ceds.ed.gov/cedselementdetails.aspx?termid=9520")</f>
        <v>https://ceds.ed.gov/cedselementdetails.aspx?termid=9520</v>
      </c>
      <c r="N780" s="12" t="str">
        <f>HYPERLINK("https://ceds.ed.gov/elementComment.aspx?elementName=First Entry Date into a US School &amp;elementID=9520", "Click here to submit comment")</f>
        <v>Click here to submit comment</v>
      </c>
    </row>
    <row r="781" spans="1:14" ht="45" x14ac:dyDescent="0.25">
      <c r="A781" s="12" t="s">
        <v>3013</v>
      </c>
      <c r="B781" s="12" t="s">
        <v>3014</v>
      </c>
      <c r="C781" s="12" t="s">
        <v>12</v>
      </c>
      <c r="D781" s="12" t="s">
        <v>2250</v>
      </c>
      <c r="E781" s="12"/>
      <c r="F781" s="12" t="s">
        <v>73</v>
      </c>
      <c r="G781" s="12"/>
      <c r="H781" s="12"/>
      <c r="I781" s="12" t="s">
        <v>3015</v>
      </c>
      <c r="J781" s="12"/>
      <c r="K781" s="12" t="s">
        <v>3016</v>
      </c>
      <c r="L781" s="12"/>
      <c r="M781" s="12" t="str">
        <f>HYPERLINK("https://ceds.ed.gov/cedselementdetails.aspx?termid=9488")</f>
        <v>https://ceds.ed.gov/cedselementdetails.aspx?termid=9488</v>
      </c>
      <c r="N781" s="12" t="str">
        <f>HYPERLINK("https://ceds.ed.gov/elementComment.aspx?elementName=First Instruction Date &amp;elementID=9488", "Click here to submit comment")</f>
        <v>Click here to submit comment</v>
      </c>
    </row>
    <row r="782" spans="1:14" ht="409.5" x14ac:dyDescent="0.25">
      <c r="A782" s="12" t="s">
        <v>3017</v>
      </c>
      <c r="B782" s="12" t="s">
        <v>3018</v>
      </c>
      <c r="C782" s="12" t="s">
        <v>12</v>
      </c>
      <c r="D782" s="12" t="s">
        <v>6539</v>
      </c>
      <c r="E782" s="12"/>
      <c r="F782" s="12" t="s">
        <v>1349</v>
      </c>
      <c r="G782" s="12"/>
      <c r="H782" s="12" t="s">
        <v>3019</v>
      </c>
      <c r="I782" s="12" t="s">
        <v>3020</v>
      </c>
      <c r="J782" s="12"/>
      <c r="K782" s="12" t="s">
        <v>3021</v>
      </c>
      <c r="L782" s="12" t="s">
        <v>6540</v>
      </c>
      <c r="M782" s="12" t="str">
        <f>HYPERLINK("https://ceds.ed.gov/cedselementdetails.aspx?termid=9115")</f>
        <v>https://ceds.ed.gov/cedselementdetails.aspx?termid=9115</v>
      </c>
      <c r="N782" s="12" t="str">
        <f>HYPERLINK("https://ceds.ed.gov/elementComment.aspx?elementName=First Name &amp;elementID=9115", "Click here to submit comment")</f>
        <v>Click here to submit comment</v>
      </c>
    </row>
    <row r="783" spans="1:14" ht="195" x14ac:dyDescent="0.25">
      <c r="A783" s="12" t="s">
        <v>3022</v>
      </c>
      <c r="B783" s="12" t="s">
        <v>3023</v>
      </c>
      <c r="C783" s="12" t="s">
        <v>6364</v>
      </c>
      <c r="D783" s="12" t="s">
        <v>1856</v>
      </c>
      <c r="E783" s="12"/>
      <c r="F783" s="12"/>
      <c r="G783" s="12"/>
      <c r="H783" s="12"/>
      <c r="I783" s="12" t="s">
        <v>3024</v>
      </c>
      <c r="J783" s="12"/>
      <c r="K783" s="12" t="s">
        <v>3025</v>
      </c>
      <c r="L783" s="12" t="s">
        <v>6380</v>
      </c>
      <c r="M783" s="12" t="str">
        <f>HYPERLINK("https://ceds.ed.gov/cedselementdetails.aspx?termid=9117")</f>
        <v>https://ceds.ed.gov/cedselementdetails.aspx?termid=9117</v>
      </c>
      <c r="N783" s="12" t="str">
        <f>HYPERLINK("https://ceds.ed.gov/elementComment.aspx?elementName=First Time Postsecondary Student &amp;elementID=9117", "Click here to submit comment")</f>
        <v>Click here to submit comment</v>
      </c>
    </row>
    <row r="784" spans="1:14" ht="105" x14ac:dyDescent="0.25">
      <c r="A784" s="12" t="s">
        <v>3026</v>
      </c>
      <c r="B784" s="12" t="s">
        <v>3027</v>
      </c>
      <c r="C784" s="12" t="s">
        <v>12</v>
      </c>
      <c r="D784" s="12" t="s">
        <v>6536</v>
      </c>
      <c r="E784" s="12" t="s">
        <v>1498</v>
      </c>
      <c r="F784" s="12" t="s">
        <v>73</v>
      </c>
      <c r="G784" s="12"/>
      <c r="H784" s="12"/>
      <c r="I784" s="12" t="s">
        <v>3028</v>
      </c>
      <c r="J784" s="12"/>
      <c r="K784" s="12" t="s">
        <v>3029</v>
      </c>
      <c r="L784" s="12"/>
      <c r="M784" s="12" t="str">
        <f>HYPERLINK("https://ceds.ed.gov/cedselementdetails.aspx?termid=10623")</f>
        <v>https://ceds.ed.gov/cedselementdetails.aspx?termid=10623</v>
      </c>
      <c r="N784" s="12" t="str">
        <f>HYPERLINK("https://ceds.ed.gov/elementComment.aspx?elementName=Fiscal Period Begin Date &amp;elementID=10623", "Click here to submit comment")</f>
        <v>Click here to submit comment</v>
      </c>
    </row>
    <row r="785" spans="1:14" ht="105" x14ac:dyDescent="0.25">
      <c r="A785" s="12" t="s">
        <v>3030</v>
      </c>
      <c r="B785" s="12" t="s">
        <v>3031</v>
      </c>
      <c r="C785" s="12" t="s">
        <v>12</v>
      </c>
      <c r="D785" s="12" t="s">
        <v>6536</v>
      </c>
      <c r="E785" s="12" t="s">
        <v>1498</v>
      </c>
      <c r="F785" s="12" t="s">
        <v>73</v>
      </c>
      <c r="G785" s="12"/>
      <c r="H785" s="12"/>
      <c r="I785" s="12" t="s">
        <v>3032</v>
      </c>
      <c r="J785" s="12"/>
      <c r="K785" s="12" t="s">
        <v>3033</v>
      </c>
      <c r="L785" s="12"/>
      <c r="M785" s="12" t="str">
        <f>HYPERLINK("https://ceds.ed.gov/cedselementdetails.aspx?termid=10624")</f>
        <v>https://ceds.ed.gov/cedselementdetails.aspx?termid=10624</v>
      </c>
      <c r="N785" s="12" t="str">
        <f>HYPERLINK("https://ceds.ed.gov/elementComment.aspx?elementName=Fiscal Period End Date &amp;elementID=10624", "Click here to submit comment")</f>
        <v>Click here to submit comment</v>
      </c>
    </row>
    <row r="786" spans="1:14" ht="105" x14ac:dyDescent="0.25">
      <c r="A786" s="12" t="s">
        <v>3034</v>
      </c>
      <c r="B786" s="12" t="s">
        <v>3035</v>
      </c>
      <c r="C786" s="12" t="s">
        <v>12</v>
      </c>
      <c r="D786" s="12" t="s">
        <v>6536</v>
      </c>
      <c r="E786" s="12" t="s">
        <v>1498</v>
      </c>
      <c r="F786" s="12" t="s">
        <v>1861</v>
      </c>
      <c r="G786" s="12"/>
      <c r="H786" s="12"/>
      <c r="I786" s="12" t="s">
        <v>3036</v>
      </c>
      <c r="J786" s="12"/>
      <c r="K786" s="12" t="s">
        <v>3037</v>
      </c>
      <c r="L786" s="12"/>
      <c r="M786" s="12" t="str">
        <f>HYPERLINK("https://ceds.ed.gov/cedselementdetails.aspx?termid=10620")</f>
        <v>https://ceds.ed.gov/cedselementdetails.aspx?termid=10620</v>
      </c>
      <c r="N786" s="12" t="str">
        <f>HYPERLINK("https://ceds.ed.gov/elementComment.aspx?elementName=Fiscal Year &amp;elementID=10620", "Click here to submit comment")</f>
        <v>Click here to submit comment</v>
      </c>
    </row>
    <row r="787" spans="1:14" ht="45" x14ac:dyDescent="0.25">
      <c r="A787" s="12" t="s">
        <v>3038</v>
      </c>
      <c r="B787" s="12" t="s">
        <v>3039</v>
      </c>
      <c r="C787" s="12" t="s">
        <v>12</v>
      </c>
      <c r="D787" s="12" t="s">
        <v>3040</v>
      </c>
      <c r="E787" s="12"/>
      <c r="F787" s="12" t="s">
        <v>73</v>
      </c>
      <c r="G787" s="12"/>
      <c r="H787" s="12"/>
      <c r="I787" s="12" t="s">
        <v>3041</v>
      </c>
      <c r="J787" s="12"/>
      <c r="K787" s="12" t="s">
        <v>3042</v>
      </c>
      <c r="L787" s="12"/>
      <c r="M787" s="12" t="str">
        <f>HYPERLINK("https://ceds.ed.gov/cedselementdetails.aspx?termid=10495")</f>
        <v>https://ceds.ed.gov/cedselementdetails.aspx?termid=10495</v>
      </c>
      <c r="N787" s="12" t="str">
        <f>HYPERLINK("https://ceds.ed.gov/elementComment.aspx?elementName=Foster Care End Date &amp;elementID=10495", "Click here to submit comment")</f>
        <v>Click here to submit comment</v>
      </c>
    </row>
    <row r="788" spans="1:14" ht="45" x14ac:dyDescent="0.25">
      <c r="A788" s="12" t="s">
        <v>3043</v>
      </c>
      <c r="B788" s="12" t="s">
        <v>3044</v>
      </c>
      <c r="C788" s="12" t="s">
        <v>12</v>
      </c>
      <c r="D788" s="12" t="s">
        <v>3040</v>
      </c>
      <c r="E788" s="12"/>
      <c r="F788" s="12" t="s">
        <v>73</v>
      </c>
      <c r="G788" s="12"/>
      <c r="H788" s="12"/>
      <c r="I788" s="12" t="s">
        <v>3045</v>
      </c>
      <c r="J788" s="12"/>
      <c r="K788" s="12" t="s">
        <v>3046</v>
      </c>
      <c r="L788" s="12"/>
      <c r="M788" s="12" t="str">
        <f>HYPERLINK("https://ceds.ed.gov/cedselementdetails.aspx?termid=10496")</f>
        <v>https://ceds.ed.gov/cedselementdetails.aspx?termid=10496</v>
      </c>
      <c r="N788" s="12" t="str">
        <f>HYPERLINK("https://ceds.ed.gov/elementComment.aspx?elementName=Foster Care Start Date &amp;elementID=10496", "Click here to submit comment")</f>
        <v>Click here to submit comment</v>
      </c>
    </row>
    <row r="789" spans="1:14" ht="60" x14ac:dyDescent="0.25">
      <c r="A789" s="12" t="s">
        <v>3047</v>
      </c>
      <c r="B789" s="12" t="s">
        <v>3048</v>
      </c>
      <c r="C789" s="12" t="s">
        <v>6364</v>
      </c>
      <c r="D789" s="12" t="s">
        <v>2399</v>
      </c>
      <c r="E789" s="12"/>
      <c r="F789" s="12"/>
      <c r="G789" s="12"/>
      <c r="H789" s="12"/>
      <c r="I789" s="12" t="s">
        <v>3049</v>
      </c>
      <c r="J789" s="12"/>
      <c r="K789" s="12" t="s">
        <v>3050</v>
      </c>
      <c r="L789" s="12" t="s">
        <v>250</v>
      </c>
      <c r="M789" s="12" t="str">
        <f>HYPERLINK("https://ceds.ed.gov/cedselementdetails.aspx?termid=9743")</f>
        <v>https://ceds.ed.gov/cedselementdetails.aspx?termid=9743</v>
      </c>
      <c r="N789" s="12" t="str">
        <f>HYPERLINK("https://ceds.ed.gov/elementComment.aspx?elementName=Fraternity Participation Status &amp;elementID=9743", "Click here to submit comment")</f>
        <v>Click here to submit comment</v>
      </c>
    </row>
    <row r="790" spans="1:14" ht="90" x14ac:dyDescent="0.25">
      <c r="A790" s="12" t="s">
        <v>3051</v>
      </c>
      <c r="B790" s="12" t="s">
        <v>3052</v>
      </c>
      <c r="C790" s="13" t="s">
        <v>6933</v>
      </c>
      <c r="D790" s="12" t="s">
        <v>2449</v>
      </c>
      <c r="E790" s="12"/>
      <c r="F790" s="12"/>
      <c r="G790" s="12"/>
      <c r="H790" s="12"/>
      <c r="I790" s="12" t="s">
        <v>3053</v>
      </c>
      <c r="J790" s="12"/>
      <c r="K790" s="12" t="s">
        <v>3054</v>
      </c>
      <c r="L790" s="12"/>
      <c r="M790" s="12" t="str">
        <f>HYPERLINK("https://ceds.ed.gov/cedselementdetails.aspx?termid=10323")</f>
        <v>https://ceds.ed.gov/cedselementdetails.aspx?termid=10323</v>
      </c>
      <c r="N790" s="12" t="str">
        <f>HYPERLINK("https://ceds.ed.gov/elementComment.aspx?elementName=Frequency of Service &amp;elementID=10323", "Click here to submit comment")</f>
        <v>Click here to submit comment</v>
      </c>
    </row>
    <row r="791" spans="1:14" ht="45" x14ac:dyDescent="0.25">
      <c r="A791" s="12" t="s">
        <v>3055</v>
      </c>
      <c r="B791" s="12" t="s">
        <v>3056</v>
      </c>
      <c r="C791" s="12" t="s">
        <v>6364</v>
      </c>
      <c r="D791" s="12" t="s">
        <v>6508</v>
      </c>
      <c r="E791" s="12"/>
      <c r="F791" s="12"/>
      <c r="G791" s="12"/>
      <c r="H791" s="12"/>
      <c r="I791" s="12" t="s">
        <v>3057</v>
      </c>
      <c r="J791" s="12"/>
      <c r="K791" s="12" t="s">
        <v>3058</v>
      </c>
      <c r="L791" s="12"/>
      <c r="M791" s="12" t="str">
        <f>HYPERLINK("https://ceds.ed.gov/cedselementdetails.aspx?termid=9504")</f>
        <v>https://ceds.ed.gov/cedselementdetails.aspx?termid=9504</v>
      </c>
      <c r="N791" s="12" t="str">
        <f>HYPERLINK("https://ceds.ed.gov/elementComment.aspx?elementName=Full Year Expulsion &amp;elementID=9504", "Click here to submit comment")</f>
        <v>Click here to submit comment</v>
      </c>
    </row>
    <row r="792" spans="1:14" ht="409.5" x14ac:dyDescent="0.25">
      <c r="A792" s="12" t="s">
        <v>3059</v>
      </c>
      <c r="B792" s="12" t="s">
        <v>3060</v>
      </c>
      <c r="C792" s="13" t="s">
        <v>6934</v>
      </c>
      <c r="D792" s="12" t="s">
        <v>2323</v>
      </c>
      <c r="E792" s="12"/>
      <c r="F792" s="12"/>
      <c r="G792" s="12"/>
      <c r="H792" s="12"/>
      <c r="I792" s="12" t="s">
        <v>3061</v>
      </c>
      <c r="J792" s="12"/>
      <c r="K792" s="12" t="s">
        <v>3062</v>
      </c>
      <c r="L792" s="12" t="s">
        <v>6515</v>
      </c>
      <c r="M792" s="12" t="str">
        <f>HYPERLINK("https://ceds.ed.gov/cedselementdetails.aspx?termid=9866")</f>
        <v>https://ceds.ed.gov/cedselementdetails.aspx?termid=9866</v>
      </c>
      <c r="N792" s="12" t="str">
        <f>HYPERLINK("https://ceds.ed.gov/elementComment.aspx?elementName=Full-Time Employee Benefits &amp;elementID=9866", "Click here to submit comment")</f>
        <v>Click here to submit comment</v>
      </c>
    </row>
    <row r="793" spans="1:14" ht="180" x14ac:dyDescent="0.25">
      <c r="A793" s="12" t="s">
        <v>3063</v>
      </c>
      <c r="B793" s="12" t="s">
        <v>3064</v>
      </c>
      <c r="C793" s="13" t="s">
        <v>6935</v>
      </c>
      <c r="D793" s="12" t="s">
        <v>33</v>
      </c>
      <c r="E793" s="12"/>
      <c r="F793" s="12"/>
      <c r="G793" s="12"/>
      <c r="H793" s="12" t="s">
        <v>3065</v>
      </c>
      <c r="I793" s="12" t="s">
        <v>3066</v>
      </c>
      <c r="J793" s="12"/>
      <c r="K793" s="12" t="s">
        <v>3067</v>
      </c>
      <c r="L793" s="12" t="s">
        <v>37</v>
      </c>
      <c r="M793" s="12" t="str">
        <f>HYPERLINK("https://ceds.ed.gov/cedselementdetails.aspx?termid=9713")</f>
        <v>https://ceds.ed.gov/cedselementdetails.aspx?termid=9713</v>
      </c>
      <c r="N793" s="12" t="str">
        <f>HYPERLINK("https://ceds.ed.gov/elementComment.aspx?elementName=Full-time Status &amp;elementID=9713", "Click here to submit comment")</f>
        <v>Click here to submit comment</v>
      </c>
    </row>
    <row r="794" spans="1:14" ht="60" x14ac:dyDescent="0.25">
      <c r="A794" s="12" t="s">
        <v>3068</v>
      </c>
      <c r="B794" s="12" t="s">
        <v>3069</v>
      </c>
      <c r="C794" s="12" t="s">
        <v>12</v>
      </c>
      <c r="D794" s="12" t="s">
        <v>6541</v>
      </c>
      <c r="E794" s="12"/>
      <c r="F794" s="12" t="s">
        <v>1554</v>
      </c>
      <c r="G794" s="12"/>
      <c r="H794" s="12"/>
      <c r="I794" s="12" t="s">
        <v>3070</v>
      </c>
      <c r="J794" s="12"/>
      <c r="K794" s="12" t="s">
        <v>3071</v>
      </c>
      <c r="L794" s="12" t="s">
        <v>211</v>
      </c>
      <c r="M794" s="12" t="str">
        <f>HYPERLINK("https://ceds.ed.gov/cedselementdetails.aspx?termid=9442")</f>
        <v>https://ceds.ed.gov/cedselementdetails.aspx?termid=9442</v>
      </c>
      <c r="N794" s="12" t="str">
        <f>HYPERLINK("https://ceds.ed.gov/elementComment.aspx?elementName=Funds Transfer Amount &amp;elementID=9442", "Click here to submit comment")</f>
        <v>Click here to submit comment</v>
      </c>
    </row>
    <row r="795" spans="1:14" ht="60" x14ac:dyDescent="0.25">
      <c r="A795" s="12" t="s">
        <v>3072</v>
      </c>
      <c r="B795" s="12" t="s">
        <v>3073</v>
      </c>
      <c r="C795" s="12" t="s">
        <v>6364</v>
      </c>
      <c r="D795" s="12" t="s">
        <v>2394</v>
      </c>
      <c r="E795" s="12"/>
      <c r="F795" s="12"/>
      <c r="G795" s="12"/>
      <c r="H795" s="12"/>
      <c r="I795" s="12" t="s">
        <v>3074</v>
      </c>
      <c r="J795" s="12"/>
      <c r="K795" s="12" t="s">
        <v>3075</v>
      </c>
      <c r="L795" s="12" t="s">
        <v>4</v>
      </c>
      <c r="M795" s="12" t="str">
        <f>HYPERLINK("https://ceds.ed.gov/cedselementdetails.aspx?termid=9120")</f>
        <v>https://ceds.ed.gov/cedselementdetails.aspx?termid=9120</v>
      </c>
      <c r="N795" s="12" t="str">
        <f>HYPERLINK("https://ceds.ed.gov/elementComment.aspx?elementName=GED Preparation Program Participation Status &amp;elementID=9120", "Click here to submit comment")</f>
        <v>Click here to submit comment</v>
      </c>
    </row>
    <row r="796" spans="1:14" ht="381.75" customHeight="1" x14ac:dyDescent="0.25">
      <c r="A796" s="18" t="s">
        <v>3076</v>
      </c>
      <c r="B796" s="18" t="s">
        <v>3077</v>
      </c>
      <c r="C796" s="18" t="s">
        <v>12</v>
      </c>
      <c r="D796" s="18" t="s">
        <v>6542</v>
      </c>
      <c r="E796" s="18"/>
      <c r="F796" s="18" t="s">
        <v>2143</v>
      </c>
      <c r="G796" s="18"/>
      <c r="H796" s="12" t="s">
        <v>3078</v>
      </c>
      <c r="I796" s="18" t="s">
        <v>3080</v>
      </c>
      <c r="J796" s="18"/>
      <c r="K796" s="18" t="s">
        <v>3081</v>
      </c>
      <c r="L796" s="18" t="s">
        <v>6543</v>
      </c>
      <c r="M796" s="18" t="str">
        <f>HYPERLINK("https://ceds.ed.gov/cedselementdetails.aspx?termid=9121")</f>
        <v>https://ceds.ed.gov/cedselementdetails.aspx?termid=9121</v>
      </c>
      <c r="N796" s="18" t="str">
        <f>HYPERLINK("https://ceds.ed.gov/elementComment.aspx?elementName=Generation Code or Suffix &amp;elementID=9121", "Click here to submit comment")</f>
        <v>Click here to submit comment</v>
      </c>
    </row>
    <row r="797" spans="1:14" ht="90" x14ac:dyDescent="0.25">
      <c r="A797" s="18"/>
      <c r="B797" s="18"/>
      <c r="C797" s="18"/>
      <c r="D797" s="18"/>
      <c r="E797" s="18"/>
      <c r="F797" s="18"/>
      <c r="G797" s="18"/>
      <c r="H797" s="12" t="s">
        <v>3079</v>
      </c>
      <c r="I797" s="18"/>
      <c r="J797" s="18"/>
      <c r="K797" s="18"/>
      <c r="L797" s="18"/>
      <c r="M797" s="18"/>
      <c r="N797" s="18"/>
    </row>
    <row r="798" spans="1:14" ht="60" x14ac:dyDescent="0.25">
      <c r="A798" s="12" t="s">
        <v>3082</v>
      </c>
      <c r="B798" s="12" t="s">
        <v>3083</v>
      </c>
      <c r="C798" s="12" t="s">
        <v>6544</v>
      </c>
      <c r="D798" s="12" t="s">
        <v>2394</v>
      </c>
      <c r="E798" s="12"/>
      <c r="F798" s="12"/>
      <c r="G798" s="12"/>
      <c r="H798" s="12"/>
      <c r="I798" s="12" t="s">
        <v>3084</v>
      </c>
      <c r="J798" s="12"/>
      <c r="K798" s="12" t="s">
        <v>3085</v>
      </c>
      <c r="L798" s="12" t="s">
        <v>6369</v>
      </c>
      <c r="M798" s="12" t="str">
        <f>HYPERLINK("https://ceds.ed.gov/cedselementdetails.aspx?termid=9122")</f>
        <v>https://ceds.ed.gov/cedselementdetails.aspx?termid=9122</v>
      </c>
      <c r="N798" s="12" t="str">
        <f>HYPERLINK("https://ceds.ed.gov/elementComment.aspx?elementName=Gifted and Talented Indicator &amp;elementID=9122", "Click here to submit comment")</f>
        <v>Click here to submit comment</v>
      </c>
    </row>
    <row r="799" spans="1:14" ht="195" x14ac:dyDescent="0.25">
      <c r="A799" s="12" t="s">
        <v>3086</v>
      </c>
      <c r="B799" s="12" t="s">
        <v>3087</v>
      </c>
      <c r="C799" s="13" t="s">
        <v>6936</v>
      </c>
      <c r="D799" s="12" t="s">
        <v>258</v>
      </c>
      <c r="E799" s="12"/>
      <c r="F799" s="12"/>
      <c r="G799" s="12"/>
      <c r="H799" s="12"/>
      <c r="I799" s="12" t="s">
        <v>3088</v>
      </c>
      <c r="J799" s="12"/>
      <c r="K799" s="12" t="s">
        <v>3089</v>
      </c>
      <c r="L799" s="12"/>
      <c r="M799" s="12" t="str">
        <f>HYPERLINK("https://ceds.ed.gov/cedselementdetails.aspx?termid=9767")</f>
        <v>https://ceds.ed.gov/cedselementdetails.aspx?termid=9767</v>
      </c>
      <c r="N799" s="12" t="str">
        <f>HYPERLINK("https://ceds.ed.gov/elementComment.aspx?elementName=Goals for Attending Adult Education &amp;elementID=9767", "Click here to submit comment")</f>
        <v>Click here to submit comment</v>
      </c>
    </row>
    <row r="800" spans="1:14" ht="345" x14ac:dyDescent="0.25">
      <c r="A800" s="12" t="s">
        <v>3090</v>
      </c>
      <c r="B800" s="12" t="s">
        <v>3091</v>
      </c>
      <c r="C800" s="13" t="s">
        <v>6937</v>
      </c>
      <c r="D800" s="12" t="s">
        <v>1237</v>
      </c>
      <c r="E800" s="12"/>
      <c r="F800" s="12"/>
      <c r="G800" s="12"/>
      <c r="H800" s="12"/>
      <c r="I800" s="12" t="s">
        <v>3092</v>
      </c>
      <c r="J800" s="12"/>
      <c r="K800" s="12" t="s">
        <v>3093</v>
      </c>
      <c r="L800" s="12" t="s">
        <v>6545</v>
      </c>
      <c r="M800" s="12" t="str">
        <f>HYPERLINK("https://ceds.ed.gov/cedselementdetails.aspx?termid=9126")</f>
        <v>https://ceds.ed.gov/cedselementdetails.aspx?termid=9126</v>
      </c>
      <c r="N800" s="12" t="str">
        <f>HYPERLINK("https://ceds.ed.gov/elementComment.aspx?elementName=Grade Level When Assessed &amp;elementID=9126", "Click here to submit comment")</f>
        <v>Click here to submit comment</v>
      </c>
    </row>
    <row r="801" spans="1:14" ht="330" x14ac:dyDescent="0.25">
      <c r="A801" s="12" t="s">
        <v>3094</v>
      </c>
      <c r="B801" s="12" t="s">
        <v>3095</v>
      </c>
      <c r="C801" s="13" t="s">
        <v>6908</v>
      </c>
      <c r="D801" s="12" t="s">
        <v>6546</v>
      </c>
      <c r="E801" s="12"/>
      <c r="F801" s="12"/>
      <c r="G801" s="12"/>
      <c r="H801" s="12"/>
      <c r="I801" s="12" t="s">
        <v>3096</v>
      </c>
      <c r="J801" s="12"/>
      <c r="K801" s="12" t="s">
        <v>3097</v>
      </c>
      <c r="L801" s="12" t="s">
        <v>6369</v>
      </c>
      <c r="M801" s="12" t="str">
        <f>HYPERLINK("https://ceds.ed.gov/cedselementdetails.aspx?termid=9125")</f>
        <v>https://ceds.ed.gov/cedselementdetails.aspx?termid=9125</v>
      </c>
      <c r="N801" s="12" t="str">
        <f>HYPERLINK("https://ceds.ed.gov/elementComment.aspx?elementName=Grade Level When Course Taken &amp;elementID=9125", "Click here to submit comment")</f>
        <v>Click here to submit comment</v>
      </c>
    </row>
    <row r="802" spans="1:14" ht="45" x14ac:dyDescent="0.25">
      <c r="A802" s="12" t="s">
        <v>3098</v>
      </c>
      <c r="B802" s="12" t="s">
        <v>3099</v>
      </c>
      <c r="C802" s="12" t="s">
        <v>12</v>
      </c>
      <c r="D802" s="12" t="s">
        <v>316</v>
      </c>
      <c r="E802" s="12"/>
      <c r="F802" s="12" t="s">
        <v>3100</v>
      </c>
      <c r="G802" s="12"/>
      <c r="H802" s="12"/>
      <c r="I802" s="12" t="s">
        <v>3101</v>
      </c>
      <c r="J802" s="12"/>
      <c r="K802" s="12" t="s">
        <v>3102</v>
      </c>
      <c r="L802" s="12" t="s">
        <v>25</v>
      </c>
      <c r="M802" s="12" t="str">
        <f>HYPERLINK("https://ceds.ed.gov/cedselementdetails.aspx?termid=9127")</f>
        <v>https://ceds.ed.gov/cedselementdetails.aspx?termid=9127</v>
      </c>
      <c r="N802" s="12" t="str">
        <f>HYPERLINK("https://ceds.ed.gov/elementComment.aspx?elementName=Grade Point Average &amp;elementID=9127", "Click here to submit comment")</f>
        <v>Click here to submit comment</v>
      </c>
    </row>
    <row r="803" spans="1:14" ht="180" x14ac:dyDescent="0.25">
      <c r="A803" s="12" t="s">
        <v>3103</v>
      </c>
      <c r="B803" s="12" t="s">
        <v>3104</v>
      </c>
      <c r="C803" s="12" t="s">
        <v>12</v>
      </c>
      <c r="D803" s="12" t="s">
        <v>6547</v>
      </c>
      <c r="E803" s="12"/>
      <c r="F803" s="12" t="s">
        <v>3100</v>
      </c>
      <c r="G803" s="12"/>
      <c r="H803" s="12" t="s">
        <v>3105</v>
      </c>
      <c r="I803" s="12" t="s">
        <v>3106</v>
      </c>
      <c r="J803" s="12" t="s">
        <v>3107</v>
      </c>
      <c r="K803" s="12" t="s">
        <v>3108</v>
      </c>
      <c r="L803" s="12" t="s">
        <v>6548</v>
      </c>
      <c r="M803" s="12" t="str">
        <f>HYPERLINK("https://ceds.ed.gov/cedselementdetails.aspx?termid=9128")</f>
        <v>https://ceds.ed.gov/cedselementdetails.aspx?termid=9128</v>
      </c>
      <c r="N803" s="12" t="str">
        <f>HYPERLINK("https://ceds.ed.gov/elementComment.aspx?elementName=Grade Point Average Cumulative &amp;elementID=9128", "Click here to submit comment")</f>
        <v>Click here to submit comment</v>
      </c>
    </row>
    <row r="804" spans="1:14" ht="105" x14ac:dyDescent="0.25">
      <c r="A804" s="12" t="s">
        <v>3109</v>
      </c>
      <c r="B804" s="12" t="s">
        <v>3110</v>
      </c>
      <c r="C804" s="13" t="s">
        <v>6938</v>
      </c>
      <c r="D804" s="12" t="s">
        <v>246</v>
      </c>
      <c r="E804" s="12"/>
      <c r="F804" s="12"/>
      <c r="G804" s="12"/>
      <c r="H804" s="12" t="s">
        <v>3111</v>
      </c>
      <c r="I804" s="12" t="s">
        <v>3112</v>
      </c>
      <c r="J804" s="12" t="s">
        <v>3113</v>
      </c>
      <c r="K804" s="12" t="s">
        <v>3114</v>
      </c>
      <c r="L804" s="12" t="s">
        <v>250</v>
      </c>
      <c r="M804" s="12" t="str">
        <f>HYPERLINK("https://ceds.ed.gov/cedselementdetails.aspx?termid=9739")</f>
        <v>https://ceds.ed.gov/cedselementdetails.aspx?termid=9739</v>
      </c>
      <c r="N804" s="12" t="str">
        <f>HYPERLINK("https://ceds.ed.gov/elementComment.aspx?elementName=Grade Point Average Domain &amp;elementID=9739", "Click here to submit comment")</f>
        <v>Click here to submit comment</v>
      </c>
    </row>
    <row r="805" spans="1:14" ht="90" x14ac:dyDescent="0.25">
      <c r="A805" s="12" t="s">
        <v>3115</v>
      </c>
      <c r="B805" s="12" t="s">
        <v>3116</v>
      </c>
      <c r="C805" s="12" t="s">
        <v>12</v>
      </c>
      <c r="D805" s="12" t="s">
        <v>28</v>
      </c>
      <c r="E805" s="12"/>
      <c r="F805" s="12" t="s">
        <v>3100</v>
      </c>
      <c r="G805" s="12"/>
      <c r="H805" s="12"/>
      <c r="I805" s="12" t="s">
        <v>3117</v>
      </c>
      <c r="J805" s="12" t="s">
        <v>3118</v>
      </c>
      <c r="K805" s="12" t="s">
        <v>3119</v>
      </c>
      <c r="L805" s="12" t="s">
        <v>6369</v>
      </c>
      <c r="M805" s="12" t="str">
        <f>HYPERLINK("https://ceds.ed.gov/cedselementdetails.aspx?termid=9129")</f>
        <v>https://ceds.ed.gov/cedselementdetails.aspx?termid=9129</v>
      </c>
      <c r="N805" s="12" t="str">
        <f>HYPERLINK("https://ceds.ed.gov/elementComment.aspx?elementName=Grade Point Average Given Session &amp;elementID=9129", "Click here to submit comment")</f>
        <v>Click here to submit comment</v>
      </c>
    </row>
    <row r="806" spans="1:14" ht="60" x14ac:dyDescent="0.25">
      <c r="A806" s="12" t="s">
        <v>3120</v>
      </c>
      <c r="B806" s="12" t="s">
        <v>3121</v>
      </c>
      <c r="C806" s="13" t="s">
        <v>6939</v>
      </c>
      <c r="D806" s="12" t="s">
        <v>6549</v>
      </c>
      <c r="E806" s="12"/>
      <c r="F806" s="12"/>
      <c r="G806" s="12"/>
      <c r="H806" s="12"/>
      <c r="I806" s="12" t="s">
        <v>3122</v>
      </c>
      <c r="J806" s="12" t="s">
        <v>3123</v>
      </c>
      <c r="K806" s="12" t="s">
        <v>3124</v>
      </c>
      <c r="L806" s="12" t="s">
        <v>6550</v>
      </c>
      <c r="M806" s="12" t="str">
        <f>HYPERLINK("https://ceds.ed.gov/cedselementdetails.aspx?termid=9123")</f>
        <v>https://ceds.ed.gov/cedselementdetails.aspx?termid=9123</v>
      </c>
      <c r="N806" s="12" t="str">
        <f>HYPERLINK("https://ceds.ed.gov/elementComment.aspx?elementName=Grade Point Average Weighted Indicator &amp;elementID=9123", "Click here to submit comment")</f>
        <v>Click here to submit comment</v>
      </c>
    </row>
    <row r="807" spans="1:14" ht="105" x14ac:dyDescent="0.25">
      <c r="A807" s="12" t="s">
        <v>3125</v>
      </c>
      <c r="B807" s="12" t="s">
        <v>3126</v>
      </c>
      <c r="C807" s="12" t="s">
        <v>12</v>
      </c>
      <c r="D807" s="12" t="s">
        <v>28</v>
      </c>
      <c r="E807" s="12"/>
      <c r="F807" s="12" t="s">
        <v>1554</v>
      </c>
      <c r="G807" s="12"/>
      <c r="H807" s="12"/>
      <c r="I807" s="12" t="s">
        <v>3127</v>
      </c>
      <c r="J807" s="12"/>
      <c r="K807" s="12" t="s">
        <v>3128</v>
      </c>
      <c r="L807" s="12" t="s">
        <v>6369</v>
      </c>
      <c r="M807" s="12" t="str">
        <f>HYPERLINK("https://ceds.ed.gov/cedselementdetails.aspx?termid=9130")</f>
        <v>https://ceds.ed.gov/cedselementdetails.aspx?termid=9130</v>
      </c>
      <c r="N807" s="12" t="str">
        <f>HYPERLINK("https://ceds.ed.gov/elementComment.aspx?elementName=Grade Points Earned Cumulative &amp;elementID=9130", "Click here to submit comment")</f>
        <v>Click here to submit comment</v>
      </c>
    </row>
    <row r="808" spans="1:14" ht="240" x14ac:dyDescent="0.25">
      <c r="A808" s="12" t="s">
        <v>3129</v>
      </c>
      <c r="B808" s="12" t="s">
        <v>3130</v>
      </c>
      <c r="C808" s="12" t="s">
        <v>12</v>
      </c>
      <c r="D808" s="12" t="s">
        <v>6551</v>
      </c>
      <c r="E808" s="12"/>
      <c r="F808" s="12" t="s">
        <v>794</v>
      </c>
      <c r="G808" s="12"/>
      <c r="H808" s="12" t="s">
        <v>3131</v>
      </c>
      <c r="I808" s="12" t="s">
        <v>3132</v>
      </c>
      <c r="J808" s="12"/>
      <c r="K808" s="12" t="s">
        <v>3133</v>
      </c>
      <c r="L808" s="12"/>
      <c r="M808" s="12" t="str">
        <f>HYPERLINK("https://ceds.ed.gov/cedselementdetails.aspx?termid=9609")</f>
        <v>https://ceds.ed.gov/cedselementdetails.aspx?termid=9609</v>
      </c>
      <c r="N808" s="12" t="str">
        <f>HYPERLINK("https://ceds.ed.gov/elementComment.aspx?elementName=Grade Value Qualifier &amp;elementID=9609", "Click here to submit comment")</f>
        <v>Click here to submit comment</v>
      </c>
    </row>
    <row r="809" spans="1:14" ht="390" x14ac:dyDescent="0.25">
      <c r="A809" s="12" t="s">
        <v>3134</v>
      </c>
      <c r="B809" s="12" t="s">
        <v>3135</v>
      </c>
      <c r="C809" s="13" t="s">
        <v>6940</v>
      </c>
      <c r="D809" s="12" t="s">
        <v>225</v>
      </c>
      <c r="E809" s="12"/>
      <c r="F809" s="12"/>
      <c r="G809" s="12"/>
      <c r="H809" s="12"/>
      <c r="I809" s="12" t="s">
        <v>3136</v>
      </c>
      <c r="J809" s="12"/>
      <c r="K809" s="12" t="s">
        <v>3137</v>
      </c>
      <c r="L809" s="12" t="s">
        <v>6369</v>
      </c>
      <c r="M809" s="12" t="str">
        <f>HYPERLINK("https://ceds.ed.gov/cedselementdetails.aspx?termid=9131")</f>
        <v>https://ceds.ed.gov/cedselementdetails.aspx?termid=9131</v>
      </c>
      <c r="N809" s="12" t="str">
        <f>HYPERLINK("https://ceds.ed.gov/elementComment.aspx?elementName=Grades Offered &amp;elementID=9131", "Click here to submit comment")</f>
        <v>Click here to submit comment</v>
      </c>
    </row>
    <row r="810" spans="1:14" ht="195" x14ac:dyDescent="0.25">
      <c r="A810" s="12" t="s">
        <v>3138</v>
      </c>
      <c r="B810" s="12" t="s">
        <v>3139</v>
      </c>
      <c r="C810" s="13" t="s">
        <v>6941</v>
      </c>
      <c r="D810" s="12" t="s">
        <v>33</v>
      </c>
      <c r="E810" s="12"/>
      <c r="F810" s="12"/>
      <c r="G810" s="12"/>
      <c r="H810" s="12" t="s">
        <v>1910</v>
      </c>
      <c r="I810" s="12" t="s">
        <v>3140</v>
      </c>
      <c r="J810" s="12"/>
      <c r="K810" s="12" t="s">
        <v>3141</v>
      </c>
      <c r="L810" s="12" t="s">
        <v>37</v>
      </c>
      <c r="M810" s="12" t="str">
        <f>HYPERLINK("https://ceds.ed.gov/cedselementdetails.aspx?termid=9721")</f>
        <v>https://ceds.ed.gov/cedselementdetails.aspx?termid=9721</v>
      </c>
      <c r="N810" s="12" t="str">
        <f>HYPERLINK("https://ceds.ed.gov/elementComment.aspx?elementName=Graduate Assistant IPEDS Occupation Category &amp;elementID=9721", "Click here to submit comment")</f>
        <v>Click here to submit comment</v>
      </c>
    </row>
    <row r="811" spans="1:14" ht="150" x14ac:dyDescent="0.25">
      <c r="A811" s="12" t="s">
        <v>3142</v>
      </c>
      <c r="B811" s="12" t="s">
        <v>3143</v>
      </c>
      <c r="C811" s="12" t="s">
        <v>6364</v>
      </c>
      <c r="D811" s="12" t="s">
        <v>33</v>
      </c>
      <c r="E811" s="12"/>
      <c r="F811" s="12"/>
      <c r="G811" s="12"/>
      <c r="H811" s="12" t="s">
        <v>369</v>
      </c>
      <c r="I811" s="12" t="s">
        <v>3144</v>
      </c>
      <c r="J811" s="12"/>
      <c r="K811" s="12" t="s">
        <v>3145</v>
      </c>
      <c r="L811" s="12" t="s">
        <v>37</v>
      </c>
      <c r="M811" s="12" t="str">
        <f>HYPERLINK("https://ceds.ed.gov/cedselementdetails.aspx?termid=9720")</f>
        <v>https://ceds.ed.gov/cedselementdetails.aspx?termid=9720</v>
      </c>
      <c r="N811" s="12" t="str">
        <f>HYPERLINK("https://ceds.ed.gov/elementComment.aspx?elementName=Graduate Assistant Status &amp;elementID=9720", "Click here to submit comment")</f>
        <v>Click here to submit comment</v>
      </c>
    </row>
    <row r="812" spans="1:14" ht="105" x14ac:dyDescent="0.25">
      <c r="A812" s="12" t="s">
        <v>3146</v>
      </c>
      <c r="B812" s="12" t="s">
        <v>3147</v>
      </c>
      <c r="C812" s="13" t="s">
        <v>6942</v>
      </c>
      <c r="D812" s="12" t="s">
        <v>2410</v>
      </c>
      <c r="E812" s="12"/>
      <c r="F812" s="12"/>
      <c r="G812" s="12"/>
      <c r="H812" s="12"/>
      <c r="I812" s="12" t="s">
        <v>3148</v>
      </c>
      <c r="J812" s="12"/>
      <c r="K812" s="12" t="s">
        <v>3149</v>
      </c>
      <c r="L812" s="12"/>
      <c r="M812" s="12" t="str">
        <f>HYPERLINK("https://ceds.ed.gov/cedselementdetails.aspx?termid=10324")</f>
        <v>https://ceds.ed.gov/cedselementdetails.aspx?termid=10324</v>
      </c>
      <c r="N812" s="12" t="str">
        <f>HYPERLINK("https://ceds.ed.gov/elementComment.aspx?elementName=Graduate or Doctoral Exam Results Status &amp;elementID=10324", "Click here to submit comment")</f>
        <v>Click here to submit comment</v>
      </c>
    </row>
    <row r="813" spans="1:14" ht="45" x14ac:dyDescent="0.25">
      <c r="A813" s="12" t="s">
        <v>3150</v>
      </c>
      <c r="B813" s="12" t="s">
        <v>3151</v>
      </c>
      <c r="C813" s="12" t="s">
        <v>12</v>
      </c>
      <c r="D813" s="12" t="s">
        <v>28</v>
      </c>
      <c r="E813" s="12"/>
      <c r="F813" s="12" t="s">
        <v>1861</v>
      </c>
      <c r="G813" s="12"/>
      <c r="H813" s="12"/>
      <c r="I813" s="12" t="s">
        <v>3152</v>
      </c>
      <c r="J813" s="12"/>
      <c r="K813" s="12" t="s">
        <v>3153</v>
      </c>
      <c r="L813" s="12"/>
      <c r="M813" s="12" t="str">
        <f>HYPERLINK("https://ceds.ed.gov/cedselementdetails.aspx?termid=9132")</f>
        <v>https://ceds.ed.gov/cedselementdetails.aspx?termid=9132</v>
      </c>
      <c r="N813" s="12" t="str">
        <f>HYPERLINK("https://ceds.ed.gov/elementComment.aspx?elementName=Graduation Rate Survey Cohort Year &amp;elementID=9132", "Click here to submit comment")</f>
        <v>Click here to submit comment</v>
      </c>
    </row>
    <row r="814" spans="1:14" ht="75" x14ac:dyDescent="0.25">
      <c r="A814" s="12" t="s">
        <v>3154</v>
      </c>
      <c r="B814" s="12" t="s">
        <v>3155</v>
      </c>
      <c r="C814" s="12" t="s">
        <v>6364</v>
      </c>
      <c r="D814" s="12" t="s">
        <v>28</v>
      </c>
      <c r="E814" s="12"/>
      <c r="F814" s="12"/>
      <c r="G814" s="12"/>
      <c r="H814" s="12"/>
      <c r="I814" s="12" t="s">
        <v>3156</v>
      </c>
      <c r="J814" s="12"/>
      <c r="K814" s="12" t="s">
        <v>3157</v>
      </c>
      <c r="L814" s="12" t="s">
        <v>3158</v>
      </c>
      <c r="M814" s="12" t="str">
        <f>HYPERLINK("https://ceds.ed.gov/cedselementdetails.aspx?termid=9133")</f>
        <v>https://ceds.ed.gov/cedselementdetails.aspx?termid=9133</v>
      </c>
      <c r="N814" s="12" t="str">
        <f>HYPERLINK("https://ceds.ed.gov/elementComment.aspx?elementName=Graduation Rate Survey Indicator &amp;elementID=9133", "Click here to submit comment")</f>
        <v>Click here to submit comment</v>
      </c>
    </row>
    <row r="815" spans="1:14" ht="120" x14ac:dyDescent="0.25">
      <c r="A815" s="12" t="s">
        <v>3159</v>
      </c>
      <c r="B815" s="12" t="s">
        <v>3160</v>
      </c>
      <c r="C815" s="13" t="s">
        <v>6943</v>
      </c>
      <c r="D815" s="12" t="s">
        <v>6383</v>
      </c>
      <c r="E815" s="12"/>
      <c r="F815" s="12"/>
      <c r="G815" s="12"/>
      <c r="H815" s="12"/>
      <c r="I815" s="12" t="s">
        <v>3161</v>
      </c>
      <c r="J815" s="12"/>
      <c r="K815" s="12" t="s">
        <v>3162</v>
      </c>
      <c r="L815" s="12" t="s">
        <v>222</v>
      </c>
      <c r="M815" s="12" t="str">
        <f>HYPERLINK("https://ceds.ed.gov/cedselementdetails.aspx?termid=9134")</f>
        <v>https://ceds.ed.gov/cedselementdetails.aspx?termid=9134</v>
      </c>
      <c r="N815" s="12" t="str">
        <f>HYPERLINK("https://ceds.ed.gov/elementComment.aspx?elementName=Gun Free Schools Act Reporting Status &amp;elementID=9134", "Click here to submit comment")</f>
        <v>Click here to submit comment</v>
      </c>
    </row>
    <row r="816" spans="1:14" ht="60" x14ac:dyDescent="0.25">
      <c r="A816" s="12" t="s">
        <v>3163</v>
      </c>
      <c r="B816" s="12" t="s">
        <v>3164</v>
      </c>
      <c r="C816" s="12" t="s">
        <v>6364</v>
      </c>
      <c r="D816" s="12" t="s">
        <v>1563</v>
      </c>
      <c r="E816" s="12"/>
      <c r="F816" s="12"/>
      <c r="G816" s="12"/>
      <c r="H816" s="12"/>
      <c r="I816" s="12" t="s">
        <v>3165</v>
      </c>
      <c r="J816" s="12"/>
      <c r="K816" s="12" t="s">
        <v>3166</v>
      </c>
      <c r="L816" s="12" t="s">
        <v>4</v>
      </c>
      <c r="M816" s="12" t="str">
        <f>HYPERLINK("https://ceds.ed.gov/cedselementdetails.aspx?termid=9135")</f>
        <v>https://ceds.ed.gov/cedselementdetails.aspx?termid=9135</v>
      </c>
      <c r="N816" s="12" t="str">
        <f>HYPERLINK("https://ceds.ed.gov/elementComment.aspx?elementName=Harassment or Bullying Policy Status &amp;elementID=9135", "Click here to submit comment")</f>
        <v>Click here to submit comment</v>
      </c>
    </row>
    <row r="817" spans="1:14" ht="45" x14ac:dyDescent="0.25">
      <c r="A817" s="12" t="s">
        <v>3167</v>
      </c>
      <c r="B817" s="12" t="s">
        <v>3168</v>
      </c>
      <c r="C817" s="12" t="s">
        <v>12</v>
      </c>
      <c r="D817" s="12" t="s">
        <v>6552</v>
      </c>
      <c r="E817" s="12"/>
      <c r="F817" s="12" t="s">
        <v>68</v>
      </c>
      <c r="G817" s="12"/>
      <c r="H817" s="12"/>
      <c r="I817" s="12" t="s">
        <v>3169</v>
      </c>
      <c r="J817" s="12"/>
      <c r="K817" s="12" t="s">
        <v>3170</v>
      </c>
      <c r="L817" s="12"/>
      <c r="M817" s="12" t="str">
        <f>HYPERLINK("https://ceds.ed.gov/cedselementdetails.aspx?termid=10325")</f>
        <v>https://ceds.ed.gov/cedselementdetails.aspx?termid=10325</v>
      </c>
      <c r="N817" s="12" t="str">
        <f>HYPERLINK("https://ceds.ed.gov/elementComment.aspx?elementName=Health Screening Equipment Used &amp;elementID=10325", "Click here to submit comment")</f>
        <v>Click here to submit comment</v>
      </c>
    </row>
    <row r="818" spans="1:14" ht="45" x14ac:dyDescent="0.25">
      <c r="A818" s="12" t="s">
        <v>3171</v>
      </c>
      <c r="B818" s="12" t="s">
        <v>3172</v>
      </c>
      <c r="C818" s="12" t="s">
        <v>12</v>
      </c>
      <c r="D818" s="12" t="s">
        <v>6552</v>
      </c>
      <c r="E818" s="12"/>
      <c r="F818" s="12" t="s">
        <v>327</v>
      </c>
      <c r="G818" s="12"/>
      <c r="H818" s="12"/>
      <c r="I818" s="12" t="s">
        <v>3173</v>
      </c>
      <c r="J818" s="12"/>
      <c r="K818" s="12" t="s">
        <v>3174</v>
      </c>
      <c r="L818" s="12"/>
      <c r="M818" s="12" t="str">
        <f>HYPERLINK("https://ceds.ed.gov/cedselementdetails.aspx?termid=10326")</f>
        <v>https://ceds.ed.gov/cedselementdetails.aspx?termid=10326</v>
      </c>
      <c r="N818" s="12" t="str">
        <f>HYPERLINK("https://ceds.ed.gov/elementComment.aspx?elementName=Health Screening Follow-up Recommendation &amp;elementID=10326", "Click here to submit comment")</f>
        <v>Click here to submit comment</v>
      </c>
    </row>
    <row r="819" spans="1:14" ht="75" x14ac:dyDescent="0.25">
      <c r="A819" s="12" t="s">
        <v>3175</v>
      </c>
      <c r="B819" s="12" t="s">
        <v>3176</v>
      </c>
      <c r="C819" s="12" t="s">
        <v>12</v>
      </c>
      <c r="D819" s="12" t="s">
        <v>6553</v>
      </c>
      <c r="E819" s="12"/>
      <c r="F819" s="12" t="s">
        <v>73</v>
      </c>
      <c r="G819" s="12"/>
      <c r="H819" s="12"/>
      <c r="I819" s="12" t="s">
        <v>3177</v>
      </c>
      <c r="J819" s="12"/>
      <c r="K819" s="12" t="s">
        <v>3178</v>
      </c>
      <c r="L819" s="12"/>
      <c r="M819" s="12" t="str">
        <f>HYPERLINK("https://ceds.ed.gov/cedselementdetails.aspx?termid=9681")</f>
        <v>https://ceds.ed.gov/cedselementdetails.aspx?termid=9681</v>
      </c>
      <c r="N819" s="12" t="str">
        <f>HYPERLINK("https://ceds.ed.gov/elementComment.aspx?elementName=Hearing Screening Date &amp;elementID=9681", "Click here to submit comment")</f>
        <v>Click here to submit comment</v>
      </c>
    </row>
    <row r="820" spans="1:14" ht="75" x14ac:dyDescent="0.25">
      <c r="A820" s="12" t="s">
        <v>3179</v>
      </c>
      <c r="B820" s="12" t="s">
        <v>3180</v>
      </c>
      <c r="C820" s="13" t="s">
        <v>6944</v>
      </c>
      <c r="D820" s="12" t="s">
        <v>6553</v>
      </c>
      <c r="E820" s="12"/>
      <c r="F820" s="12"/>
      <c r="G820" s="12"/>
      <c r="H820" s="12"/>
      <c r="I820" s="12" t="s">
        <v>3181</v>
      </c>
      <c r="J820" s="12"/>
      <c r="K820" s="12" t="s">
        <v>3182</v>
      </c>
      <c r="L820" s="12" t="s">
        <v>1759</v>
      </c>
      <c r="M820" s="12" t="str">
        <f>HYPERLINK("https://ceds.ed.gov/cedselementdetails.aspx?termid=9309")</f>
        <v>https://ceds.ed.gov/cedselementdetails.aspx?termid=9309</v>
      </c>
      <c r="N820" s="12" t="str">
        <f>HYPERLINK("https://ceds.ed.gov/elementComment.aspx?elementName=Hearing Screening Status &amp;elementID=9309", "Click here to submit comment")</f>
        <v>Click here to submit comment</v>
      </c>
    </row>
    <row r="821" spans="1:14" ht="210" x14ac:dyDescent="0.25">
      <c r="A821" s="12" t="s">
        <v>3183</v>
      </c>
      <c r="B821" s="12" t="s">
        <v>3184</v>
      </c>
      <c r="C821" s="12" t="s">
        <v>6364</v>
      </c>
      <c r="D821" s="12" t="s">
        <v>6554</v>
      </c>
      <c r="E821" s="12"/>
      <c r="F821" s="12"/>
      <c r="G821" s="12"/>
      <c r="H821" s="12"/>
      <c r="I821" s="12" t="s">
        <v>3185</v>
      </c>
      <c r="J821" s="12"/>
      <c r="K821" s="12" t="s">
        <v>3186</v>
      </c>
      <c r="L821" s="12" t="s">
        <v>6429</v>
      </c>
      <c r="M821" s="12" t="str">
        <f>HYPERLINK("https://ceds.ed.gov/cedselementdetails.aspx?termid=9137")</f>
        <v>https://ceds.ed.gov/cedselementdetails.aspx?termid=9137</v>
      </c>
      <c r="N821" s="12" t="str">
        <f>HYPERLINK("https://ceds.ed.gov/elementComment.aspx?elementName=High School Course Requirement &amp;elementID=9137", "Click here to submit comment")</f>
        <v>Click here to submit comment</v>
      </c>
    </row>
    <row r="822" spans="1:14" ht="210" x14ac:dyDescent="0.25">
      <c r="A822" s="12" t="s">
        <v>3187</v>
      </c>
      <c r="B822" s="12" t="s">
        <v>3188</v>
      </c>
      <c r="C822" s="13" t="s">
        <v>6945</v>
      </c>
      <c r="D822" s="12" t="s">
        <v>6555</v>
      </c>
      <c r="E822" s="12"/>
      <c r="F822" s="12"/>
      <c r="G822" s="12"/>
      <c r="H822" s="12"/>
      <c r="I822" s="12" t="s">
        <v>3189</v>
      </c>
      <c r="J822" s="12"/>
      <c r="K822" s="12" t="s">
        <v>3190</v>
      </c>
      <c r="L822" s="12"/>
      <c r="M822" s="12" t="str">
        <f>HYPERLINK("https://ceds.ed.gov/cedselementdetails.aspx?termid=9689")</f>
        <v>https://ceds.ed.gov/cedselementdetails.aspx?termid=9689</v>
      </c>
      <c r="N822" s="12" t="str">
        <f>HYPERLINK("https://ceds.ed.gov/elementComment.aspx?elementName=High School Diploma Distinction Type &amp;elementID=9689", "Click here to submit comment")</f>
        <v>Click here to submit comment</v>
      </c>
    </row>
    <row r="823" spans="1:14" ht="285" x14ac:dyDescent="0.25">
      <c r="A823" s="12" t="s">
        <v>3191</v>
      </c>
      <c r="B823" s="12" t="s">
        <v>3192</v>
      </c>
      <c r="C823" s="13" t="s">
        <v>6946</v>
      </c>
      <c r="D823" s="12" t="s">
        <v>6556</v>
      </c>
      <c r="E823" s="12"/>
      <c r="F823" s="12"/>
      <c r="G823" s="12"/>
      <c r="H823" s="12"/>
      <c r="I823" s="12" t="s">
        <v>3193</v>
      </c>
      <c r="J823" s="12"/>
      <c r="K823" s="12" t="s">
        <v>3194</v>
      </c>
      <c r="L823" s="12" t="s">
        <v>6557</v>
      </c>
      <c r="M823" s="12" t="str">
        <f>HYPERLINK("https://ceds.ed.gov/cedselementdetails.aspx?termid=9138")</f>
        <v>https://ceds.ed.gov/cedselementdetails.aspx?termid=9138</v>
      </c>
      <c r="N823" s="12" t="str">
        <f>HYPERLINK("https://ceds.ed.gov/elementComment.aspx?elementName=High School Diploma Type &amp;elementID=9138", "Click here to submit comment")</f>
        <v>Click here to submit comment</v>
      </c>
    </row>
    <row r="824" spans="1:14" ht="120" x14ac:dyDescent="0.25">
      <c r="A824" s="12" t="s">
        <v>3195</v>
      </c>
      <c r="B824" s="12" t="s">
        <v>3196</v>
      </c>
      <c r="C824" s="13" t="s">
        <v>6947</v>
      </c>
      <c r="D824" s="12" t="s">
        <v>6383</v>
      </c>
      <c r="E824" s="12"/>
      <c r="F824" s="12"/>
      <c r="G824" s="12"/>
      <c r="H824" s="12"/>
      <c r="I824" s="12" t="s">
        <v>3197</v>
      </c>
      <c r="J824" s="12"/>
      <c r="K824" s="12" t="s">
        <v>3198</v>
      </c>
      <c r="L824" s="12" t="s">
        <v>222</v>
      </c>
      <c r="M824" s="12" t="str">
        <f>HYPERLINK("https://ceds.ed.gov/cedselementdetails.aspx?termid=9140")</f>
        <v>https://ceds.ed.gov/cedselementdetails.aspx?termid=9140</v>
      </c>
      <c r="N824" s="12" t="str">
        <f>HYPERLINK("https://ceds.ed.gov/elementComment.aspx?elementName=High School Graduation Rate Indicator Status &amp;elementID=9140", "Click here to submit comment")</f>
        <v>Click here to submit comment</v>
      </c>
    </row>
    <row r="825" spans="1:14" ht="90" x14ac:dyDescent="0.25">
      <c r="A825" s="18" t="s">
        <v>3199</v>
      </c>
      <c r="B825" s="18" t="s">
        <v>3200</v>
      </c>
      <c r="C825" s="18" t="s">
        <v>12</v>
      </c>
      <c r="D825" s="18" t="s">
        <v>246</v>
      </c>
      <c r="E825" s="18"/>
      <c r="F825" s="18" t="s">
        <v>789</v>
      </c>
      <c r="G825" s="18"/>
      <c r="H825" s="12" t="s">
        <v>3201</v>
      </c>
      <c r="I825" s="18" t="s">
        <v>3203</v>
      </c>
      <c r="J825" s="18"/>
      <c r="K825" s="18" t="s">
        <v>3204</v>
      </c>
      <c r="L825" s="18" t="s">
        <v>250</v>
      </c>
      <c r="M825" s="18" t="str">
        <f>HYPERLINK("https://ceds.ed.gov/cedselementdetails.aspx?termid=9740")</f>
        <v>https://ceds.ed.gov/cedselementdetails.aspx?termid=9740</v>
      </c>
      <c r="N825" s="18" t="str">
        <f>HYPERLINK("https://ceds.ed.gov/elementComment.aspx?elementName=High School Percentile &amp;elementID=9740", "Click here to submit comment")</f>
        <v>Click here to submit comment</v>
      </c>
    </row>
    <row r="826" spans="1:14" ht="45" x14ac:dyDescent="0.25">
      <c r="A826" s="18"/>
      <c r="B826" s="18"/>
      <c r="C826" s="18"/>
      <c r="D826" s="18"/>
      <c r="E826" s="18"/>
      <c r="F826" s="18"/>
      <c r="G826" s="18"/>
      <c r="H826" s="12" t="s">
        <v>3202</v>
      </c>
      <c r="I826" s="18"/>
      <c r="J826" s="18"/>
      <c r="K826" s="18"/>
      <c r="L826" s="18"/>
      <c r="M826" s="18"/>
      <c r="N826" s="18"/>
    </row>
    <row r="827" spans="1:14" ht="60" x14ac:dyDescent="0.25">
      <c r="A827" s="12" t="s">
        <v>3205</v>
      </c>
      <c r="B827" s="12" t="s">
        <v>3206</v>
      </c>
      <c r="C827" s="12" t="s">
        <v>12</v>
      </c>
      <c r="D827" s="12" t="s">
        <v>6558</v>
      </c>
      <c r="E827" s="12"/>
      <c r="F827" s="12" t="s">
        <v>317</v>
      </c>
      <c r="G827" s="12"/>
      <c r="H827" s="12"/>
      <c r="I827" s="12" t="s">
        <v>3207</v>
      </c>
      <c r="J827" s="12"/>
      <c r="K827" s="12" t="s">
        <v>3208</v>
      </c>
      <c r="L827" s="12" t="s">
        <v>6559</v>
      </c>
      <c r="M827" s="12" t="str">
        <f>HYPERLINK("https://ceds.ed.gov/cedselementdetails.aspx?termid=9041")</f>
        <v>https://ceds.ed.gov/cedselementdetails.aspx?termid=9041</v>
      </c>
      <c r="N827" s="12" t="str">
        <f>HYPERLINK("https://ceds.ed.gov/elementComment.aspx?elementName=High School Student Class Rank &amp;elementID=9041", "Click here to submit comment")</f>
        <v>Click here to submit comment</v>
      </c>
    </row>
    <row r="828" spans="1:14" ht="120" x14ac:dyDescent="0.25">
      <c r="A828" s="12" t="s">
        <v>3209</v>
      </c>
      <c r="B828" s="12" t="s">
        <v>3210</v>
      </c>
      <c r="C828" s="13" t="s">
        <v>6948</v>
      </c>
      <c r="D828" s="12" t="s">
        <v>6516</v>
      </c>
      <c r="E828" s="12"/>
      <c r="F828" s="12"/>
      <c r="G828" s="12"/>
      <c r="H828" s="12"/>
      <c r="I828" s="12" t="s">
        <v>3211</v>
      </c>
      <c r="J828" s="12"/>
      <c r="K828" s="12" t="s">
        <v>3212</v>
      </c>
      <c r="L828" s="12" t="s">
        <v>205</v>
      </c>
      <c r="M828" s="12" t="str">
        <f>HYPERLINK("https://ceds.ed.gov/cedselementdetails.aspx?termid=9817")</f>
        <v>https://ceds.ed.gov/cedselementdetails.aspx?termid=9817</v>
      </c>
      <c r="N828" s="12" t="str">
        <f>HYPERLINK("https://ceds.ed.gov/elementComment.aspx?elementName=Higher Education Institution Accreditation Status &amp;elementID=9817", "Click here to submit comment")</f>
        <v>Click here to submit comment</v>
      </c>
    </row>
    <row r="829" spans="1:14" ht="409.5" x14ac:dyDescent="0.25">
      <c r="A829" s="12" t="s">
        <v>3213</v>
      </c>
      <c r="B829" s="12" t="s">
        <v>3214</v>
      </c>
      <c r="C829" s="13" t="s">
        <v>6786</v>
      </c>
      <c r="D829" s="12" t="s">
        <v>6560</v>
      </c>
      <c r="E829" s="12"/>
      <c r="F829" s="12"/>
      <c r="G829" s="12"/>
      <c r="H829" s="12"/>
      <c r="I829" s="12" t="s">
        <v>3215</v>
      </c>
      <c r="J829" s="12"/>
      <c r="K829" s="12" t="s">
        <v>3216</v>
      </c>
      <c r="L829" s="12" t="s">
        <v>6561</v>
      </c>
      <c r="M829" s="12" t="str">
        <f>HYPERLINK("https://ceds.ed.gov/cedselementdetails.aspx?termid=9141")</f>
        <v>https://ceds.ed.gov/cedselementdetails.aspx?termid=9141</v>
      </c>
      <c r="N829" s="12" t="str">
        <f>HYPERLINK("https://ceds.ed.gov/elementComment.aspx?elementName=Highest Level of Education Completed &amp;elementID=9141", "Click here to submit comment")</f>
        <v>Click here to submit comment</v>
      </c>
    </row>
    <row r="830" spans="1:14" ht="60" x14ac:dyDescent="0.25">
      <c r="A830" s="12" t="s">
        <v>3217</v>
      </c>
      <c r="B830" s="12" t="s">
        <v>3218</v>
      </c>
      <c r="C830" s="13" t="s">
        <v>6949</v>
      </c>
      <c r="D830" s="12" t="s">
        <v>3219</v>
      </c>
      <c r="E830" s="12"/>
      <c r="F830" s="12"/>
      <c r="G830" s="12"/>
      <c r="H830" s="12"/>
      <c r="I830" s="12" t="s">
        <v>3220</v>
      </c>
      <c r="J830" s="12"/>
      <c r="K830" s="12" t="s">
        <v>3221</v>
      </c>
      <c r="L830" s="12" t="s">
        <v>222</v>
      </c>
      <c r="M830" s="12" t="str">
        <f>HYPERLINK("https://ceds.ed.gov/cedselementdetails.aspx?termid=9142")</f>
        <v>https://ceds.ed.gov/cedselementdetails.aspx?termid=9142</v>
      </c>
      <c r="N830" s="12" t="str">
        <f>HYPERLINK("https://ceds.ed.gov/elementComment.aspx?elementName=Highly Qualified Teacher Indicator &amp;elementID=9142", "Click here to submit comment")</f>
        <v>Click here to submit comment</v>
      </c>
    </row>
    <row r="831" spans="1:14" ht="210" x14ac:dyDescent="0.25">
      <c r="A831" s="12" t="s">
        <v>3222</v>
      </c>
      <c r="B831" s="12" t="s">
        <v>3223</v>
      </c>
      <c r="C831" s="12" t="s">
        <v>12</v>
      </c>
      <c r="D831" s="12" t="s">
        <v>6562</v>
      </c>
      <c r="E831" s="12"/>
      <c r="F831" s="12" t="s">
        <v>73</v>
      </c>
      <c r="G831" s="12"/>
      <c r="H831" s="12" t="s">
        <v>3224</v>
      </c>
      <c r="I831" s="12" t="s">
        <v>3225</v>
      </c>
      <c r="J831" s="12"/>
      <c r="K831" s="12" t="s">
        <v>3226</v>
      </c>
      <c r="L831" s="12" t="s">
        <v>6563</v>
      </c>
      <c r="M831" s="12" t="str">
        <f>HYPERLINK("https://ceds.ed.gov/cedselementdetails.aspx?termid=9143")</f>
        <v>https://ceds.ed.gov/cedselementdetails.aspx?termid=9143</v>
      </c>
      <c r="N831" s="12" t="str">
        <f>HYPERLINK("https://ceds.ed.gov/elementComment.aspx?elementName=Hire Date &amp;elementID=9143", "Click here to submit comment")</f>
        <v>Click here to submit comment</v>
      </c>
    </row>
    <row r="832" spans="1:14" ht="145.5" customHeight="1" x14ac:dyDescent="0.25">
      <c r="A832" s="18" t="s">
        <v>3227</v>
      </c>
      <c r="B832" s="18" t="s">
        <v>3228</v>
      </c>
      <c r="C832" s="20" t="s">
        <v>6749</v>
      </c>
      <c r="D832" s="18" t="s">
        <v>6389</v>
      </c>
      <c r="E832" s="18"/>
      <c r="F832" s="18"/>
      <c r="G832" s="18"/>
      <c r="H832" s="12" t="s">
        <v>361</v>
      </c>
      <c r="I832" s="18" t="s">
        <v>3229</v>
      </c>
      <c r="J832" s="18"/>
      <c r="K832" s="18" t="s">
        <v>3230</v>
      </c>
      <c r="L832" s="18" t="s">
        <v>6390</v>
      </c>
      <c r="M832" s="18" t="str">
        <f>HYPERLINK("https://ceds.ed.gov/cedselementdetails.aspx?termid=9144")</f>
        <v>https://ceds.ed.gov/cedselementdetails.aspx?termid=9144</v>
      </c>
      <c r="N832" s="18" t="str">
        <f>HYPERLINK("https://ceds.ed.gov/elementComment.aspx?elementName=Hispanic or Latino Ethnicity &amp;elementID=9144", "Click here to submit comment")</f>
        <v>Click here to submit comment</v>
      </c>
    </row>
    <row r="833" spans="1:14" x14ac:dyDescent="0.25">
      <c r="A833" s="18"/>
      <c r="B833" s="18"/>
      <c r="C833" s="18"/>
      <c r="D833" s="18"/>
      <c r="E833" s="18"/>
      <c r="F833" s="18"/>
      <c r="G833" s="18"/>
      <c r="H833" s="12"/>
      <c r="I833" s="18"/>
      <c r="J833" s="18"/>
      <c r="K833" s="18"/>
      <c r="L833" s="18"/>
      <c r="M833" s="18"/>
      <c r="N833" s="18"/>
    </row>
    <row r="834" spans="1:14" x14ac:dyDescent="0.25">
      <c r="A834" s="18"/>
      <c r="B834" s="18"/>
      <c r="C834" s="18"/>
      <c r="D834" s="18"/>
      <c r="E834" s="18"/>
      <c r="F834" s="18"/>
      <c r="G834" s="18"/>
      <c r="H834" s="12" t="s">
        <v>362</v>
      </c>
      <c r="I834" s="18"/>
      <c r="J834" s="18"/>
      <c r="K834" s="18"/>
      <c r="L834" s="18"/>
      <c r="M834" s="18"/>
      <c r="N834" s="18"/>
    </row>
    <row r="835" spans="1:14" ht="30" x14ac:dyDescent="0.25">
      <c r="A835" s="18"/>
      <c r="B835" s="18"/>
      <c r="C835" s="18"/>
      <c r="D835" s="18"/>
      <c r="E835" s="18"/>
      <c r="F835" s="18"/>
      <c r="G835" s="18"/>
      <c r="H835" s="12" t="s">
        <v>363</v>
      </c>
      <c r="I835" s="18"/>
      <c r="J835" s="18"/>
      <c r="K835" s="18"/>
      <c r="L835" s="18"/>
      <c r="M835" s="18"/>
      <c r="N835" s="18"/>
    </row>
    <row r="836" spans="1:14" x14ac:dyDescent="0.25">
      <c r="A836" s="18"/>
      <c r="B836" s="18"/>
      <c r="C836" s="18"/>
      <c r="D836" s="18"/>
      <c r="E836" s="18"/>
      <c r="F836" s="18"/>
      <c r="G836" s="18"/>
      <c r="H836" s="12" t="s">
        <v>364</v>
      </c>
      <c r="I836" s="18"/>
      <c r="J836" s="18"/>
      <c r="K836" s="18"/>
      <c r="L836" s="18"/>
      <c r="M836" s="18"/>
      <c r="N836" s="18"/>
    </row>
    <row r="837" spans="1:14" ht="75" x14ac:dyDescent="0.25">
      <c r="A837" s="12" t="s">
        <v>3231</v>
      </c>
      <c r="B837" s="12" t="s">
        <v>3232</v>
      </c>
      <c r="C837" s="13" t="s">
        <v>6950</v>
      </c>
      <c r="D837" s="12" t="s">
        <v>3233</v>
      </c>
      <c r="E837" s="12"/>
      <c r="F837" s="12"/>
      <c r="G837" s="12"/>
      <c r="H837" s="12"/>
      <c r="I837" s="12" t="s">
        <v>3234</v>
      </c>
      <c r="J837" s="12"/>
      <c r="K837" s="12" t="s">
        <v>3235</v>
      </c>
      <c r="L837" s="12" t="s">
        <v>222</v>
      </c>
      <c r="M837" s="12" t="str">
        <f>HYPERLINK("https://ceds.ed.gov/cedselementdetails.aspx?termid=9146")</f>
        <v>https://ceds.ed.gov/cedselementdetails.aspx?termid=9146</v>
      </c>
      <c r="N837" s="12" t="str">
        <f>HYPERLINK("https://ceds.ed.gov/elementComment.aspx?elementName=Homeless Primary Nighttime Residence &amp;elementID=9146", "Click here to submit comment")</f>
        <v>Click here to submit comment</v>
      </c>
    </row>
    <row r="838" spans="1:14" ht="45" x14ac:dyDescent="0.25">
      <c r="A838" s="12" t="s">
        <v>3236</v>
      </c>
      <c r="B838" s="12" t="s">
        <v>3237</v>
      </c>
      <c r="C838" s="12" t="s">
        <v>6364</v>
      </c>
      <c r="D838" s="12" t="s">
        <v>3233</v>
      </c>
      <c r="E838" s="12"/>
      <c r="F838" s="12"/>
      <c r="G838" s="12"/>
      <c r="H838" s="12"/>
      <c r="I838" s="12" t="s">
        <v>3238</v>
      </c>
      <c r="J838" s="12"/>
      <c r="K838" s="12" t="s">
        <v>3239</v>
      </c>
      <c r="L838" s="12"/>
      <c r="M838" s="12" t="str">
        <f>HYPERLINK("https://ceds.ed.gov/cedselementdetails.aspx?termid=9147")</f>
        <v>https://ceds.ed.gov/cedselementdetails.aspx?termid=9147</v>
      </c>
      <c r="N838" s="12" t="str">
        <f>HYPERLINK("https://ceds.ed.gov/elementComment.aspx?elementName=Homeless Serviced Indicator &amp;elementID=9147", "Click here to submit comment")</f>
        <v>Click here to submit comment</v>
      </c>
    </row>
    <row r="839" spans="1:14" ht="45" x14ac:dyDescent="0.25">
      <c r="A839" s="12" t="s">
        <v>3240</v>
      </c>
      <c r="B839" s="12" t="s">
        <v>3241</v>
      </c>
      <c r="C839" s="12" t="s">
        <v>6364</v>
      </c>
      <c r="D839" s="12" t="s">
        <v>3233</v>
      </c>
      <c r="E839" s="12"/>
      <c r="F839" s="12"/>
      <c r="G839" s="12"/>
      <c r="H839" s="12"/>
      <c r="I839" s="12" t="s">
        <v>3242</v>
      </c>
      <c r="J839" s="12"/>
      <c r="K839" s="12" t="s">
        <v>3243</v>
      </c>
      <c r="L839" s="12" t="s">
        <v>222</v>
      </c>
      <c r="M839" s="12" t="str">
        <f>HYPERLINK("https://ceds.ed.gov/cedselementdetails.aspx?termid=9148")</f>
        <v>https://ceds.ed.gov/cedselementdetails.aspx?termid=9148</v>
      </c>
      <c r="N839" s="12" t="str">
        <f>HYPERLINK("https://ceds.ed.gov/elementComment.aspx?elementName=Homeless Unaccompanied Youth Status &amp;elementID=9148", "Click here to submit comment")</f>
        <v>Click here to submit comment</v>
      </c>
    </row>
    <row r="840" spans="1:14" ht="409.5" x14ac:dyDescent="0.25">
      <c r="A840" s="12" t="s">
        <v>3244</v>
      </c>
      <c r="B840" s="12" t="s">
        <v>3245</v>
      </c>
      <c r="C840" s="12" t="s">
        <v>6364</v>
      </c>
      <c r="D840" s="12" t="s">
        <v>6564</v>
      </c>
      <c r="E840" s="12"/>
      <c r="F840" s="12"/>
      <c r="G840" s="12"/>
      <c r="H840" s="12"/>
      <c r="I840" s="12" t="s">
        <v>3246</v>
      </c>
      <c r="J840" s="12"/>
      <c r="K840" s="12" t="s">
        <v>3247</v>
      </c>
      <c r="L840" s="12" t="s">
        <v>6565</v>
      </c>
      <c r="M840" s="12" t="str">
        <f>HYPERLINK("https://ceds.ed.gov/cedselementdetails.aspx?termid=9149")</f>
        <v>https://ceds.ed.gov/cedselementdetails.aspx?termid=9149</v>
      </c>
      <c r="N840" s="12" t="str">
        <f>HYPERLINK("https://ceds.ed.gov/elementComment.aspx?elementName=Homelessness Status &amp;elementID=9149", "Click here to submit comment")</f>
        <v>Click here to submit comment</v>
      </c>
    </row>
    <row r="841" spans="1:14" ht="45" x14ac:dyDescent="0.25">
      <c r="A841" s="12" t="s">
        <v>3248</v>
      </c>
      <c r="B841" s="12" t="s">
        <v>3249</v>
      </c>
      <c r="C841" s="12" t="s">
        <v>12</v>
      </c>
      <c r="D841" s="12" t="s">
        <v>28</v>
      </c>
      <c r="E841" s="12"/>
      <c r="F841" s="12" t="s">
        <v>22</v>
      </c>
      <c r="G841" s="12"/>
      <c r="H841" s="12"/>
      <c r="I841" s="12" t="s">
        <v>3250</v>
      </c>
      <c r="J841" s="12"/>
      <c r="K841" s="12" t="s">
        <v>3251</v>
      </c>
      <c r="L841" s="12" t="s">
        <v>6369</v>
      </c>
      <c r="M841" s="12" t="str">
        <f>HYPERLINK("https://ceds.ed.gov/cedselementdetails.aspx?termid=9150")</f>
        <v>https://ceds.ed.gov/cedselementdetails.aspx?termid=9150</v>
      </c>
      <c r="N841" s="12" t="str">
        <f>HYPERLINK("https://ceds.ed.gov/elementComment.aspx?elementName=Honors Description &amp;elementID=9150", "Click here to submit comment")</f>
        <v>Click here to submit comment</v>
      </c>
    </row>
    <row r="842" spans="1:14" ht="45" x14ac:dyDescent="0.25">
      <c r="A842" s="12" t="s">
        <v>3252</v>
      </c>
      <c r="B842" s="12" t="s">
        <v>3253</v>
      </c>
      <c r="C842" s="12" t="s">
        <v>12</v>
      </c>
      <c r="D842" s="12" t="s">
        <v>2496</v>
      </c>
      <c r="E842" s="12"/>
      <c r="F842" s="12" t="s">
        <v>2613</v>
      </c>
      <c r="G842" s="12"/>
      <c r="H842" s="12"/>
      <c r="I842" s="12" t="s">
        <v>3254</v>
      </c>
      <c r="J842" s="12"/>
      <c r="K842" s="12" t="s">
        <v>3255</v>
      </c>
      <c r="L842" s="12" t="s">
        <v>205</v>
      </c>
      <c r="M842" s="12" t="str">
        <f>HYPERLINK("https://ceds.ed.gov/cedselementdetails.aspx?termid=9796")</f>
        <v>https://ceds.ed.gov/cedselementdetails.aspx?termid=9796</v>
      </c>
      <c r="N842" s="12" t="str">
        <f>HYPERLINK("https://ceds.ed.gov/elementComment.aspx?elementName=Hourly Wage &amp;elementID=9796", "Click here to submit comment")</f>
        <v>Click here to submit comment</v>
      </c>
    </row>
    <row r="843" spans="1:14" ht="75" x14ac:dyDescent="0.25">
      <c r="A843" s="12" t="s">
        <v>3256</v>
      </c>
      <c r="B843" s="12" t="s">
        <v>3257</v>
      </c>
      <c r="C843" s="12" t="s">
        <v>12</v>
      </c>
      <c r="D843" s="12" t="s">
        <v>6492</v>
      </c>
      <c r="E843" s="12"/>
      <c r="F843" s="12" t="s">
        <v>1554</v>
      </c>
      <c r="G843" s="12"/>
      <c r="H843" s="12"/>
      <c r="I843" s="12" t="s">
        <v>3258</v>
      </c>
      <c r="J843" s="12"/>
      <c r="K843" s="12" t="s">
        <v>3259</v>
      </c>
      <c r="L843" s="12" t="s">
        <v>6493</v>
      </c>
      <c r="M843" s="12" t="str">
        <f>HYPERLINK("https://ceds.ed.gov/cedselementdetails.aspx?termid=9353")</f>
        <v>https://ceds.ed.gov/cedselementdetails.aspx?termid=9353</v>
      </c>
      <c r="N843" s="12" t="str">
        <f>HYPERLINK("https://ceds.ed.gov/elementComment.aspx?elementName=Hours Available Per Day &amp;elementID=9353", "Click here to submit comment")</f>
        <v>Click here to submit comment</v>
      </c>
    </row>
    <row r="844" spans="1:14" ht="45" x14ac:dyDescent="0.25">
      <c r="A844" s="12" t="s">
        <v>3260</v>
      </c>
      <c r="B844" s="12" t="s">
        <v>3261</v>
      </c>
      <c r="C844" s="12" t="s">
        <v>12</v>
      </c>
      <c r="D844" s="12" t="s">
        <v>2496</v>
      </c>
      <c r="E844" s="12"/>
      <c r="F844" s="12" t="s">
        <v>2613</v>
      </c>
      <c r="G844" s="12"/>
      <c r="H844" s="12"/>
      <c r="I844" s="12" t="s">
        <v>3262</v>
      </c>
      <c r="J844" s="12"/>
      <c r="K844" s="12" t="s">
        <v>3263</v>
      </c>
      <c r="L844" s="12" t="s">
        <v>205</v>
      </c>
      <c r="M844" s="12" t="str">
        <f>HYPERLINK("https://ceds.ed.gov/cedselementdetails.aspx?termid=9795")</f>
        <v>https://ceds.ed.gov/cedselementdetails.aspx?termid=9795</v>
      </c>
      <c r="N844" s="12" t="str">
        <f>HYPERLINK("https://ceds.ed.gov/elementComment.aspx?elementName=Hours Worked Per Week &amp;elementID=9795", "Click here to submit comment")</f>
        <v>Click here to submit comment</v>
      </c>
    </row>
    <row r="845" spans="1:14" ht="180" x14ac:dyDescent="0.25">
      <c r="A845" s="12" t="s">
        <v>3264</v>
      </c>
      <c r="B845" s="12" t="s">
        <v>3265</v>
      </c>
      <c r="C845" s="13" t="s">
        <v>6951</v>
      </c>
      <c r="D845" s="12" t="s">
        <v>2376</v>
      </c>
      <c r="E845" s="12"/>
      <c r="F845" s="12"/>
      <c r="G845" s="12"/>
      <c r="H845" s="12"/>
      <c r="I845" s="12" t="s">
        <v>3266</v>
      </c>
      <c r="J845" s="12"/>
      <c r="K845" s="12" t="s">
        <v>3267</v>
      </c>
      <c r="L845" s="12" t="s">
        <v>222</v>
      </c>
      <c r="M845" s="12" t="str">
        <f>HYPERLINK("https://ceds.ed.gov/cedselementdetails.aspx?termid=9547")</f>
        <v>https://ceds.ed.gov/cedselementdetails.aspx?termid=9547</v>
      </c>
      <c r="N845" s="12" t="str">
        <f>HYPERLINK("https://ceds.ed.gov/elementComment.aspx?elementName=IDEA Discipline Method for Firearms Incidents &amp;elementID=9547", "Click here to submit comment")</f>
        <v>Click here to submit comment</v>
      </c>
    </row>
    <row r="846" spans="1:14" ht="255" x14ac:dyDescent="0.25">
      <c r="A846" s="12" t="s">
        <v>3268</v>
      </c>
      <c r="B846" s="12" t="s">
        <v>3269</v>
      </c>
      <c r="C846" s="13" t="s">
        <v>6952</v>
      </c>
      <c r="D846" s="12" t="s">
        <v>6566</v>
      </c>
      <c r="E846" s="12"/>
      <c r="F846" s="12"/>
      <c r="G846" s="12"/>
      <c r="H846" s="12"/>
      <c r="I846" s="12" t="s">
        <v>3270</v>
      </c>
      <c r="J846" s="12"/>
      <c r="K846" s="12" t="s">
        <v>3271</v>
      </c>
      <c r="L846" s="12" t="s">
        <v>222</v>
      </c>
      <c r="M846" s="12" t="str">
        <f>HYPERLINK("https://ceds.ed.gov/cedselementdetails.aspx?termid=9550")</f>
        <v>https://ceds.ed.gov/cedselementdetails.aspx?termid=9550</v>
      </c>
      <c r="N846" s="12" t="str">
        <f>HYPERLINK("https://ceds.ed.gov/elementComment.aspx?elementName=IDEA Educational Environment for Early Childhood &amp;elementID=9550", "Click here to submit comment")</f>
        <v>Click here to submit comment</v>
      </c>
    </row>
    <row r="847" spans="1:14" ht="195" x14ac:dyDescent="0.25">
      <c r="A847" s="12" t="s">
        <v>3272</v>
      </c>
      <c r="B847" s="12" t="s">
        <v>3273</v>
      </c>
      <c r="C847" s="13" t="s">
        <v>6953</v>
      </c>
      <c r="D847" s="12" t="s">
        <v>6567</v>
      </c>
      <c r="E847" s="12"/>
      <c r="F847" s="12"/>
      <c r="G847" s="12"/>
      <c r="H847" s="12"/>
      <c r="I847" s="12" t="s">
        <v>3274</v>
      </c>
      <c r="J847" s="12"/>
      <c r="K847" s="12" t="s">
        <v>3275</v>
      </c>
      <c r="L847" s="12" t="s">
        <v>222</v>
      </c>
      <c r="M847" s="12" t="str">
        <f>HYPERLINK("https://ceds.ed.gov/cedselementdetails.aspx?termid=9526")</f>
        <v>https://ceds.ed.gov/cedselementdetails.aspx?termid=9526</v>
      </c>
      <c r="N847" s="12" t="str">
        <f>HYPERLINK("https://ceds.ed.gov/elementComment.aspx?elementName=IDEA Educational Environment for School Age &amp;elementID=9526", "Click here to submit comment")</f>
        <v>Click here to submit comment</v>
      </c>
    </row>
    <row r="848" spans="1:14" ht="60" x14ac:dyDescent="0.25">
      <c r="A848" s="12" t="s">
        <v>3276</v>
      </c>
      <c r="B848" s="12" t="s">
        <v>3277</v>
      </c>
      <c r="C848" s="13" t="s">
        <v>6954</v>
      </c>
      <c r="D848" s="12" t="s">
        <v>3278</v>
      </c>
      <c r="E848" s="12"/>
      <c r="F848" s="12"/>
      <c r="G848" s="12"/>
      <c r="H848" s="12"/>
      <c r="I848" s="12" t="s">
        <v>3279</v>
      </c>
      <c r="J848" s="12"/>
      <c r="K848" s="12" t="s">
        <v>3280</v>
      </c>
      <c r="L848" s="12"/>
      <c r="M848" s="12" t="str">
        <f>HYPERLINK("https://ceds.ed.gov/cedselementdetails.aspx?termid=10473")</f>
        <v>https://ceds.ed.gov/cedselementdetails.aspx?termid=10473</v>
      </c>
      <c r="N848" s="12" t="str">
        <f>HYPERLINK("https://ceds.ed.gov/elementComment.aspx?elementName=IDEA IEP Status &amp;elementID=10473", "Click here to submit comment")</f>
        <v>Click here to submit comment</v>
      </c>
    </row>
    <row r="849" spans="1:14" ht="285" x14ac:dyDescent="0.25">
      <c r="A849" s="12" t="s">
        <v>3281</v>
      </c>
      <c r="B849" s="12" t="s">
        <v>3282</v>
      </c>
      <c r="C849" s="12" t="s">
        <v>6364</v>
      </c>
      <c r="D849" s="12" t="s">
        <v>6507</v>
      </c>
      <c r="E849" s="12"/>
      <c r="F849" s="12"/>
      <c r="G849" s="12"/>
      <c r="H849" s="12"/>
      <c r="I849" s="12" t="s">
        <v>3283</v>
      </c>
      <c r="J849" s="12"/>
      <c r="K849" s="12" t="s">
        <v>3284</v>
      </c>
      <c r="L849" s="12" t="s">
        <v>6568</v>
      </c>
      <c r="M849" s="12" t="str">
        <f>HYPERLINK("https://ceds.ed.gov/cedselementdetails.aspx?termid=9151")</f>
        <v>https://ceds.ed.gov/cedselementdetails.aspx?termid=9151</v>
      </c>
      <c r="N849" s="12" t="str">
        <f>HYPERLINK("https://ceds.ed.gov/elementComment.aspx?elementName=IDEA Indicator &amp;elementID=9151", "Click here to submit comment")</f>
        <v>Click here to submit comment</v>
      </c>
    </row>
    <row r="850" spans="1:14" ht="75" x14ac:dyDescent="0.25">
      <c r="A850" s="12" t="s">
        <v>3285</v>
      </c>
      <c r="B850" s="12" t="s">
        <v>3286</v>
      </c>
      <c r="C850" s="13" t="s">
        <v>6955</v>
      </c>
      <c r="D850" s="12" t="s">
        <v>6508</v>
      </c>
      <c r="E850" s="12"/>
      <c r="F850" s="12"/>
      <c r="G850" s="12"/>
      <c r="H850" s="12"/>
      <c r="I850" s="12" t="s">
        <v>3287</v>
      </c>
      <c r="J850" s="12"/>
      <c r="K850" s="12" t="s">
        <v>3288</v>
      </c>
      <c r="L850" s="12" t="s">
        <v>222</v>
      </c>
      <c r="M850" s="12" t="str">
        <f>HYPERLINK("https://ceds.ed.gov/cedselementdetails.aspx?termid=9532")</f>
        <v>https://ceds.ed.gov/cedselementdetails.aspx?termid=9532</v>
      </c>
      <c r="N850" s="12" t="str">
        <f>HYPERLINK("https://ceds.ed.gov/elementComment.aspx?elementName=IDEA Interim Removal &amp;elementID=9532", "Click here to submit comment")</f>
        <v>Click here to submit comment</v>
      </c>
    </row>
    <row r="851" spans="1:14" ht="75" x14ac:dyDescent="0.25">
      <c r="A851" s="12" t="s">
        <v>3289</v>
      </c>
      <c r="B851" s="12" t="s">
        <v>3290</v>
      </c>
      <c r="C851" s="13" t="s">
        <v>6956</v>
      </c>
      <c r="D851" s="12" t="s">
        <v>6508</v>
      </c>
      <c r="E851" s="12"/>
      <c r="F851" s="12"/>
      <c r="G851" s="12"/>
      <c r="H851" s="12"/>
      <c r="I851" s="12" t="s">
        <v>3291</v>
      </c>
      <c r="J851" s="12"/>
      <c r="K851" s="12" t="s">
        <v>3292</v>
      </c>
      <c r="L851" s="12" t="s">
        <v>222</v>
      </c>
      <c r="M851" s="12" t="str">
        <f>HYPERLINK("https://ceds.ed.gov/cedselementdetails.aspx?termid=9530")</f>
        <v>https://ceds.ed.gov/cedselementdetails.aspx?termid=9530</v>
      </c>
      <c r="N851" s="12" t="str">
        <f>HYPERLINK("https://ceds.ed.gov/elementComment.aspx?elementName=IDEA Interim Removal Reason &amp;elementID=9530", "Click here to submit comment")</f>
        <v>Click here to submit comment</v>
      </c>
    </row>
    <row r="852" spans="1:14" ht="45" x14ac:dyDescent="0.25">
      <c r="A852" s="12" t="s">
        <v>3293</v>
      </c>
      <c r="B852" s="12" t="s">
        <v>3294</v>
      </c>
      <c r="C852" s="12" t="s">
        <v>6364</v>
      </c>
      <c r="D852" s="12" t="s">
        <v>2232</v>
      </c>
      <c r="E852" s="12"/>
      <c r="F852" s="12"/>
      <c r="G852" s="12"/>
      <c r="H852" s="12"/>
      <c r="I852" s="12" t="s">
        <v>3295</v>
      </c>
      <c r="J852" s="12"/>
      <c r="K852" s="12" t="s">
        <v>3296</v>
      </c>
      <c r="L852" s="12"/>
      <c r="M852" s="12" t="str">
        <f>HYPERLINK("https://ceds.ed.gov/cedselementdetails.aspx?termid=10327")</f>
        <v>https://ceds.ed.gov/cedselementdetails.aspx?termid=10327</v>
      </c>
      <c r="N852" s="12" t="str">
        <f>HYPERLINK("https://ceds.ed.gov/elementComment.aspx?elementName=IDEA Part B 619 Potential Eligibility Indicator &amp;elementID=10327", "Click here to submit comment")</f>
        <v>Click here to submit comment</v>
      </c>
    </row>
    <row r="853" spans="1:14" ht="90" x14ac:dyDescent="0.25">
      <c r="A853" s="12" t="s">
        <v>3297</v>
      </c>
      <c r="B853" s="12" t="s">
        <v>3298</v>
      </c>
      <c r="C853" s="13" t="s">
        <v>6957</v>
      </c>
      <c r="D853" s="12" t="s">
        <v>3278</v>
      </c>
      <c r="E853" s="12" t="s">
        <v>1498</v>
      </c>
      <c r="F853" s="12"/>
      <c r="G853" s="12"/>
      <c r="H853" s="14" t="s">
        <v>3299</v>
      </c>
      <c r="I853" s="12" t="s">
        <v>3300</v>
      </c>
      <c r="J853" s="12"/>
      <c r="K853" s="12" t="s">
        <v>3301</v>
      </c>
      <c r="L853" s="12"/>
      <c r="M853" s="12" t="str">
        <f>HYPERLINK("https://ceds.ed.gov/cedselementdetails.aspx?termid=10637")</f>
        <v>https://ceds.ed.gov/cedselementdetails.aspx?termid=10637</v>
      </c>
      <c r="N853" s="12" t="str">
        <f>HYPERLINK("https://ceds.ed.gov/elementComment.aspx?elementName=IDEA Part C Eligibility Category &amp;elementID=10637", "Click here to submit comment")</f>
        <v>Click here to submit comment</v>
      </c>
    </row>
    <row r="854" spans="1:14" ht="90" x14ac:dyDescent="0.25">
      <c r="A854" s="12" t="s">
        <v>3302</v>
      </c>
      <c r="B854" s="12" t="s">
        <v>3303</v>
      </c>
      <c r="C854" s="12" t="s">
        <v>12</v>
      </c>
      <c r="D854" s="12" t="s">
        <v>2232</v>
      </c>
      <c r="E854" s="12"/>
      <c r="F854" s="12" t="s">
        <v>73</v>
      </c>
      <c r="G854" s="12"/>
      <c r="H854" s="12"/>
      <c r="I854" s="12" t="s">
        <v>3304</v>
      </c>
      <c r="J854" s="12"/>
      <c r="K854" s="12" t="s">
        <v>3305</v>
      </c>
      <c r="L854" s="12"/>
      <c r="M854" s="12" t="str">
        <f>HYPERLINK("https://ceds.ed.gov/cedselementdetails.aspx?termid=10472")</f>
        <v>https://ceds.ed.gov/cedselementdetails.aspx?termid=10472</v>
      </c>
      <c r="N854" s="12" t="str">
        <f>HYPERLINK("https://ceds.ed.gov/elementComment.aspx?elementName=IDEA Part C to Part B Notification Date &amp;elementID=10472", "Click here to submit comment")</f>
        <v>Click here to submit comment</v>
      </c>
    </row>
    <row r="855" spans="1:14" ht="75" x14ac:dyDescent="0.25">
      <c r="A855" s="12" t="s">
        <v>3306</v>
      </c>
      <c r="B855" s="12" t="s">
        <v>3307</v>
      </c>
      <c r="C855" s="12" t="s">
        <v>12</v>
      </c>
      <c r="D855" s="12" t="s">
        <v>2232</v>
      </c>
      <c r="E855" s="12"/>
      <c r="F855" s="12" t="s">
        <v>73</v>
      </c>
      <c r="G855" s="12"/>
      <c r="H855" s="12"/>
      <c r="I855" s="12" t="s">
        <v>3308</v>
      </c>
      <c r="J855" s="12"/>
      <c r="K855" s="12" t="s">
        <v>3309</v>
      </c>
      <c r="L855" s="12"/>
      <c r="M855" s="12" t="str">
        <f>HYPERLINK("https://ceds.ed.gov/cedselementdetails.aspx?termid=10331")</f>
        <v>https://ceds.ed.gov/cedselementdetails.aspx?termid=10331</v>
      </c>
      <c r="N855" s="12" t="str">
        <f>HYPERLINK("https://ceds.ed.gov/elementComment.aspx?elementName=IDEA Part C to Part B Notification Opt Out Date &amp;elementID=10331", "Click here to submit comment")</f>
        <v>Click here to submit comment</v>
      </c>
    </row>
    <row r="856" spans="1:14" ht="75" x14ac:dyDescent="0.25">
      <c r="A856" s="12" t="s">
        <v>3310</v>
      </c>
      <c r="B856" s="12" t="s">
        <v>3311</v>
      </c>
      <c r="C856" s="12" t="s">
        <v>6364</v>
      </c>
      <c r="D856" s="12" t="s">
        <v>2232</v>
      </c>
      <c r="E856" s="12"/>
      <c r="F856" s="12"/>
      <c r="G856" s="12"/>
      <c r="H856" s="12"/>
      <c r="I856" s="12" t="s">
        <v>3312</v>
      </c>
      <c r="J856" s="12"/>
      <c r="K856" s="12" t="s">
        <v>3313</v>
      </c>
      <c r="L856" s="12"/>
      <c r="M856" s="12" t="str">
        <f>HYPERLINK("https://ceds.ed.gov/cedselementdetails.aspx?termid=10330")</f>
        <v>https://ceds.ed.gov/cedselementdetails.aspx?termid=10330</v>
      </c>
      <c r="N856" s="12" t="str">
        <f>HYPERLINK("https://ceds.ed.gov/elementComment.aspx?elementName=IDEA Part C to Part B Notification Opt Out Indicator &amp;elementID=10330", "Click here to submit comment")</f>
        <v>Click here to submit comment</v>
      </c>
    </row>
    <row r="857" spans="1:14" ht="75" x14ac:dyDescent="0.25">
      <c r="A857" s="12" t="s">
        <v>3314</v>
      </c>
      <c r="B857" s="12" t="s">
        <v>3315</v>
      </c>
      <c r="C857" s="13" t="s">
        <v>6795</v>
      </c>
      <c r="D857" s="12" t="s">
        <v>569</v>
      </c>
      <c r="E857" s="12"/>
      <c r="F857" s="12"/>
      <c r="G857" s="12"/>
      <c r="H857" s="12"/>
      <c r="I857" s="12" t="s">
        <v>3316</v>
      </c>
      <c r="J857" s="12"/>
      <c r="K857" s="12" t="s">
        <v>3317</v>
      </c>
      <c r="L857" s="12"/>
      <c r="M857" s="12" t="str">
        <f>HYPERLINK("https://ceds.ed.gov/cedselementdetails.aspx?termid=10141")</f>
        <v>https://ceds.ed.gov/cedselementdetails.aspx?termid=10141</v>
      </c>
      <c r="N857" s="12" t="str">
        <f>HYPERLINK("https://ceds.ed.gov/elementComment.aspx?elementName=Identification System for Assessment Form Section &amp;elementID=10141", "Click here to submit comment")</f>
        <v>Click here to submit comment</v>
      </c>
    </row>
    <row r="858" spans="1:14" ht="75" x14ac:dyDescent="0.25">
      <c r="A858" s="12" t="s">
        <v>3318</v>
      </c>
      <c r="B858" s="12" t="s">
        <v>3319</v>
      </c>
      <c r="C858" s="12" t="s">
        <v>12</v>
      </c>
      <c r="D858" s="12" t="s">
        <v>6569</v>
      </c>
      <c r="E858" s="12"/>
      <c r="F858" s="12" t="s">
        <v>73</v>
      </c>
      <c r="G858" s="12"/>
      <c r="H858" s="12"/>
      <c r="I858" s="12" t="s">
        <v>3320</v>
      </c>
      <c r="J858" s="12"/>
      <c r="K858" s="12" t="s">
        <v>3321</v>
      </c>
      <c r="L858" s="12" t="s">
        <v>6570</v>
      </c>
      <c r="M858" s="12" t="str">
        <f>HYPERLINK("https://ceds.ed.gov/cedselementdetails.aspx?termid=9306")</f>
        <v>https://ceds.ed.gov/cedselementdetails.aspx?termid=9306</v>
      </c>
      <c r="N858" s="12" t="str">
        <f>HYPERLINK("https://ceds.ed.gov/elementComment.aspx?elementName=Immunization Date &amp;elementID=9306", "Click here to submit comment")</f>
        <v>Click here to submit comment</v>
      </c>
    </row>
    <row r="859" spans="1:14" ht="60" x14ac:dyDescent="0.25">
      <c r="A859" s="12" t="s">
        <v>3322</v>
      </c>
      <c r="B859" s="12" t="s">
        <v>3323</v>
      </c>
      <c r="C859" s="12" t="s">
        <v>6364</v>
      </c>
      <c r="D859" s="12" t="s">
        <v>2567</v>
      </c>
      <c r="E859" s="12"/>
      <c r="F859" s="12"/>
      <c r="G859" s="12"/>
      <c r="H859" s="12"/>
      <c r="I859" s="12" t="s">
        <v>3324</v>
      </c>
      <c r="J859" s="12"/>
      <c r="K859" s="12" t="s">
        <v>3325</v>
      </c>
      <c r="L859" s="12" t="s">
        <v>64</v>
      </c>
      <c r="M859" s="12" t="str">
        <f>HYPERLINK("https://ceds.ed.gov/cedselementdetails.aspx?termid=9849")</f>
        <v>https://ceds.ed.gov/cedselementdetails.aspx?termid=9849</v>
      </c>
      <c r="N859" s="12" t="str">
        <f>HYPERLINK("https://ceds.ed.gov/elementComment.aspx?elementName=Immunization Policy &amp;elementID=9849", "Click here to submit comment")</f>
        <v>Click here to submit comment</v>
      </c>
    </row>
    <row r="860" spans="1:14" ht="45" x14ac:dyDescent="0.25">
      <c r="A860" s="12" t="s">
        <v>3326</v>
      </c>
      <c r="B860" s="12" t="s">
        <v>3327</v>
      </c>
      <c r="C860" s="12" t="s">
        <v>6364</v>
      </c>
      <c r="D860" s="12" t="s">
        <v>1894</v>
      </c>
      <c r="E860" s="12"/>
      <c r="F860" s="12"/>
      <c r="G860" s="12"/>
      <c r="H860" s="12"/>
      <c r="I860" s="12" t="s">
        <v>3328</v>
      </c>
      <c r="J860" s="12"/>
      <c r="K860" s="12" t="s">
        <v>3329</v>
      </c>
      <c r="L860" s="12" t="s">
        <v>1578</v>
      </c>
      <c r="M860" s="12" t="str">
        <f>HYPERLINK("https://ceds.ed.gov/cedselementdetails.aspx?termid=9428")</f>
        <v>https://ceds.ed.gov/cedselementdetails.aspx?termid=9428</v>
      </c>
      <c r="N860" s="12" t="str">
        <f>HYPERLINK("https://ceds.ed.gov/elementComment.aspx?elementName=Immunization Record Flag &amp;elementID=9428", "Click here to submit comment")</f>
        <v>Click here to submit comment</v>
      </c>
    </row>
    <row r="861" spans="1:14" ht="345" x14ac:dyDescent="0.25">
      <c r="A861" s="12" t="s">
        <v>3330</v>
      </c>
      <c r="B861" s="12" t="s">
        <v>3331</v>
      </c>
      <c r="C861" s="13" t="s">
        <v>6958</v>
      </c>
      <c r="D861" s="12" t="s">
        <v>6569</v>
      </c>
      <c r="E861" s="12"/>
      <c r="F861" s="12"/>
      <c r="G861" s="12"/>
      <c r="H861" s="12"/>
      <c r="I861" s="12" t="s">
        <v>3332</v>
      </c>
      <c r="J861" s="12"/>
      <c r="K861" s="12" t="s">
        <v>3333</v>
      </c>
      <c r="L861" s="12"/>
      <c r="M861" s="12" t="str">
        <f>HYPERLINK("https://ceds.ed.gov/cedselementdetails.aspx?termid=10214")</f>
        <v>https://ceds.ed.gov/cedselementdetails.aspx?termid=10214</v>
      </c>
      <c r="N861" s="12" t="str">
        <f>HYPERLINK("https://ceds.ed.gov/elementComment.aspx?elementName=Immunization Type &amp;elementID=10214", "Click here to submit comment")</f>
        <v>Click here to submit comment</v>
      </c>
    </row>
    <row r="862" spans="1:14" ht="409.5" x14ac:dyDescent="0.25">
      <c r="A862" s="12" t="s">
        <v>3334</v>
      </c>
      <c r="B862" s="12" t="s">
        <v>3335</v>
      </c>
      <c r="C862" s="13" t="s">
        <v>6959</v>
      </c>
      <c r="D862" s="12" t="s">
        <v>3001</v>
      </c>
      <c r="E862" s="12"/>
      <c r="F862" s="12"/>
      <c r="G862" s="12"/>
      <c r="H862" s="12"/>
      <c r="I862" s="12" t="s">
        <v>3336</v>
      </c>
      <c r="J862" s="12"/>
      <c r="K862" s="12" t="s">
        <v>3337</v>
      </c>
      <c r="L862" s="12"/>
      <c r="M862" s="12" t="str">
        <f>HYPERLINK("https://ceds.ed.gov/cedselementdetails.aspx?termid=9500")</f>
        <v>https://ceds.ed.gov/cedselementdetails.aspx?termid=9500</v>
      </c>
      <c r="N862" s="12" t="str">
        <f>HYPERLINK("https://ceds.ed.gov/elementComment.aspx?elementName=Incident Behavior &amp;elementID=9500", "Click here to submit comment")</f>
        <v>Click here to submit comment</v>
      </c>
    </row>
    <row r="863" spans="1:14" ht="195" x14ac:dyDescent="0.25">
      <c r="A863" s="12" t="s">
        <v>3338</v>
      </c>
      <c r="B863" s="12" t="s">
        <v>3339</v>
      </c>
      <c r="C863" s="12" t="s">
        <v>12</v>
      </c>
      <c r="D863" s="12" t="s">
        <v>3001</v>
      </c>
      <c r="E863" s="12"/>
      <c r="F863" s="12" t="s">
        <v>92</v>
      </c>
      <c r="G863" s="12"/>
      <c r="H863" s="12"/>
      <c r="I863" s="12" t="s">
        <v>3340</v>
      </c>
      <c r="J863" s="12"/>
      <c r="K863" s="12" t="s">
        <v>3341</v>
      </c>
      <c r="L863" s="12"/>
      <c r="M863" s="12" t="str">
        <f>HYPERLINK("https://ceds.ed.gov/cedselementdetails.aspx?termid=9496")</f>
        <v>https://ceds.ed.gov/cedselementdetails.aspx?termid=9496</v>
      </c>
      <c r="N863" s="12" t="str">
        <f>HYPERLINK("https://ceds.ed.gov/elementComment.aspx?elementName=Incident Cost &amp;elementID=9496", "Click here to submit comment")</f>
        <v>Click here to submit comment</v>
      </c>
    </row>
    <row r="864" spans="1:14" ht="45" x14ac:dyDescent="0.25">
      <c r="A864" s="12" t="s">
        <v>3342</v>
      </c>
      <c r="B864" s="12" t="s">
        <v>3343</v>
      </c>
      <c r="C864" s="12" t="s">
        <v>12</v>
      </c>
      <c r="D864" s="12" t="s">
        <v>3001</v>
      </c>
      <c r="E864" s="12"/>
      <c r="F864" s="12" t="s">
        <v>73</v>
      </c>
      <c r="G864" s="12"/>
      <c r="H864" s="12"/>
      <c r="I864" s="12" t="s">
        <v>3344</v>
      </c>
      <c r="J864" s="12"/>
      <c r="K864" s="12" t="s">
        <v>3345</v>
      </c>
      <c r="L864" s="12"/>
      <c r="M864" s="12" t="str">
        <f>HYPERLINK("https://ceds.ed.gov/cedselementdetails.aspx?termid=9493")</f>
        <v>https://ceds.ed.gov/cedselementdetails.aspx?termid=9493</v>
      </c>
      <c r="N864" s="12" t="str">
        <f>HYPERLINK("https://ceds.ed.gov/elementComment.aspx?elementName=Incident Date &amp;elementID=9493", "Click here to submit comment")</f>
        <v>Click here to submit comment</v>
      </c>
    </row>
    <row r="865" spans="1:14" ht="45" x14ac:dyDescent="0.25">
      <c r="A865" s="12" t="s">
        <v>3346</v>
      </c>
      <c r="B865" s="12" t="s">
        <v>3347</v>
      </c>
      <c r="C865" s="12" t="s">
        <v>12</v>
      </c>
      <c r="D865" s="12" t="s">
        <v>3001</v>
      </c>
      <c r="E865" s="12"/>
      <c r="F865" s="12" t="s">
        <v>327</v>
      </c>
      <c r="G865" s="12"/>
      <c r="H865" s="12"/>
      <c r="I865" s="12" t="s">
        <v>3348</v>
      </c>
      <c r="J865" s="12"/>
      <c r="K865" s="12" t="s">
        <v>3349</v>
      </c>
      <c r="L865" s="12"/>
      <c r="M865" s="12" t="str">
        <f>HYPERLINK("https://ceds.ed.gov/cedselementdetails.aspx?termid=9499")</f>
        <v>https://ceds.ed.gov/cedselementdetails.aspx?termid=9499</v>
      </c>
      <c r="N865" s="12" t="str">
        <f>HYPERLINK("https://ceds.ed.gov/elementComment.aspx?elementName=Incident Description &amp;elementID=9499", "Click here to submit comment")</f>
        <v>Click here to submit comment</v>
      </c>
    </row>
    <row r="866" spans="1:14" ht="105" x14ac:dyDescent="0.25">
      <c r="A866" s="18" t="s">
        <v>3350</v>
      </c>
      <c r="B866" s="18" t="s">
        <v>3351</v>
      </c>
      <c r="C866" s="18" t="s">
        <v>12</v>
      </c>
      <c r="D866" s="18" t="s">
        <v>3001</v>
      </c>
      <c r="E866" s="18"/>
      <c r="F866" s="18" t="s">
        <v>142</v>
      </c>
      <c r="G866" s="18"/>
      <c r="H866" s="12" t="s">
        <v>143</v>
      </c>
      <c r="I866" s="18" t="s">
        <v>3352</v>
      </c>
      <c r="J866" s="18"/>
      <c r="K866" s="18" t="s">
        <v>3353</v>
      </c>
      <c r="L866" s="18"/>
      <c r="M866" s="18" t="str">
        <f>HYPERLINK("https://ceds.ed.gov/cedselementdetails.aspx?termid=9492")</f>
        <v>https://ceds.ed.gov/cedselementdetails.aspx?termid=9492</v>
      </c>
      <c r="N866" s="18" t="str">
        <f>HYPERLINK("https://ceds.ed.gov/elementComment.aspx?elementName=Incident Identifier &amp;elementID=9492", "Click here to submit comment")</f>
        <v>Click here to submit comment</v>
      </c>
    </row>
    <row r="867" spans="1:14" x14ac:dyDescent="0.25">
      <c r="A867" s="18"/>
      <c r="B867" s="18"/>
      <c r="C867" s="18"/>
      <c r="D867" s="18"/>
      <c r="E867" s="18"/>
      <c r="F867" s="18"/>
      <c r="G867" s="18"/>
      <c r="H867" s="12"/>
      <c r="I867" s="18"/>
      <c r="J867" s="18"/>
      <c r="K867" s="18"/>
      <c r="L867" s="18"/>
      <c r="M867" s="18"/>
      <c r="N867" s="18"/>
    </row>
    <row r="868" spans="1:14" ht="90" x14ac:dyDescent="0.25">
      <c r="A868" s="18"/>
      <c r="B868" s="18"/>
      <c r="C868" s="18"/>
      <c r="D868" s="18"/>
      <c r="E868" s="18"/>
      <c r="F868" s="18"/>
      <c r="G868" s="18"/>
      <c r="H868" s="12" t="s">
        <v>144</v>
      </c>
      <c r="I868" s="18"/>
      <c r="J868" s="18"/>
      <c r="K868" s="18"/>
      <c r="L868" s="18"/>
      <c r="M868" s="18"/>
      <c r="N868" s="18"/>
    </row>
    <row r="869" spans="1:14" ht="105" x14ac:dyDescent="0.25">
      <c r="A869" s="12" t="s">
        <v>3354</v>
      </c>
      <c r="B869" s="12" t="s">
        <v>3355</v>
      </c>
      <c r="C869" s="13" t="s">
        <v>6960</v>
      </c>
      <c r="D869" s="12" t="s">
        <v>3001</v>
      </c>
      <c r="E869" s="12"/>
      <c r="F869" s="12"/>
      <c r="G869" s="12"/>
      <c r="H869" s="12" t="s">
        <v>3356</v>
      </c>
      <c r="I869" s="12" t="s">
        <v>3357</v>
      </c>
      <c r="J869" s="12"/>
      <c r="K869" s="12" t="s">
        <v>3358</v>
      </c>
      <c r="L869" s="12"/>
      <c r="M869" s="12" t="str">
        <f>HYPERLINK("https://ceds.ed.gov/cedselementdetails.aspx?termid=9501")</f>
        <v>https://ceds.ed.gov/cedselementdetails.aspx?termid=9501</v>
      </c>
      <c r="N869" s="12" t="str">
        <f>HYPERLINK("https://ceds.ed.gov/elementComment.aspx?elementName=Incident Injury Type &amp;elementID=9501", "Click here to submit comment")</f>
        <v>Click here to submit comment</v>
      </c>
    </row>
    <row r="870" spans="1:14" ht="409.5" x14ac:dyDescent="0.25">
      <c r="A870" s="12" t="s">
        <v>3359</v>
      </c>
      <c r="B870" s="12" t="s">
        <v>3360</v>
      </c>
      <c r="C870" s="13" t="s">
        <v>6961</v>
      </c>
      <c r="D870" s="12" t="s">
        <v>3001</v>
      </c>
      <c r="E870" s="12"/>
      <c r="F870" s="12"/>
      <c r="G870" s="12"/>
      <c r="H870" s="12"/>
      <c r="I870" s="12" t="s">
        <v>3361</v>
      </c>
      <c r="J870" s="12"/>
      <c r="K870" s="12" t="s">
        <v>3362</v>
      </c>
      <c r="L870" s="12"/>
      <c r="M870" s="12" t="str">
        <f>HYPERLINK("https://ceds.ed.gov/cedselementdetails.aspx?termid=9610")</f>
        <v>https://ceds.ed.gov/cedselementdetails.aspx?termid=9610</v>
      </c>
      <c r="N870" s="12" t="str">
        <f>HYPERLINK("https://ceds.ed.gov/elementComment.aspx?elementName=Incident Location &amp;elementID=9610", "Click here to submit comment")</f>
        <v>Click here to submit comment</v>
      </c>
    </row>
    <row r="871" spans="1:14" ht="60" x14ac:dyDescent="0.25">
      <c r="A871" s="12" t="s">
        <v>3363</v>
      </c>
      <c r="B871" s="12" t="s">
        <v>3364</v>
      </c>
      <c r="C871" s="13" t="s">
        <v>6962</v>
      </c>
      <c r="D871" s="12" t="s">
        <v>3001</v>
      </c>
      <c r="E871" s="12"/>
      <c r="F871" s="12"/>
      <c r="G871" s="12"/>
      <c r="H871" s="12"/>
      <c r="I871" s="12" t="s">
        <v>3365</v>
      </c>
      <c r="J871" s="12"/>
      <c r="K871" s="12" t="s">
        <v>3366</v>
      </c>
      <c r="L871" s="12"/>
      <c r="M871" s="12" t="str">
        <f>HYPERLINK("https://ceds.ed.gov/cedselementdetails.aspx?termid=10337")</f>
        <v>https://ceds.ed.gov/cedselementdetails.aspx?termid=10337</v>
      </c>
      <c r="N871" s="12" t="str">
        <f>HYPERLINK("https://ceds.ed.gov/elementComment.aspx?elementName=Incident Multiple Offense Type &amp;elementID=10337", "Click here to submit comment")</f>
        <v>Click here to submit comment</v>
      </c>
    </row>
    <row r="872" spans="1:14" ht="105" x14ac:dyDescent="0.25">
      <c r="A872" s="18" t="s">
        <v>3367</v>
      </c>
      <c r="B872" s="18" t="s">
        <v>3368</v>
      </c>
      <c r="C872" s="18" t="s">
        <v>12</v>
      </c>
      <c r="D872" s="18" t="s">
        <v>3001</v>
      </c>
      <c r="E872" s="18"/>
      <c r="F872" s="18" t="s">
        <v>142</v>
      </c>
      <c r="G872" s="18"/>
      <c r="H872" s="12" t="s">
        <v>143</v>
      </c>
      <c r="I872" s="18" t="s">
        <v>3369</v>
      </c>
      <c r="J872" s="18"/>
      <c r="K872" s="18" t="s">
        <v>3370</v>
      </c>
      <c r="L872" s="18"/>
      <c r="M872" s="18" t="str">
        <f>HYPERLINK("https://ceds.ed.gov/cedselementdetails.aspx?termid=10338")</f>
        <v>https://ceds.ed.gov/cedselementdetails.aspx?termid=10338</v>
      </c>
      <c r="N872" s="18" t="str">
        <f>HYPERLINK("https://ceds.ed.gov/elementComment.aspx?elementName=Incident Perpetrator Identifier &amp;elementID=10338", "Click here to submit comment")</f>
        <v>Click here to submit comment</v>
      </c>
    </row>
    <row r="873" spans="1:14" x14ac:dyDescent="0.25">
      <c r="A873" s="18"/>
      <c r="B873" s="18"/>
      <c r="C873" s="18"/>
      <c r="D873" s="18"/>
      <c r="E873" s="18"/>
      <c r="F873" s="18"/>
      <c r="G873" s="18"/>
      <c r="H873" s="12"/>
      <c r="I873" s="18"/>
      <c r="J873" s="18"/>
      <c r="K873" s="18"/>
      <c r="L873" s="18"/>
      <c r="M873" s="18"/>
      <c r="N873" s="18"/>
    </row>
    <row r="874" spans="1:14" ht="90" x14ac:dyDescent="0.25">
      <c r="A874" s="18"/>
      <c r="B874" s="18"/>
      <c r="C874" s="18"/>
      <c r="D874" s="18"/>
      <c r="E874" s="18"/>
      <c r="F874" s="18"/>
      <c r="G874" s="18"/>
      <c r="H874" s="12" t="s">
        <v>144</v>
      </c>
      <c r="I874" s="18"/>
      <c r="J874" s="18"/>
      <c r="K874" s="18"/>
      <c r="L874" s="18"/>
      <c r="M874" s="18"/>
      <c r="N874" s="18"/>
    </row>
    <row r="875" spans="1:14" ht="105" x14ac:dyDescent="0.25">
      <c r="A875" s="12" t="s">
        <v>3371</v>
      </c>
      <c r="B875" s="12" t="s">
        <v>3372</v>
      </c>
      <c r="C875" s="13" t="s">
        <v>6960</v>
      </c>
      <c r="D875" s="12" t="s">
        <v>3001</v>
      </c>
      <c r="E875" s="12"/>
      <c r="F875" s="12"/>
      <c r="G875" s="12"/>
      <c r="H875" s="12"/>
      <c r="I875" s="12" t="s">
        <v>3373</v>
      </c>
      <c r="J875" s="12"/>
      <c r="K875" s="12" t="s">
        <v>3374</v>
      </c>
      <c r="L875" s="12"/>
      <c r="M875" s="12" t="str">
        <f>HYPERLINK("https://ceds.ed.gov/cedselementdetails.aspx?termid=10339")</f>
        <v>https://ceds.ed.gov/cedselementdetails.aspx?termid=10339</v>
      </c>
      <c r="N875" s="12" t="str">
        <f>HYPERLINK("https://ceds.ed.gov/elementComment.aspx?elementName=Incident Perpetrator Injury Type &amp;elementID=10339", "Click here to submit comment")</f>
        <v>Click here to submit comment</v>
      </c>
    </row>
    <row r="876" spans="1:14" ht="409.5" x14ac:dyDescent="0.25">
      <c r="A876" s="12" t="s">
        <v>3375</v>
      </c>
      <c r="B876" s="12" t="s">
        <v>3376</v>
      </c>
      <c r="C876" s="13" t="s">
        <v>6963</v>
      </c>
      <c r="D876" s="12" t="s">
        <v>3001</v>
      </c>
      <c r="E876" s="12"/>
      <c r="F876" s="12"/>
      <c r="G876" s="12"/>
      <c r="H876" s="12"/>
      <c r="I876" s="12" t="s">
        <v>3377</v>
      </c>
      <c r="J876" s="12"/>
      <c r="K876" s="12" t="s">
        <v>3378</v>
      </c>
      <c r="L876" s="12"/>
      <c r="M876" s="12" t="str">
        <f>HYPERLINK("https://ceds.ed.gov/cedselementdetails.aspx?termid=10340")</f>
        <v>https://ceds.ed.gov/cedselementdetails.aspx?termid=10340</v>
      </c>
      <c r="N876" s="12" t="str">
        <f>HYPERLINK("https://ceds.ed.gov/elementComment.aspx?elementName=Incident Perpetrator Type &amp;elementID=10340", "Click here to submit comment")</f>
        <v>Click here to submit comment</v>
      </c>
    </row>
    <row r="877" spans="1:14" ht="75" x14ac:dyDescent="0.25">
      <c r="A877" s="12" t="s">
        <v>3379</v>
      </c>
      <c r="B877" s="12" t="s">
        <v>3380</v>
      </c>
      <c r="C877" s="13" t="s">
        <v>6964</v>
      </c>
      <c r="D877" s="12" t="s">
        <v>3001</v>
      </c>
      <c r="E877" s="12"/>
      <c r="F877" s="12"/>
      <c r="G877" s="12"/>
      <c r="H877" s="12"/>
      <c r="I877" s="12" t="s">
        <v>3381</v>
      </c>
      <c r="J877" s="12"/>
      <c r="K877" s="12" t="s">
        <v>3382</v>
      </c>
      <c r="L877" s="12"/>
      <c r="M877" s="12" t="str">
        <f>HYPERLINK("https://ceds.ed.gov/cedselementdetails.aspx?termid=10341")</f>
        <v>https://ceds.ed.gov/cedselementdetails.aspx?termid=10341</v>
      </c>
      <c r="N877" s="12" t="str">
        <f>HYPERLINK("https://ceds.ed.gov/elementComment.aspx?elementName=Incident Person Role Type &amp;elementID=10341", "Click here to submit comment")</f>
        <v>Click here to submit comment</v>
      </c>
    </row>
    <row r="878" spans="1:14" ht="90" x14ac:dyDescent="0.25">
      <c r="A878" s="12" t="s">
        <v>3383</v>
      </c>
      <c r="B878" s="12" t="s">
        <v>3384</v>
      </c>
      <c r="C878" s="12" t="s">
        <v>12</v>
      </c>
      <c r="D878" s="12" t="s">
        <v>3001</v>
      </c>
      <c r="E878" s="12"/>
      <c r="F878" s="12" t="s">
        <v>794</v>
      </c>
      <c r="G878" s="12"/>
      <c r="H878" s="12"/>
      <c r="I878" s="12" t="s">
        <v>3385</v>
      </c>
      <c r="J878" s="12"/>
      <c r="K878" s="12" t="s">
        <v>3386</v>
      </c>
      <c r="L878" s="12"/>
      <c r="M878" s="12" t="str">
        <f>HYPERLINK("https://ceds.ed.gov/cedselementdetails.aspx?termid=10342")</f>
        <v>https://ceds.ed.gov/cedselementdetails.aspx?termid=10342</v>
      </c>
      <c r="N878" s="12" t="str">
        <f>HYPERLINK("https://ceds.ed.gov/elementComment.aspx?elementName=Incident Regulation Violated Description &amp;elementID=10342", "Click here to submit comment")</f>
        <v>Click here to submit comment</v>
      </c>
    </row>
    <row r="879" spans="1:14" ht="90" x14ac:dyDescent="0.25">
      <c r="A879" s="12" t="s">
        <v>3387</v>
      </c>
      <c r="B879" s="12" t="s">
        <v>3388</v>
      </c>
      <c r="C879" s="12" t="s">
        <v>6364</v>
      </c>
      <c r="D879" s="12" t="s">
        <v>3001</v>
      </c>
      <c r="E879" s="12"/>
      <c r="F879" s="12"/>
      <c r="G879" s="12"/>
      <c r="H879" s="12" t="s">
        <v>3389</v>
      </c>
      <c r="I879" s="12" t="s">
        <v>3390</v>
      </c>
      <c r="J879" s="12"/>
      <c r="K879" s="12" t="s">
        <v>3391</v>
      </c>
      <c r="L879" s="12"/>
      <c r="M879" s="12" t="str">
        <f>HYPERLINK("https://ceds.ed.gov/cedselementdetails.aspx?termid=10343")</f>
        <v>https://ceds.ed.gov/cedselementdetails.aspx?termid=10343</v>
      </c>
      <c r="N879" s="12" t="str">
        <f>HYPERLINK("https://ceds.ed.gov/elementComment.aspx?elementName=Incident Related to Disability Manifestation &amp;elementID=10343", "Click here to submit comment")</f>
        <v>Click here to submit comment</v>
      </c>
    </row>
    <row r="880" spans="1:14" ht="75" x14ac:dyDescent="0.25">
      <c r="A880" s="12" t="s">
        <v>3392</v>
      </c>
      <c r="B880" s="12" t="s">
        <v>3393</v>
      </c>
      <c r="C880" s="12" t="s">
        <v>6364</v>
      </c>
      <c r="D880" s="12" t="s">
        <v>3001</v>
      </c>
      <c r="E880" s="12"/>
      <c r="F880" s="12"/>
      <c r="G880" s="12"/>
      <c r="H880" s="12"/>
      <c r="I880" s="12" t="s">
        <v>3394</v>
      </c>
      <c r="J880" s="12"/>
      <c r="K880" s="12" t="s">
        <v>3395</v>
      </c>
      <c r="L880" s="12"/>
      <c r="M880" s="12" t="str">
        <f>HYPERLINK("https://ceds.ed.gov/cedselementdetails.aspx?termid=10345")</f>
        <v>https://ceds.ed.gov/cedselementdetails.aspx?termid=10345</v>
      </c>
      <c r="N880" s="12" t="str">
        <f>HYPERLINK("https://ceds.ed.gov/elementComment.aspx?elementName=Incident Reported to Law Enforcement Indicator &amp;elementID=10345", "Click here to submit comment")</f>
        <v>Click here to submit comment</v>
      </c>
    </row>
    <row r="881" spans="1:14" ht="409.5" x14ac:dyDescent="0.25">
      <c r="A881" s="12" t="s">
        <v>3396</v>
      </c>
      <c r="B881" s="12" t="s">
        <v>3397</v>
      </c>
      <c r="C881" s="13" t="s">
        <v>6965</v>
      </c>
      <c r="D881" s="12" t="s">
        <v>3001</v>
      </c>
      <c r="E881" s="12"/>
      <c r="F881" s="12"/>
      <c r="G881" s="12"/>
      <c r="H881" s="12"/>
      <c r="I881" s="12" t="s">
        <v>3398</v>
      </c>
      <c r="J881" s="12"/>
      <c r="K881" s="12" t="s">
        <v>3399</v>
      </c>
      <c r="L881" s="12"/>
      <c r="M881" s="12" t="str">
        <f>HYPERLINK("https://ceds.ed.gov/cedselementdetails.aspx?termid=9497")</f>
        <v>https://ceds.ed.gov/cedselementdetails.aspx?termid=9497</v>
      </c>
      <c r="N881" s="12" t="str">
        <f>HYPERLINK("https://ceds.ed.gov/elementComment.aspx?elementName=Incident Reporter Type &amp;elementID=9497", "Click here to submit comment")</f>
        <v>Click here to submit comment</v>
      </c>
    </row>
    <row r="882" spans="1:14" ht="45" x14ac:dyDescent="0.25">
      <c r="A882" s="12" t="s">
        <v>3400</v>
      </c>
      <c r="B882" s="12" t="s">
        <v>3401</v>
      </c>
      <c r="C882" s="12" t="s">
        <v>12</v>
      </c>
      <c r="D882" s="12" t="s">
        <v>3001</v>
      </c>
      <c r="E882" s="12"/>
      <c r="F882" s="12" t="s">
        <v>437</v>
      </c>
      <c r="G882" s="12"/>
      <c r="H882" s="12"/>
      <c r="I882" s="12" t="s">
        <v>3402</v>
      </c>
      <c r="J882" s="12"/>
      <c r="K882" s="12" t="s">
        <v>3403</v>
      </c>
      <c r="L882" s="12"/>
      <c r="M882" s="12" t="str">
        <f>HYPERLINK("https://ceds.ed.gov/cedselementdetails.aspx?termid=9494")</f>
        <v>https://ceds.ed.gov/cedselementdetails.aspx?termid=9494</v>
      </c>
      <c r="N882" s="12" t="str">
        <f>HYPERLINK("https://ceds.ed.gov/elementComment.aspx?elementName=Incident Time &amp;elementID=9494", "Click here to submit comment")</f>
        <v>Click here to submit comment</v>
      </c>
    </row>
    <row r="883" spans="1:14" ht="210" x14ac:dyDescent="0.25">
      <c r="A883" s="12" t="s">
        <v>3404</v>
      </c>
      <c r="B883" s="12" t="s">
        <v>3405</v>
      </c>
      <c r="C883" s="13" t="s">
        <v>6966</v>
      </c>
      <c r="D883" s="12" t="s">
        <v>3001</v>
      </c>
      <c r="E883" s="12"/>
      <c r="F883" s="12"/>
      <c r="G883" s="12"/>
      <c r="H883" s="12"/>
      <c r="I883" s="12" t="s">
        <v>3406</v>
      </c>
      <c r="J883" s="12"/>
      <c r="K883" s="12" t="s">
        <v>3407</v>
      </c>
      <c r="L883" s="12"/>
      <c r="M883" s="12" t="str">
        <f>HYPERLINK("https://ceds.ed.gov/cedselementdetails.aspx?termid=9506")</f>
        <v>https://ceds.ed.gov/cedselementdetails.aspx?termid=9506</v>
      </c>
      <c r="N883" s="12" t="str">
        <f>HYPERLINK("https://ceds.ed.gov/elementComment.aspx?elementName=Incident Time Description Code &amp;elementID=9506", "Click here to submit comment")</f>
        <v>Click here to submit comment</v>
      </c>
    </row>
    <row r="884" spans="1:14" ht="105" x14ac:dyDescent="0.25">
      <c r="A884" s="18" t="s">
        <v>3408</v>
      </c>
      <c r="B884" s="18" t="s">
        <v>3409</v>
      </c>
      <c r="C884" s="18" t="s">
        <v>12</v>
      </c>
      <c r="D884" s="18" t="s">
        <v>3001</v>
      </c>
      <c r="E884" s="18"/>
      <c r="F884" s="18" t="s">
        <v>142</v>
      </c>
      <c r="G884" s="18"/>
      <c r="H884" s="12" t="s">
        <v>143</v>
      </c>
      <c r="I884" s="18" t="s">
        <v>3410</v>
      </c>
      <c r="J884" s="18"/>
      <c r="K884" s="18" t="s">
        <v>3411</v>
      </c>
      <c r="L884" s="18"/>
      <c r="M884" s="18" t="str">
        <f>HYPERLINK("https://ceds.ed.gov/cedselementdetails.aspx?termid=10346")</f>
        <v>https://ceds.ed.gov/cedselementdetails.aspx?termid=10346</v>
      </c>
      <c r="N884" s="18" t="str">
        <f>HYPERLINK("https://ceds.ed.gov/elementComment.aspx?elementName=Incident Victim Identifier &amp;elementID=10346", "Click here to submit comment")</f>
        <v>Click here to submit comment</v>
      </c>
    </row>
    <row r="885" spans="1:14" x14ac:dyDescent="0.25">
      <c r="A885" s="18"/>
      <c r="B885" s="18"/>
      <c r="C885" s="18"/>
      <c r="D885" s="18"/>
      <c r="E885" s="18"/>
      <c r="F885" s="18"/>
      <c r="G885" s="18"/>
      <c r="H885" s="12"/>
      <c r="I885" s="18"/>
      <c r="J885" s="18"/>
      <c r="K885" s="18"/>
      <c r="L885" s="18"/>
      <c r="M885" s="18"/>
      <c r="N885" s="18"/>
    </row>
    <row r="886" spans="1:14" ht="90" x14ac:dyDescent="0.25">
      <c r="A886" s="18"/>
      <c r="B886" s="18"/>
      <c r="C886" s="18"/>
      <c r="D886" s="18"/>
      <c r="E886" s="18"/>
      <c r="F886" s="18"/>
      <c r="G886" s="18"/>
      <c r="H886" s="12" t="s">
        <v>144</v>
      </c>
      <c r="I886" s="18"/>
      <c r="J886" s="18"/>
      <c r="K886" s="18"/>
      <c r="L886" s="18"/>
      <c r="M886" s="18"/>
      <c r="N886" s="18"/>
    </row>
    <row r="887" spans="1:14" ht="409.5" x14ac:dyDescent="0.25">
      <c r="A887" s="12" t="s">
        <v>3412</v>
      </c>
      <c r="B887" s="12" t="s">
        <v>3413</v>
      </c>
      <c r="C887" s="13" t="s">
        <v>6963</v>
      </c>
      <c r="D887" s="12" t="s">
        <v>3001</v>
      </c>
      <c r="E887" s="12"/>
      <c r="F887" s="12"/>
      <c r="G887" s="12"/>
      <c r="H887" s="12"/>
      <c r="I887" s="12" t="s">
        <v>3414</v>
      </c>
      <c r="J887" s="12"/>
      <c r="K887" s="12" t="s">
        <v>3415</v>
      </c>
      <c r="L887" s="12"/>
      <c r="M887" s="12" t="str">
        <f>HYPERLINK("https://ceds.ed.gov/cedselementdetails.aspx?termid=10347")</f>
        <v>https://ceds.ed.gov/cedselementdetails.aspx?termid=10347</v>
      </c>
      <c r="N887" s="12" t="str">
        <f>HYPERLINK("https://ceds.ed.gov/elementComment.aspx?elementName=Incident Victim Type &amp;elementID=10347", "Click here to submit comment")</f>
        <v>Click here to submit comment</v>
      </c>
    </row>
    <row r="888" spans="1:14" ht="105" x14ac:dyDescent="0.25">
      <c r="A888" s="18" t="s">
        <v>3416</v>
      </c>
      <c r="B888" s="18" t="s">
        <v>3417</v>
      </c>
      <c r="C888" s="18" t="s">
        <v>12</v>
      </c>
      <c r="D888" s="18" t="s">
        <v>3001</v>
      </c>
      <c r="E888" s="18"/>
      <c r="F888" s="18" t="s">
        <v>142</v>
      </c>
      <c r="G888" s="18"/>
      <c r="H888" s="12" t="s">
        <v>143</v>
      </c>
      <c r="I888" s="18" t="s">
        <v>3418</v>
      </c>
      <c r="J888" s="18"/>
      <c r="K888" s="18" t="s">
        <v>3419</v>
      </c>
      <c r="L888" s="18"/>
      <c r="M888" s="18" t="str">
        <f>HYPERLINK("https://ceds.ed.gov/cedselementdetails.aspx?termid=10348")</f>
        <v>https://ceds.ed.gov/cedselementdetails.aspx?termid=10348</v>
      </c>
      <c r="N888" s="18" t="str">
        <f>HYPERLINK("https://ceds.ed.gov/elementComment.aspx?elementName=Incident Witness Identifier &amp;elementID=10348", "Click here to submit comment")</f>
        <v>Click here to submit comment</v>
      </c>
    </row>
    <row r="889" spans="1:14" x14ac:dyDescent="0.25">
      <c r="A889" s="18"/>
      <c r="B889" s="18"/>
      <c r="C889" s="18"/>
      <c r="D889" s="18"/>
      <c r="E889" s="18"/>
      <c r="F889" s="18"/>
      <c r="G889" s="18"/>
      <c r="H889" s="12"/>
      <c r="I889" s="18"/>
      <c r="J889" s="18"/>
      <c r="K889" s="18"/>
      <c r="L889" s="18"/>
      <c r="M889" s="18"/>
      <c r="N889" s="18"/>
    </row>
    <row r="890" spans="1:14" ht="90" x14ac:dyDescent="0.25">
      <c r="A890" s="18"/>
      <c r="B890" s="18"/>
      <c r="C890" s="18"/>
      <c r="D890" s="18"/>
      <c r="E890" s="18"/>
      <c r="F890" s="18"/>
      <c r="G890" s="18"/>
      <c r="H890" s="12" t="s">
        <v>144</v>
      </c>
      <c r="I890" s="18"/>
      <c r="J890" s="18"/>
      <c r="K890" s="18"/>
      <c r="L890" s="18"/>
      <c r="M890" s="18"/>
      <c r="N890" s="18"/>
    </row>
    <row r="891" spans="1:14" ht="409.5" x14ac:dyDescent="0.25">
      <c r="A891" s="12" t="s">
        <v>3420</v>
      </c>
      <c r="B891" s="12" t="s">
        <v>3421</v>
      </c>
      <c r="C891" s="13" t="s">
        <v>6963</v>
      </c>
      <c r="D891" s="12" t="s">
        <v>3001</v>
      </c>
      <c r="E891" s="12"/>
      <c r="F891" s="12"/>
      <c r="G891" s="12"/>
      <c r="H891" s="12"/>
      <c r="I891" s="12" t="s">
        <v>3422</v>
      </c>
      <c r="J891" s="12"/>
      <c r="K891" s="12" t="s">
        <v>3423</v>
      </c>
      <c r="L891" s="12"/>
      <c r="M891" s="12" t="str">
        <f>HYPERLINK("https://ceds.ed.gov/cedselementdetails.aspx?termid=10349")</f>
        <v>https://ceds.ed.gov/cedselementdetails.aspx?termid=10349</v>
      </c>
      <c r="N891" s="12" t="str">
        <f>HYPERLINK("https://ceds.ed.gov/elementComment.aspx?elementName=Incident Witness Type &amp;elementID=10349", "Click here to submit comment")</f>
        <v>Click here to submit comment</v>
      </c>
    </row>
    <row r="892" spans="1:14" ht="105" x14ac:dyDescent="0.25">
      <c r="A892" s="12" t="s">
        <v>3424</v>
      </c>
      <c r="B892" s="12" t="s">
        <v>3425</v>
      </c>
      <c r="C892" s="12" t="s">
        <v>6364</v>
      </c>
      <c r="D892" s="12" t="s">
        <v>6571</v>
      </c>
      <c r="E892" s="12"/>
      <c r="F892" s="12"/>
      <c r="G892" s="12"/>
      <c r="H892" s="12"/>
      <c r="I892" s="12" t="s">
        <v>3426</v>
      </c>
      <c r="J892" s="12"/>
      <c r="K892" s="12" t="s">
        <v>3427</v>
      </c>
      <c r="L892" s="12"/>
      <c r="M892" s="12" t="str">
        <f>HYPERLINK("https://ceds.ed.gov/cedselementdetails.aspx?termid=10591")</f>
        <v>https://ceds.ed.gov/cedselementdetails.aspx?termid=10591</v>
      </c>
      <c r="N892" s="12" t="str">
        <f>HYPERLINK("https://ceds.ed.gov/elementComment.aspx?elementName=Included in Counted Family Size &amp;elementID=10591", "Click here to submit comment")</f>
        <v>Click here to submit comment</v>
      </c>
    </row>
    <row r="893" spans="1:14" ht="60" x14ac:dyDescent="0.25">
      <c r="A893" s="12" t="s">
        <v>3428</v>
      </c>
      <c r="B893" s="12" t="s">
        <v>3429</v>
      </c>
      <c r="C893" s="12" t="s">
        <v>6364</v>
      </c>
      <c r="D893" s="12" t="s">
        <v>6462</v>
      </c>
      <c r="E893" s="12"/>
      <c r="F893" s="12"/>
      <c r="G893" s="12"/>
      <c r="H893" s="12"/>
      <c r="I893" s="12" t="s">
        <v>3430</v>
      </c>
      <c r="J893" s="12"/>
      <c r="K893" s="12" t="s">
        <v>3431</v>
      </c>
      <c r="L893" s="12"/>
      <c r="M893" s="12" t="str">
        <f>HYPERLINK("https://ceds.ed.gov/cedselementdetails.aspx?termid=10615")</f>
        <v>https://ceds.ed.gov/cedselementdetails.aspx?termid=10615</v>
      </c>
      <c r="N893" s="12" t="str">
        <f>HYPERLINK("https://ceds.ed.gov/elementComment.aspx?elementName=Inclusive Setting Indicator &amp;elementID=10615", "Click here to submit comment")</f>
        <v>Click here to submit comment</v>
      </c>
    </row>
    <row r="894" spans="1:14" ht="60" x14ac:dyDescent="0.25">
      <c r="A894" s="12" t="s">
        <v>3432</v>
      </c>
      <c r="B894" s="12" t="s">
        <v>3433</v>
      </c>
      <c r="C894" s="13" t="s">
        <v>6967</v>
      </c>
      <c r="D894" s="12" t="s">
        <v>2838</v>
      </c>
      <c r="E894" s="12"/>
      <c r="F894" s="12"/>
      <c r="G894" s="12"/>
      <c r="H894" s="12"/>
      <c r="I894" s="12" t="s">
        <v>3434</v>
      </c>
      <c r="J894" s="12"/>
      <c r="K894" s="12" t="s">
        <v>3435</v>
      </c>
      <c r="L894" s="12"/>
      <c r="M894" s="12" t="str">
        <f>HYPERLINK("https://ceds.ed.gov/cedselementdetails.aspx?termid=9333")</f>
        <v>https://ceds.ed.gov/cedselementdetails.aspx?termid=9333</v>
      </c>
      <c r="N894" s="12" t="str">
        <f>HYPERLINK("https://ceds.ed.gov/elementComment.aspx?elementName=Income Calculation Method &amp;elementID=9333", "Click here to submit comment")</f>
        <v>Click here to submit comment</v>
      </c>
    </row>
    <row r="895" spans="1:14" ht="120" x14ac:dyDescent="0.25">
      <c r="A895" s="12" t="s">
        <v>3436</v>
      </c>
      <c r="B895" s="12" t="s">
        <v>3437</v>
      </c>
      <c r="C895" s="13" t="s">
        <v>6968</v>
      </c>
      <c r="D895" s="12" t="s">
        <v>67</v>
      </c>
      <c r="E895" s="12"/>
      <c r="F895" s="12"/>
      <c r="G895" s="12"/>
      <c r="H895" s="12"/>
      <c r="I895" s="12" t="s">
        <v>3438</v>
      </c>
      <c r="J895" s="12"/>
      <c r="K895" s="12" t="s">
        <v>3439</v>
      </c>
      <c r="L895" s="12" t="s">
        <v>222</v>
      </c>
      <c r="M895" s="12" t="str">
        <f>HYPERLINK("https://ceds.ed.gov/cedselementdetails.aspx?termid=9164")</f>
        <v>https://ceds.ed.gov/cedselementdetails.aspx?termid=9164</v>
      </c>
      <c r="N895" s="12" t="str">
        <f>HYPERLINK("https://ceds.ed.gov/elementComment.aspx?elementName=Increased Learning Time Type &amp;elementID=9164", "Click here to submit comment")</f>
        <v>Click here to submit comment</v>
      </c>
    </row>
    <row r="896" spans="1:14" ht="75" x14ac:dyDescent="0.25">
      <c r="A896" s="12" t="s">
        <v>3440</v>
      </c>
      <c r="B896" s="12" t="s">
        <v>3441</v>
      </c>
      <c r="C896" s="12" t="s">
        <v>12</v>
      </c>
      <c r="D896" s="12" t="s">
        <v>6572</v>
      </c>
      <c r="E896" s="12"/>
      <c r="F896" s="12" t="s">
        <v>73</v>
      </c>
      <c r="G896" s="12"/>
      <c r="H896" s="12"/>
      <c r="I896" s="12" t="s">
        <v>3442</v>
      </c>
      <c r="J896" s="12"/>
      <c r="K896" s="12" t="s">
        <v>3443</v>
      </c>
      <c r="L896" s="12"/>
      <c r="M896" s="12" t="str">
        <f>HYPERLINK("https://ceds.ed.gov/cedselementdetails.aspx?termid=10197")</f>
        <v>https://ceds.ed.gov/cedselementdetails.aspx?termid=10197</v>
      </c>
      <c r="N896" s="12" t="str">
        <f>HYPERLINK("https://ceds.ed.gov/elementComment.aspx?elementName=Individualized Program Date &amp;elementID=10197", "Click here to submit comment")</f>
        <v>Click here to submit comment</v>
      </c>
    </row>
    <row r="897" spans="1:14" ht="120" x14ac:dyDescent="0.25">
      <c r="A897" s="12" t="s">
        <v>3444</v>
      </c>
      <c r="B897" s="12" t="s">
        <v>3445</v>
      </c>
      <c r="C897" s="13" t="s">
        <v>6969</v>
      </c>
      <c r="D897" s="12" t="s">
        <v>6572</v>
      </c>
      <c r="E897" s="12"/>
      <c r="F897" s="12"/>
      <c r="G897" s="12"/>
      <c r="H897" s="12"/>
      <c r="I897" s="12" t="s">
        <v>3446</v>
      </c>
      <c r="J897" s="12"/>
      <c r="K897" s="12" t="s">
        <v>3447</v>
      </c>
      <c r="L897" s="12"/>
      <c r="M897" s="12" t="str">
        <f>HYPERLINK("https://ceds.ed.gov/cedselementdetails.aspx?termid=10196")</f>
        <v>https://ceds.ed.gov/cedselementdetails.aspx?termid=10196</v>
      </c>
      <c r="N897" s="12" t="str">
        <f>HYPERLINK("https://ceds.ed.gov/elementComment.aspx?elementName=Individualized Program Date Type &amp;elementID=10196", "Click here to submit comment")</f>
        <v>Click here to submit comment</v>
      </c>
    </row>
    <row r="898" spans="1:14" ht="75" x14ac:dyDescent="0.25">
      <c r="A898" s="12" t="s">
        <v>3448</v>
      </c>
      <c r="B898" s="12" t="s">
        <v>3449</v>
      </c>
      <c r="C898" s="12" t="s">
        <v>12</v>
      </c>
      <c r="D898" s="12" t="s">
        <v>6572</v>
      </c>
      <c r="E898" s="12"/>
      <c r="F898" s="12" t="s">
        <v>620</v>
      </c>
      <c r="G898" s="12"/>
      <c r="H898" s="12"/>
      <c r="I898" s="12" t="s">
        <v>3450</v>
      </c>
      <c r="J898" s="12"/>
      <c r="K898" s="12" t="s">
        <v>3451</v>
      </c>
      <c r="L898" s="12"/>
      <c r="M898" s="12" t="str">
        <f>HYPERLINK("https://ceds.ed.gov/cedselementdetails.aspx?termid=10199")</f>
        <v>https://ceds.ed.gov/cedselementdetails.aspx?termid=10199</v>
      </c>
      <c r="N898" s="12" t="str">
        <f>HYPERLINK("https://ceds.ed.gov/elementComment.aspx?elementName=Individualized Program Inclusion Minutes Per Week &amp;elementID=10199", "Click here to submit comment")</f>
        <v>Click here to submit comment</v>
      </c>
    </row>
    <row r="899" spans="1:14" ht="75" x14ac:dyDescent="0.25">
      <c r="A899" s="12" t="s">
        <v>3452</v>
      </c>
      <c r="B899" s="12" t="s">
        <v>3453</v>
      </c>
      <c r="C899" s="12" t="s">
        <v>12</v>
      </c>
      <c r="D899" s="12" t="s">
        <v>6572</v>
      </c>
      <c r="E899" s="12"/>
      <c r="F899" s="12" t="s">
        <v>620</v>
      </c>
      <c r="G899" s="12"/>
      <c r="H899" s="12"/>
      <c r="I899" s="12" t="s">
        <v>3454</v>
      </c>
      <c r="J899" s="12"/>
      <c r="K899" s="12" t="s">
        <v>3455</v>
      </c>
      <c r="L899" s="12"/>
      <c r="M899" s="12" t="str">
        <f>HYPERLINK("https://ceds.ed.gov/cedselementdetails.aspx?termid=10198")</f>
        <v>https://ceds.ed.gov/cedselementdetails.aspx?termid=10198</v>
      </c>
      <c r="N899" s="12" t="str">
        <f>HYPERLINK("https://ceds.ed.gov/elementComment.aspx?elementName=Individualized Program NonInclusion Minutes Per Week &amp;elementID=10198", "Click here to submit comment")</f>
        <v>Click here to submit comment</v>
      </c>
    </row>
    <row r="900" spans="1:14" ht="45" x14ac:dyDescent="0.25">
      <c r="A900" s="12" t="s">
        <v>3456</v>
      </c>
      <c r="B900" s="12" t="s">
        <v>3457</v>
      </c>
      <c r="C900" s="12" t="s">
        <v>12</v>
      </c>
      <c r="D900" s="12" t="s">
        <v>2449</v>
      </c>
      <c r="E900" s="12"/>
      <c r="F900" s="12" t="s">
        <v>1554</v>
      </c>
      <c r="G900" s="12"/>
      <c r="H900" s="12"/>
      <c r="I900" s="12" t="s">
        <v>3458</v>
      </c>
      <c r="J900" s="12"/>
      <c r="K900" s="12" t="s">
        <v>3459</v>
      </c>
      <c r="L900" s="12"/>
      <c r="M900" s="12" t="str">
        <f>HYPERLINK("https://ceds.ed.gov/cedselementdetails.aspx?termid=10493")</f>
        <v>https://ceds.ed.gov/cedselementdetails.aspx?termid=10493</v>
      </c>
      <c r="N900" s="12" t="str">
        <f>HYPERLINK("https://ceds.ed.gov/elementComment.aspx?elementName=Individualized Program Planned Service Duration &amp;elementID=10493", "Click here to submit comment")</f>
        <v>Click here to submit comment</v>
      </c>
    </row>
    <row r="901" spans="1:14" ht="150" x14ac:dyDescent="0.25">
      <c r="A901" s="12" t="s">
        <v>3460</v>
      </c>
      <c r="B901" s="12" t="s">
        <v>3461</v>
      </c>
      <c r="C901" s="13" t="s">
        <v>6970</v>
      </c>
      <c r="D901" s="12" t="s">
        <v>2449</v>
      </c>
      <c r="E901" s="12"/>
      <c r="F901" s="12"/>
      <c r="G901" s="12"/>
      <c r="H901" s="12"/>
      <c r="I901" s="12" t="s">
        <v>3462</v>
      </c>
      <c r="J901" s="12"/>
      <c r="K901" s="12" t="s">
        <v>3463</v>
      </c>
      <c r="L901" s="12"/>
      <c r="M901" s="12" t="str">
        <f>HYPERLINK("https://ceds.ed.gov/cedselementdetails.aspx?termid=10492")</f>
        <v>https://ceds.ed.gov/cedselementdetails.aspx?termid=10492</v>
      </c>
      <c r="N901" s="12" t="str">
        <f>HYPERLINK("https://ceds.ed.gov/elementComment.aspx?elementName=Individualized Program Planned Service Frequency &amp;elementID=10492", "Click here to submit comment")</f>
        <v>Click here to submit comment</v>
      </c>
    </row>
    <row r="902" spans="1:14" ht="45" x14ac:dyDescent="0.25">
      <c r="A902" s="12" t="s">
        <v>3464</v>
      </c>
      <c r="B902" s="12" t="s">
        <v>3465</v>
      </c>
      <c r="C902" s="12" t="s">
        <v>12</v>
      </c>
      <c r="D902" s="12" t="s">
        <v>2449</v>
      </c>
      <c r="E902" s="12"/>
      <c r="F902" s="12" t="s">
        <v>73</v>
      </c>
      <c r="G902" s="12"/>
      <c r="H902" s="12" t="s">
        <v>3466</v>
      </c>
      <c r="I902" s="12" t="s">
        <v>3467</v>
      </c>
      <c r="J902" s="12"/>
      <c r="K902" s="12" t="s">
        <v>3468</v>
      </c>
      <c r="L902" s="12"/>
      <c r="M902" s="12" t="str">
        <f>HYPERLINK("https://ceds.ed.gov/cedselementdetails.aspx?termid=10350")</f>
        <v>https://ceds.ed.gov/cedselementdetails.aspx?termid=10350</v>
      </c>
      <c r="N902" s="12" t="str">
        <f>HYPERLINK("https://ceds.ed.gov/elementComment.aspx?elementName=Individualized Program Planned Service Start Date &amp;elementID=10350", "Click here to submit comment")</f>
        <v>Click here to submit comment</v>
      </c>
    </row>
    <row r="903" spans="1:14" ht="300" x14ac:dyDescent="0.25">
      <c r="A903" s="12" t="s">
        <v>3469</v>
      </c>
      <c r="B903" s="12" t="s">
        <v>3470</v>
      </c>
      <c r="C903" s="13" t="s">
        <v>6971</v>
      </c>
      <c r="D903" s="12" t="s">
        <v>2449</v>
      </c>
      <c r="E903" s="12"/>
      <c r="F903" s="12"/>
      <c r="G903" s="12"/>
      <c r="H903" s="12"/>
      <c r="I903" s="12" t="s">
        <v>3471</v>
      </c>
      <c r="J903" s="12"/>
      <c r="K903" s="12" t="s">
        <v>3472</v>
      </c>
      <c r="L903" s="12"/>
      <c r="M903" s="12" t="str">
        <f>HYPERLINK("https://ceds.ed.gov/cedselementdetails.aspx?termid=10352")</f>
        <v>https://ceds.ed.gov/cedselementdetails.aspx?termid=10352</v>
      </c>
      <c r="N903" s="12" t="str">
        <f>HYPERLINK("https://ceds.ed.gov/elementComment.aspx?elementName=Individualized Program Planned Service Type &amp;elementID=10352", "Click here to submit comment")</f>
        <v>Click here to submit comment</v>
      </c>
    </row>
    <row r="904" spans="1:14" ht="75" x14ac:dyDescent="0.25">
      <c r="A904" s="12" t="s">
        <v>3473</v>
      </c>
      <c r="B904" s="12" t="s">
        <v>3474</v>
      </c>
      <c r="C904" s="12" t="s">
        <v>12</v>
      </c>
      <c r="D904" s="12" t="s">
        <v>6572</v>
      </c>
      <c r="E904" s="12"/>
      <c r="F904" s="12" t="s">
        <v>73</v>
      </c>
      <c r="G904" s="12"/>
      <c r="H904" s="12"/>
      <c r="I904" s="12" t="s">
        <v>3475</v>
      </c>
      <c r="J904" s="12"/>
      <c r="K904" s="12" t="s">
        <v>3476</v>
      </c>
      <c r="L904" s="12"/>
      <c r="M904" s="12" t="str">
        <f>HYPERLINK("https://ceds.ed.gov/cedselementdetails.aspx?termid=10201")</f>
        <v>https://ceds.ed.gov/cedselementdetails.aspx?termid=10201</v>
      </c>
      <c r="N904" s="12" t="str">
        <f>HYPERLINK("https://ceds.ed.gov/elementComment.aspx?elementName=Individualized Program Service Plan Date &amp;elementID=10201", "Click here to submit comment")</f>
        <v>Click here to submit comment</v>
      </c>
    </row>
    <row r="905" spans="1:14" ht="255" x14ac:dyDescent="0.25">
      <c r="A905" s="12" t="s">
        <v>3477</v>
      </c>
      <c r="B905" s="12" t="s">
        <v>3478</v>
      </c>
      <c r="C905" s="13" t="s">
        <v>6972</v>
      </c>
      <c r="D905" s="12" t="s">
        <v>6572</v>
      </c>
      <c r="E905" s="12"/>
      <c r="F905" s="12"/>
      <c r="G905" s="12"/>
      <c r="H905" s="12"/>
      <c r="I905" s="12" t="s">
        <v>3479</v>
      </c>
      <c r="J905" s="12"/>
      <c r="K905" s="12" t="s">
        <v>3480</v>
      </c>
      <c r="L905" s="12"/>
      <c r="M905" s="12" t="str">
        <f>HYPERLINK("https://ceds.ed.gov/cedselementdetails.aspx?termid=10202")</f>
        <v>https://ceds.ed.gov/cedselementdetails.aspx?termid=10202</v>
      </c>
      <c r="N905" s="12" t="str">
        <f>HYPERLINK("https://ceds.ed.gov/elementComment.aspx?elementName=Individualized Program Service Plan Meeting Location &amp;elementID=10202", "Click here to submit comment")</f>
        <v>Click here to submit comment</v>
      </c>
    </row>
    <row r="906" spans="1:14" ht="75" x14ac:dyDescent="0.25">
      <c r="A906" s="12" t="s">
        <v>3481</v>
      </c>
      <c r="B906" s="12" t="s">
        <v>3482</v>
      </c>
      <c r="C906" s="12" t="s">
        <v>12</v>
      </c>
      <c r="D906" s="12" t="s">
        <v>6572</v>
      </c>
      <c r="E906" s="12"/>
      <c r="F906" s="12" t="s">
        <v>327</v>
      </c>
      <c r="G906" s="12"/>
      <c r="H906" s="12"/>
      <c r="I906" s="12" t="s">
        <v>3483</v>
      </c>
      <c r="J906" s="12"/>
      <c r="K906" s="12" t="s">
        <v>3484</v>
      </c>
      <c r="L906" s="12"/>
      <c r="M906" s="12" t="str">
        <f>HYPERLINK("https://ceds.ed.gov/cedselementdetails.aspx?termid=10203")</f>
        <v>https://ceds.ed.gov/cedselementdetails.aspx?termid=10203</v>
      </c>
      <c r="N906" s="12" t="str">
        <f>HYPERLINK("https://ceds.ed.gov/elementComment.aspx?elementName=Individualized Program Service Plan Meeting Participants &amp;elementID=10203", "Click here to submit comment")</f>
        <v>Click here to submit comment</v>
      </c>
    </row>
    <row r="907" spans="1:14" ht="75" x14ac:dyDescent="0.25">
      <c r="A907" s="12" t="s">
        <v>3485</v>
      </c>
      <c r="B907" s="12" t="s">
        <v>3486</v>
      </c>
      <c r="C907" s="12" t="s">
        <v>12</v>
      </c>
      <c r="D907" s="12" t="s">
        <v>6572</v>
      </c>
      <c r="E907" s="12"/>
      <c r="F907" s="12" t="s">
        <v>73</v>
      </c>
      <c r="G907" s="12"/>
      <c r="H907" s="12"/>
      <c r="I907" s="12" t="s">
        <v>3487</v>
      </c>
      <c r="J907" s="12"/>
      <c r="K907" s="12" t="s">
        <v>3488</v>
      </c>
      <c r="L907" s="12"/>
      <c r="M907" s="12" t="str">
        <f>HYPERLINK("https://ceds.ed.gov/cedselementdetails.aspx?termid=10207")</f>
        <v>https://ceds.ed.gov/cedselementdetails.aspx?termid=10207</v>
      </c>
      <c r="N907" s="12" t="str">
        <f>HYPERLINK("https://ceds.ed.gov/elementComment.aspx?elementName=Individualized Program Service Plan Reevaluation Date &amp;elementID=10207", "Click here to submit comment")</f>
        <v>Click here to submit comment</v>
      </c>
    </row>
    <row r="908" spans="1:14" ht="75" x14ac:dyDescent="0.25">
      <c r="A908" s="12" t="s">
        <v>3489</v>
      </c>
      <c r="B908" s="12" t="s">
        <v>3490</v>
      </c>
      <c r="C908" s="12" t="s">
        <v>12</v>
      </c>
      <c r="D908" s="12" t="s">
        <v>6572</v>
      </c>
      <c r="E908" s="12"/>
      <c r="F908" s="12" t="s">
        <v>73</v>
      </c>
      <c r="G908" s="12"/>
      <c r="H908" s="12"/>
      <c r="I908" s="12" t="s">
        <v>3491</v>
      </c>
      <c r="J908" s="12"/>
      <c r="K908" s="12" t="s">
        <v>3492</v>
      </c>
      <c r="L908" s="12"/>
      <c r="M908" s="12" t="str">
        <f>HYPERLINK("https://ceds.ed.gov/cedselementdetails.aspx?termid=10205")</f>
        <v>https://ceds.ed.gov/cedselementdetails.aspx?termid=10205</v>
      </c>
      <c r="N908" s="12" t="str">
        <f>HYPERLINK("https://ceds.ed.gov/elementComment.aspx?elementName=Individualized Program Service Plan Signature Date &amp;elementID=10205", "Click here to submit comment")</f>
        <v>Click here to submit comment</v>
      </c>
    </row>
    <row r="909" spans="1:14" ht="75" x14ac:dyDescent="0.25">
      <c r="A909" s="12" t="s">
        <v>3493</v>
      </c>
      <c r="B909" s="12" t="s">
        <v>3494</v>
      </c>
      <c r="C909" s="12" t="s">
        <v>12</v>
      </c>
      <c r="D909" s="12" t="s">
        <v>6572</v>
      </c>
      <c r="E909" s="12"/>
      <c r="F909" s="12" t="s">
        <v>327</v>
      </c>
      <c r="G909" s="12"/>
      <c r="H909" s="12"/>
      <c r="I909" s="12" t="s">
        <v>3495</v>
      </c>
      <c r="J909" s="12"/>
      <c r="K909" s="12" t="s">
        <v>3496</v>
      </c>
      <c r="L909" s="12"/>
      <c r="M909" s="12" t="str">
        <f>HYPERLINK("https://ceds.ed.gov/cedselementdetails.aspx?termid=10204")</f>
        <v>https://ceds.ed.gov/cedselementdetails.aspx?termid=10204</v>
      </c>
      <c r="N909" s="12" t="str">
        <f>HYPERLINK("https://ceds.ed.gov/elementComment.aspx?elementName=Individualized Program Service Plan Signed By &amp;elementID=10204", "Click here to submit comment")</f>
        <v>Click here to submit comment</v>
      </c>
    </row>
    <row r="910" spans="1:14" ht="75" x14ac:dyDescent="0.25">
      <c r="A910" s="12" t="s">
        <v>3497</v>
      </c>
      <c r="B910" s="12" t="s">
        <v>3498</v>
      </c>
      <c r="C910" s="13" t="s">
        <v>6973</v>
      </c>
      <c r="D910" s="12" t="s">
        <v>6572</v>
      </c>
      <c r="E910" s="12"/>
      <c r="F910" s="12"/>
      <c r="G910" s="12"/>
      <c r="H910" s="12"/>
      <c r="I910" s="12" t="s">
        <v>3499</v>
      </c>
      <c r="J910" s="12"/>
      <c r="K910" s="12" t="s">
        <v>3500</v>
      </c>
      <c r="L910" s="12"/>
      <c r="M910" s="12" t="str">
        <f>HYPERLINK("https://ceds.ed.gov/cedselementdetails.aspx?termid=10200")</f>
        <v>https://ceds.ed.gov/cedselementdetails.aspx?termid=10200</v>
      </c>
      <c r="N910" s="12" t="str">
        <f>HYPERLINK("https://ceds.ed.gov/elementComment.aspx?elementName=Individualized Program Transition Plan Type &amp;elementID=10200", "Click here to submit comment")</f>
        <v>Click here to submit comment</v>
      </c>
    </row>
    <row r="911" spans="1:14" ht="285" x14ac:dyDescent="0.25">
      <c r="A911" s="12" t="s">
        <v>3501</v>
      </c>
      <c r="B911" s="12" t="s">
        <v>3502</v>
      </c>
      <c r="C911" s="13" t="s">
        <v>6974</v>
      </c>
      <c r="D911" s="12" t="s">
        <v>6573</v>
      </c>
      <c r="E911" s="12"/>
      <c r="F911" s="12"/>
      <c r="G911" s="12"/>
      <c r="H911" s="12"/>
      <c r="I911" s="12" t="s">
        <v>3503</v>
      </c>
      <c r="J911" s="12"/>
      <c r="K911" s="12" t="s">
        <v>3504</v>
      </c>
      <c r="L911" s="12" t="s">
        <v>6393</v>
      </c>
      <c r="M911" s="12" t="str">
        <f>HYPERLINK("https://ceds.ed.gov/cedselementdetails.aspx?termid=9320")</f>
        <v>https://ceds.ed.gov/cedselementdetails.aspx?termid=9320</v>
      </c>
      <c r="N911" s="12" t="str">
        <f>HYPERLINK("https://ceds.ed.gov/elementComment.aspx?elementName=Individualized Program Type &amp;elementID=9320", "Click here to submit comment")</f>
        <v>Click here to submit comment</v>
      </c>
    </row>
    <row r="912" spans="1:14" ht="75" x14ac:dyDescent="0.25">
      <c r="A912" s="12" t="s">
        <v>3505</v>
      </c>
      <c r="B912" s="12" t="s">
        <v>3506</v>
      </c>
      <c r="C912" s="12" t="s">
        <v>12</v>
      </c>
      <c r="D912" s="12" t="s">
        <v>1856</v>
      </c>
      <c r="E912" s="12"/>
      <c r="F912" s="12" t="s">
        <v>92</v>
      </c>
      <c r="G912" s="12"/>
      <c r="H912" s="12"/>
      <c r="I912" s="12" t="s">
        <v>3507</v>
      </c>
      <c r="J912" s="12"/>
      <c r="K912" s="12" t="s">
        <v>3508</v>
      </c>
      <c r="L912" s="12" t="s">
        <v>6380</v>
      </c>
      <c r="M912" s="12" t="str">
        <f>HYPERLINK("https://ceds.ed.gov/cedselementdetails.aspx?termid=9165")</f>
        <v>https://ceds.ed.gov/cedselementdetails.aspx?termid=9165</v>
      </c>
      <c r="N912" s="12" t="str">
        <f>HYPERLINK("https://ceds.ed.gov/elementComment.aspx?elementName=Initial Enrollment Term &amp;elementID=9165", "Click here to submit comment")</f>
        <v>Click here to submit comment</v>
      </c>
    </row>
    <row r="913" spans="1:14" ht="45" x14ac:dyDescent="0.25">
      <c r="A913" s="12" t="s">
        <v>3509</v>
      </c>
      <c r="B913" s="12" t="s">
        <v>3510</v>
      </c>
      <c r="C913" s="12" t="s">
        <v>12</v>
      </c>
      <c r="D913" s="12" t="s">
        <v>1899</v>
      </c>
      <c r="E913" s="12"/>
      <c r="F913" s="12" t="s">
        <v>73</v>
      </c>
      <c r="G913" s="12"/>
      <c r="H913" s="12"/>
      <c r="I913" s="12" t="s">
        <v>3511</v>
      </c>
      <c r="J913" s="12"/>
      <c r="K913" s="12" t="s">
        <v>3512</v>
      </c>
      <c r="L913" s="12" t="s">
        <v>6464</v>
      </c>
      <c r="M913" s="12" t="str">
        <f>HYPERLINK("https://ceds.ed.gov/cedselementdetails.aspx?termid=9347")</f>
        <v>https://ceds.ed.gov/cedselementdetails.aspx?termid=9347</v>
      </c>
      <c r="N913" s="12" t="str">
        <f>HYPERLINK("https://ceds.ed.gov/elementComment.aspx?elementName=Initial License Date &amp;elementID=9347", "Click here to submit comment")</f>
        <v>Click here to submit comment</v>
      </c>
    </row>
    <row r="914" spans="1:14" ht="60" x14ac:dyDescent="0.25">
      <c r="A914" s="12" t="s">
        <v>3513</v>
      </c>
      <c r="B914" s="12" t="s">
        <v>3514</v>
      </c>
      <c r="C914" s="12" t="s">
        <v>12</v>
      </c>
      <c r="D914" s="12" t="s">
        <v>6541</v>
      </c>
      <c r="E914" s="12"/>
      <c r="F914" s="12" t="s">
        <v>1554</v>
      </c>
      <c r="G914" s="12"/>
      <c r="H914" s="12"/>
      <c r="I914" s="12" t="s">
        <v>3515</v>
      </c>
      <c r="J914" s="12"/>
      <c r="K914" s="12" t="s">
        <v>3516</v>
      </c>
      <c r="L914" s="12" t="s">
        <v>211</v>
      </c>
      <c r="M914" s="12" t="str">
        <f>HYPERLINK("https://ceds.ed.gov/cedselementdetails.aspx?termid=9451")</f>
        <v>https://ceds.ed.gov/cedselementdetails.aspx?termid=9451</v>
      </c>
      <c r="N914" s="12" t="str">
        <f>HYPERLINK("https://ceds.ed.gov/elementComment.aspx?elementName=Innovative Dollars Spent &amp;elementID=9451", "Click here to submit comment")</f>
        <v>Click here to submit comment</v>
      </c>
    </row>
    <row r="915" spans="1:14" ht="60" x14ac:dyDescent="0.25">
      <c r="A915" s="12" t="s">
        <v>3517</v>
      </c>
      <c r="B915" s="12" t="s">
        <v>3518</v>
      </c>
      <c r="C915" s="12" t="s">
        <v>12</v>
      </c>
      <c r="D915" s="12" t="s">
        <v>6541</v>
      </c>
      <c r="E915" s="12"/>
      <c r="F915" s="12" t="s">
        <v>1554</v>
      </c>
      <c r="G915" s="12"/>
      <c r="H915" s="12"/>
      <c r="I915" s="12" t="s">
        <v>3519</v>
      </c>
      <c r="J915" s="12"/>
      <c r="K915" s="12" t="s">
        <v>3520</v>
      </c>
      <c r="L915" s="12" t="s">
        <v>211</v>
      </c>
      <c r="M915" s="12" t="str">
        <f>HYPERLINK("https://ceds.ed.gov/cedselementdetails.aspx?termid=9452")</f>
        <v>https://ceds.ed.gov/cedselementdetails.aspx?termid=9452</v>
      </c>
      <c r="N915" s="12" t="str">
        <f>HYPERLINK("https://ceds.ed.gov/elementComment.aspx?elementName=Innovative Dollars Spent on Strategic Priorities &amp;elementID=9452", "Click here to submit comment")</f>
        <v>Click here to submit comment</v>
      </c>
    </row>
    <row r="916" spans="1:14" ht="60" x14ac:dyDescent="0.25">
      <c r="A916" s="12" t="s">
        <v>3521</v>
      </c>
      <c r="B916" s="12" t="s">
        <v>3522</v>
      </c>
      <c r="C916" s="12" t="s">
        <v>12</v>
      </c>
      <c r="D916" s="12" t="s">
        <v>6541</v>
      </c>
      <c r="E916" s="12"/>
      <c r="F916" s="12" t="s">
        <v>1554</v>
      </c>
      <c r="G916" s="12"/>
      <c r="H916" s="12"/>
      <c r="I916" s="12" t="s">
        <v>3523</v>
      </c>
      <c r="J916" s="12"/>
      <c r="K916" s="12" t="s">
        <v>3524</v>
      </c>
      <c r="L916" s="12" t="s">
        <v>211</v>
      </c>
      <c r="M916" s="12" t="str">
        <f>HYPERLINK("https://ceds.ed.gov/cedselementdetails.aspx?termid=9454")</f>
        <v>https://ceds.ed.gov/cedselementdetails.aspx?termid=9454</v>
      </c>
      <c r="N916" s="12" t="str">
        <f>HYPERLINK("https://ceds.ed.gov/elementComment.aspx?elementName=Innovative Programs Funds Received &amp;elementID=9454", "Click here to submit comment")</f>
        <v>Click here to submit comment</v>
      </c>
    </row>
    <row r="917" spans="1:14" ht="75" x14ac:dyDescent="0.25">
      <c r="A917" s="12" t="s">
        <v>3525</v>
      </c>
      <c r="B917" s="12" t="s">
        <v>3526</v>
      </c>
      <c r="C917" s="12" t="s">
        <v>12</v>
      </c>
      <c r="D917" s="12" t="s">
        <v>236</v>
      </c>
      <c r="E917" s="12"/>
      <c r="F917" s="12" t="s">
        <v>3527</v>
      </c>
      <c r="G917" s="12"/>
      <c r="H917" s="12"/>
      <c r="I917" s="12" t="s">
        <v>3528</v>
      </c>
      <c r="J917" s="12" t="s">
        <v>3529</v>
      </c>
      <c r="K917" s="12" t="s">
        <v>3530</v>
      </c>
      <c r="L917" s="12" t="s">
        <v>6380</v>
      </c>
      <c r="M917" s="12" t="str">
        <f>HYPERLINK("https://ceds.ed.gov/cedselementdetails.aspx?termid=9166")</f>
        <v>https://ceds.ed.gov/cedselementdetails.aspx?termid=9166</v>
      </c>
      <c r="N917" s="12" t="str">
        <f>HYPERLINK("https://ceds.ed.gov/elementComment.aspx?elementName=Institution IPEDS UnitID &amp;elementID=9166", "Click here to submit comment")</f>
        <v>Click here to submit comment</v>
      </c>
    </row>
    <row r="918" spans="1:14" ht="180" x14ac:dyDescent="0.25">
      <c r="A918" s="12" t="s">
        <v>3531</v>
      </c>
      <c r="B918" s="12" t="s">
        <v>3532</v>
      </c>
      <c r="C918" s="13" t="s">
        <v>6975</v>
      </c>
      <c r="D918" s="12" t="s">
        <v>6574</v>
      </c>
      <c r="E918" s="12"/>
      <c r="F918" s="12"/>
      <c r="G918" s="12"/>
      <c r="H918" s="12"/>
      <c r="I918" s="12" t="s">
        <v>3533</v>
      </c>
      <c r="J918" s="12"/>
      <c r="K918" s="12" t="s">
        <v>3534</v>
      </c>
      <c r="L918" s="12"/>
      <c r="M918" s="12" t="str">
        <f>HYPERLINK("https://ceds.ed.gov/cedselementdetails.aspx?termid=9167")</f>
        <v>https://ceds.ed.gov/cedselementdetails.aspx?termid=9167</v>
      </c>
      <c r="N918" s="12" t="str">
        <f>HYPERLINK("https://ceds.ed.gov/elementComment.aspx?elementName=Institution Telephone Number Type &amp;elementID=9167", "Click here to submit comment")</f>
        <v>Click here to submit comment</v>
      </c>
    </row>
    <row r="919" spans="1:14" ht="105" x14ac:dyDescent="0.25">
      <c r="A919" s="12" t="s">
        <v>3535</v>
      </c>
      <c r="B919" s="12" t="s">
        <v>3536</v>
      </c>
      <c r="C919" s="12" t="s">
        <v>6364</v>
      </c>
      <c r="D919" s="12" t="s">
        <v>236</v>
      </c>
      <c r="E919" s="12"/>
      <c r="F919" s="12"/>
      <c r="G919" s="12"/>
      <c r="H919" s="12" t="s">
        <v>369</v>
      </c>
      <c r="I919" s="12" t="s">
        <v>3537</v>
      </c>
      <c r="J919" s="12"/>
      <c r="K919" s="12" t="s">
        <v>3538</v>
      </c>
      <c r="L919" s="12" t="s">
        <v>1593</v>
      </c>
      <c r="M919" s="12" t="str">
        <f>HYPERLINK("https://ceds.ed.gov/cedselementdetails.aspx?termid=9727")</f>
        <v>https://ceds.ed.gov/cedselementdetails.aspx?termid=9727</v>
      </c>
      <c r="N919" s="12" t="str">
        <f>HYPERLINK("https://ceds.ed.gov/elementComment.aspx?elementName=Institutionally Controlled Housing Status &amp;elementID=9727", "Click here to submit comment")</f>
        <v>Click here to submit comment</v>
      </c>
    </row>
    <row r="920" spans="1:14" ht="120" x14ac:dyDescent="0.25">
      <c r="A920" s="12" t="s">
        <v>3539</v>
      </c>
      <c r="B920" s="12" t="s">
        <v>3540</v>
      </c>
      <c r="C920" s="13" t="s">
        <v>6976</v>
      </c>
      <c r="D920" s="12" t="s">
        <v>33</v>
      </c>
      <c r="E920" s="12"/>
      <c r="F920" s="12"/>
      <c r="G920" s="12"/>
      <c r="H920" s="12" t="s">
        <v>3541</v>
      </c>
      <c r="I920" s="12" t="s">
        <v>3542</v>
      </c>
      <c r="J920" s="12"/>
      <c r="K920" s="12" t="s">
        <v>3543</v>
      </c>
      <c r="L920" s="12" t="s">
        <v>37</v>
      </c>
      <c r="M920" s="12" t="str">
        <f>HYPERLINK("https://ceds.ed.gov/cedselementdetails.aspx?termid=9719")</f>
        <v>https://ceds.ed.gov/cedselementdetails.aspx?termid=9719</v>
      </c>
      <c r="N920" s="12" t="str">
        <f>HYPERLINK("https://ceds.ed.gov/elementComment.aspx?elementName=Instruction Credit Type &amp;elementID=9719", "Click here to submit comment")</f>
        <v>Click here to submit comment</v>
      </c>
    </row>
    <row r="921" spans="1:14" ht="150" x14ac:dyDescent="0.25">
      <c r="A921" s="12" t="s">
        <v>3544</v>
      </c>
      <c r="B921" s="12" t="s">
        <v>3545</v>
      </c>
      <c r="C921" s="14" t="s">
        <v>999</v>
      </c>
      <c r="D921" s="12" t="s">
        <v>6473</v>
      </c>
      <c r="E921" s="12" t="s">
        <v>98</v>
      </c>
      <c r="F921" s="12"/>
      <c r="G921" s="12"/>
      <c r="H921" s="14" t="s">
        <v>1000</v>
      </c>
      <c r="I921" s="12" t="s">
        <v>3546</v>
      </c>
      <c r="J921" s="12"/>
      <c r="K921" s="12" t="s">
        <v>3547</v>
      </c>
      <c r="L921" s="12" t="s">
        <v>211</v>
      </c>
      <c r="M921" s="12" t="str">
        <f>HYPERLINK("https://ceds.ed.gov/cedselementdetails.aspx?termid=9438")</f>
        <v>https://ceds.ed.gov/cedselementdetails.aspx?termid=9438</v>
      </c>
      <c r="N921" s="12" t="str">
        <f>HYPERLINK("https://ceds.ed.gov/elementComment.aspx?elementName=Instruction Language &amp;elementID=9438", "Click here to submit comment")</f>
        <v>Click here to submit comment</v>
      </c>
    </row>
    <row r="922" spans="1:14" ht="45" x14ac:dyDescent="0.25">
      <c r="A922" s="12" t="s">
        <v>3548</v>
      </c>
      <c r="B922" s="12" t="s">
        <v>3549</v>
      </c>
      <c r="C922" s="12" t="s">
        <v>12</v>
      </c>
      <c r="D922" s="12" t="s">
        <v>2399</v>
      </c>
      <c r="E922" s="12"/>
      <c r="F922" s="12" t="s">
        <v>1554</v>
      </c>
      <c r="G922" s="12"/>
      <c r="H922" s="12"/>
      <c r="I922" s="12" t="s">
        <v>3550</v>
      </c>
      <c r="J922" s="12"/>
      <c r="K922" s="12" t="s">
        <v>3551</v>
      </c>
      <c r="L922" s="12" t="s">
        <v>6380</v>
      </c>
      <c r="M922" s="12" t="str">
        <f>HYPERLINK("https://ceds.ed.gov/cedselementdetails.aspx?termid=9168")</f>
        <v>https://ceds.ed.gov/cedselementdetails.aspx?termid=9168</v>
      </c>
      <c r="N922" s="12" t="str">
        <f>HYPERLINK("https://ceds.ed.gov/elementComment.aspx?elementName=Instructional Activity Hours Attempted &amp;elementID=9168", "Click here to submit comment")</f>
        <v>Click here to submit comment</v>
      </c>
    </row>
    <row r="923" spans="1:14" ht="75" x14ac:dyDescent="0.25">
      <c r="A923" s="12" t="s">
        <v>3552</v>
      </c>
      <c r="B923" s="12" t="s">
        <v>3553</v>
      </c>
      <c r="C923" s="12" t="s">
        <v>12</v>
      </c>
      <c r="D923" s="12" t="s">
        <v>6575</v>
      </c>
      <c r="E923" s="12"/>
      <c r="F923" s="12" t="s">
        <v>1554</v>
      </c>
      <c r="G923" s="12"/>
      <c r="H923" s="12"/>
      <c r="I923" s="12" t="s">
        <v>3554</v>
      </c>
      <c r="J923" s="12"/>
      <c r="K923" s="12" t="s">
        <v>3555</v>
      </c>
      <c r="L923" s="12" t="s">
        <v>3556</v>
      </c>
      <c r="M923" s="12" t="str">
        <f>HYPERLINK("https://ceds.ed.gov/cedselementdetails.aspx?termid=9361")</f>
        <v>https://ceds.ed.gov/cedselementdetails.aspx?termid=9361</v>
      </c>
      <c r="N923" s="12" t="str">
        <f>HYPERLINK("https://ceds.ed.gov/elementComment.aspx?elementName=Instructional Activity Hours Completed &amp;elementID=9361", "Click here to submit comment")</f>
        <v>Click here to submit comment</v>
      </c>
    </row>
    <row r="924" spans="1:14" ht="45" x14ac:dyDescent="0.25">
      <c r="A924" s="12" t="s">
        <v>3557</v>
      </c>
      <c r="B924" s="12" t="s">
        <v>3558</v>
      </c>
      <c r="C924" s="13" t="s">
        <v>6977</v>
      </c>
      <c r="D924" s="12" t="s">
        <v>2399</v>
      </c>
      <c r="E924" s="12"/>
      <c r="F924" s="12"/>
      <c r="G924" s="12"/>
      <c r="H924" s="12"/>
      <c r="I924" s="12" t="s">
        <v>3559</v>
      </c>
      <c r="J924" s="12"/>
      <c r="K924" s="12" t="s">
        <v>3560</v>
      </c>
      <c r="L924" s="12" t="s">
        <v>6380</v>
      </c>
      <c r="M924" s="12" t="str">
        <f>HYPERLINK("https://ceds.ed.gov/cedselementdetails.aspx?termid=9169")</f>
        <v>https://ceds.ed.gov/cedselementdetails.aspx?termid=9169</v>
      </c>
      <c r="N924" s="12" t="str">
        <f>HYPERLINK("https://ceds.ed.gov/elementComment.aspx?elementName=Instructional Activity Hours Type &amp;elementID=9169", "Click here to submit comment")</f>
        <v>Click here to submit comment</v>
      </c>
    </row>
    <row r="925" spans="1:14" ht="90" x14ac:dyDescent="0.25">
      <c r="A925" s="12" t="s">
        <v>3561</v>
      </c>
      <c r="B925" s="12" t="s">
        <v>3562</v>
      </c>
      <c r="C925" s="12" t="s">
        <v>12</v>
      </c>
      <c r="D925" s="12" t="s">
        <v>2250</v>
      </c>
      <c r="E925" s="12"/>
      <c r="F925" s="12" t="s">
        <v>317</v>
      </c>
      <c r="G925" s="12"/>
      <c r="H925" s="12"/>
      <c r="I925" s="12" t="s">
        <v>3563</v>
      </c>
      <c r="J925" s="12"/>
      <c r="K925" s="12" t="s">
        <v>3564</v>
      </c>
      <c r="L925" s="12"/>
      <c r="M925" s="12" t="str">
        <f>HYPERLINK("https://ceds.ed.gov/cedselementdetails.aspx?termid=9490")</f>
        <v>https://ceds.ed.gov/cedselementdetails.aspx?termid=9490</v>
      </c>
      <c r="N925" s="12" t="str">
        <f>HYPERLINK("https://ceds.ed.gov/elementComment.aspx?elementName=Instructional Minutes &amp;elementID=9490", "Click here to submit comment")</f>
        <v>Click here to submit comment</v>
      </c>
    </row>
    <row r="926" spans="1:14" ht="60" x14ac:dyDescent="0.25">
      <c r="A926" s="12" t="s">
        <v>3565</v>
      </c>
      <c r="B926" s="12" t="s">
        <v>3566</v>
      </c>
      <c r="C926" s="12" t="s">
        <v>12</v>
      </c>
      <c r="D926" s="12" t="s">
        <v>1292</v>
      </c>
      <c r="E926" s="12"/>
      <c r="F926" s="12" t="s">
        <v>794</v>
      </c>
      <c r="G926" s="12"/>
      <c r="H926" s="12"/>
      <c r="I926" s="12" t="s">
        <v>3567</v>
      </c>
      <c r="J926" s="12"/>
      <c r="K926" s="12" t="s">
        <v>3568</v>
      </c>
      <c r="L926" s="12" t="s">
        <v>6409</v>
      </c>
      <c r="M926" s="12" t="str">
        <f>HYPERLINK("https://ceds.ed.gov/cedselementdetails.aspx?termid=9369")</f>
        <v>https://ceds.ed.gov/cedselementdetails.aspx?termid=9369</v>
      </c>
      <c r="N926" s="12" t="str">
        <f>HYPERLINK("https://ceds.ed.gov/elementComment.aspx?elementName=Instructional Recommendation &amp;elementID=9369", "Click here to submit comment")</f>
        <v>Click here to submit comment</v>
      </c>
    </row>
    <row r="927" spans="1:14" ht="90" x14ac:dyDescent="0.25">
      <c r="A927" s="12" t="s">
        <v>3569</v>
      </c>
      <c r="B927" s="12" t="s">
        <v>3570</v>
      </c>
      <c r="C927" s="13" t="s">
        <v>6978</v>
      </c>
      <c r="D927" s="12" t="s">
        <v>33</v>
      </c>
      <c r="E927" s="12"/>
      <c r="F927" s="12"/>
      <c r="G927" s="12"/>
      <c r="H927" s="12" t="s">
        <v>3571</v>
      </c>
      <c r="I927" s="12" t="s">
        <v>3572</v>
      </c>
      <c r="J927" s="12"/>
      <c r="K927" s="12" t="s">
        <v>3573</v>
      </c>
      <c r="L927" s="12" t="s">
        <v>37</v>
      </c>
      <c r="M927" s="12" t="str">
        <f>HYPERLINK("https://ceds.ed.gov/cedselementdetails.aspx?termid=9712")</f>
        <v>https://ceds.ed.gov/cedselementdetails.aspx?termid=9712</v>
      </c>
      <c r="N927" s="12" t="str">
        <f>HYPERLINK("https://ceds.ed.gov/elementComment.aspx?elementName=Instructional Staff Contract Length &amp;elementID=9712", "Click here to submit comment")</f>
        <v>Click here to submit comment</v>
      </c>
    </row>
    <row r="928" spans="1:14" ht="105" x14ac:dyDescent="0.25">
      <c r="A928" s="12" t="s">
        <v>3574</v>
      </c>
      <c r="B928" s="12" t="s">
        <v>3575</v>
      </c>
      <c r="C928" s="13" t="s">
        <v>6979</v>
      </c>
      <c r="D928" s="12" t="s">
        <v>33</v>
      </c>
      <c r="E928" s="12"/>
      <c r="F928" s="12"/>
      <c r="G928" s="12"/>
      <c r="H928" s="12" t="s">
        <v>1910</v>
      </c>
      <c r="I928" s="12" t="s">
        <v>3576</v>
      </c>
      <c r="J928" s="12"/>
      <c r="K928" s="12" t="s">
        <v>3577</v>
      </c>
      <c r="L928" s="12" t="s">
        <v>37</v>
      </c>
      <c r="M928" s="12" t="str">
        <f>HYPERLINK("https://ceds.ed.gov/cedselementdetails.aspx?termid=9716")</f>
        <v>https://ceds.ed.gov/cedselementdetails.aspx?termid=9716</v>
      </c>
      <c r="N928" s="12" t="str">
        <f>HYPERLINK("https://ceds.ed.gov/elementComment.aspx?elementName=Instructional Staff Faculty Tenure Status &amp;elementID=9716", "Click here to submit comment")</f>
        <v>Click here to submit comment</v>
      </c>
    </row>
    <row r="929" spans="1:14" ht="90" x14ac:dyDescent="0.25">
      <c r="A929" s="12" t="s">
        <v>3578</v>
      </c>
      <c r="B929" s="12" t="s">
        <v>3579</v>
      </c>
      <c r="C929" s="12" t="s">
        <v>6364</v>
      </c>
      <c r="D929" s="12" t="s">
        <v>33</v>
      </c>
      <c r="E929" s="12"/>
      <c r="F929" s="12"/>
      <c r="G929" s="12"/>
      <c r="H929" s="12" t="s">
        <v>2824</v>
      </c>
      <c r="I929" s="12" t="s">
        <v>3580</v>
      </c>
      <c r="J929" s="12"/>
      <c r="K929" s="12" t="s">
        <v>3581</v>
      </c>
      <c r="L929" s="12"/>
      <c r="M929" s="12" t="str">
        <f>HYPERLINK("https://ceds.ed.gov/cedselementdetails.aspx?termid=9709")</f>
        <v>https://ceds.ed.gov/cedselementdetails.aspx?termid=9709</v>
      </c>
      <c r="N929" s="12" t="str">
        <f>HYPERLINK("https://ceds.ed.gov/elementComment.aspx?elementName=Instructional Staff Status &amp;elementID=9709", "Click here to submit comment")</f>
        <v>Click here to submit comment</v>
      </c>
    </row>
    <row r="930" spans="1:14" ht="210" x14ac:dyDescent="0.25">
      <c r="A930" s="12" t="s">
        <v>3582</v>
      </c>
      <c r="B930" s="12" t="s">
        <v>3583</v>
      </c>
      <c r="C930" s="13" t="s">
        <v>6855</v>
      </c>
      <c r="D930" s="12" t="s">
        <v>6497</v>
      </c>
      <c r="E930" s="12"/>
      <c r="F930" s="12"/>
      <c r="G930" s="12"/>
      <c r="H930" s="12" t="s">
        <v>2280</v>
      </c>
      <c r="I930" s="12" t="s">
        <v>3584</v>
      </c>
      <c r="J930" s="12"/>
      <c r="K930" s="12" t="s">
        <v>3585</v>
      </c>
      <c r="L930" s="12" t="s">
        <v>2283</v>
      </c>
      <c r="M930" s="12" t="str">
        <f>HYPERLINK("https://ceds.ed.gov/cedselementdetails.aspx?termid=9334")</f>
        <v>https://ceds.ed.gov/cedselementdetails.aspx?termid=9334</v>
      </c>
      <c r="N930" s="12" t="str">
        <f>HYPERLINK("https://ceds.ed.gov/elementComment.aspx?elementName=Insurance Coverage &amp;elementID=9334", "Click here to submit comment")</f>
        <v>Click here to submit comment</v>
      </c>
    </row>
    <row r="931" spans="1:14" ht="90" x14ac:dyDescent="0.25">
      <c r="A931" s="12" t="s">
        <v>3586</v>
      </c>
      <c r="B931" s="12" t="s">
        <v>3587</v>
      </c>
      <c r="C931" s="13" t="s">
        <v>6980</v>
      </c>
      <c r="D931" s="12" t="s">
        <v>1563</v>
      </c>
      <c r="E931" s="12"/>
      <c r="F931" s="12"/>
      <c r="G931" s="12"/>
      <c r="H931" s="12"/>
      <c r="I931" s="12" t="s">
        <v>3588</v>
      </c>
      <c r="J931" s="12"/>
      <c r="K931" s="12" t="s">
        <v>3589</v>
      </c>
      <c r="L931" s="12" t="s">
        <v>222</v>
      </c>
      <c r="M931" s="12" t="str">
        <f>HYPERLINK("https://ceds.ed.gov/cedselementdetails.aspx?termid=9170")</f>
        <v>https://ceds.ed.gov/cedselementdetails.aspx?termid=9170</v>
      </c>
      <c r="N931" s="12" t="str">
        <f>HYPERLINK("https://ceds.ed.gov/elementComment.aspx?elementName=Integrated Technology Status &amp;elementID=9170", "Click here to submit comment")</f>
        <v>Click here to submit comment</v>
      </c>
    </row>
    <row r="932" spans="1:14" ht="45" x14ac:dyDescent="0.25">
      <c r="A932" s="12" t="s">
        <v>3590</v>
      </c>
      <c r="B932" s="12" t="s">
        <v>3591</v>
      </c>
      <c r="C932" s="12" t="s">
        <v>12</v>
      </c>
      <c r="D932" s="12" t="s">
        <v>529</v>
      </c>
      <c r="E932" s="12"/>
      <c r="F932" s="12" t="s">
        <v>73</v>
      </c>
      <c r="G932" s="12"/>
      <c r="H932" s="12"/>
      <c r="I932" s="12" t="s">
        <v>3592</v>
      </c>
      <c r="J932" s="12"/>
      <c r="K932" s="12" t="s">
        <v>3593</v>
      </c>
      <c r="L932" s="12"/>
      <c r="M932" s="12" t="str">
        <f>HYPERLINK("https://ceds.ed.gov/cedselementdetails.aspx?termid=10137")</f>
        <v>https://ceds.ed.gov/cedselementdetails.aspx?termid=10137</v>
      </c>
      <c r="N932" s="12" t="str">
        <f>HYPERLINK("https://ceds.ed.gov/elementComment.aspx?elementName=Intended Administration Start Date &amp;elementID=10137", "Click here to submit comment")</f>
        <v>Click here to submit comment</v>
      </c>
    </row>
    <row r="933" spans="1:14" ht="60" x14ac:dyDescent="0.25">
      <c r="A933" s="12" t="s">
        <v>3594</v>
      </c>
      <c r="B933" s="12" t="s">
        <v>3595</v>
      </c>
      <c r="C933" s="13" t="s">
        <v>6981</v>
      </c>
      <c r="D933" s="12" t="s">
        <v>225</v>
      </c>
      <c r="E933" s="12"/>
      <c r="F933" s="12"/>
      <c r="G933" s="12"/>
      <c r="H933" s="12"/>
      <c r="I933" s="12" t="s">
        <v>3596</v>
      </c>
      <c r="J933" s="12"/>
      <c r="K933" s="12" t="s">
        <v>3597</v>
      </c>
      <c r="L933" s="12" t="s">
        <v>222</v>
      </c>
      <c r="M933" s="12" t="str">
        <f>HYPERLINK("https://ceds.ed.gov/cedselementdetails.aspx?termid=9580")</f>
        <v>https://ceds.ed.gov/cedselementdetails.aspx?termid=9580</v>
      </c>
      <c r="N933" s="12" t="str">
        <f>HYPERLINK("https://ceds.ed.gov/elementComment.aspx?elementName=Internet Access &amp;elementID=9580", "Click here to submit comment")</f>
        <v>Click here to submit comment</v>
      </c>
    </row>
    <row r="934" spans="1:14" ht="60" x14ac:dyDescent="0.25">
      <c r="A934" s="12" t="s">
        <v>3598</v>
      </c>
      <c r="B934" s="12" t="s">
        <v>3599</v>
      </c>
      <c r="C934" s="12" t="s">
        <v>12</v>
      </c>
      <c r="D934" s="12" t="s">
        <v>1563</v>
      </c>
      <c r="E934" s="12"/>
      <c r="F934" s="12" t="s">
        <v>317</v>
      </c>
      <c r="G934" s="12"/>
      <c r="H934" s="12"/>
      <c r="I934" s="12" t="s">
        <v>3600</v>
      </c>
      <c r="J934" s="12"/>
      <c r="K934" s="12" t="s">
        <v>3601</v>
      </c>
      <c r="L934" s="12"/>
      <c r="M934" s="12" t="str">
        <f>HYPERLINK("https://ceds.ed.gov/cedselementdetails.aspx?termid=9665")</f>
        <v>https://ceds.ed.gov/cedselementdetails.aspx?termid=9665</v>
      </c>
      <c r="N934" s="12" t="str">
        <f>HYPERLINK("https://ceds.ed.gov/elementComment.aspx?elementName=Interscholastic Sport Participants - Female Only &amp;elementID=9665", "Click here to submit comment")</f>
        <v>Click here to submit comment</v>
      </c>
    </row>
    <row r="935" spans="1:14" ht="60" x14ac:dyDescent="0.25">
      <c r="A935" s="12" t="s">
        <v>3602</v>
      </c>
      <c r="B935" s="12" t="s">
        <v>3603</v>
      </c>
      <c r="C935" s="12" t="s">
        <v>12</v>
      </c>
      <c r="D935" s="12" t="s">
        <v>1563</v>
      </c>
      <c r="E935" s="12"/>
      <c r="F935" s="12" t="s">
        <v>317</v>
      </c>
      <c r="G935" s="12"/>
      <c r="H935" s="12"/>
      <c r="I935" s="12" t="s">
        <v>3604</v>
      </c>
      <c r="J935" s="12"/>
      <c r="K935" s="12" t="s">
        <v>3605</v>
      </c>
      <c r="L935" s="12"/>
      <c r="M935" s="12" t="str">
        <f>HYPERLINK("https://ceds.ed.gov/cedselementdetails.aspx?termid=9664")</f>
        <v>https://ceds.ed.gov/cedselementdetails.aspx?termid=9664</v>
      </c>
      <c r="N935" s="12" t="str">
        <f>HYPERLINK("https://ceds.ed.gov/elementComment.aspx?elementName=Interscholastic Sport Participants - Male Only &amp;elementID=9664", "Click here to submit comment")</f>
        <v>Click here to submit comment</v>
      </c>
    </row>
    <row r="936" spans="1:14" ht="90" x14ac:dyDescent="0.25">
      <c r="A936" s="12" t="s">
        <v>3606</v>
      </c>
      <c r="B936" s="12" t="s">
        <v>3607</v>
      </c>
      <c r="C936" s="12" t="s">
        <v>12</v>
      </c>
      <c r="D936" s="12" t="s">
        <v>1563</v>
      </c>
      <c r="E936" s="12"/>
      <c r="F936" s="12" t="s">
        <v>317</v>
      </c>
      <c r="G936" s="12"/>
      <c r="H936" s="12"/>
      <c r="I936" s="12" t="s">
        <v>3608</v>
      </c>
      <c r="J936" s="12"/>
      <c r="K936" s="12" t="s">
        <v>3609</v>
      </c>
      <c r="L936" s="12"/>
      <c r="M936" s="12" t="str">
        <f>HYPERLINK("https://ceds.ed.gov/cedselementdetails.aspx?termid=9661")</f>
        <v>https://ceds.ed.gov/cedselementdetails.aspx?termid=9661</v>
      </c>
      <c r="N936" s="12" t="str">
        <f>HYPERLINK("https://ceds.ed.gov/elementComment.aspx?elementName=Interscholastic Sports - Female Only &amp;elementID=9661", "Click here to submit comment")</f>
        <v>Click here to submit comment</v>
      </c>
    </row>
    <row r="937" spans="1:14" ht="75" x14ac:dyDescent="0.25">
      <c r="A937" s="12" t="s">
        <v>3610</v>
      </c>
      <c r="B937" s="12" t="s">
        <v>3611</v>
      </c>
      <c r="C937" s="12" t="s">
        <v>12</v>
      </c>
      <c r="D937" s="12" t="s">
        <v>1563</v>
      </c>
      <c r="E937" s="12"/>
      <c r="F937" s="12" t="s">
        <v>317</v>
      </c>
      <c r="G937" s="12"/>
      <c r="H937" s="12"/>
      <c r="I937" s="12" t="s">
        <v>3612</v>
      </c>
      <c r="J937" s="12"/>
      <c r="K937" s="12" t="s">
        <v>3613</v>
      </c>
      <c r="L937" s="12"/>
      <c r="M937" s="12" t="str">
        <f>HYPERLINK("https://ceds.ed.gov/cedselementdetails.aspx?termid=9660")</f>
        <v>https://ceds.ed.gov/cedselementdetails.aspx?termid=9660</v>
      </c>
      <c r="N937" s="12" t="str">
        <f>HYPERLINK("https://ceds.ed.gov/elementComment.aspx?elementName=Interscholastic Sports - Male Only &amp;elementID=9660", "Click here to submit comment")</f>
        <v>Click here to submit comment</v>
      </c>
    </row>
    <row r="938" spans="1:14" ht="105" x14ac:dyDescent="0.25">
      <c r="A938" s="12" t="s">
        <v>3614</v>
      </c>
      <c r="B938" s="12" t="s">
        <v>3615</v>
      </c>
      <c r="C938" s="12" t="s">
        <v>12</v>
      </c>
      <c r="D938" s="12" t="s">
        <v>1563</v>
      </c>
      <c r="E938" s="12"/>
      <c r="F938" s="12" t="s">
        <v>317</v>
      </c>
      <c r="G938" s="12"/>
      <c r="H938" s="12"/>
      <c r="I938" s="12" t="s">
        <v>3616</v>
      </c>
      <c r="J938" s="12"/>
      <c r="K938" s="12" t="s">
        <v>3617</v>
      </c>
      <c r="L938" s="12"/>
      <c r="M938" s="12" t="str">
        <f>HYPERLINK("https://ceds.ed.gov/cedselementdetails.aspx?termid=9663")</f>
        <v>https://ceds.ed.gov/cedselementdetails.aspx?termid=9663</v>
      </c>
      <c r="N938" s="12" t="str">
        <f>HYPERLINK("https://ceds.ed.gov/elementComment.aspx?elementName=Interscholastic Teams - Female Only &amp;elementID=9663", "Click here to submit comment")</f>
        <v>Click here to submit comment</v>
      </c>
    </row>
    <row r="939" spans="1:14" ht="105" x14ac:dyDescent="0.25">
      <c r="A939" s="12" t="s">
        <v>3618</v>
      </c>
      <c r="B939" s="12" t="s">
        <v>3619</v>
      </c>
      <c r="C939" s="12" t="s">
        <v>12</v>
      </c>
      <c r="D939" s="12" t="s">
        <v>1563</v>
      </c>
      <c r="E939" s="12"/>
      <c r="F939" s="12" t="s">
        <v>317</v>
      </c>
      <c r="G939" s="12"/>
      <c r="H939" s="12"/>
      <c r="I939" s="12" t="s">
        <v>3620</v>
      </c>
      <c r="J939" s="12"/>
      <c r="K939" s="12" t="s">
        <v>3621</v>
      </c>
      <c r="L939" s="12"/>
      <c r="M939" s="12" t="str">
        <f>HYPERLINK("https://ceds.ed.gov/cedselementdetails.aspx?termid=9662")</f>
        <v>https://ceds.ed.gov/cedselementdetails.aspx?termid=9662</v>
      </c>
      <c r="N939" s="12" t="str">
        <f>HYPERLINK("https://ceds.ed.gov/elementComment.aspx?elementName=Interscholastic Teams - Male Only &amp;elementID=9662", "Click here to submit comment")</f>
        <v>Click here to submit comment</v>
      </c>
    </row>
    <row r="940" spans="1:14" ht="150" x14ac:dyDescent="0.25">
      <c r="A940" s="12" t="s">
        <v>3622</v>
      </c>
      <c r="B940" s="12" t="s">
        <v>3623</v>
      </c>
      <c r="C940" s="12" t="s">
        <v>12</v>
      </c>
      <c r="D940" s="12" t="s">
        <v>236</v>
      </c>
      <c r="E940" s="12"/>
      <c r="F940" s="12" t="s">
        <v>45</v>
      </c>
      <c r="G940" s="12"/>
      <c r="H940" s="12"/>
      <c r="I940" s="12" t="s">
        <v>3624</v>
      </c>
      <c r="J940" s="12"/>
      <c r="K940" s="12" t="s">
        <v>3625</v>
      </c>
      <c r="L940" s="12" t="s">
        <v>239</v>
      </c>
      <c r="M940" s="12" t="str">
        <f>HYPERLINK("https://ceds.ed.gov/cedselementdetails.aspx?termid=10592")</f>
        <v>https://ceds.ed.gov/cedselementdetails.aspx?termid=10592</v>
      </c>
      <c r="N940" s="12" t="str">
        <f>HYPERLINK("https://ceds.ed.gov/elementComment.aspx?elementName=IPEDS Collection Year Designator &amp;elementID=10592", "Click here to submit comment")</f>
        <v>Click here to submit comment</v>
      </c>
    </row>
    <row r="941" spans="1:14" ht="390" x14ac:dyDescent="0.25">
      <c r="A941" s="12" t="s">
        <v>3626</v>
      </c>
      <c r="B941" s="12" t="s">
        <v>3627</v>
      </c>
      <c r="C941" s="13" t="s">
        <v>6982</v>
      </c>
      <c r="D941" s="12" t="s">
        <v>33</v>
      </c>
      <c r="E941" s="12"/>
      <c r="F941" s="12"/>
      <c r="G941" s="12"/>
      <c r="H941" s="12" t="s">
        <v>3628</v>
      </c>
      <c r="I941" s="12" t="s">
        <v>3629</v>
      </c>
      <c r="J941" s="12"/>
      <c r="K941" s="12" t="s">
        <v>3630</v>
      </c>
      <c r="L941" s="12" t="s">
        <v>37</v>
      </c>
      <c r="M941" s="12" t="str">
        <f>HYPERLINK("https://ceds.ed.gov/cedselementdetails.aspx?termid=9708")</f>
        <v>https://ceds.ed.gov/cedselementdetails.aspx?termid=9708</v>
      </c>
      <c r="N941" s="12" t="str">
        <f>HYPERLINK("https://ceds.ed.gov/elementComment.aspx?elementName=IPEDS Occupational Category &amp;elementID=9708", "Click here to submit comment")</f>
        <v>Click here to submit comment</v>
      </c>
    </row>
    <row r="942" spans="1:14" ht="135" x14ac:dyDescent="0.25">
      <c r="A942" s="12" t="s">
        <v>3631</v>
      </c>
      <c r="B942" s="12" t="s">
        <v>3632</v>
      </c>
      <c r="C942" s="14" t="s">
        <v>999</v>
      </c>
      <c r="D942" s="12" t="s">
        <v>6576</v>
      </c>
      <c r="E942" s="12" t="s">
        <v>98</v>
      </c>
      <c r="F942" s="12"/>
      <c r="G942" s="12"/>
      <c r="H942" s="14" t="s">
        <v>1000</v>
      </c>
      <c r="I942" s="12" t="s">
        <v>3633</v>
      </c>
      <c r="J942" s="12"/>
      <c r="K942" s="12" t="s">
        <v>3634</v>
      </c>
      <c r="L942" s="12" t="s">
        <v>6577</v>
      </c>
      <c r="M942" s="12" t="str">
        <f>HYPERLINK("https://ceds.ed.gov/cedselementdetails.aspx?termid=9317")</f>
        <v>https://ceds.ed.gov/cedselementdetails.aspx?termid=9317</v>
      </c>
      <c r="N942" s="12" t="str">
        <f>HYPERLINK("https://ceds.ed.gov/elementComment.aspx?elementName=ISO 639-2 Language Code &amp;elementID=9317", "Click here to submit comment")</f>
        <v>Click here to submit comment</v>
      </c>
    </row>
    <row r="943" spans="1:14" ht="135" x14ac:dyDescent="0.25">
      <c r="A943" s="12" t="s">
        <v>3635</v>
      </c>
      <c r="B943" s="12" t="s">
        <v>3632</v>
      </c>
      <c r="C943" s="14" t="s">
        <v>3636</v>
      </c>
      <c r="D943" s="12" t="s">
        <v>6576</v>
      </c>
      <c r="E943" s="12" t="s">
        <v>1498</v>
      </c>
      <c r="F943" s="12"/>
      <c r="G943" s="12"/>
      <c r="H943" s="14" t="s">
        <v>3637</v>
      </c>
      <c r="I943" s="12" t="s">
        <v>3638</v>
      </c>
      <c r="J943" s="12"/>
      <c r="K943" s="12" t="s">
        <v>3639</v>
      </c>
      <c r="L943" s="12"/>
      <c r="M943" s="12" t="str">
        <f>HYPERLINK("https://ceds.ed.gov/cedselementdetails.aspx?termid=10618")</f>
        <v>https://ceds.ed.gov/cedselementdetails.aspx?termid=10618</v>
      </c>
      <c r="N943" s="12" t="str">
        <f>HYPERLINK("https://ceds.ed.gov/elementComment.aspx?elementName=ISO 639-3 Language Code &amp;elementID=10618", "Click here to submit comment")</f>
        <v>Click here to submit comment</v>
      </c>
    </row>
    <row r="944" spans="1:14" ht="409.5" x14ac:dyDescent="0.25">
      <c r="A944" s="12" t="s">
        <v>3640</v>
      </c>
      <c r="B944" s="12" t="s">
        <v>3641</v>
      </c>
      <c r="C944" s="13" t="s">
        <v>6983</v>
      </c>
      <c r="D944" s="12" t="s">
        <v>6576</v>
      </c>
      <c r="E944" s="12" t="s">
        <v>1498</v>
      </c>
      <c r="F944" s="12"/>
      <c r="G944" s="12"/>
      <c r="H944" s="14" t="s">
        <v>3642</v>
      </c>
      <c r="I944" s="12" t="s">
        <v>3643</v>
      </c>
      <c r="J944" s="12"/>
      <c r="K944" s="12" t="s">
        <v>3644</v>
      </c>
      <c r="L944" s="12"/>
      <c r="M944" s="12" t="str">
        <f>HYPERLINK("https://ceds.ed.gov/cedselementdetails.aspx?termid=10619")</f>
        <v>https://ceds.ed.gov/cedselementdetails.aspx?termid=10619</v>
      </c>
      <c r="N944" s="12" t="str">
        <f>HYPERLINK("https://ceds.ed.gov/elementComment.aspx?elementName=ISO 639-5 Language Family &amp;elementID=10619", "Click here to submit comment")</f>
        <v>Click here to submit comment</v>
      </c>
    </row>
    <row r="945" spans="1:14" ht="45" x14ac:dyDescent="0.25">
      <c r="A945" s="12" t="s">
        <v>3645</v>
      </c>
      <c r="B945" s="12" t="s">
        <v>3646</v>
      </c>
      <c r="C945" s="12" t="s">
        <v>6364</v>
      </c>
      <c r="D945" s="12" t="s">
        <v>2496</v>
      </c>
      <c r="E945" s="12"/>
      <c r="F945" s="12"/>
      <c r="G945" s="12"/>
      <c r="H945" s="12"/>
      <c r="I945" s="12" t="s">
        <v>3647</v>
      </c>
      <c r="J945" s="12"/>
      <c r="K945" s="12" t="s">
        <v>3648</v>
      </c>
      <c r="L945" s="12"/>
      <c r="M945" s="12" t="str">
        <f>HYPERLINK("https://ceds.ed.gov/cedselementdetails.aspx?termid=10353")</f>
        <v>https://ceds.ed.gov/cedselementdetails.aspx?termid=10353</v>
      </c>
      <c r="N945" s="12" t="str">
        <f>HYPERLINK("https://ceds.ed.gov/elementComment.aspx?elementName=Itinerant Provider &amp;elementID=10353", "Click here to submit comment")</f>
        <v>Click here to submit comment</v>
      </c>
    </row>
    <row r="946" spans="1:14" ht="45" x14ac:dyDescent="0.25">
      <c r="A946" s="12" t="s">
        <v>3649</v>
      </c>
      <c r="B946" s="12" t="s">
        <v>3650</v>
      </c>
      <c r="C946" s="12" t="s">
        <v>6364</v>
      </c>
      <c r="D946" s="12" t="s">
        <v>3651</v>
      </c>
      <c r="E946" s="12"/>
      <c r="F946" s="12"/>
      <c r="G946" s="12"/>
      <c r="H946" s="12"/>
      <c r="I946" s="12" t="s">
        <v>3652</v>
      </c>
      <c r="J946" s="12"/>
      <c r="K946" s="12" t="s">
        <v>3653</v>
      </c>
      <c r="L946" s="12"/>
      <c r="M946" s="12" t="str">
        <f>HYPERLINK("https://ceds.ed.gov/cedselementdetails.aspx?termid=9519")</f>
        <v>https://ceds.ed.gov/cedselementdetails.aspx?termid=9519</v>
      </c>
      <c r="N946" s="12" t="str">
        <f>HYPERLINK("https://ceds.ed.gov/elementComment.aspx?elementName=Itinerant Teacher &amp;elementID=9519", "Click here to submit comment")</f>
        <v>Click here to submit comment</v>
      </c>
    </row>
    <row r="947" spans="1:14" ht="75" x14ac:dyDescent="0.25">
      <c r="A947" s="12" t="s">
        <v>3654</v>
      </c>
      <c r="B947" s="12" t="s">
        <v>3655</v>
      </c>
      <c r="C947" s="13" t="s">
        <v>6984</v>
      </c>
      <c r="D947" s="12" t="s">
        <v>3656</v>
      </c>
      <c r="E947" s="12"/>
      <c r="F947" s="12"/>
      <c r="G947" s="12"/>
      <c r="H947" s="12"/>
      <c r="I947" s="12" t="s">
        <v>3657</v>
      </c>
      <c r="J947" s="12"/>
      <c r="K947" s="12" t="s">
        <v>3658</v>
      </c>
      <c r="L947" s="12"/>
      <c r="M947" s="12" t="str">
        <f>HYPERLINK("https://ceds.ed.gov/cedselementdetails.aspx?termid=10355")</f>
        <v>https://ceds.ed.gov/cedselementdetails.aspx?termid=10355</v>
      </c>
      <c r="N947" s="12" t="str">
        <f>HYPERLINK("https://ceds.ed.gov/elementComment.aspx?elementName=K12 End of Course Requirement &amp;elementID=10355", "Click here to submit comment")</f>
        <v>Click here to submit comment</v>
      </c>
    </row>
    <row r="948" spans="1:14" ht="409.5" x14ac:dyDescent="0.25">
      <c r="A948" s="12" t="s">
        <v>3659</v>
      </c>
      <c r="B948" s="12" t="s">
        <v>3660</v>
      </c>
      <c r="C948" s="13" t="s">
        <v>6985</v>
      </c>
      <c r="D948" s="12" t="s">
        <v>3651</v>
      </c>
      <c r="E948" s="12" t="s">
        <v>98</v>
      </c>
      <c r="F948" s="12"/>
      <c r="G948" s="12"/>
      <c r="H948" s="12"/>
      <c r="I948" s="12" t="s">
        <v>3661</v>
      </c>
      <c r="J948" s="12"/>
      <c r="K948" s="12" t="s">
        <v>3662</v>
      </c>
      <c r="L948" s="12" t="s">
        <v>6578</v>
      </c>
      <c r="M948" s="12" t="str">
        <f>HYPERLINK("https://ceds.ed.gov/cedselementdetails.aspx?termid=9087")</f>
        <v>https://ceds.ed.gov/cedselementdetails.aspx?termid=9087</v>
      </c>
      <c r="N948" s="12" t="str">
        <f>HYPERLINK("https://ceds.ed.gov/elementComment.aspx?elementName=K12 Staff Classification &amp;elementID=9087", "Click here to submit comment")</f>
        <v>Click here to submit comment</v>
      </c>
    </row>
    <row r="949" spans="1:14" ht="60" x14ac:dyDescent="0.25">
      <c r="A949" s="12" t="s">
        <v>3663</v>
      </c>
      <c r="B949" s="12" t="s">
        <v>3664</v>
      </c>
      <c r="C949" s="13" t="s">
        <v>6986</v>
      </c>
      <c r="D949" s="12" t="s">
        <v>3665</v>
      </c>
      <c r="E949" s="12"/>
      <c r="F949" s="12"/>
      <c r="G949" s="12"/>
      <c r="H949" s="12"/>
      <c r="I949" s="12" t="s">
        <v>3666</v>
      </c>
      <c r="J949" s="12"/>
      <c r="K949" s="12" t="s">
        <v>3667</v>
      </c>
      <c r="L949" s="12" t="s">
        <v>4</v>
      </c>
      <c r="M949" s="12" t="str">
        <f>HYPERLINK("https://ceds.ed.gov/cedselementdetails.aspx?termid=9482")</f>
        <v>https://ceds.ed.gov/cedselementdetails.aspx?termid=9482</v>
      </c>
      <c r="N949" s="12" t="str">
        <f>HYPERLINK("https://ceds.ed.gov/elementComment.aspx?elementName=Kindergarten Daily Length &amp;elementID=9482", "Click here to submit comment")</f>
        <v>Click here to submit comment</v>
      </c>
    </row>
    <row r="950" spans="1:14" ht="105" x14ac:dyDescent="0.25">
      <c r="A950" s="12" t="s">
        <v>3668</v>
      </c>
      <c r="B950" s="12" t="s">
        <v>3669</v>
      </c>
      <c r="C950" s="13" t="s">
        <v>6987</v>
      </c>
      <c r="D950" s="12" t="s">
        <v>2394</v>
      </c>
      <c r="E950" s="12"/>
      <c r="F950" s="12"/>
      <c r="G950" s="12"/>
      <c r="H950" s="12"/>
      <c r="I950" s="12" t="s">
        <v>3670</v>
      </c>
      <c r="J950" s="12"/>
      <c r="K950" s="12" t="s">
        <v>3671</v>
      </c>
      <c r="L950" s="12"/>
      <c r="M950" s="12" t="str">
        <f>HYPERLINK("https://ceds.ed.gov/cedselementdetails.aspx?termid=9690")</f>
        <v>https://ceds.ed.gov/cedselementdetails.aspx?termid=9690</v>
      </c>
      <c r="N950" s="12" t="str">
        <f>HYPERLINK("https://ceds.ed.gov/elementComment.aspx?elementName=Kindergarten Program Participation Type &amp;elementID=9690", "Click here to submit comment")</f>
        <v>Click here to submit comment</v>
      </c>
    </row>
    <row r="951" spans="1:14" ht="75" x14ac:dyDescent="0.25">
      <c r="A951" s="12" t="s">
        <v>3672</v>
      </c>
      <c r="B951" s="12" t="s">
        <v>3673</v>
      </c>
      <c r="C951" s="12" t="s">
        <v>6364</v>
      </c>
      <c r="D951" s="12" t="s">
        <v>6579</v>
      </c>
      <c r="E951" s="12"/>
      <c r="F951" s="12"/>
      <c r="G951" s="12"/>
      <c r="H951" s="12"/>
      <c r="I951" s="12" t="s">
        <v>3674</v>
      </c>
      <c r="J951" s="12"/>
      <c r="K951" s="12" t="s">
        <v>3675</v>
      </c>
      <c r="L951" s="12"/>
      <c r="M951" s="12" t="str">
        <f>HYPERLINK("https://ceds.ed.gov/cedselementdetails.aspx?termid=10190")</f>
        <v>https://ceds.ed.gov/cedselementdetails.aspx?termid=10190</v>
      </c>
      <c r="N951" s="12" t="str">
        <f>HYPERLINK("https://ceds.ed.gov/elementComment.aspx?elementName=Language Translation Policy &amp;elementID=10190", "Click here to submit comment")</f>
        <v>Click here to submit comment</v>
      </c>
    </row>
    <row r="952" spans="1:14" ht="135" x14ac:dyDescent="0.25">
      <c r="A952" s="12" t="s">
        <v>3676</v>
      </c>
      <c r="B952" s="12" t="s">
        <v>3677</v>
      </c>
      <c r="C952" s="13" t="s">
        <v>6988</v>
      </c>
      <c r="D952" s="12" t="s">
        <v>6580</v>
      </c>
      <c r="E952" s="12"/>
      <c r="F952" s="12"/>
      <c r="G952" s="12"/>
      <c r="H952" s="12"/>
      <c r="I952" s="12" t="s">
        <v>3678</v>
      </c>
      <c r="J952" s="12"/>
      <c r="K952" s="12" t="s">
        <v>3679</v>
      </c>
      <c r="L952" s="12" t="s">
        <v>6577</v>
      </c>
      <c r="M952" s="12" t="str">
        <f>HYPERLINK("https://ceds.ed.gov/cedselementdetails.aspx?termid=9316")</f>
        <v>https://ceds.ed.gov/cedselementdetails.aspx?termid=9316</v>
      </c>
      <c r="N952" s="12" t="str">
        <f>HYPERLINK("https://ceds.ed.gov/elementComment.aspx?elementName=Language Type &amp;elementID=9316", "Click here to submit comment")</f>
        <v>Click here to submit comment</v>
      </c>
    </row>
    <row r="953" spans="1:14" ht="105" x14ac:dyDescent="0.25">
      <c r="A953" s="12" t="s">
        <v>3680</v>
      </c>
      <c r="B953" s="12" t="s">
        <v>3681</v>
      </c>
      <c r="C953" s="12" t="s">
        <v>12</v>
      </c>
      <c r="D953" s="12" t="s">
        <v>2250</v>
      </c>
      <c r="E953" s="12"/>
      <c r="F953" s="12" t="s">
        <v>73</v>
      </c>
      <c r="G953" s="12"/>
      <c r="H953" s="12"/>
      <c r="I953" s="12" t="s">
        <v>3682</v>
      </c>
      <c r="J953" s="12"/>
      <c r="K953" s="12" t="s">
        <v>3683</v>
      </c>
      <c r="L953" s="12"/>
      <c r="M953" s="12" t="str">
        <f>HYPERLINK("https://ceds.ed.gov/cedselementdetails.aspx?termid=9489")</f>
        <v>https://ceds.ed.gov/cedselementdetails.aspx?termid=9489</v>
      </c>
      <c r="N953" s="12" t="str">
        <f>HYPERLINK("https://ceds.ed.gov/elementComment.aspx?elementName=Last Instruction Date &amp;elementID=9489", "Click here to submit comment")</f>
        <v>Click here to submit comment</v>
      </c>
    </row>
    <row r="954" spans="1:14" ht="409.6" customHeight="1" x14ac:dyDescent="0.25">
      <c r="A954" s="18" t="s">
        <v>3684</v>
      </c>
      <c r="B954" s="18" t="s">
        <v>3685</v>
      </c>
      <c r="C954" s="18" t="s">
        <v>12</v>
      </c>
      <c r="D954" s="18" t="s">
        <v>6539</v>
      </c>
      <c r="E954" s="18"/>
      <c r="F954" s="18" t="s">
        <v>1349</v>
      </c>
      <c r="G954" s="18"/>
      <c r="H954" s="12" t="s">
        <v>3078</v>
      </c>
      <c r="I954" s="18" t="s">
        <v>3686</v>
      </c>
      <c r="J954" s="18" t="s">
        <v>3687</v>
      </c>
      <c r="K954" s="18" t="s">
        <v>3688</v>
      </c>
      <c r="L954" s="18" t="s">
        <v>6540</v>
      </c>
      <c r="M954" s="18" t="str">
        <f>HYPERLINK("https://ceds.ed.gov/cedselementdetails.aspx?termid=9172")</f>
        <v>https://ceds.ed.gov/cedselementdetails.aspx?termid=9172</v>
      </c>
      <c r="N954" s="18" t="str">
        <f>HYPERLINK("https://ceds.ed.gov/elementComment.aspx?elementName=Last or Surname &amp;elementID=9172", "Click here to submit comment")</f>
        <v>Click here to submit comment</v>
      </c>
    </row>
    <row r="955" spans="1:14" ht="90" x14ac:dyDescent="0.25">
      <c r="A955" s="18"/>
      <c r="B955" s="18"/>
      <c r="C955" s="18"/>
      <c r="D955" s="18"/>
      <c r="E955" s="18"/>
      <c r="F955" s="18"/>
      <c r="G955" s="18"/>
      <c r="H955" s="12" t="s">
        <v>3079</v>
      </c>
      <c r="I955" s="18"/>
      <c r="J955" s="18"/>
      <c r="K955" s="18"/>
      <c r="L955" s="18"/>
      <c r="M955" s="18"/>
      <c r="N955" s="18"/>
    </row>
    <row r="956" spans="1:14" ht="45" x14ac:dyDescent="0.25">
      <c r="A956" s="12" t="s">
        <v>3689</v>
      </c>
      <c r="B956" s="12" t="s">
        <v>3690</v>
      </c>
      <c r="C956" s="12" t="s">
        <v>12</v>
      </c>
      <c r="D956" s="12" t="s">
        <v>1894</v>
      </c>
      <c r="E956" s="12"/>
      <c r="F956" s="12" t="s">
        <v>73</v>
      </c>
      <c r="G956" s="12"/>
      <c r="H956" s="12"/>
      <c r="I956" s="12" t="s">
        <v>3691</v>
      </c>
      <c r="J956" s="12"/>
      <c r="K956" s="12" t="s">
        <v>3692</v>
      </c>
      <c r="L956" s="12" t="s">
        <v>222</v>
      </c>
      <c r="M956" s="12" t="str">
        <f>HYPERLINK("https://ceds.ed.gov/cedselementdetails.aspx?termid=9171")</f>
        <v>https://ceds.ed.gov/cedselementdetails.aspx?termid=9171</v>
      </c>
      <c r="N956" s="12" t="str">
        <f>HYPERLINK("https://ceds.ed.gov/elementComment.aspx?elementName=Last Qualifying Move Date &amp;elementID=9171", "Click here to submit comment")</f>
        <v>Click here to submit comment</v>
      </c>
    </row>
    <row r="957" spans="1:14" ht="409.5" x14ac:dyDescent="0.25">
      <c r="A957" s="12" t="s">
        <v>3693</v>
      </c>
      <c r="B957" s="12" t="s">
        <v>3694</v>
      </c>
      <c r="C957" s="12" t="s">
        <v>12</v>
      </c>
      <c r="D957" s="12" t="s">
        <v>6581</v>
      </c>
      <c r="E957" s="12"/>
      <c r="F957" s="12" t="s">
        <v>1201</v>
      </c>
      <c r="G957" s="12"/>
      <c r="H957" s="12"/>
      <c r="I957" s="12" t="s">
        <v>3695</v>
      </c>
      <c r="J957" s="12"/>
      <c r="K957" s="12" t="s">
        <v>3693</v>
      </c>
      <c r="L957" s="12"/>
      <c r="M957" s="12" t="str">
        <f>HYPERLINK("https://ceds.ed.gov/cedselementdetails.aspx?termid=9599")</f>
        <v>https://ceds.ed.gov/cedselementdetails.aspx?termid=9599</v>
      </c>
      <c r="N957" s="12" t="str">
        <f>HYPERLINK("https://ceds.ed.gov/elementComment.aspx?elementName=Latitude &amp;elementID=9599", "Click here to submit comment")</f>
        <v>Click here to submit comment</v>
      </c>
    </row>
    <row r="958" spans="1:14" ht="105" x14ac:dyDescent="0.25">
      <c r="A958" s="18" t="s">
        <v>3696</v>
      </c>
      <c r="B958" s="18" t="s">
        <v>3697</v>
      </c>
      <c r="C958" s="18" t="s">
        <v>12</v>
      </c>
      <c r="D958" s="18" t="s">
        <v>6582</v>
      </c>
      <c r="E958" s="18"/>
      <c r="F958" s="18" t="s">
        <v>142</v>
      </c>
      <c r="G958" s="18"/>
      <c r="H958" s="12" t="s">
        <v>143</v>
      </c>
      <c r="I958" s="18" t="s">
        <v>3698</v>
      </c>
      <c r="J958" s="18"/>
      <c r="K958" s="18" t="s">
        <v>3699</v>
      </c>
      <c r="L958" s="18"/>
      <c r="M958" s="18" t="str">
        <f>HYPERLINK("https://ceds.ed.gov/cedselementdetails.aspx?termid=10533")</f>
        <v>https://ceds.ed.gov/cedselementdetails.aspx?termid=10533</v>
      </c>
      <c r="N958" s="18" t="str">
        <f>HYPERLINK("https://ceds.ed.gov/elementComment.aspx?elementName=Learner Action Actor Identifier &amp;elementID=10533", "Click here to submit comment")</f>
        <v>Click here to submit comment</v>
      </c>
    </row>
    <row r="959" spans="1:14" x14ac:dyDescent="0.25">
      <c r="A959" s="18"/>
      <c r="B959" s="18"/>
      <c r="C959" s="18"/>
      <c r="D959" s="18"/>
      <c r="E959" s="18"/>
      <c r="F959" s="18"/>
      <c r="G959" s="18"/>
      <c r="H959" s="12"/>
      <c r="I959" s="18"/>
      <c r="J959" s="18"/>
      <c r="K959" s="18"/>
      <c r="L959" s="18"/>
      <c r="M959" s="18"/>
      <c r="N959" s="18"/>
    </row>
    <row r="960" spans="1:14" ht="90" x14ac:dyDescent="0.25">
      <c r="A960" s="18"/>
      <c r="B960" s="18"/>
      <c r="C960" s="18"/>
      <c r="D960" s="18"/>
      <c r="E960" s="18"/>
      <c r="F960" s="18"/>
      <c r="G960" s="18"/>
      <c r="H960" s="12" t="s">
        <v>144</v>
      </c>
      <c r="I960" s="18"/>
      <c r="J960" s="18"/>
      <c r="K960" s="18"/>
      <c r="L960" s="18"/>
      <c r="M960" s="18"/>
      <c r="N960" s="18"/>
    </row>
    <row r="961" spans="1:14" ht="45" x14ac:dyDescent="0.25">
      <c r="A961" s="12" t="s">
        <v>3700</v>
      </c>
      <c r="B961" s="12" t="s">
        <v>3701</v>
      </c>
      <c r="C961" s="12" t="s">
        <v>12</v>
      </c>
      <c r="D961" s="12" t="s">
        <v>6582</v>
      </c>
      <c r="E961" s="12"/>
      <c r="F961" s="12" t="s">
        <v>860</v>
      </c>
      <c r="G961" s="12"/>
      <c r="H961" s="12"/>
      <c r="I961" s="12" t="s">
        <v>3702</v>
      </c>
      <c r="J961" s="12"/>
      <c r="K961" s="12" t="s">
        <v>3703</v>
      </c>
      <c r="L961" s="12"/>
      <c r="M961" s="12" t="str">
        <f>HYPERLINK("https://ceds.ed.gov/cedselementdetails.aspx?termid=9938")</f>
        <v>https://ceds.ed.gov/cedselementdetails.aspx?termid=9938</v>
      </c>
      <c r="N961" s="12" t="str">
        <f>HYPERLINK("https://ceds.ed.gov/elementComment.aspx?elementName=Learner Action Date Time &amp;elementID=9938", "Click here to submit comment")</f>
        <v>Click here to submit comment</v>
      </c>
    </row>
    <row r="962" spans="1:14" ht="45" x14ac:dyDescent="0.25">
      <c r="A962" s="12" t="s">
        <v>3704</v>
      </c>
      <c r="B962" s="12" t="s">
        <v>3705</v>
      </c>
      <c r="C962" s="12" t="s">
        <v>12</v>
      </c>
      <c r="D962" s="12" t="s">
        <v>6582</v>
      </c>
      <c r="E962" s="12"/>
      <c r="F962" s="12" t="s">
        <v>68</v>
      </c>
      <c r="G962" s="12"/>
      <c r="H962" s="12"/>
      <c r="I962" s="12" t="s">
        <v>3706</v>
      </c>
      <c r="J962" s="12"/>
      <c r="K962" s="12" t="s">
        <v>3707</v>
      </c>
      <c r="L962" s="12"/>
      <c r="M962" s="12" t="str">
        <f>HYPERLINK("https://ceds.ed.gov/cedselementdetails.aspx?termid=10534")</f>
        <v>https://ceds.ed.gov/cedselementdetails.aspx?termid=10534</v>
      </c>
      <c r="N962" s="12" t="str">
        <f>HYPERLINK("https://ceds.ed.gov/elementComment.aspx?elementName=Learner Action Object Description &amp;elementID=10534", "Click here to submit comment")</f>
        <v>Click here to submit comment</v>
      </c>
    </row>
    <row r="963" spans="1:14" ht="105" x14ac:dyDescent="0.25">
      <c r="A963" s="18" t="s">
        <v>3708</v>
      </c>
      <c r="B963" s="18" t="s">
        <v>3709</v>
      </c>
      <c r="C963" s="18" t="s">
        <v>12</v>
      </c>
      <c r="D963" s="18" t="s">
        <v>6582</v>
      </c>
      <c r="E963" s="18"/>
      <c r="F963" s="18" t="s">
        <v>142</v>
      </c>
      <c r="G963" s="18"/>
      <c r="H963" s="12" t="s">
        <v>143</v>
      </c>
      <c r="I963" s="18" t="s">
        <v>3710</v>
      </c>
      <c r="J963" s="18"/>
      <c r="K963" s="18" t="s">
        <v>3711</v>
      </c>
      <c r="L963" s="18"/>
      <c r="M963" s="18" t="str">
        <f>HYPERLINK("https://ceds.ed.gov/cedselementdetails.aspx?termid=10535")</f>
        <v>https://ceds.ed.gov/cedselementdetails.aspx?termid=10535</v>
      </c>
      <c r="N963" s="18" t="str">
        <f>HYPERLINK("https://ceds.ed.gov/elementComment.aspx?elementName=Learner Action Object Identifier &amp;elementID=10535", "Click here to submit comment")</f>
        <v>Click here to submit comment</v>
      </c>
    </row>
    <row r="964" spans="1:14" x14ac:dyDescent="0.25">
      <c r="A964" s="18"/>
      <c r="B964" s="18"/>
      <c r="C964" s="18"/>
      <c r="D964" s="18"/>
      <c r="E964" s="18"/>
      <c r="F964" s="18"/>
      <c r="G964" s="18"/>
      <c r="H964" s="12"/>
      <c r="I964" s="18"/>
      <c r="J964" s="18"/>
      <c r="K964" s="18"/>
      <c r="L964" s="18"/>
      <c r="M964" s="18"/>
      <c r="N964" s="18"/>
    </row>
    <row r="965" spans="1:14" ht="90" x14ac:dyDescent="0.25">
      <c r="A965" s="18"/>
      <c r="B965" s="18"/>
      <c r="C965" s="18"/>
      <c r="D965" s="18"/>
      <c r="E965" s="18"/>
      <c r="F965" s="18"/>
      <c r="G965" s="18"/>
      <c r="H965" s="12" t="s">
        <v>144</v>
      </c>
      <c r="I965" s="18"/>
      <c r="J965" s="18"/>
      <c r="K965" s="18"/>
      <c r="L965" s="18"/>
      <c r="M965" s="18"/>
      <c r="N965" s="18"/>
    </row>
    <row r="966" spans="1:14" ht="45" x14ac:dyDescent="0.25">
      <c r="A966" s="12" t="s">
        <v>3712</v>
      </c>
      <c r="B966" s="12" t="s">
        <v>3713</v>
      </c>
      <c r="C966" s="12" t="s">
        <v>12</v>
      </c>
      <c r="D966" s="12" t="s">
        <v>6582</v>
      </c>
      <c r="E966" s="12"/>
      <c r="F966" s="12" t="s">
        <v>99</v>
      </c>
      <c r="G966" s="12"/>
      <c r="H966" s="12"/>
      <c r="I966" s="12" t="s">
        <v>3714</v>
      </c>
      <c r="J966" s="12"/>
      <c r="K966" s="12" t="s">
        <v>3715</v>
      </c>
      <c r="L966" s="12"/>
      <c r="M966" s="12" t="str">
        <f>HYPERLINK("https://ceds.ed.gov/cedselementdetails.aspx?termid=10536")</f>
        <v>https://ceds.ed.gov/cedselementdetails.aspx?termid=10536</v>
      </c>
      <c r="N966" s="12" t="str">
        <f>HYPERLINK("https://ceds.ed.gov/elementComment.aspx?elementName=Learner Action Object Type &amp;elementID=10536", "Click here to submit comment")</f>
        <v>Click here to submit comment</v>
      </c>
    </row>
    <row r="967" spans="1:14" ht="409.5" x14ac:dyDescent="0.25">
      <c r="A967" s="12" t="s">
        <v>3716</v>
      </c>
      <c r="B967" s="12" t="s">
        <v>3717</v>
      </c>
      <c r="C967" s="13" t="s">
        <v>6989</v>
      </c>
      <c r="D967" s="12" t="s">
        <v>6582</v>
      </c>
      <c r="E967" s="12" t="s">
        <v>98</v>
      </c>
      <c r="F967" s="12"/>
      <c r="G967" s="12"/>
      <c r="H967" s="14" t="s">
        <v>3718</v>
      </c>
      <c r="I967" s="12" t="s">
        <v>3719</v>
      </c>
      <c r="J967" s="12"/>
      <c r="K967" s="12" t="s">
        <v>3720</v>
      </c>
      <c r="L967" s="12"/>
      <c r="M967" s="12" t="str">
        <f>HYPERLINK("https://ceds.ed.gov/cedselementdetails.aspx?termid=9935")</f>
        <v>https://ceds.ed.gov/cedselementdetails.aspx?termid=9935</v>
      </c>
      <c r="N967" s="12" t="str">
        <f>HYPERLINK("https://ceds.ed.gov/elementComment.aspx?elementName=Learner Action Type &amp;elementID=9935", "Click here to submit comment")</f>
        <v>Click here to submit comment</v>
      </c>
    </row>
    <row r="968" spans="1:14" ht="75" x14ac:dyDescent="0.25">
      <c r="A968" s="12" t="s">
        <v>3721</v>
      </c>
      <c r="B968" s="12" t="s">
        <v>3722</v>
      </c>
      <c r="C968" s="12" t="s">
        <v>12</v>
      </c>
      <c r="D968" s="12" t="s">
        <v>6582</v>
      </c>
      <c r="E968" s="12"/>
      <c r="F968" s="12" t="s">
        <v>327</v>
      </c>
      <c r="G968" s="12"/>
      <c r="H968" s="12"/>
      <c r="I968" s="12" t="s">
        <v>3723</v>
      </c>
      <c r="J968" s="12"/>
      <c r="K968" s="12" t="s">
        <v>3724</v>
      </c>
      <c r="L968" s="12"/>
      <c r="M968" s="12" t="str">
        <f>HYPERLINK("https://ceds.ed.gov/cedselementdetails.aspx?termid=9936")</f>
        <v>https://ceds.ed.gov/cedselementdetails.aspx?termid=9936</v>
      </c>
      <c r="N968" s="12" t="str">
        <f>HYPERLINK("https://ceds.ed.gov/elementComment.aspx?elementName=Learner Action Value &amp;elementID=9936", "Click here to submit comment")</f>
        <v>Click here to submit comment</v>
      </c>
    </row>
    <row r="969" spans="1:14" ht="60" x14ac:dyDescent="0.25">
      <c r="A969" s="12" t="s">
        <v>3725</v>
      </c>
      <c r="B969" s="12" t="s">
        <v>3726</v>
      </c>
      <c r="C969" s="13" t="s">
        <v>6749</v>
      </c>
      <c r="D969" s="12" t="s">
        <v>3727</v>
      </c>
      <c r="E969" s="12"/>
      <c r="F969" s="12"/>
      <c r="G969" s="12"/>
      <c r="H969" s="12"/>
      <c r="I969" s="12" t="s">
        <v>3728</v>
      </c>
      <c r="J969" s="12"/>
      <c r="K969" s="12" t="s">
        <v>3729</v>
      </c>
      <c r="L969" s="12"/>
      <c r="M969" s="12" t="str">
        <f>HYPERLINK("https://ceds.ed.gov/cedselementdetails.aspx?termid=9950")</f>
        <v>https://ceds.ed.gov/cedselementdetails.aspx?termid=9950</v>
      </c>
      <c r="N969" s="12" t="str">
        <f>HYPERLINK("https://ceds.ed.gov/elementComment.aspx?elementName=Learner Activity Add To Grade Book Flag &amp;elementID=9950", "Click here to submit comment")</f>
        <v>Click here to submit comment</v>
      </c>
    </row>
    <row r="970" spans="1:14" ht="45" x14ac:dyDescent="0.25">
      <c r="A970" s="12" t="s">
        <v>3730</v>
      </c>
      <c r="B970" s="12" t="s">
        <v>3731</v>
      </c>
      <c r="C970" s="12" t="s">
        <v>12</v>
      </c>
      <c r="D970" s="12" t="s">
        <v>3727</v>
      </c>
      <c r="E970" s="12"/>
      <c r="F970" s="12" t="s">
        <v>73</v>
      </c>
      <c r="G970" s="12"/>
      <c r="H970" s="12"/>
      <c r="I970" s="12" t="s">
        <v>3732</v>
      </c>
      <c r="J970" s="12"/>
      <c r="K970" s="12" t="s">
        <v>3733</v>
      </c>
      <c r="L970" s="12"/>
      <c r="M970" s="12" t="str">
        <f>HYPERLINK("https://ceds.ed.gov/cedselementdetails.aspx?termid=9944")</f>
        <v>https://ceds.ed.gov/cedselementdetails.aspx?termid=9944</v>
      </c>
      <c r="N970" s="12" t="str">
        <f>HYPERLINK("https://ceds.ed.gov/elementComment.aspx?elementName=Learner Activity Creation Date &amp;elementID=9944", "Click here to submit comment")</f>
        <v>Click here to submit comment</v>
      </c>
    </row>
    <row r="971" spans="1:14" ht="45" x14ac:dyDescent="0.25">
      <c r="A971" s="12" t="s">
        <v>3734</v>
      </c>
      <c r="B971" s="12" t="s">
        <v>3735</v>
      </c>
      <c r="C971" s="12" t="s">
        <v>12</v>
      </c>
      <c r="D971" s="12" t="s">
        <v>3727</v>
      </c>
      <c r="E971" s="12"/>
      <c r="F971" s="12" t="s">
        <v>68</v>
      </c>
      <c r="G971" s="12"/>
      <c r="H971" s="12"/>
      <c r="I971" s="12" t="s">
        <v>3736</v>
      </c>
      <c r="J971" s="12"/>
      <c r="K971" s="12" t="s">
        <v>3737</v>
      </c>
      <c r="L971" s="12"/>
      <c r="M971" s="12" t="str">
        <f>HYPERLINK("https://ceds.ed.gov/cedselementdetails.aspx?termid=9941")</f>
        <v>https://ceds.ed.gov/cedselementdetails.aspx?termid=9941</v>
      </c>
      <c r="N971" s="12" t="str">
        <f>HYPERLINK("https://ceds.ed.gov/elementComment.aspx?elementName=Learner Activity Description &amp;elementID=9941", "Click here to submit comment")</f>
        <v>Click here to submit comment</v>
      </c>
    </row>
    <row r="972" spans="1:14" ht="45" x14ac:dyDescent="0.25">
      <c r="A972" s="12" t="s">
        <v>3738</v>
      </c>
      <c r="B972" s="12" t="s">
        <v>3739</v>
      </c>
      <c r="C972" s="12" t="s">
        <v>12</v>
      </c>
      <c r="D972" s="12" t="s">
        <v>3727</v>
      </c>
      <c r="E972" s="12"/>
      <c r="F972" s="12" t="s">
        <v>73</v>
      </c>
      <c r="G972" s="12"/>
      <c r="H972" s="12"/>
      <c r="I972" s="12" t="s">
        <v>3740</v>
      </c>
      <c r="J972" s="12"/>
      <c r="K972" s="12" t="s">
        <v>3741</v>
      </c>
      <c r="L972" s="12"/>
      <c r="M972" s="12" t="str">
        <f>HYPERLINK("https://ceds.ed.gov/cedselementdetails.aspx?termid=9947")</f>
        <v>https://ceds.ed.gov/cedselementdetails.aspx?termid=9947</v>
      </c>
      <c r="N972" s="12" t="str">
        <f>HYPERLINK("https://ceds.ed.gov/elementComment.aspx?elementName=Learner Activity Due Date &amp;elementID=9947", "Click here to submit comment")</f>
        <v>Click here to submit comment</v>
      </c>
    </row>
    <row r="973" spans="1:14" ht="45" x14ac:dyDescent="0.25">
      <c r="A973" s="12" t="s">
        <v>3742</v>
      </c>
      <c r="B973" s="12" t="s">
        <v>3743</v>
      </c>
      <c r="C973" s="12" t="s">
        <v>12</v>
      </c>
      <c r="D973" s="12" t="s">
        <v>3727</v>
      </c>
      <c r="E973" s="12"/>
      <c r="F973" s="12" t="s">
        <v>437</v>
      </c>
      <c r="G973" s="12"/>
      <c r="H973" s="12"/>
      <c r="I973" s="12" t="s">
        <v>3744</v>
      </c>
      <c r="J973" s="12"/>
      <c r="K973" s="12" t="s">
        <v>3745</v>
      </c>
      <c r="L973" s="12"/>
      <c r="M973" s="12" t="str">
        <f>HYPERLINK("https://ceds.ed.gov/cedselementdetails.aspx?termid=9948")</f>
        <v>https://ceds.ed.gov/cedselementdetails.aspx?termid=9948</v>
      </c>
      <c r="N973" s="12" t="str">
        <f>HYPERLINK("https://ceds.ed.gov/elementComment.aspx?elementName=Learner Activity Due Time &amp;elementID=9948", "Click here to submit comment")</f>
        <v>Click here to submit comment</v>
      </c>
    </row>
    <row r="974" spans="1:14" ht="90" x14ac:dyDescent="0.25">
      <c r="A974" s="12" t="s">
        <v>3746</v>
      </c>
      <c r="B974" s="12" t="s">
        <v>3747</v>
      </c>
      <c r="C974" s="14" t="s">
        <v>999</v>
      </c>
      <c r="D974" s="12" t="s">
        <v>3727</v>
      </c>
      <c r="E974" s="12" t="s">
        <v>98</v>
      </c>
      <c r="F974" s="12"/>
      <c r="G974" s="12"/>
      <c r="H974" s="14" t="s">
        <v>1000</v>
      </c>
      <c r="I974" s="12" t="s">
        <v>3748</v>
      </c>
      <c r="J974" s="12"/>
      <c r="K974" s="12" t="s">
        <v>3749</v>
      </c>
      <c r="L974" s="12"/>
      <c r="M974" s="12" t="str">
        <f>HYPERLINK("https://ceds.ed.gov/cedselementdetails.aspx?termid=9939")</f>
        <v>https://ceds.ed.gov/cedselementdetails.aspx?termid=9939</v>
      </c>
      <c r="N974" s="12" t="str">
        <f>HYPERLINK("https://ceds.ed.gov/elementComment.aspx?elementName=Learner Activity Language &amp;elementID=9939", "Click here to submit comment")</f>
        <v>Click here to submit comment</v>
      </c>
    </row>
    <row r="975" spans="1:14" ht="45" x14ac:dyDescent="0.25">
      <c r="A975" s="12" t="s">
        <v>3750</v>
      </c>
      <c r="B975" s="12" t="s">
        <v>3751</v>
      </c>
      <c r="C975" s="12" t="s">
        <v>12</v>
      </c>
      <c r="D975" s="12" t="s">
        <v>3727</v>
      </c>
      <c r="E975" s="12"/>
      <c r="F975" s="12" t="s">
        <v>317</v>
      </c>
      <c r="G975" s="12"/>
      <c r="H975" s="12"/>
      <c r="I975" s="12" t="s">
        <v>3752</v>
      </c>
      <c r="J975" s="12"/>
      <c r="K975" s="12" t="s">
        <v>3753</v>
      </c>
      <c r="L975" s="12"/>
      <c r="M975" s="12" t="str">
        <f>HYPERLINK("https://ceds.ed.gov/cedselementdetails.aspx?termid=9949")</f>
        <v>https://ceds.ed.gov/cedselementdetails.aspx?termid=9949</v>
      </c>
      <c r="N975" s="12" t="str">
        <f>HYPERLINK("https://ceds.ed.gov/elementComment.aspx?elementName=Learner Activity Maximum Attempts Allowed &amp;elementID=9949", "Click here to submit comment")</f>
        <v>Click here to submit comment</v>
      </c>
    </row>
    <row r="976" spans="1:14" ht="45" x14ac:dyDescent="0.25">
      <c r="A976" s="12" t="s">
        <v>3754</v>
      </c>
      <c r="B976" s="12" t="s">
        <v>3755</v>
      </c>
      <c r="C976" s="12" t="s">
        <v>12</v>
      </c>
      <c r="D976" s="12" t="s">
        <v>3727</v>
      </c>
      <c r="E976" s="12"/>
      <c r="F976" s="12" t="s">
        <v>317</v>
      </c>
      <c r="G976" s="12"/>
      <c r="H976" s="12" t="s">
        <v>3756</v>
      </c>
      <c r="I976" s="12" t="s">
        <v>3757</v>
      </c>
      <c r="J976" s="12"/>
      <c r="K976" s="12" t="s">
        <v>3758</v>
      </c>
      <c r="L976" s="12"/>
      <c r="M976" s="12" t="str">
        <f>HYPERLINK("https://ceds.ed.gov/cedselementdetails.aspx?termid=9945")</f>
        <v>https://ceds.ed.gov/cedselementdetails.aspx?termid=9945</v>
      </c>
      <c r="N976" s="12" t="str">
        <f>HYPERLINK("https://ceds.ed.gov/elementComment.aspx?elementName=Learner Activity Maximum Time Allowed &amp;elementID=9945", "Click here to submit comment")</f>
        <v>Click here to submit comment</v>
      </c>
    </row>
    <row r="977" spans="1:14" ht="90" x14ac:dyDescent="0.25">
      <c r="A977" s="12" t="s">
        <v>3759</v>
      </c>
      <c r="B977" s="12" t="s">
        <v>3760</v>
      </c>
      <c r="C977" s="13" t="s">
        <v>6990</v>
      </c>
      <c r="D977" s="12" t="s">
        <v>3727</v>
      </c>
      <c r="E977" s="12"/>
      <c r="F977" s="12"/>
      <c r="G977" s="12"/>
      <c r="H977" s="12"/>
      <c r="I977" s="12" t="s">
        <v>3761</v>
      </c>
      <c r="J977" s="12"/>
      <c r="K977" s="12" t="s">
        <v>3762</v>
      </c>
      <c r="L977" s="12"/>
      <c r="M977" s="12" t="str">
        <f>HYPERLINK("https://ceds.ed.gov/cedselementdetails.aspx?termid=9946")</f>
        <v>https://ceds.ed.gov/cedselementdetails.aspx?termid=9946</v>
      </c>
      <c r="N977" s="12" t="str">
        <f>HYPERLINK("https://ceds.ed.gov/elementComment.aspx?elementName=Learner Activity Maximum Time Allowed Unit &amp;elementID=9946", "Click here to submit comment")</f>
        <v>Click here to submit comment</v>
      </c>
    </row>
    <row r="978" spans="1:14" ht="45" x14ac:dyDescent="0.25">
      <c r="A978" s="12" t="s">
        <v>3763</v>
      </c>
      <c r="B978" s="12" t="s">
        <v>3764</v>
      </c>
      <c r="C978" s="12" t="s">
        <v>12</v>
      </c>
      <c r="D978" s="12" t="s">
        <v>3727</v>
      </c>
      <c r="E978" s="12"/>
      <c r="F978" s="12" t="s">
        <v>3765</v>
      </c>
      <c r="G978" s="12"/>
      <c r="H978" s="12"/>
      <c r="I978" s="12" t="s">
        <v>3766</v>
      </c>
      <c r="J978" s="12"/>
      <c r="K978" s="12" t="s">
        <v>3767</v>
      </c>
      <c r="L978" s="12"/>
      <c r="M978" s="12" t="str">
        <f>HYPERLINK("https://ceds.ed.gov/cedselementdetails.aspx?termid=9953")</f>
        <v>https://ceds.ed.gov/cedselementdetails.aspx?termid=9953</v>
      </c>
      <c r="N978" s="12" t="str">
        <f>HYPERLINK("https://ceds.ed.gov/elementComment.aspx?elementName=Learner Activity Possible Points &amp;elementID=9953", "Click here to submit comment")</f>
        <v>Click here to submit comment</v>
      </c>
    </row>
    <row r="979" spans="1:14" ht="120" x14ac:dyDescent="0.25">
      <c r="A979" s="12" t="s">
        <v>3768</v>
      </c>
      <c r="B979" s="12" t="s">
        <v>3769</v>
      </c>
      <c r="C979" s="12" t="s">
        <v>12</v>
      </c>
      <c r="D979" s="12" t="s">
        <v>3727</v>
      </c>
      <c r="E979" s="12"/>
      <c r="F979" s="12" t="s">
        <v>68</v>
      </c>
      <c r="G979" s="12"/>
      <c r="H979" s="12" t="s">
        <v>3770</v>
      </c>
      <c r="I979" s="12" t="s">
        <v>3771</v>
      </c>
      <c r="J979" s="12"/>
      <c r="K979" s="12" t="s">
        <v>3772</v>
      </c>
      <c r="L979" s="12"/>
      <c r="M979" s="12" t="str">
        <f>HYPERLINK("https://ceds.ed.gov/cedselementdetails.aspx?termid=9942")</f>
        <v>https://ceds.ed.gov/cedselementdetails.aspx?termid=9942</v>
      </c>
      <c r="N979" s="12" t="str">
        <f>HYPERLINK("https://ceds.ed.gov/elementComment.aspx?elementName=Learner Activity Prerequisite &amp;elementID=9942", "Click here to submit comment")</f>
        <v>Click here to submit comment</v>
      </c>
    </row>
    <row r="980" spans="1:14" ht="60" x14ac:dyDescent="0.25">
      <c r="A980" s="12" t="s">
        <v>3773</v>
      </c>
      <c r="B980" s="12" t="s">
        <v>3774</v>
      </c>
      <c r="C980" s="12" t="s">
        <v>12</v>
      </c>
      <c r="D980" s="12" t="s">
        <v>3727</v>
      </c>
      <c r="E980" s="12"/>
      <c r="F980" s="12" t="s">
        <v>73</v>
      </c>
      <c r="G980" s="12"/>
      <c r="H980" s="12"/>
      <c r="I980" s="12" t="s">
        <v>3775</v>
      </c>
      <c r="J980" s="12"/>
      <c r="K980" s="12" t="s">
        <v>3776</v>
      </c>
      <c r="L980" s="12"/>
      <c r="M980" s="12" t="str">
        <f>HYPERLINK("https://ceds.ed.gov/cedselementdetails.aspx?termid=9951")</f>
        <v>https://ceds.ed.gov/cedselementdetails.aspx?termid=9951</v>
      </c>
      <c r="N980" s="12" t="str">
        <f>HYPERLINK("https://ceds.ed.gov/elementComment.aspx?elementName=Learner Activity Release Date &amp;elementID=9951", "Click here to submit comment")</f>
        <v>Click here to submit comment</v>
      </c>
    </row>
    <row r="981" spans="1:14" ht="60" x14ac:dyDescent="0.25">
      <c r="A981" s="12" t="s">
        <v>3777</v>
      </c>
      <c r="B981" s="12" t="s">
        <v>3778</v>
      </c>
      <c r="C981" s="12" t="s">
        <v>12</v>
      </c>
      <c r="D981" s="12" t="s">
        <v>3727</v>
      </c>
      <c r="E981" s="12"/>
      <c r="F981" s="12" t="s">
        <v>68</v>
      </c>
      <c r="G981" s="12"/>
      <c r="H981" s="12"/>
      <c r="I981" s="12" t="s">
        <v>3779</v>
      </c>
      <c r="J981" s="12"/>
      <c r="K981" s="12" t="s">
        <v>3780</v>
      </c>
      <c r="L981" s="12"/>
      <c r="M981" s="12" t="str">
        <f>HYPERLINK("https://ceds.ed.gov/cedselementdetails.aspx?termid=9954")</f>
        <v>https://ceds.ed.gov/cedselementdetails.aspx?termid=9954</v>
      </c>
      <c r="N981" s="12" t="str">
        <f>HYPERLINK("https://ceds.ed.gov/elementComment.aspx?elementName=Learner Activity Rubric URL &amp;elementID=9954", "Click here to submit comment")</f>
        <v>Click here to submit comment</v>
      </c>
    </row>
    <row r="982" spans="1:14" ht="45" x14ac:dyDescent="0.25">
      <c r="A982" s="12" t="s">
        <v>3781</v>
      </c>
      <c r="B982" s="12" t="s">
        <v>3782</v>
      </c>
      <c r="C982" s="12" t="s">
        <v>12</v>
      </c>
      <c r="D982" s="12" t="s">
        <v>3727</v>
      </c>
      <c r="E982" s="12"/>
      <c r="F982" s="12" t="s">
        <v>92</v>
      </c>
      <c r="G982" s="12"/>
      <c r="H982" s="12"/>
      <c r="I982" s="12" t="s">
        <v>3783</v>
      </c>
      <c r="J982" s="12"/>
      <c r="K982" s="12" t="s">
        <v>3784</v>
      </c>
      <c r="L982" s="12"/>
      <c r="M982" s="12" t="str">
        <f>HYPERLINK("https://ceds.ed.gov/cedselementdetails.aspx?termid=9940")</f>
        <v>https://ceds.ed.gov/cedselementdetails.aspx?termid=9940</v>
      </c>
      <c r="N982" s="12" t="str">
        <f>HYPERLINK("https://ceds.ed.gov/elementComment.aspx?elementName=Learner Activity Title &amp;elementID=9940", "Click here to submit comment")</f>
        <v>Click here to submit comment</v>
      </c>
    </row>
    <row r="983" spans="1:14" ht="75" x14ac:dyDescent="0.25">
      <c r="A983" s="12" t="s">
        <v>3785</v>
      </c>
      <c r="B983" s="12" t="s">
        <v>3786</v>
      </c>
      <c r="C983" s="13" t="s">
        <v>6991</v>
      </c>
      <c r="D983" s="12" t="s">
        <v>3727</v>
      </c>
      <c r="E983" s="12"/>
      <c r="F983" s="12"/>
      <c r="G983" s="12"/>
      <c r="H983" s="12"/>
      <c r="I983" s="12" t="s">
        <v>3787</v>
      </c>
      <c r="J983" s="12"/>
      <c r="K983" s="12" t="s">
        <v>3788</v>
      </c>
      <c r="L983" s="12"/>
      <c r="M983" s="12" t="str">
        <f>HYPERLINK("https://ceds.ed.gov/cedselementdetails.aspx?termid=9943")</f>
        <v>https://ceds.ed.gov/cedselementdetails.aspx?termid=9943</v>
      </c>
      <c r="N983" s="12" t="str">
        <f>HYPERLINK("https://ceds.ed.gov/elementComment.aspx?elementName=Learner Activity Type &amp;elementID=9943", "Click here to submit comment")</f>
        <v>Click here to submit comment</v>
      </c>
    </row>
    <row r="984" spans="1:14" ht="45" x14ac:dyDescent="0.25">
      <c r="A984" s="12" t="s">
        <v>3789</v>
      </c>
      <c r="B984" s="12" t="s">
        <v>3790</v>
      </c>
      <c r="C984" s="12" t="s">
        <v>12</v>
      </c>
      <c r="D984" s="12" t="s">
        <v>3727</v>
      </c>
      <c r="E984" s="12"/>
      <c r="F984" s="12" t="s">
        <v>789</v>
      </c>
      <c r="G984" s="12"/>
      <c r="H984" s="12"/>
      <c r="I984" s="12" t="s">
        <v>3791</v>
      </c>
      <c r="J984" s="12"/>
      <c r="K984" s="12" t="s">
        <v>3792</v>
      </c>
      <c r="L984" s="12"/>
      <c r="M984" s="12" t="str">
        <f>HYPERLINK("https://ceds.ed.gov/cedselementdetails.aspx?termid=9952")</f>
        <v>https://ceds.ed.gov/cedselementdetails.aspx?termid=9952</v>
      </c>
      <c r="N984" s="12" t="str">
        <f>HYPERLINK("https://ceds.ed.gov/elementComment.aspx?elementName=Learner Activity Weight &amp;elementID=9952", "Click here to submit comment")</f>
        <v>Click here to submit comment</v>
      </c>
    </row>
    <row r="985" spans="1:14" ht="180" x14ac:dyDescent="0.25">
      <c r="A985" s="12" t="s">
        <v>3793</v>
      </c>
      <c r="B985" s="12" t="s">
        <v>3794</v>
      </c>
      <c r="C985" s="12" t="s">
        <v>12</v>
      </c>
      <c r="D985" s="12" t="s">
        <v>6583</v>
      </c>
      <c r="E985" s="12"/>
      <c r="F985" s="12" t="s">
        <v>68</v>
      </c>
      <c r="G985" s="12"/>
      <c r="H985" s="12"/>
      <c r="I985" s="12" t="s">
        <v>3795</v>
      </c>
      <c r="J985" s="12"/>
      <c r="K985" s="12" t="s">
        <v>3796</v>
      </c>
      <c r="L985" s="12"/>
      <c r="M985" s="12" t="str">
        <f>HYPERLINK("https://ceds.ed.gov/cedselementdetails.aspx?termid=9903")</f>
        <v>https://ceds.ed.gov/cedselementdetails.aspx?termid=9903</v>
      </c>
      <c r="N985" s="12" t="str">
        <f>HYPERLINK("https://ceds.ed.gov/elementComment.aspx?elementName=Learning Goal Description &amp;elementID=9903", "Click here to submit comment")</f>
        <v>Click here to submit comment</v>
      </c>
    </row>
    <row r="986" spans="1:14" ht="75" x14ac:dyDescent="0.25">
      <c r="A986" s="12" t="s">
        <v>3797</v>
      </c>
      <c r="B986" s="12" t="s">
        <v>3798</v>
      </c>
      <c r="C986" s="12" t="s">
        <v>12</v>
      </c>
      <c r="D986" s="12" t="s">
        <v>6584</v>
      </c>
      <c r="E986" s="12"/>
      <c r="F986" s="12" t="s">
        <v>73</v>
      </c>
      <c r="G986" s="12"/>
      <c r="H986" s="12" t="s">
        <v>3799</v>
      </c>
      <c r="I986" s="12" t="s">
        <v>3800</v>
      </c>
      <c r="J986" s="12"/>
      <c r="K986" s="12" t="s">
        <v>3801</v>
      </c>
      <c r="L986" s="12"/>
      <c r="M986" s="12" t="str">
        <f>HYPERLINK("https://ceds.ed.gov/cedselementdetails.aspx?termid=10170")</f>
        <v>https://ceds.ed.gov/cedselementdetails.aspx?termid=10170</v>
      </c>
      <c r="N986" s="12" t="str">
        <f>HYPERLINK("https://ceds.ed.gov/elementComment.aspx?elementName=Learning Goal End Date &amp;elementID=10170", "Click here to submit comment")</f>
        <v>Click here to submit comment</v>
      </c>
    </row>
    <row r="987" spans="1:14" ht="180" x14ac:dyDescent="0.25">
      <c r="A987" s="12" t="s">
        <v>3802</v>
      </c>
      <c r="B987" s="12" t="s">
        <v>3803</v>
      </c>
      <c r="C987" s="12" t="s">
        <v>12</v>
      </c>
      <c r="D987" s="12" t="s">
        <v>6583</v>
      </c>
      <c r="E987" s="12"/>
      <c r="F987" s="12" t="s">
        <v>73</v>
      </c>
      <c r="G987" s="12"/>
      <c r="H987" s="12"/>
      <c r="I987" s="12" t="s">
        <v>3804</v>
      </c>
      <c r="J987" s="12"/>
      <c r="K987" s="12" t="s">
        <v>3805</v>
      </c>
      <c r="L987" s="12"/>
      <c r="M987" s="12" t="str">
        <f>HYPERLINK("https://ceds.ed.gov/cedselementdetails.aspx?termid=10169")</f>
        <v>https://ceds.ed.gov/cedselementdetails.aspx?termid=10169</v>
      </c>
      <c r="N987" s="12" t="str">
        <f>HYPERLINK("https://ceds.ed.gov/elementComment.aspx?elementName=Learning Goal Start Date &amp;elementID=10169", "Click here to submit comment")</f>
        <v>Click here to submit comment</v>
      </c>
    </row>
    <row r="988" spans="1:14" ht="135" x14ac:dyDescent="0.25">
      <c r="A988" s="12" t="s">
        <v>3806</v>
      </c>
      <c r="B988" s="12" t="s">
        <v>3807</v>
      </c>
      <c r="C988" s="12" t="s">
        <v>12</v>
      </c>
      <c r="D988" s="12" t="s">
        <v>6585</v>
      </c>
      <c r="E988" s="12"/>
      <c r="F988" s="12" t="s">
        <v>68</v>
      </c>
      <c r="G988" s="12"/>
      <c r="H988" s="12"/>
      <c r="I988" s="12" t="s">
        <v>3808</v>
      </c>
      <c r="J988" s="12"/>
      <c r="K988" s="12" t="s">
        <v>3809</v>
      </c>
      <c r="L988" s="12"/>
      <c r="M988" s="12" t="str">
        <f>HYPERLINK("https://ceds.ed.gov/cedselementdetails.aspx?termid=9902")</f>
        <v>https://ceds.ed.gov/cedselementdetails.aspx?termid=9902</v>
      </c>
      <c r="N988" s="12" t="str">
        <f>HYPERLINK("https://ceds.ed.gov/elementComment.aspx?elementName=Learning Goal Success Criteria &amp;elementID=9902", "Click here to submit comment")</f>
        <v>Click here to submit comment</v>
      </c>
    </row>
    <row r="989" spans="1:14" ht="225" x14ac:dyDescent="0.25">
      <c r="A989" s="12" t="s">
        <v>3810</v>
      </c>
      <c r="B989" s="12" t="s">
        <v>3811</v>
      </c>
      <c r="C989" s="13" t="s">
        <v>6992</v>
      </c>
      <c r="D989" s="12" t="s">
        <v>6586</v>
      </c>
      <c r="E989" s="12"/>
      <c r="F989" s="12"/>
      <c r="G989" s="12"/>
      <c r="H989" s="12" t="s">
        <v>3812</v>
      </c>
      <c r="I989" s="12" t="s">
        <v>3813</v>
      </c>
      <c r="J989" s="12"/>
      <c r="K989" s="12" t="s">
        <v>3814</v>
      </c>
      <c r="L989" s="12"/>
      <c r="M989" s="12" t="str">
        <f>HYPERLINK("https://ceds.ed.gov/cedselementdetails.aspx?termid=10358")</f>
        <v>https://ceds.ed.gov/cedselementdetails.aspx?termid=10358</v>
      </c>
      <c r="N989" s="12" t="str">
        <f>HYPERLINK("https://ceds.ed.gov/elementComment.aspx?elementName=Learning Resource Access API Type &amp;elementID=10358", "Click here to submit comment")</f>
        <v>Click here to submit comment</v>
      </c>
    </row>
    <row r="990" spans="1:14" ht="90" x14ac:dyDescent="0.25">
      <c r="A990" s="12" t="s">
        <v>3815</v>
      </c>
      <c r="B990" s="12" t="s">
        <v>3816</v>
      </c>
      <c r="C990" s="13" t="s">
        <v>6993</v>
      </c>
      <c r="D990" s="12" t="s">
        <v>6586</v>
      </c>
      <c r="E990" s="12"/>
      <c r="F990" s="12"/>
      <c r="G990" s="12"/>
      <c r="H990" s="12"/>
      <c r="I990" s="12" t="s">
        <v>3817</v>
      </c>
      <c r="J990" s="12"/>
      <c r="K990" s="12" t="s">
        <v>3818</v>
      </c>
      <c r="L990" s="12"/>
      <c r="M990" s="12" t="str">
        <f>HYPERLINK("https://ceds.ed.gov/cedselementdetails.aspx?termid=10359")</f>
        <v>https://ceds.ed.gov/cedselementdetails.aspx?termid=10359</v>
      </c>
      <c r="N990" s="12" t="str">
        <f>HYPERLINK("https://ceds.ed.gov/elementComment.aspx?elementName=Learning Resource Access Hazard Type &amp;elementID=10359", "Click here to submit comment")</f>
        <v>Click here to submit comment</v>
      </c>
    </row>
    <row r="991" spans="1:14" ht="105" x14ac:dyDescent="0.25">
      <c r="A991" s="12" t="s">
        <v>3819</v>
      </c>
      <c r="B991" s="12" t="s">
        <v>3820</v>
      </c>
      <c r="C991" s="13" t="s">
        <v>6994</v>
      </c>
      <c r="D991" s="12" t="s">
        <v>6586</v>
      </c>
      <c r="E991" s="12"/>
      <c r="F991" s="12"/>
      <c r="G991" s="12"/>
      <c r="H991" s="12" t="s">
        <v>3821</v>
      </c>
      <c r="I991" s="12" t="s">
        <v>3822</v>
      </c>
      <c r="J991" s="12"/>
      <c r="K991" s="12" t="s">
        <v>3823</v>
      </c>
      <c r="L991" s="12"/>
      <c r="M991" s="12" t="str">
        <f>HYPERLINK("https://ceds.ed.gov/cedselementdetails.aspx?termid=10360")</f>
        <v>https://ceds.ed.gov/cedselementdetails.aspx?termid=10360</v>
      </c>
      <c r="N991" s="12" t="str">
        <f>HYPERLINK("https://ceds.ed.gov/elementComment.aspx?elementName=Learning Resource Access Mode Type &amp;elementID=10360", "Click here to submit comment")</f>
        <v>Click here to submit comment</v>
      </c>
    </row>
    <row r="992" spans="1:14" ht="165" x14ac:dyDescent="0.25">
      <c r="A992" s="12" t="s">
        <v>3824</v>
      </c>
      <c r="B992" s="12" t="s">
        <v>3825</v>
      </c>
      <c r="C992" s="13" t="s">
        <v>6995</v>
      </c>
      <c r="D992" s="12" t="s">
        <v>3826</v>
      </c>
      <c r="E992" s="12"/>
      <c r="F992" s="12"/>
      <c r="G992" s="12"/>
      <c r="H992" s="12"/>
      <c r="I992" s="12" t="s">
        <v>3827</v>
      </c>
      <c r="J992" s="12"/>
      <c r="K992" s="12" t="s">
        <v>3828</v>
      </c>
      <c r="L992" s="12"/>
      <c r="M992" s="12" t="str">
        <f>HYPERLINK("https://ceds.ed.gov/cedselementdetails.aspx?termid=10537")</f>
        <v>https://ceds.ed.gov/cedselementdetails.aspx?termid=10537</v>
      </c>
      <c r="N992" s="12" t="str">
        <f>HYPERLINK("https://ceds.ed.gov/elementComment.aspx?elementName=Learning Resource Access Rights Url &amp;elementID=10537", "Click here to submit comment")</f>
        <v>Click here to submit comment</v>
      </c>
    </row>
    <row r="993" spans="1:14" ht="90" x14ac:dyDescent="0.25">
      <c r="A993" s="12" t="s">
        <v>3829</v>
      </c>
      <c r="B993" s="12" t="s">
        <v>3830</v>
      </c>
      <c r="C993" s="12" t="s">
        <v>12</v>
      </c>
      <c r="D993" s="12" t="s">
        <v>6586</v>
      </c>
      <c r="E993" s="12"/>
      <c r="F993" s="12" t="s">
        <v>68</v>
      </c>
      <c r="G993" s="12"/>
      <c r="H993" s="12"/>
      <c r="I993" s="12" t="s">
        <v>3831</v>
      </c>
      <c r="J993" s="12"/>
      <c r="K993" s="12" t="s">
        <v>3832</v>
      </c>
      <c r="L993" s="12"/>
      <c r="M993" s="12" t="str">
        <f>HYPERLINK("https://ceds.ed.gov/cedselementdetails.aspx?termid=10361")</f>
        <v>https://ceds.ed.gov/cedselementdetails.aspx?termid=10361</v>
      </c>
      <c r="N993" s="12" t="str">
        <f>HYPERLINK("https://ceds.ed.gov/elementComment.aspx?elementName=Learning Resource Adaptation URL &amp;elementID=10361", "Click here to submit comment")</f>
        <v>Click here to submit comment</v>
      </c>
    </row>
    <row r="994" spans="1:14" ht="90" x14ac:dyDescent="0.25">
      <c r="A994" s="12" t="s">
        <v>3833</v>
      </c>
      <c r="B994" s="12" t="s">
        <v>3834</v>
      </c>
      <c r="C994" s="12" t="s">
        <v>12</v>
      </c>
      <c r="D994" s="12" t="s">
        <v>6586</v>
      </c>
      <c r="E994" s="12"/>
      <c r="F994" s="12" t="s">
        <v>68</v>
      </c>
      <c r="G994" s="12"/>
      <c r="H994" s="12"/>
      <c r="I994" s="12" t="s">
        <v>3835</v>
      </c>
      <c r="J994" s="12"/>
      <c r="K994" s="12" t="s">
        <v>3836</v>
      </c>
      <c r="L994" s="12"/>
      <c r="M994" s="12" t="str">
        <f>HYPERLINK("https://ceds.ed.gov/cedselementdetails.aspx?termid=10367")</f>
        <v>https://ceds.ed.gov/cedselementdetails.aspx?termid=10367</v>
      </c>
      <c r="N994" s="12" t="str">
        <f>HYPERLINK("https://ceds.ed.gov/elementComment.aspx?elementName=Learning Resource Adapted From URL &amp;elementID=10367", "Click here to submit comment")</f>
        <v>Click here to submit comment</v>
      </c>
    </row>
    <row r="995" spans="1:14" ht="90" x14ac:dyDescent="0.25">
      <c r="A995" s="12" t="s">
        <v>3837</v>
      </c>
      <c r="B995" s="12" t="s">
        <v>3838</v>
      </c>
      <c r="C995" s="12" t="s">
        <v>6364</v>
      </c>
      <c r="D995" s="12" t="s">
        <v>6586</v>
      </c>
      <c r="E995" s="12"/>
      <c r="F995" s="12"/>
      <c r="G995" s="12"/>
      <c r="H995" s="12" t="s">
        <v>3839</v>
      </c>
      <c r="I995" s="12" t="s">
        <v>3840</v>
      </c>
      <c r="J995" s="12"/>
      <c r="K995" s="12" t="s">
        <v>3841</v>
      </c>
      <c r="L995" s="12"/>
      <c r="M995" s="12" t="str">
        <f>HYPERLINK("https://ceds.ed.gov/cedselementdetails.aspx?termid=10362")</f>
        <v>https://ceds.ed.gov/cedselementdetails.aspx?termid=10362</v>
      </c>
      <c r="N995" s="12" t="str">
        <f>HYPERLINK("https://ceds.ed.gov/elementComment.aspx?elementName=Learning Resource Assistive Technologies Compatible Indicator &amp;elementID=10362", "Click here to submit comment")</f>
        <v>Click here to submit comment</v>
      </c>
    </row>
    <row r="996" spans="1:14" ht="45" x14ac:dyDescent="0.25">
      <c r="A996" s="12" t="s">
        <v>3842</v>
      </c>
      <c r="B996" s="12" t="s">
        <v>3843</v>
      </c>
      <c r="C996" s="12" t="s">
        <v>12</v>
      </c>
      <c r="D996" s="12" t="s">
        <v>3826</v>
      </c>
      <c r="E996" s="12"/>
      <c r="F996" s="12" t="s">
        <v>2649</v>
      </c>
      <c r="G996" s="12"/>
      <c r="H996" s="12"/>
      <c r="I996" s="12" t="s">
        <v>3844</v>
      </c>
      <c r="J996" s="12"/>
      <c r="K996" s="12" t="s">
        <v>3845</v>
      </c>
      <c r="L996" s="12"/>
      <c r="M996" s="12" t="str">
        <f>HYPERLINK("https://ceds.ed.gov/cedselementdetails.aspx?termid=10544")</f>
        <v>https://ceds.ed.gov/cedselementdetails.aspx?termid=10544</v>
      </c>
      <c r="N996" s="12" t="str">
        <f>HYPERLINK("https://ceds.ed.gov/elementComment.aspx?elementName=Learning Resource Author Email &amp;elementID=10544", "Click here to submit comment")</f>
        <v>Click here to submit comment</v>
      </c>
    </row>
    <row r="997" spans="1:14" ht="45" x14ac:dyDescent="0.25">
      <c r="A997" s="12" t="s">
        <v>3846</v>
      </c>
      <c r="B997" s="12" t="s">
        <v>3847</v>
      </c>
      <c r="C997" s="13" t="s">
        <v>6996</v>
      </c>
      <c r="D997" s="12" t="s">
        <v>3826</v>
      </c>
      <c r="E997" s="12"/>
      <c r="F997" s="12"/>
      <c r="G997" s="12"/>
      <c r="H997" s="12"/>
      <c r="I997" s="12" t="s">
        <v>3848</v>
      </c>
      <c r="J997" s="12"/>
      <c r="K997" s="12" t="s">
        <v>3849</v>
      </c>
      <c r="L997" s="12"/>
      <c r="M997" s="12" t="str">
        <f>HYPERLINK("https://ceds.ed.gov/cedselementdetails.aspx?termid=10540")</f>
        <v>https://ceds.ed.gov/cedselementdetails.aspx?termid=10540</v>
      </c>
      <c r="N997" s="12" t="str">
        <f>HYPERLINK("https://ceds.ed.gov/elementComment.aspx?elementName=Learning Resource Author Type &amp;elementID=10540", "Click here to submit comment")</f>
        <v>Click here to submit comment</v>
      </c>
    </row>
    <row r="998" spans="1:14" ht="45" x14ac:dyDescent="0.25">
      <c r="A998" s="12" t="s">
        <v>3850</v>
      </c>
      <c r="B998" s="12" t="s">
        <v>3851</v>
      </c>
      <c r="C998" s="12" t="s">
        <v>12</v>
      </c>
      <c r="D998" s="12" t="s">
        <v>3826</v>
      </c>
      <c r="E998" s="12"/>
      <c r="F998" s="12" t="s">
        <v>68</v>
      </c>
      <c r="G998" s="12"/>
      <c r="H998" s="12"/>
      <c r="I998" s="12" t="s">
        <v>3852</v>
      </c>
      <c r="J998" s="12"/>
      <c r="K998" s="12" t="s">
        <v>3853</v>
      </c>
      <c r="L998" s="12"/>
      <c r="M998" s="12" t="str">
        <f>HYPERLINK("https://ceds.ed.gov/cedselementdetails.aspx?termid=10541")</f>
        <v>https://ceds.ed.gov/cedselementdetails.aspx?termid=10541</v>
      </c>
      <c r="N998" s="12" t="str">
        <f>HYPERLINK("https://ceds.ed.gov/elementComment.aspx?elementName=Learning Resource Author URL &amp;elementID=10541", "Click here to submit comment")</f>
        <v>Click here to submit comment</v>
      </c>
    </row>
    <row r="999" spans="1:14" ht="90" x14ac:dyDescent="0.25">
      <c r="A999" s="12" t="s">
        <v>3854</v>
      </c>
      <c r="B999" s="12" t="s">
        <v>3855</v>
      </c>
      <c r="C999" s="12" t="s">
        <v>12</v>
      </c>
      <c r="D999" s="12" t="s">
        <v>6586</v>
      </c>
      <c r="E999" s="12"/>
      <c r="F999" s="12" t="s">
        <v>68</v>
      </c>
      <c r="G999" s="12"/>
      <c r="H999" s="12" t="s">
        <v>3856</v>
      </c>
      <c r="I999" s="12" t="s">
        <v>3857</v>
      </c>
      <c r="J999" s="12"/>
      <c r="K999" s="12" t="s">
        <v>3858</v>
      </c>
      <c r="L999" s="12"/>
      <c r="M999" s="12" t="str">
        <f>HYPERLINK("https://ceds.ed.gov/cedselementdetails.aspx?termid=9923")</f>
        <v>https://ceds.ed.gov/cedselementdetails.aspx?termid=9923</v>
      </c>
      <c r="N999" s="12" t="str">
        <f>HYPERLINK("https://ceds.ed.gov/elementComment.aspx?elementName=Learning Resource Based On URL &amp;elementID=9923", "Click here to submit comment")</f>
        <v>Click here to submit comment</v>
      </c>
    </row>
    <row r="1000" spans="1:14" ht="135" x14ac:dyDescent="0.25">
      <c r="A1000" s="12" t="s">
        <v>3859</v>
      </c>
      <c r="B1000" s="12" t="s">
        <v>3860</v>
      </c>
      <c r="C1000" s="13" t="s">
        <v>6997</v>
      </c>
      <c r="D1000" s="12" t="s">
        <v>6586</v>
      </c>
      <c r="E1000" s="12"/>
      <c r="F1000" s="12"/>
      <c r="G1000" s="12"/>
      <c r="H1000" s="12"/>
      <c r="I1000" s="12" t="s">
        <v>3861</v>
      </c>
      <c r="J1000" s="12"/>
      <c r="K1000" s="12" t="s">
        <v>3862</v>
      </c>
      <c r="L1000" s="12"/>
      <c r="M1000" s="12" t="str">
        <f>HYPERLINK("https://ceds.ed.gov/cedselementdetails.aspx?termid=10363")</f>
        <v>https://ceds.ed.gov/cedselementdetails.aspx?termid=10363</v>
      </c>
      <c r="N1000" s="12" t="str">
        <f>HYPERLINK("https://ceds.ed.gov/elementComment.aspx?elementName=Learning Resource Book Format Type &amp;elementID=10363", "Click here to submit comment")</f>
        <v>Click here to submit comment</v>
      </c>
    </row>
    <row r="1001" spans="1:14" ht="135" x14ac:dyDescent="0.25">
      <c r="A1001" s="12" t="s">
        <v>3863</v>
      </c>
      <c r="B1001" s="12" t="s">
        <v>3864</v>
      </c>
      <c r="C1001" s="13" t="s">
        <v>6998</v>
      </c>
      <c r="D1001" s="12" t="s">
        <v>6587</v>
      </c>
      <c r="E1001" s="12"/>
      <c r="F1001" s="12"/>
      <c r="G1001" s="12"/>
      <c r="H1001" s="12" t="s">
        <v>3865</v>
      </c>
      <c r="I1001" s="12" t="s">
        <v>3866</v>
      </c>
      <c r="J1001" s="12"/>
      <c r="K1001" s="12" t="s">
        <v>3867</v>
      </c>
      <c r="L1001" s="12"/>
      <c r="M1001" s="12" t="str">
        <f>HYPERLINK("https://ceds.ed.gov/cedselementdetails.aspx?termid=9879")</f>
        <v>https://ceds.ed.gov/cedselementdetails.aspx?termid=9879</v>
      </c>
      <c r="N1001" s="12" t="str">
        <f>HYPERLINK("https://ceds.ed.gov/elementComment.aspx?elementName=Learning Resource Competency Alignment Type &amp;elementID=9879", "Click here to submit comment")</f>
        <v>Click here to submit comment</v>
      </c>
    </row>
    <row r="1002" spans="1:14" ht="90" x14ac:dyDescent="0.25">
      <c r="A1002" s="12" t="s">
        <v>3868</v>
      </c>
      <c r="B1002" s="12" t="s">
        <v>3869</v>
      </c>
      <c r="C1002" s="12" t="s">
        <v>12</v>
      </c>
      <c r="D1002" s="12" t="s">
        <v>6586</v>
      </c>
      <c r="E1002" s="12"/>
      <c r="F1002" s="12" t="s">
        <v>68</v>
      </c>
      <c r="G1002" s="12"/>
      <c r="H1002" s="12"/>
      <c r="I1002" s="12" t="s">
        <v>3870</v>
      </c>
      <c r="J1002" s="12"/>
      <c r="K1002" s="12" t="s">
        <v>3871</v>
      </c>
      <c r="L1002" s="12"/>
      <c r="M1002" s="12" t="str">
        <f>HYPERLINK("https://ceds.ed.gov/cedselementdetails.aspx?termid=10159")</f>
        <v>https://ceds.ed.gov/cedselementdetails.aspx?termid=10159</v>
      </c>
      <c r="N1002" s="12" t="str">
        <f>HYPERLINK("https://ceds.ed.gov/elementComment.aspx?elementName=Learning Resource Concept Keyword &amp;elementID=10159", "Click here to submit comment")</f>
        <v>Click here to submit comment</v>
      </c>
    </row>
    <row r="1003" spans="1:14" ht="105" x14ac:dyDescent="0.25">
      <c r="A1003" s="12" t="s">
        <v>3872</v>
      </c>
      <c r="B1003" s="12" t="s">
        <v>3873</v>
      </c>
      <c r="C1003" s="13" t="s">
        <v>6999</v>
      </c>
      <c r="D1003" s="12" t="s">
        <v>6586</v>
      </c>
      <c r="E1003" s="12"/>
      <c r="F1003" s="12"/>
      <c r="G1003" s="12"/>
      <c r="H1003" s="12"/>
      <c r="I1003" s="12" t="s">
        <v>3874</v>
      </c>
      <c r="J1003" s="12"/>
      <c r="K1003" s="12" t="s">
        <v>3875</v>
      </c>
      <c r="L1003" s="12"/>
      <c r="M1003" s="12" t="str">
        <f>HYPERLINK("https://ceds.ed.gov/cedselementdetails.aspx?termid=10364")</f>
        <v>https://ceds.ed.gov/cedselementdetails.aspx?termid=10364</v>
      </c>
      <c r="N1003" s="12" t="str">
        <f>HYPERLINK("https://ceds.ed.gov/elementComment.aspx?elementName=Learning Resource Control Flexibility Type &amp;elementID=10364", "Click here to submit comment")</f>
        <v>Click here to submit comment</v>
      </c>
    </row>
    <row r="1004" spans="1:14" ht="90" x14ac:dyDescent="0.25">
      <c r="A1004" s="12" t="s">
        <v>3876</v>
      </c>
      <c r="B1004" s="12" t="s">
        <v>3877</v>
      </c>
      <c r="C1004" s="12" t="s">
        <v>12</v>
      </c>
      <c r="D1004" s="12" t="s">
        <v>6586</v>
      </c>
      <c r="E1004" s="12"/>
      <c r="F1004" s="12" t="s">
        <v>99</v>
      </c>
      <c r="G1004" s="12"/>
      <c r="H1004" s="12"/>
      <c r="I1004" s="12" t="s">
        <v>3878</v>
      </c>
      <c r="J1004" s="12"/>
      <c r="K1004" s="12" t="s">
        <v>3879</v>
      </c>
      <c r="L1004" s="12"/>
      <c r="M1004" s="12" t="str">
        <f>HYPERLINK("https://ceds.ed.gov/cedselementdetails.aspx?termid=10157")</f>
        <v>https://ceds.ed.gov/cedselementdetails.aspx?termid=10157</v>
      </c>
      <c r="N1004" s="12" t="str">
        <f>HYPERLINK("https://ceds.ed.gov/elementComment.aspx?elementName=Learning Resource Copyright Holder Name &amp;elementID=10157", "Click here to submit comment")</f>
        <v>Click here to submit comment</v>
      </c>
    </row>
    <row r="1005" spans="1:14" ht="90" x14ac:dyDescent="0.25">
      <c r="A1005" s="12" t="s">
        <v>3880</v>
      </c>
      <c r="B1005" s="12" t="s">
        <v>3881</v>
      </c>
      <c r="C1005" s="12" t="s">
        <v>12</v>
      </c>
      <c r="D1005" s="12" t="s">
        <v>6586</v>
      </c>
      <c r="E1005" s="12"/>
      <c r="F1005" s="12" t="s">
        <v>1861</v>
      </c>
      <c r="G1005" s="12"/>
      <c r="H1005" s="12"/>
      <c r="I1005" s="12" t="s">
        <v>3882</v>
      </c>
      <c r="J1005" s="12"/>
      <c r="K1005" s="12" t="s">
        <v>3883</v>
      </c>
      <c r="L1005" s="12"/>
      <c r="M1005" s="12" t="str">
        <f>HYPERLINK("https://ceds.ed.gov/cedselementdetails.aspx?termid=10158")</f>
        <v>https://ceds.ed.gov/cedselementdetails.aspx?termid=10158</v>
      </c>
      <c r="N1005" s="12" t="str">
        <f>HYPERLINK("https://ceds.ed.gov/elementComment.aspx?elementName=Learning Resource Copyright Year &amp;elementID=10158", "Click here to submit comment")</f>
        <v>Click here to submit comment</v>
      </c>
    </row>
    <row r="1006" spans="1:14" ht="90" x14ac:dyDescent="0.25">
      <c r="A1006" s="12" t="s">
        <v>3884</v>
      </c>
      <c r="B1006" s="12" t="s">
        <v>3885</v>
      </c>
      <c r="C1006" s="12" t="s">
        <v>12</v>
      </c>
      <c r="D1006" s="12" t="s">
        <v>6586</v>
      </c>
      <c r="E1006" s="12"/>
      <c r="F1006" s="12" t="s">
        <v>99</v>
      </c>
      <c r="G1006" s="12"/>
      <c r="H1006" s="12"/>
      <c r="I1006" s="12" t="s">
        <v>3886</v>
      </c>
      <c r="J1006" s="12"/>
      <c r="K1006" s="12" t="s">
        <v>3887</v>
      </c>
      <c r="L1006" s="12"/>
      <c r="M1006" s="12" t="str">
        <f>HYPERLINK("https://ceds.ed.gov/cedselementdetails.aspx?termid=9918")</f>
        <v>https://ceds.ed.gov/cedselementdetails.aspx?termid=9918</v>
      </c>
      <c r="N1006" s="12" t="str">
        <f>HYPERLINK("https://ceds.ed.gov/elementComment.aspx?elementName=Learning Resource Creator &amp;elementID=9918", "Click here to submit comment")</f>
        <v>Click here to submit comment</v>
      </c>
    </row>
    <row r="1007" spans="1:14" ht="90" x14ac:dyDescent="0.25">
      <c r="A1007" s="12" t="s">
        <v>3888</v>
      </c>
      <c r="B1007" s="12" t="s">
        <v>3889</v>
      </c>
      <c r="C1007" s="12" t="s">
        <v>12</v>
      </c>
      <c r="D1007" s="12" t="s">
        <v>6586</v>
      </c>
      <c r="E1007" s="12"/>
      <c r="F1007" s="12" t="s">
        <v>73</v>
      </c>
      <c r="G1007" s="12"/>
      <c r="H1007" s="12"/>
      <c r="I1007" s="12" t="s">
        <v>3890</v>
      </c>
      <c r="J1007" s="12"/>
      <c r="K1007" s="12" t="s">
        <v>3891</v>
      </c>
      <c r="L1007" s="12"/>
      <c r="M1007" s="12" t="str">
        <f>HYPERLINK("https://ceds.ed.gov/cedselementdetails.aspx?termid=9916")</f>
        <v>https://ceds.ed.gov/cedselementdetails.aspx?termid=9916</v>
      </c>
      <c r="N1007" s="12" t="str">
        <f>HYPERLINK("https://ceds.ed.gov/elementComment.aspx?elementName=Learning Resource Date Created &amp;elementID=9916", "Click here to submit comment")</f>
        <v>Click here to submit comment</v>
      </c>
    </row>
    <row r="1008" spans="1:14" ht="45" x14ac:dyDescent="0.25">
      <c r="A1008" s="12" t="s">
        <v>3892</v>
      </c>
      <c r="B1008" s="12" t="s">
        <v>3893</v>
      </c>
      <c r="C1008" s="12" t="s">
        <v>12</v>
      </c>
      <c r="D1008" s="12" t="s">
        <v>3826</v>
      </c>
      <c r="E1008" s="12"/>
      <c r="F1008" s="12" t="s">
        <v>73</v>
      </c>
      <c r="G1008" s="12"/>
      <c r="H1008" s="12"/>
      <c r="I1008" s="12" t="s">
        <v>3894</v>
      </c>
      <c r="J1008" s="12"/>
      <c r="K1008" s="12" t="s">
        <v>3895</v>
      </c>
      <c r="L1008" s="12"/>
      <c r="M1008" s="12" t="str">
        <f>HYPERLINK("https://ceds.ed.gov/cedselementdetails.aspx?termid=10542")</f>
        <v>https://ceds.ed.gov/cedselementdetails.aspx?termid=10542</v>
      </c>
      <c r="N1008" s="12" t="str">
        <f>HYPERLINK("https://ceds.ed.gov/elementComment.aspx?elementName=Learning Resource Date Modified &amp;elementID=10542", "Click here to submit comment")</f>
        <v>Click here to submit comment</v>
      </c>
    </row>
    <row r="1009" spans="1:14" ht="90" x14ac:dyDescent="0.25">
      <c r="A1009" s="12" t="s">
        <v>3896</v>
      </c>
      <c r="B1009" s="12" t="s">
        <v>3897</v>
      </c>
      <c r="C1009" s="12" t="s">
        <v>12</v>
      </c>
      <c r="D1009" s="12" t="s">
        <v>6586</v>
      </c>
      <c r="E1009" s="12"/>
      <c r="F1009" s="12" t="s">
        <v>68</v>
      </c>
      <c r="G1009" s="12"/>
      <c r="H1009" s="12"/>
      <c r="I1009" s="12" t="s">
        <v>3898</v>
      </c>
      <c r="J1009" s="12"/>
      <c r="K1009" s="12" t="s">
        <v>3899</v>
      </c>
      <c r="L1009" s="12"/>
      <c r="M1009" s="12" t="str">
        <f>HYPERLINK("https://ceds.ed.gov/cedselementdetails.aspx?termid=10156")</f>
        <v>https://ceds.ed.gov/cedselementdetails.aspx?termid=10156</v>
      </c>
      <c r="N1009" s="12" t="str">
        <f>HYPERLINK("https://ceds.ed.gov/elementComment.aspx?elementName=Learning Resource Description &amp;elementID=10156", "Click here to submit comment")</f>
        <v>Click here to submit comment</v>
      </c>
    </row>
    <row r="1010" spans="1:14" ht="105" x14ac:dyDescent="0.25">
      <c r="A1010" s="12" t="s">
        <v>3900</v>
      </c>
      <c r="B1010" s="12" t="s">
        <v>3901</v>
      </c>
      <c r="C1010" s="12" t="s">
        <v>3902</v>
      </c>
      <c r="D1010" s="12" t="s">
        <v>6586</v>
      </c>
      <c r="E1010" s="12"/>
      <c r="F1010" s="12"/>
      <c r="G1010" s="12"/>
      <c r="H1010" s="12"/>
      <c r="I1010" s="12" t="s">
        <v>3903</v>
      </c>
      <c r="J1010" s="12"/>
      <c r="K1010" s="12" t="s">
        <v>3904</v>
      </c>
      <c r="L1010" s="12"/>
      <c r="M1010" s="12" t="str">
        <f>HYPERLINK("https://ceds.ed.gov/cedselementdetails.aspx?termid=10365")</f>
        <v>https://ceds.ed.gov/cedselementdetails.aspx?termid=10365</v>
      </c>
      <c r="N1010" s="12" t="str">
        <f>HYPERLINK("https://ceds.ed.gov/elementComment.aspx?elementName=Learning Resource Digital Media Sub Type &amp;elementID=10365", "Click here to submit comment")</f>
        <v>Click here to submit comment</v>
      </c>
    </row>
    <row r="1011" spans="1:14" ht="150" x14ac:dyDescent="0.25">
      <c r="A1011" s="12" t="s">
        <v>3905</v>
      </c>
      <c r="B1011" s="12" t="s">
        <v>3906</v>
      </c>
      <c r="C1011" s="13" t="s">
        <v>7000</v>
      </c>
      <c r="D1011" s="12" t="s">
        <v>6586</v>
      </c>
      <c r="E1011" s="12"/>
      <c r="F1011" s="12"/>
      <c r="G1011" s="12"/>
      <c r="H1011" s="12"/>
      <c r="I1011" s="12" t="s">
        <v>3907</v>
      </c>
      <c r="J1011" s="12"/>
      <c r="K1011" s="12" t="s">
        <v>3908</v>
      </c>
      <c r="L1011" s="12"/>
      <c r="M1011" s="12" t="str">
        <f>HYPERLINK("https://ceds.ed.gov/cedselementdetails.aspx?termid=10366")</f>
        <v>https://ceds.ed.gov/cedselementdetails.aspx?termid=10366</v>
      </c>
      <c r="N1011" s="12" t="str">
        <f>HYPERLINK("https://ceds.ed.gov/elementComment.aspx?elementName=Learning Resource Digital Media Type &amp;elementID=10366", "Click here to submit comment")</f>
        <v>Click here to submit comment</v>
      </c>
    </row>
    <row r="1012" spans="1:14" ht="409.5" x14ac:dyDescent="0.25">
      <c r="A1012" s="12" t="s">
        <v>3909</v>
      </c>
      <c r="B1012" s="12" t="s">
        <v>3910</v>
      </c>
      <c r="C1012" s="13" t="s">
        <v>6831</v>
      </c>
      <c r="D1012" s="12" t="s">
        <v>6588</v>
      </c>
      <c r="E1012" s="12"/>
      <c r="F1012" s="12"/>
      <c r="G1012" s="12"/>
      <c r="H1012" s="12"/>
      <c r="I1012" s="12" t="s">
        <v>3911</v>
      </c>
      <c r="J1012" s="12"/>
      <c r="K1012" s="12" t="s">
        <v>3912</v>
      </c>
      <c r="L1012" s="12"/>
      <c r="M1012" s="12" t="str">
        <f>HYPERLINK("https://ceds.ed.gov/cedselementdetails.aspx?termid=10212")</f>
        <v>https://ceds.ed.gov/cedselementdetails.aspx?termid=10212</v>
      </c>
      <c r="N1012" s="12" t="str">
        <f>HYPERLINK("https://ceds.ed.gov/elementComment.aspx?elementName=Learning Resource Education Level  &amp;elementID=10212", "Click here to submit comment")</f>
        <v>Click here to submit comment</v>
      </c>
    </row>
    <row r="1013" spans="1:14" ht="105" x14ac:dyDescent="0.25">
      <c r="A1013" s="12" t="s">
        <v>3913</v>
      </c>
      <c r="B1013" s="12" t="s">
        <v>3914</v>
      </c>
      <c r="C1013" s="13" t="s">
        <v>7001</v>
      </c>
      <c r="D1013" s="12" t="s">
        <v>6586</v>
      </c>
      <c r="E1013" s="12"/>
      <c r="F1013" s="12"/>
      <c r="G1013" s="12"/>
      <c r="H1013" s="12"/>
      <c r="I1013" s="12" t="s">
        <v>3915</v>
      </c>
      <c r="J1013" s="12"/>
      <c r="K1013" s="12" t="s">
        <v>3916</v>
      </c>
      <c r="L1013" s="12"/>
      <c r="M1013" s="12" t="str">
        <f>HYPERLINK("https://ceds.ed.gov/cedselementdetails.aspx?termid=10005")</f>
        <v>https://ceds.ed.gov/cedselementdetails.aspx?termid=10005</v>
      </c>
      <c r="N1013" s="12" t="str">
        <f>HYPERLINK("https://ceds.ed.gov/elementComment.aspx?elementName=Learning Resource Educational Use &amp;elementID=10005", "Click here to submit comment")</f>
        <v>Click here to submit comment</v>
      </c>
    </row>
    <row r="1014" spans="1:14" ht="150" x14ac:dyDescent="0.25">
      <c r="A1014" s="12" t="s">
        <v>3917</v>
      </c>
      <c r="B1014" s="12" t="s">
        <v>3918</v>
      </c>
      <c r="C1014" s="13" t="s">
        <v>7002</v>
      </c>
      <c r="D1014" s="12" t="s">
        <v>6586</v>
      </c>
      <c r="E1014" s="12"/>
      <c r="F1014" s="12"/>
      <c r="G1014" s="12"/>
      <c r="H1014" s="12"/>
      <c r="I1014" s="12" t="s">
        <v>3919</v>
      </c>
      <c r="J1014" s="12"/>
      <c r="K1014" s="12" t="s">
        <v>3920</v>
      </c>
      <c r="L1014" s="12"/>
      <c r="M1014" s="12" t="str">
        <f>HYPERLINK("https://ceds.ed.gov/cedselementdetails.aspx?termid=9924")</f>
        <v>https://ceds.ed.gov/cedselementdetails.aspx?termid=9924</v>
      </c>
      <c r="N1014" s="12" t="str">
        <f>HYPERLINK("https://ceds.ed.gov/elementComment.aspx?elementName=Learning Resource Intended End User Role &amp;elementID=9924", "Click here to submit comment")</f>
        <v>Click here to submit comment</v>
      </c>
    </row>
    <row r="1015" spans="1:14" ht="150" x14ac:dyDescent="0.25">
      <c r="A1015" s="12" t="s">
        <v>3921</v>
      </c>
      <c r="B1015" s="12" t="s">
        <v>3922</v>
      </c>
      <c r="C1015" s="13" t="s">
        <v>7003</v>
      </c>
      <c r="D1015" s="12" t="s">
        <v>3826</v>
      </c>
      <c r="E1015" s="12"/>
      <c r="F1015" s="12"/>
      <c r="G1015" s="12"/>
      <c r="H1015" s="12"/>
      <c r="I1015" s="12" t="s">
        <v>3923</v>
      </c>
      <c r="J1015" s="12"/>
      <c r="K1015" s="12" t="s">
        <v>3924</v>
      </c>
      <c r="L1015" s="12"/>
      <c r="M1015" s="12" t="str">
        <f>HYPERLINK("https://ceds.ed.gov/cedselementdetails.aspx?termid=10543")</f>
        <v>https://ceds.ed.gov/cedselementdetails.aspx?termid=10543</v>
      </c>
      <c r="N1015" s="12" t="str">
        <f>HYPERLINK("https://ceds.ed.gov/elementComment.aspx?elementName=Learning Resource Interaction Mode &amp;elementID=10543", "Click here to submit comment")</f>
        <v>Click here to submit comment</v>
      </c>
    </row>
    <row r="1016" spans="1:14" ht="90" x14ac:dyDescent="0.25">
      <c r="A1016" s="12" t="s">
        <v>3925</v>
      </c>
      <c r="B1016" s="12" t="s">
        <v>3926</v>
      </c>
      <c r="C1016" s="13" t="s">
        <v>7004</v>
      </c>
      <c r="D1016" s="12" t="s">
        <v>6586</v>
      </c>
      <c r="E1016" s="12"/>
      <c r="F1016" s="12"/>
      <c r="G1016" s="12"/>
      <c r="H1016" s="12"/>
      <c r="I1016" s="12" t="s">
        <v>3927</v>
      </c>
      <c r="J1016" s="12"/>
      <c r="K1016" s="12" t="s">
        <v>3928</v>
      </c>
      <c r="L1016" s="12"/>
      <c r="M1016" s="12" t="str">
        <f>HYPERLINK("https://ceds.ed.gov/cedselementdetails.aspx?termid=9928")</f>
        <v>https://ceds.ed.gov/cedselementdetails.aspx?termid=9928</v>
      </c>
      <c r="N1016" s="12" t="str">
        <f>HYPERLINK("https://ceds.ed.gov/elementComment.aspx?elementName=Learning Resource Interactivity Type &amp;elementID=9928", "Click here to submit comment")</f>
        <v>Click here to submit comment</v>
      </c>
    </row>
    <row r="1017" spans="1:14" ht="90" x14ac:dyDescent="0.25">
      <c r="A1017" s="18" t="s">
        <v>3929</v>
      </c>
      <c r="B1017" s="18" t="s">
        <v>3930</v>
      </c>
      <c r="C1017" s="21" t="s">
        <v>999</v>
      </c>
      <c r="D1017" s="18" t="s">
        <v>6586</v>
      </c>
      <c r="E1017" s="18" t="s">
        <v>98</v>
      </c>
      <c r="F1017" s="18"/>
      <c r="G1017" s="18"/>
      <c r="H1017" s="14" t="s">
        <v>1000</v>
      </c>
      <c r="I1017" s="18" t="s">
        <v>3932</v>
      </c>
      <c r="J1017" s="18"/>
      <c r="K1017" s="18" t="s">
        <v>3933</v>
      </c>
      <c r="L1017" s="18"/>
      <c r="M1017" s="18" t="str">
        <f>HYPERLINK("https://ceds.ed.gov/cedselementdetails.aspx?termid=9920")</f>
        <v>https://ceds.ed.gov/cedselementdetails.aspx?termid=9920</v>
      </c>
      <c r="N1017" s="18" t="str">
        <f>HYPERLINK("https://ceds.ed.gov/elementComment.aspx?elementName=Learning Resource Language &amp;elementID=9920", "Click here to submit comment")</f>
        <v>Click here to submit comment</v>
      </c>
    </row>
    <row r="1018" spans="1:14" ht="75" x14ac:dyDescent="0.25">
      <c r="A1018" s="18"/>
      <c r="B1018" s="18"/>
      <c r="C1018" s="21"/>
      <c r="D1018" s="18"/>
      <c r="E1018" s="18"/>
      <c r="F1018" s="18"/>
      <c r="G1018" s="18"/>
      <c r="H1018" s="12" t="s">
        <v>3931</v>
      </c>
      <c r="I1018" s="18"/>
      <c r="J1018" s="18"/>
      <c r="K1018" s="18"/>
      <c r="L1018" s="18"/>
      <c r="M1018" s="18"/>
      <c r="N1018" s="18"/>
    </row>
    <row r="1019" spans="1:14" ht="90" x14ac:dyDescent="0.25">
      <c r="A1019" s="12" t="s">
        <v>3934</v>
      </c>
      <c r="B1019" s="12" t="s">
        <v>3935</v>
      </c>
      <c r="C1019" s="12" t="s">
        <v>12</v>
      </c>
      <c r="D1019" s="12" t="s">
        <v>6586</v>
      </c>
      <c r="E1019" s="12"/>
      <c r="F1019" s="12" t="s">
        <v>68</v>
      </c>
      <c r="G1019" s="12"/>
      <c r="H1019" s="12" t="s">
        <v>3936</v>
      </c>
      <c r="I1019" s="12" t="s">
        <v>3937</v>
      </c>
      <c r="J1019" s="12"/>
      <c r="K1019" s="12" t="s">
        <v>3938</v>
      </c>
      <c r="L1019" s="12"/>
      <c r="M1019" s="12" t="str">
        <f>HYPERLINK("https://ceds.ed.gov/cedselementdetails.aspx?termid=9922")</f>
        <v>https://ceds.ed.gov/cedselementdetails.aspx?termid=9922</v>
      </c>
      <c r="N1019" s="12" t="str">
        <f>HYPERLINK("https://ceds.ed.gov/elementComment.aspx?elementName=Learning Resource License URL &amp;elementID=9922", "Click here to submit comment")</f>
        <v>Click here to submit comment</v>
      </c>
    </row>
    <row r="1020" spans="1:14" ht="345" x14ac:dyDescent="0.25">
      <c r="A1020" s="12" t="s">
        <v>3939</v>
      </c>
      <c r="B1020" s="12" t="s">
        <v>3940</v>
      </c>
      <c r="C1020" s="13" t="s">
        <v>7005</v>
      </c>
      <c r="D1020" s="12" t="s">
        <v>6586</v>
      </c>
      <c r="E1020" s="12"/>
      <c r="F1020" s="12"/>
      <c r="G1020" s="12"/>
      <c r="H1020" s="12" t="s">
        <v>3941</v>
      </c>
      <c r="I1020" s="12" t="s">
        <v>3942</v>
      </c>
      <c r="J1020" s="12"/>
      <c r="K1020" s="12" t="s">
        <v>3943</v>
      </c>
      <c r="L1020" s="12"/>
      <c r="M1020" s="12" t="str">
        <f>HYPERLINK("https://ceds.ed.gov/cedselementdetails.aspx?termid=10368")</f>
        <v>https://ceds.ed.gov/cedselementdetails.aspx?termid=10368</v>
      </c>
      <c r="N1020" s="12" t="str">
        <f>HYPERLINK("https://ceds.ed.gov/elementComment.aspx?elementName=Learning Resource Media Feature Type &amp;elementID=10368", "Click here to submit comment")</f>
        <v>Click here to submit comment</v>
      </c>
    </row>
    <row r="1021" spans="1:14" ht="90" x14ac:dyDescent="0.25">
      <c r="A1021" s="12" t="s">
        <v>3944</v>
      </c>
      <c r="B1021" s="12" t="s">
        <v>3945</v>
      </c>
      <c r="C1021" s="12" t="s">
        <v>12</v>
      </c>
      <c r="D1021" s="12" t="s">
        <v>6589</v>
      </c>
      <c r="E1021" s="12"/>
      <c r="F1021" s="12" t="s">
        <v>620</v>
      </c>
      <c r="G1021" s="12"/>
      <c r="H1021" s="12"/>
      <c r="I1021" s="12" t="s">
        <v>3946</v>
      </c>
      <c r="J1021" s="12"/>
      <c r="K1021" s="12" t="s">
        <v>3947</v>
      </c>
      <c r="L1021" s="12"/>
      <c r="M1021" s="12" t="str">
        <f>HYPERLINK("https://ceds.ed.gov/cedselementdetails.aspx?termid=10369")</f>
        <v>https://ceds.ed.gov/cedselementdetails.aspx?termid=10369</v>
      </c>
      <c r="N1021" s="12" t="str">
        <f>HYPERLINK("https://ceds.ed.gov/elementComment.aspx?elementName=Learning Resource Peer Rating Sample Size &amp;elementID=10369", "Click here to submit comment")</f>
        <v>Click here to submit comment</v>
      </c>
    </row>
    <row r="1022" spans="1:14" ht="90" x14ac:dyDescent="0.25">
      <c r="A1022" s="12" t="s">
        <v>3948</v>
      </c>
      <c r="B1022" s="12" t="s">
        <v>3949</v>
      </c>
      <c r="C1022" s="12" t="s">
        <v>12</v>
      </c>
      <c r="D1022" s="12" t="s">
        <v>6589</v>
      </c>
      <c r="E1022" s="12"/>
      <c r="F1022" s="12" t="s">
        <v>1021</v>
      </c>
      <c r="G1022" s="12"/>
      <c r="H1022" s="12"/>
      <c r="I1022" s="12" t="s">
        <v>3950</v>
      </c>
      <c r="J1022" s="12"/>
      <c r="K1022" s="12" t="s">
        <v>3951</v>
      </c>
      <c r="L1022" s="12"/>
      <c r="M1022" s="12" t="str">
        <f>HYPERLINK("https://ceds.ed.gov/cedselementdetails.aspx?termid=10161")</f>
        <v>https://ceds.ed.gov/cedselementdetails.aspx?termid=10161</v>
      </c>
      <c r="N1022" s="12" t="str">
        <f>HYPERLINK("https://ceds.ed.gov/elementComment.aspx?elementName=Learning Resource Peer Rating Value &amp;elementID=10161", "Click here to submit comment")</f>
        <v>Click here to submit comment</v>
      </c>
    </row>
    <row r="1023" spans="1:14" ht="409.5" x14ac:dyDescent="0.25">
      <c r="A1023" s="12" t="s">
        <v>3952</v>
      </c>
      <c r="B1023" s="12" t="s">
        <v>3953</v>
      </c>
      <c r="C1023" s="13" t="s">
        <v>7006</v>
      </c>
      <c r="D1023" s="12" t="s">
        <v>6586</v>
      </c>
      <c r="E1023" s="12"/>
      <c r="F1023" s="12"/>
      <c r="G1023" s="12"/>
      <c r="H1023" s="12"/>
      <c r="I1023" s="12" t="s">
        <v>3954</v>
      </c>
      <c r="J1023" s="12"/>
      <c r="K1023" s="12" t="s">
        <v>3955</v>
      </c>
      <c r="L1023" s="12"/>
      <c r="M1023" s="12" t="str">
        <f>HYPERLINK("https://ceds.ed.gov/cedselementdetails.aspx?termid=10370")</f>
        <v>https://ceds.ed.gov/cedselementdetails.aspx?termid=10370</v>
      </c>
      <c r="N1023" s="12" t="str">
        <f>HYPERLINK("https://ceds.ed.gov/elementComment.aspx?elementName=Learning Resource Physical Media Type &amp;elementID=10370", "Click here to submit comment")</f>
        <v>Click here to submit comment</v>
      </c>
    </row>
    <row r="1024" spans="1:14" ht="60" x14ac:dyDescent="0.25">
      <c r="A1024" s="12" t="s">
        <v>3956</v>
      </c>
      <c r="B1024" s="12" t="s">
        <v>3957</v>
      </c>
      <c r="C1024" s="12" t="s">
        <v>12</v>
      </c>
      <c r="D1024" s="12" t="s">
        <v>6402</v>
      </c>
      <c r="E1024" s="12"/>
      <c r="F1024" s="12" t="s">
        <v>73</v>
      </c>
      <c r="G1024" s="12"/>
      <c r="H1024" s="12"/>
      <c r="I1024" s="12" t="s">
        <v>3958</v>
      </c>
      <c r="J1024" s="12"/>
      <c r="K1024" s="12" t="s">
        <v>3959</v>
      </c>
      <c r="L1024" s="12"/>
      <c r="M1024" s="12" t="str">
        <f>HYPERLINK("https://ceds.ed.gov/cedselementdetails.aspx?termid=10135")</f>
        <v>https://ceds.ed.gov/cedselementdetails.aspx?termid=10135</v>
      </c>
      <c r="N1024" s="12" t="str">
        <f>HYPERLINK("https://ceds.ed.gov/elementComment.aspx?elementName=Learning Resource Published Date &amp;elementID=10135", "Click here to submit comment")</f>
        <v>Click here to submit comment</v>
      </c>
    </row>
    <row r="1025" spans="1:14" ht="45" x14ac:dyDescent="0.25">
      <c r="A1025" s="12" t="s">
        <v>3960</v>
      </c>
      <c r="B1025" s="12" t="s">
        <v>3961</v>
      </c>
      <c r="C1025" s="12" t="s">
        <v>12</v>
      </c>
      <c r="D1025" s="12" t="s">
        <v>3826</v>
      </c>
      <c r="E1025" s="12"/>
      <c r="F1025" s="12" t="s">
        <v>2649</v>
      </c>
      <c r="G1025" s="12"/>
      <c r="H1025" s="12"/>
      <c r="I1025" s="12" t="s">
        <v>3962</v>
      </c>
      <c r="J1025" s="12"/>
      <c r="K1025" s="12" t="s">
        <v>3963</v>
      </c>
      <c r="L1025" s="12"/>
      <c r="M1025" s="12" t="str">
        <f>HYPERLINK("https://ceds.ed.gov/cedselementdetails.aspx?termid=10545")</f>
        <v>https://ceds.ed.gov/cedselementdetails.aspx?termid=10545</v>
      </c>
      <c r="N1025" s="12" t="str">
        <f>HYPERLINK("https://ceds.ed.gov/elementComment.aspx?elementName=Learning Resource Publisher Email &amp;elementID=10545", "Click here to submit comment")</f>
        <v>Click here to submit comment</v>
      </c>
    </row>
    <row r="1026" spans="1:14" ht="90" x14ac:dyDescent="0.25">
      <c r="A1026" s="12" t="s">
        <v>3964</v>
      </c>
      <c r="B1026" s="12" t="s">
        <v>3965</v>
      </c>
      <c r="C1026" s="12" t="s">
        <v>12</v>
      </c>
      <c r="D1026" s="12" t="s">
        <v>6586</v>
      </c>
      <c r="E1026" s="12"/>
      <c r="F1026" s="12" t="s">
        <v>99</v>
      </c>
      <c r="G1026" s="12"/>
      <c r="H1026" s="12"/>
      <c r="I1026" s="12" t="s">
        <v>3966</v>
      </c>
      <c r="J1026" s="12"/>
      <c r="K1026" s="12" t="s">
        <v>3967</v>
      </c>
      <c r="L1026" s="12"/>
      <c r="M1026" s="12" t="str">
        <f>HYPERLINK("https://ceds.ed.gov/cedselementdetails.aspx?termid=9919")</f>
        <v>https://ceds.ed.gov/cedselementdetails.aspx?termid=9919</v>
      </c>
      <c r="N1026" s="12" t="str">
        <f>HYPERLINK("https://ceds.ed.gov/elementComment.aspx?elementName=Learning Resource Publisher Name &amp;elementID=9919", "Click here to submit comment")</f>
        <v>Click here to submit comment</v>
      </c>
    </row>
    <row r="1027" spans="1:14" ht="45" x14ac:dyDescent="0.25">
      <c r="A1027" s="12" t="s">
        <v>3968</v>
      </c>
      <c r="B1027" s="12" t="s">
        <v>3969</v>
      </c>
      <c r="C1027" s="12" t="s">
        <v>12</v>
      </c>
      <c r="D1027" s="12" t="s">
        <v>3826</v>
      </c>
      <c r="E1027" s="12"/>
      <c r="F1027" s="12" t="s">
        <v>68</v>
      </c>
      <c r="G1027" s="12"/>
      <c r="H1027" s="12"/>
      <c r="I1027" s="12" t="s">
        <v>3970</v>
      </c>
      <c r="J1027" s="12"/>
      <c r="K1027" s="12" t="s">
        <v>3971</v>
      </c>
      <c r="L1027" s="12"/>
      <c r="M1027" s="12" t="str">
        <f>HYPERLINK("https://ceds.ed.gov/cedselementdetails.aspx?termid=10547")</f>
        <v>https://ceds.ed.gov/cedselementdetails.aspx?termid=10547</v>
      </c>
      <c r="N1027" s="12" t="str">
        <f>HYPERLINK("https://ceds.ed.gov/elementComment.aspx?elementName=Learning Resource Publisher URL &amp;elementID=10547", "Click here to submit comment")</f>
        <v>Click here to submit comment</v>
      </c>
    </row>
    <row r="1028" spans="1:14" ht="210" x14ac:dyDescent="0.25">
      <c r="A1028" s="12" t="s">
        <v>3972</v>
      </c>
      <c r="B1028" s="12" t="s">
        <v>3973</v>
      </c>
      <c r="C1028" s="12" t="s">
        <v>12</v>
      </c>
      <c r="D1028" s="12" t="s">
        <v>6586</v>
      </c>
      <c r="E1028" s="12"/>
      <c r="F1028" s="12" t="s">
        <v>92</v>
      </c>
      <c r="G1028" s="12"/>
      <c r="H1028" s="12" t="s">
        <v>3974</v>
      </c>
      <c r="I1028" s="12" t="s">
        <v>3975</v>
      </c>
      <c r="J1028" s="12"/>
      <c r="K1028" s="12" t="s">
        <v>3976</v>
      </c>
      <c r="L1028" s="12"/>
      <c r="M1028" s="12" t="str">
        <f>HYPERLINK("https://ceds.ed.gov/cedselementdetails.aspx?termid=9914")</f>
        <v>https://ceds.ed.gov/cedselementdetails.aspx?termid=9914</v>
      </c>
      <c r="N1028" s="12" t="str">
        <f>HYPERLINK("https://ceds.ed.gov/elementComment.aspx?elementName=Learning Resource Subject Code &amp;elementID=9914", "Click here to submit comment")</f>
        <v>Click here to submit comment</v>
      </c>
    </row>
    <row r="1029" spans="1:14" ht="240" x14ac:dyDescent="0.25">
      <c r="A1029" s="12" t="s">
        <v>3977</v>
      </c>
      <c r="B1029" s="12" t="s">
        <v>3978</v>
      </c>
      <c r="C1029" s="12" t="s">
        <v>12</v>
      </c>
      <c r="D1029" s="12" t="s">
        <v>6586</v>
      </c>
      <c r="E1029" s="12"/>
      <c r="F1029" s="12" t="s">
        <v>92</v>
      </c>
      <c r="G1029" s="12"/>
      <c r="H1029" s="12" t="s">
        <v>3979</v>
      </c>
      <c r="I1029" s="12" t="s">
        <v>3980</v>
      </c>
      <c r="J1029" s="12"/>
      <c r="K1029" s="12" t="s">
        <v>3981</v>
      </c>
      <c r="L1029" s="12"/>
      <c r="M1029" s="12" t="str">
        <f>HYPERLINK("https://ceds.ed.gov/cedselementdetails.aspx?termid=9915")</f>
        <v>https://ceds.ed.gov/cedselementdetails.aspx?termid=9915</v>
      </c>
      <c r="N1029" s="12" t="str">
        <f>HYPERLINK("https://ceds.ed.gov/elementComment.aspx?elementName=Learning Resource Subject Code System &amp;elementID=9915", "Click here to submit comment")</f>
        <v>Click here to submit comment</v>
      </c>
    </row>
    <row r="1030" spans="1:14" ht="90" x14ac:dyDescent="0.25">
      <c r="A1030" s="12" t="s">
        <v>3982</v>
      </c>
      <c r="B1030" s="12" t="s">
        <v>3983</v>
      </c>
      <c r="C1030" s="12" t="s">
        <v>12</v>
      </c>
      <c r="D1030" s="12" t="s">
        <v>6586</v>
      </c>
      <c r="E1030" s="12"/>
      <c r="F1030" s="12" t="s">
        <v>92</v>
      </c>
      <c r="G1030" s="12"/>
      <c r="H1030" s="12"/>
      <c r="I1030" s="12" t="s">
        <v>3984</v>
      </c>
      <c r="J1030" s="12"/>
      <c r="K1030" s="12" t="s">
        <v>3985</v>
      </c>
      <c r="L1030" s="12"/>
      <c r="M1030" s="12" t="str">
        <f>HYPERLINK("https://ceds.ed.gov/cedselementdetails.aspx?termid=9913")</f>
        <v>https://ceds.ed.gov/cedselementdetails.aspx?termid=9913</v>
      </c>
      <c r="N1030" s="12" t="str">
        <f>HYPERLINK("https://ceds.ed.gov/elementComment.aspx?elementName=Learning Resource Subject Name &amp;elementID=9913", "Click here to submit comment")</f>
        <v>Click here to submit comment</v>
      </c>
    </row>
    <row r="1031" spans="1:14" ht="90" x14ac:dyDescent="0.25">
      <c r="A1031" s="12" t="s">
        <v>3986</v>
      </c>
      <c r="B1031" s="12" t="s">
        <v>3987</v>
      </c>
      <c r="C1031" s="12" t="s">
        <v>12</v>
      </c>
      <c r="D1031" s="12" t="s">
        <v>6586</v>
      </c>
      <c r="E1031" s="12"/>
      <c r="F1031" s="12" t="s">
        <v>92</v>
      </c>
      <c r="G1031" s="12"/>
      <c r="H1031" s="12"/>
      <c r="I1031" s="12" t="s">
        <v>3988</v>
      </c>
      <c r="J1031" s="12"/>
      <c r="K1031" s="12" t="s">
        <v>3989</v>
      </c>
      <c r="L1031" s="12"/>
      <c r="M1031" s="12" t="str">
        <f>HYPERLINK("https://ceds.ed.gov/cedselementdetails.aspx?termid=9931")</f>
        <v>https://ceds.ed.gov/cedselementdetails.aspx?termid=9931</v>
      </c>
      <c r="N1031" s="12" t="str">
        <f>HYPERLINK("https://ceds.ed.gov/elementComment.aspx?elementName=Learning Resource Text Complexity System &amp;elementID=9931", "Click here to submit comment")</f>
        <v>Click here to submit comment</v>
      </c>
    </row>
    <row r="1032" spans="1:14" ht="90" x14ac:dyDescent="0.25">
      <c r="A1032" s="12" t="s">
        <v>3990</v>
      </c>
      <c r="B1032" s="12" t="s">
        <v>3991</v>
      </c>
      <c r="C1032" s="12" t="s">
        <v>12</v>
      </c>
      <c r="D1032" s="12" t="s">
        <v>6586</v>
      </c>
      <c r="E1032" s="12"/>
      <c r="F1032" s="12" t="s">
        <v>92</v>
      </c>
      <c r="G1032" s="12"/>
      <c r="H1032" s="12"/>
      <c r="I1032" s="12" t="s">
        <v>3992</v>
      </c>
      <c r="J1032" s="12"/>
      <c r="K1032" s="12" t="s">
        <v>3993</v>
      </c>
      <c r="L1032" s="12"/>
      <c r="M1032" s="12" t="str">
        <f>HYPERLINK("https://ceds.ed.gov/cedselementdetails.aspx?termid=9930")</f>
        <v>https://ceds.ed.gov/cedselementdetails.aspx?termid=9930</v>
      </c>
      <c r="N1032" s="12" t="str">
        <f>HYPERLINK("https://ceds.ed.gov/elementComment.aspx?elementName=Learning Resource Text Complexity Value &amp;elementID=9930", "Click here to submit comment")</f>
        <v>Click here to submit comment</v>
      </c>
    </row>
    <row r="1033" spans="1:14" ht="90" x14ac:dyDescent="0.25">
      <c r="A1033" s="12" t="s">
        <v>3994</v>
      </c>
      <c r="B1033" s="12" t="s">
        <v>3995</v>
      </c>
      <c r="C1033" s="12" t="s">
        <v>12</v>
      </c>
      <c r="D1033" s="12" t="s">
        <v>6586</v>
      </c>
      <c r="E1033" s="12"/>
      <c r="F1033" s="12" t="s">
        <v>3996</v>
      </c>
      <c r="G1033" s="12"/>
      <c r="H1033" s="12"/>
      <c r="I1033" s="12" t="s">
        <v>3997</v>
      </c>
      <c r="J1033" s="12"/>
      <c r="K1033" s="12" t="s">
        <v>3998</v>
      </c>
      <c r="L1033" s="12"/>
      <c r="M1033" s="12" t="str">
        <f>HYPERLINK("https://ceds.ed.gov/cedselementdetails.aspx?termid=9925")</f>
        <v>https://ceds.ed.gov/cedselementdetails.aspx?termid=9925</v>
      </c>
      <c r="N1033" s="12" t="str">
        <f>HYPERLINK("https://ceds.ed.gov/elementComment.aspx?elementName=Learning Resource Time Required &amp;elementID=9925", "Click here to submit comment")</f>
        <v>Click here to submit comment</v>
      </c>
    </row>
    <row r="1034" spans="1:14" ht="90" x14ac:dyDescent="0.25">
      <c r="A1034" s="12" t="s">
        <v>3999</v>
      </c>
      <c r="B1034" s="12" t="s">
        <v>4000</v>
      </c>
      <c r="C1034" s="12" t="s">
        <v>12</v>
      </c>
      <c r="D1034" s="12" t="s">
        <v>6586</v>
      </c>
      <c r="E1034" s="12"/>
      <c r="F1034" s="12" t="s">
        <v>92</v>
      </c>
      <c r="G1034" s="12"/>
      <c r="H1034" s="12"/>
      <c r="I1034" s="12" t="s">
        <v>4001</v>
      </c>
      <c r="J1034" s="12"/>
      <c r="K1034" s="12" t="s">
        <v>4002</v>
      </c>
      <c r="L1034" s="12"/>
      <c r="M1034" s="12" t="str">
        <f>HYPERLINK("https://ceds.ed.gov/cedselementdetails.aspx?termid=9912")</f>
        <v>https://ceds.ed.gov/cedselementdetails.aspx?termid=9912</v>
      </c>
      <c r="N1034" s="12" t="str">
        <f>HYPERLINK("https://ceds.ed.gov/elementComment.aspx?elementName=Learning Resource Title &amp;elementID=9912", "Click here to submit comment")</f>
        <v>Click here to submit comment</v>
      </c>
    </row>
    <row r="1035" spans="1:14" ht="360" x14ac:dyDescent="0.25">
      <c r="A1035" s="12" t="s">
        <v>4003</v>
      </c>
      <c r="B1035" s="12" t="s">
        <v>4004</v>
      </c>
      <c r="C1035" s="13" t="s">
        <v>7007</v>
      </c>
      <c r="D1035" s="12" t="s">
        <v>6586</v>
      </c>
      <c r="E1035" s="12"/>
      <c r="F1035" s="12"/>
      <c r="G1035" s="12"/>
      <c r="H1035" s="12" t="s">
        <v>4005</v>
      </c>
      <c r="I1035" s="12" t="s">
        <v>4006</v>
      </c>
      <c r="J1035" s="12"/>
      <c r="K1035" s="12" t="s">
        <v>4007</v>
      </c>
      <c r="L1035" s="12"/>
      <c r="M1035" s="12" t="str">
        <f>HYPERLINK("https://ceds.ed.gov/cedselementdetails.aspx?termid=9929")</f>
        <v>https://ceds.ed.gov/cedselementdetails.aspx?termid=9929</v>
      </c>
      <c r="N1035" s="12" t="str">
        <f>HYPERLINK("https://ceds.ed.gov/elementComment.aspx?elementName=Learning Resource Type &amp;elementID=9929", "Click here to submit comment")</f>
        <v>Click here to submit comment</v>
      </c>
    </row>
    <row r="1036" spans="1:14" ht="90" x14ac:dyDescent="0.25">
      <c r="A1036" s="12" t="s">
        <v>4008</v>
      </c>
      <c r="B1036" s="12" t="s">
        <v>4009</v>
      </c>
      <c r="C1036" s="12" t="s">
        <v>12</v>
      </c>
      <c r="D1036" s="12" t="s">
        <v>6586</v>
      </c>
      <c r="E1036" s="12"/>
      <c r="F1036" s="12" t="s">
        <v>317</v>
      </c>
      <c r="G1036" s="12"/>
      <c r="H1036" s="12"/>
      <c r="I1036" s="12" t="s">
        <v>4010</v>
      </c>
      <c r="J1036" s="12"/>
      <c r="K1036" s="12" t="s">
        <v>4011</v>
      </c>
      <c r="L1036" s="12"/>
      <c r="M1036" s="12" t="str">
        <f>HYPERLINK("https://ceds.ed.gov/cedselementdetails.aspx?termid=9927")</f>
        <v>https://ceds.ed.gov/cedselementdetails.aspx?termid=9927</v>
      </c>
      <c r="N1036" s="12" t="str">
        <f>HYPERLINK("https://ceds.ed.gov/elementComment.aspx?elementName=Learning Resource Typical Age Range Maximum &amp;elementID=9927", "Click here to submit comment")</f>
        <v>Click here to submit comment</v>
      </c>
    </row>
    <row r="1037" spans="1:14" ht="90" x14ac:dyDescent="0.25">
      <c r="A1037" s="12" t="s">
        <v>4012</v>
      </c>
      <c r="B1037" s="12" t="s">
        <v>4013</v>
      </c>
      <c r="C1037" s="12" t="s">
        <v>12</v>
      </c>
      <c r="D1037" s="12" t="s">
        <v>6586</v>
      </c>
      <c r="E1037" s="12"/>
      <c r="F1037" s="12" t="s">
        <v>317</v>
      </c>
      <c r="G1037" s="12"/>
      <c r="H1037" s="12"/>
      <c r="I1037" s="12" t="s">
        <v>4014</v>
      </c>
      <c r="J1037" s="12"/>
      <c r="K1037" s="12" t="s">
        <v>4015</v>
      </c>
      <c r="L1037" s="12"/>
      <c r="M1037" s="12" t="str">
        <f>HYPERLINK("https://ceds.ed.gov/cedselementdetails.aspx?termid=9926")</f>
        <v>https://ceds.ed.gov/cedselementdetails.aspx?termid=9926</v>
      </c>
      <c r="N1037" s="12" t="str">
        <f>HYPERLINK("https://ceds.ed.gov/elementComment.aspx?elementName=Learning Resource Typical Age Range Minimum &amp;elementID=9926", "Click here to submit comment")</f>
        <v>Click here to submit comment</v>
      </c>
    </row>
    <row r="1038" spans="1:14" ht="90" x14ac:dyDescent="0.25">
      <c r="A1038" s="12" t="s">
        <v>4016</v>
      </c>
      <c r="B1038" s="12" t="s">
        <v>4017</v>
      </c>
      <c r="C1038" s="12" t="s">
        <v>12</v>
      </c>
      <c r="D1038" s="12" t="s">
        <v>6586</v>
      </c>
      <c r="E1038" s="12"/>
      <c r="F1038" s="12" t="s">
        <v>68</v>
      </c>
      <c r="G1038" s="12"/>
      <c r="H1038" s="12"/>
      <c r="I1038" s="12" t="s">
        <v>4018</v>
      </c>
      <c r="J1038" s="12"/>
      <c r="K1038" s="12" t="s">
        <v>4019</v>
      </c>
      <c r="L1038" s="12"/>
      <c r="M1038" s="12" t="str">
        <f>HYPERLINK("https://ceds.ed.gov/cedselementdetails.aspx?termid=9911")</f>
        <v>https://ceds.ed.gov/cedselementdetails.aspx?termid=9911</v>
      </c>
      <c r="N1038" s="12" t="str">
        <f>HYPERLINK("https://ceds.ed.gov/elementComment.aspx?elementName=Learning Resource URL &amp;elementID=9911", "Click here to submit comment")</f>
        <v>Click here to submit comment</v>
      </c>
    </row>
    <row r="1039" spans="1:14" ht="90" x14ac:dyDescent="0.25">
      <c r="A1039" s="12" t="s">
        <v>4020</v>
      </c>
      <c r="B1039" s="12" t="s">
        <v>4021</v>
      </c>
      <c r="C1039" s="12" t="s">
        <v>12</v>
      </c>
      <c r="D1039" s="12" t="s">
        <v>6586</v>
      </c>
      <c r="E1039" s="12"/>
      <c r="F1039" s="12" t="s">
        <v>92</v>
      </c>
      <c r="G1039" s="12"/>
      <c r="H1039" s="12"/>
      <c r="I1039" s="12" t="s">
        <v>4022</v>
      </c>
      <c r="J1039" s="12"/>
      <c r="K1039" s="12" t="s">
        <v>4023</v>
      </c>
      <c r="L1039" s="12"/>
      <c r="M1039" s="12" t="str">
        <f>HYPERLINK("https://ceds.ed.gov/cedselementdetails.aspx?termid=10182")</f>
        <v>https://ceds.ed.gov/cedselementdetails.aspx?termid=10182</v>
      </c>
      <c r="N1039" s="12" t="str">
        <f>HYPERLINK("https://ceds.ed.gov/elementComment.aspx?elementName=Learning Resource Version &amp;elementID=10182", "Click here to submit comment")</f>
        <v>Click here to submit comment</v>
      </c>
    </row>
    <row r="1040" spans="1:14" ht="75" x14ac:dyDescent="0.25">
      <c r="A1040" s="12" t="s">
        <v>4024</v>
      </c>
      <c r="B1040" s="12" t="s">
        <v>4025</v>
      </c>
      <c r="C1040" s="12" t="s">
        <v>12</v>
      </c>
      <c r="D1040" s="12" t="s">
        <v>6590</v>
      </c>
      <c r="E1040" s="12"/>
      <c r="F1040" s="12" t="s">
        <v>1533</v>
      </c>
      <c r="G1040" s="12"/>
      <c r="H1040" s="12" t="s">
        <v>4026</v>
      </c>
      <c r="I1040" s="12" t="s">
        <v>4027</v>
      </c>
      <c r="J1040" s="12"/>
      <c r="K1040" s="12" t="s">
        <v>4028</v>
      </c>
      <c r="L1040" s="12"/>
      <c r="M1040" s="12" t="str">
        <f>HYPERLINK("https://ceds.ed.gov/cedselementdetails.aspx?termid=9673")</f>
        <v>https://ceds.ed.gov/cedselementdetails.aspx?termid=9673</v>
      </c>
      <c r="N1040" s="12" t="str">
        <f>HYPERLINK("https://ceds.ed.gov/elementComment.aspx?elementName=Learning Standard Document Creator &amp;elementID=9673", "Click here to submit comment")</f>
        <v>Click here to submit comment</v>
      </c>
    </row>
    <row r="1041" spans="1:14" ht="75" x14ac:dyDescent="0.25">
      <c r="A1041" s="12" t="s">
        <v>4029</v>
      </c>
      <c r="B1041" s="12" t="s">
        <v>4030</v>
      </c>
      <c r="C1041" s="12" t="s">
        <v>12</v>
      </c>
      <c r="D1041" s="12" t="s">
        <v>6590</v>
      </c>
      <c r="E1041" s="12"/>
      <c r="F1041" s="12" t="s">
        <v>68</v>
      </c>
      <c r="G1041" s="12"/>
      <c r="H1041" s="12"/>
      <c r="I1041" s="12" t="s">
        <v>4031</v>
      </c>
      <c r="J1041" s="12"/>
      <c r="K1041" s="12" t="s">
        <v>4032</v>
      </c>
      <c r="L1041" s="12"/>
      <c r="M1041" s="12" t="str">
        <f>HYPERLINK("https://ceds.ed.gov/cedselementdetails.aspx?termid=9674")</f>
        <v>https://ceds.ed.gov/cedselementdetails.aspx?termid=9674</v>
      </c>
      <c r="N1041" s="12" t="str">
        <f>HYPERLINK("https://ceds.ed.gov/elementComment.aspx?elementName=Learning Standard Document Description &amp;elementID=9674", "Click here to submit comment")</f>
        <v>Click here to submit comment</v>
      </c>
    </row>
    <row r="1042" spans="1:14" ht="75" x14ac:dyDescent="0.25">
      <c r="A1042" s="12" t="s">
        <v>4033</v>
      </c>
      <c r="B1042" s="12" t="s">
        <v>4034</v>
      </c>
      <c r="C1042" s="12" t="s">
        <v>12</v>
      </c>
      <c r="D1042" s="12" t="s">
        <v>6590</v>
      </c>
      <c r="E1042" s="12"/>
      <c r="F1042" s="12" t="s">
        <v>68</v>
      </c>
      <c r="G1042" s="12"/>
      <c r="H1042" s="12"/>
      <c r="I1042" s="12" t="s">
        <v>4035</v>
      </c>
      <c r="J1042" s="12"/>
      <c r="K1042" s="12" t="s">
        <v>4036</v>
      </c>
      <c r="L1042" s="12" t="s">
        <v>827</v>
      </c>
      <c r="M1042" s="12" t="str">
        <f>HYPERLINK("https://ceds.ed.gov/cedselementdetails.aspx?termid=9670")</f>
        <v>https://ceds.ed.gov/cedselementdetails.aspx?termid=9670</v>
      </c>
      <c r="N1042" s="12" t="str">
        <f>HYPERLINK("https://ceds.ed.gov/elementComment.aspx?elementName=Learning Standard Document Identifier URI &amp;elementID=9670", "Click here to submit comment")</f>
        <v>Click here to submit comment</v>
      </c>
    </row>
    <row r="1043" spans="1:14" ht="75" x14ac:dyDescent="0.25">
      <c r="A1043" s="12" t="s">
        <v>4037</v>
      </c>
      <c r="B1043" s="12" t="s">
        <v>4038</v>
      </c>
      <c r="C1043" s="12" t="s">
        <v>12</v>
      </c>
      <c r="D1043" s="12" t="s">
        <v>6590</v>
      </c>
      <c r="E1043" s="12"/>
      <c r="F1043" s="12" t="s">
        <v>1533</v>
      </c>
      <c r="G1043" s="12"/>
      <c r="H1043" s="12"/>
      <c r="I1043" s="12" t="s">
        <v>4039</v>
      </c>
      <c r="J1043" s="12"/>
      <c r="K1043" s="12" t="s">
        <v>4040</v>
      </c>
      <c r="L1043" s="12"/>
      <c r="M1043" s="12" t="str">
        <f>HYPERLINK("https://ceds.ed.gov/cedselementdetails.aspx?termid=9676")</f>
        <v>https://ceds.ed.gov/cedselementdetails.aspx?termid=9676</v>
      </c>
      <c r="N1043" s="12" t="str">
        <f>HYPERLINK("https://ceds.ed.gov/elementComment.aspx?elementName=Learning Standard Document Jurisdiction &amp;elementID=9676", "Click here to submit comment")</f>
        <v>Click here to submit comment</v>
      </c>
    </row>
    <row r="1044" spans="1:14" ht="90" x14ac:dyDescent="0.25">
      <c r="A1044" s="12" t="s">
        <v>4041</v>
      </c>
      <c r="B1044" s="12" t="s">
        <v>4042</v>
      </c>
      <c r="C1044" s="14" t="s">
        <v>999</v>
      </c>
      <c r="D1044" s="12" t="s">
        <v>6590</v>
      </c>
      <c r="E1044" s="12" t="s">
        <v>98</v>
      </c>
      <c r="F1044" s="12"/>
      <c r="G1044" s="12"/>
      <c r="H1044" s="14" t="s">
        <v>1000</v>
      </c>
      <c r="I1044" s="12" t="s">
        <v>4043</v>
      </c>
      <c r="J1044" s="12"/>
      <c r="K1044" s="12" t="s">
        <v>4044</v>
      </c>
      <c r="L1044" s="12"/>
      <c r="M1044" s="12" t="str">
        <f>HYPERLINK("https://ceds.ed.gov/cedselementdetails.aspx?termid=9880")</f>
        <v>https://ceds.ed.gov/cedselementdetails.aspx?termid=9880</v>
      </c>
      <c r="N1044" s="12" t="str">
        <f>HYPERLINK("https://ceds.ed.gov/elementComment.aspx?elementName=Learning Standard Document Language &amp;elementID=9880", "Click here to submit comment")</f>
        <v>Click here to submit comment</v>
      </c>
    </row>
    <row r="1045" spans="1:14" ht="75" x14ac:dyDescent="0.25">
      <c r="A1045" s="12" t="s">
        <v>4045</v>
      </c>
      <c r="B1045" s="12" t="s">
        <v>4046</v>
      </c>
      <c r="C1045" s="12" t="s">
        <v>12</v>
      </c>
      <c r="D1045" s="12" t="s">
        <v>6590</v>
      </c>
      <c r="E1045" s="12"/>
      <c r="F1045" s="12" t="s">
        <v>68</v>
      </c>
      <c r="G1045" s="12"/>
      <c r="H1045" s="12"/>
      <c r="I1045" s="12" t="s">
        <v>4047</v>
      </c>
      <c r="J1045" s="12"/>
      <c r="K1045" s="12" t="s">
        <v>4048</v>
      </c>
      <c r="L1045" s="12"/>
      <c r="M1045" s="12" t="str">
        <f>HYPERLINK("https://ceds.ed.gov/cedselementdetails.aspx?termid=9882")</f>
        <v>https://ceds.ed.gov/cedselementdetails.aspx?termid=9882</v>
      </c>
      <c r="N1045" s="12" t="str">
        <f>HYPERLINK("https://ceds.ed.gov/elementComment.aspx?elementName=Learning Standard Document License &amp;elementID=9882", "Click here to submit comment")</f>
        <v>Click here to submit comment</v>
      </c>
    </row>
    <row r="1046" spans="1:14" ht="45" x14ac:dyDescent="0.25">
      <c r="A1046" s="12" t="s">
        <v>4049</v>
      </c>
      <c r="B1046" s="12" t="s">
        <v>4050</v>
      </c>
      <c r="C1046" s="12" t="s">
        <v>12</v>
      </c>
      <c r="D1046" s="12" t="s">
        <v>4051</v>
      </c>
      <c r="E1046" s="12"/>
      <c r="F1046" s="12" t="s">
        <v>73</v>
      </c>
      <c r="G1046" s="12"/>
      <c r="H1046" s="12" t="s">
        <v>4052</v>
      </c>
      <c r="I1046" s="12" t="s">
        <v>4053</v>
      </c>
      <c r="J1046" s="12"/>
      <c r="K1046" s="12" t="s">
        <v>4054</v>
      </c>
      <c r="L1046" s="12"/>
      <c r="M1046" s="12" t="str">
        <f>HYPERLINK("https://ceds.ed.gov/cedselementdetails.aspx?termid=10548")</f>
        <v>https://ceds.ed.gov/cedselementdetails.aspx?termid=10548</v>
      </c>
      <c r="N1046" s="12" t="str">
        <f>HYPERLINK("https://ceds.ed.gov/elementComment.aspx?elementName=Learning Standard Document Publication Date &amp;elementID=10548", "Click here to submit comment")</f>
        <v>Click here to submit comment</v>
      </c>
    </row>
    <row r="1047" spans="1:14" ht="90" x14ac:dyDescent="0.25">
      <c r="A1047" s="12" t="s">
        <v>4055</v>
      </c>
      <c r="B1047" s="12" t="s">
        <v>4056</v>
      </c>
      <c r="C1047" s="13" t="s">
        <v>7008</v>
      </c>
      <c r="D1047" s="12" t="s">
        <v>6590</v>
      </c>
      <c r="E1047" s="12"/>
      <c r="F1047" s="12"/>
      <c r="G1047" s="12"/>
      <c r="H1047" s="12"/>
      <c r="I1047" s="12" t="s">
        <v>4057</v>
      </c>
      <c r="J1047" s="12"/>
      <c r="K1047" s="12" t="s">
        <v>4058</v>
      </c>
      <c r="L1047" s="12"/>
      <c r="M1047" s="12" t="str">
        <f>HYPERLINK("https://ceds.ed.gov/cedselementdetails.aspx?termid=9675")</f>
        <v>https://ceds.ed.gov/cedselementdetails.aspx?termid=9675</v>
      </c>
      <c r="N1047" s="12" t="str">
        <f>HYPERLINK("https://ceds.ed.gov/elementComment.aspx?elementName=Learning Standard Document Publication Status &amp;elementID=9675", "Click here to submit comment")</f>
        <v>Click here to submit comment</v>
      </c>
    </row>
    <row r="1048" spans="1:14" ht="75" x14ac:dyDescent="0.25">
      <c r="A1048" s="12" t="s">
        <v>4059</v>
      </c>
      <c r="B1048" s="12" t="s">
        <v>4060</v>
      </c>
      <c r="C1048" s="12" t="s">
        <v>12</v>
      </c>
      <c r="D1048" s="12" t="s">
        <v>6590</v>
      </c>
      <c r="E1048" s="12"/>
      <c r="F1048" s="12" t="s">
        <v>92</v>
      </c>
      <c r="G1048" s="12"/>
      <c r="H1048" s="12"/>
      <c r="I1048" s="12" t="s">
        <v>4061</v>
      </c>
      <c r="J1048" s="12"/>
      <c r="K1048" s="12" t="s">
        <v>4062</v>
      </c>
      <c r="L1048" s="12"/>
      <c r="M1048" s="12" t="str">
        <f>HYPERLINK("https://ceds.ed.gov/cedselementdetails.aspx?termid=9884")</f>
        <v>https://ceds.ed.gov/cedselementdetails.aspx?termid=9884</v>
      </c>
      <c r="N1048" s="12" t="str">
        <f>HYPERLINK("https://ceds.ed.gov/elementComment.aspx?elementName=Learning Standard Document Publisher &amp;elementID=9884", "Click here to submit comment")</f>
        <v>Click here to submit comment</v>
      </c>
    </row>
    <row r="1049" spans="1:14" ht="75" x14ac:dyDescent="0.25">
      <c r="A1049" s="12" t="s">
        <v>4063</v>
      </c>
      <c r="B1049" s="12" t="s">
        <v>4064</v>
      </c>
      <c r="C1049" s="12" t="s">
        <v>12</v>
      </c>
      <c r="D1049" s="12" t="s">
        <v>6590</v>
      </c>
      <c r="E1049" s="12"/>
      <c r="F1049" s="12" t="s">
        <v>68</v>
      </c>
      <c r="G1049" s="12"/>
      <c r="H1049" s="12"/>
      <c r="I1049" s="12" t="s">
        <v>4065</v>
      </c>
      <c r="J1049" s="12"/>
      <c r="K1049" s="12" t="s">
        <v>4066</v>
      </c>
      <c r="L1049" s="12"/>
      <c r="M1049" s="12" t="str">
        <f>HYPERLINK("https://ceds.ed.gov/cedselementdetails.aspx?termid=9885")</f>
        <v>https://ceds.ed.gov/cedselementdetails.aspx?termid=9885</v>
      </c>
      <c r="N1049" s="12" t="str">
        <f>HYPERLINK("https://ceds.ed.gov/elementComment.aspx?elementName=Learning Standard Document Rights &amp;elementID=9885", "Click here to submit comment")</f>
        <v>Click here to submit comment</v>
      </c>
    </row>
    <row r="1050" spans="1:14" ht="75" x14ac:dyDescent="0.25">
      <c r="A1050" s="12" t="s">
        <v>4067</v>
      </c>
      <c r="B1050" s="12" t="s">
        <v>4068</v>
      </c>
      <c r="C1050" s="12" t="s">
        <v>12</v>
      </c>
      <c r="D1050" s="12" t="s">
        <v>6590</v>
      </c>
      <c r="E1050" s="12"/>
      <c r="F1050" s="12" t="s">
        <v>92</v>
      </c>
      <c r="G1050" s="12"/>
      <c r="H1050" s="12"/>
      <c r="I1050" s="12" t="s">
        <v>4069</v>
      </c>
      <c r="J1050" s="12"/>
      <c r="K1050" s="12" t="s">
        <v>4070</v>
      </c>
      <c r="L1050" s="12"/>
      <c r="M1050" s="12" t="str">
        <f>HYPERLINK("https://ceds.ed.gov/cedselementdetails.aspx?termid=9886")</f>
        <v>https://ceds.ed.gov/cedselementdetails.aspx?termid=9886</v>
      </c>
      <c r="N1050" s="12" t="str">
        <f>HYPERLINK("https://ceds.ed.gov/elementComment.aspx?elementName=Learning Standard Document Rights Holder &amp;elementID=9886", "Click here to submit comment")</f>
        <v>Click here to submit comment</v>
      </c>
    </row>
    <row r="1051" spans="1:14" ht="75" x14ac:dyDescent="0.25">
      <c r="A1051" s="12" t="s">
        <v>4071</v>
      </c>
      <c r="B1051" s="12" t="s">
        <v>4072</v>
      </c>
      <c r="C1051" s="12" t="s">
        <v>12</v>
      </c>
      <c r="D1051" s="12" t="s">
        <v>6590</v>
      </c>
      <c r="E1051" s="12"/>
      <c r="F1051" s="12" t="s">
        <v>92</v>
      </c>
      <c r="G1051" s="12"/>
      <c r="H1051" s="12"/>
      <c r="I1051" s="12" t="s">
        <v>4073</v>
      </c>
      <c r="J1051" s="12"/>
      <c r="K1051" s="12" t="s">
        <v>4074</v>
      </c>
      <c r="L1051" s="12" t="s">
        <v>827</v>
      </c>
      <c r="M1051" s="12" t="str">
        <f>HYPERLINK("https://ceds.ed.gov/cedselementdetails.aspx?termid=9679")</f>
        <v>https://ceds.ed.gov/cedselementdetails.aspx?termid=9679</v>
      </c>
      <c r="N1051" s="12" t="str">
        <f>HYPERLINK("https://ceds.ed.gov/elementComment.aspx?elementName=Learning Standard Document Subject &amp;elementID=9679", "Click here to submit comment")</f>
        <v>Click here to submit comment</v>
      </c>
    </row>
    <row r="1052" spans="1:14" ht="75" x14ac:dyDescent="0.25">
      <c r="A1052" s="12" t="s">
        <v>4075</v>
      </c>
      <c r="B1052" s="12" t="s">
        <v>4076</v>
      </c>
      <c r="C1052" s="12" t="s">
        <v>12</v>
      </c>
      <c r="D1052" s="12" t="s">
        <v>6590</v>
      </c>
      <c r="E1052" s="12"/>
      <c r="F1052" s="12" t="s">
        <v>1533</v>
      </c>
      <c r="G1052" s="12"/>
      <c r="H1052" s="12"/>
      <c r="I1052" s="12" t="s">
        <v>4077</v>
      </c>
      <c r="J1052" s="12"/>
      <c r="K1052" s="12" t="s">
        <v>4078</v>
      </c>
      <c r="L1052" s="12" t="s">
        <v>827</v>
      </c>
      <c r="M1052" s="12" t="str">
        <f>HYPERLINK("https://ceds.ed.gov/cedselementdetails.aspx?termid=9671")</f>
        <v>https://ceds.ed.gov/cedselementdetails.aspx?termid=9671</v>
      </c>
      <c r="N1052" s="12" t="str">
        <f>HYPERLINK("https://ceds.ed.gov/elementComment.aspx?elementName=Learning Standard Document Title &amp;elementID=9671", "Click here to submit comment")</f>
        <v>Click here to submit comment</v>
      </c>
    </row>
    <row r="1053" spans="1:14" ht="75" x14ac:dyDescent="0.25">
      <c r="A1053" s="12" t="s">
        <v>4079</v>
      </c>
      <c r="B1053" s="12" t="s">
        <v>4080</v>
      </c>
      <c r="C1053" s="12" t="s">
        <v>12</v>
      </c>
      <c r="D1053" s="12" t="s">
        <v>6590</v>
      </c>
      <c r="E1053" s="12"/>
      <c r="F1053" s="12" t="s">
        <v>73</v>
      </c>
      <c r="G1053" s="12"/>
      <c r="H1053" s="12"/>
      <c r="I1053" s="12" t="s">
        <v>4081</v>
      </c>
      <c r="J1053" s="12"/>
      <c r="K1053" s="12" t="s">
        <v>4082</v>
      </c>
      <c r="L1053" s="12"/>
      <c r="M1053" s="12" t="str">
        <f>HYPERLINK("https://ceds.ed.gov/cedselementdetails.aspx?termid=9678")</f>
        <v>https://ceds.ed.gov/cedselementdetails.aspx?termid=9678</v>
      </c>
      <c r="N1053" s="12" t="str">
        <f>HYPERLINK("https://ceds.ed.gov/elementComment.aspx?elementName=Learning Standard Document Valid End Date &amp;elementID=9678", "Click here to submit comment")</f>
        <v>Click here to submit comment</v>
      </c>
    </row>
    <row r="1054" spans="1:14" ht="75" x14ac:dyDescent="0.25">
      <c r="A1054" s="12" t="s">
        <v>4083</v>
      </c>
      <c r="B1054" s="12" t="s">
        <v>4084</v>
      </c>
      <c r="C1054" s="12" t="s">
        <v>12</v>
      </c>
      <c r="D1054" s="12" t="s">
        <v>6590</v>
      </c>
      <c r="E1054" s="12"/>
      <c r="F1054" s="12" t="s">
        <v>73</v>
      </c>
      <c r="G1054" s="12"/>
      <c r="H1054" s="12"/>
      <c r="I1054" s="12" t="s">
        <v>4085</v>
      </c>
      <c r="J1054" s="12"/>
      <c r="K1054" s="12" t="s">
        <v>4086</v>
      </c>
      <c r="L1054" s="12"/>
      <c r="M1054" s="12" t="str">
        <f>HYPERLINK("https://ceds.ed.gov/cedselementdetails.aspx?termid=9677")</f>
        <v>https://ceds.ed.gov/cedselementdetails.aspx?termid=9677</v>
      </c>
      <c r="N1054" s="12" t="str">
        <f>HYPERLINK("https://ceds.ed.gov/elementComment.aspx?elementName=Learning Standard Document Valid Start Date &amp;elementID=9677", "Click here to submit comment")</f>
        <v>Click here to submit comment</v>
      </c>
    </row>
    <row r="1055" spans="1:14" ht="75" x14ac:dyDescent="0.25">
      <c r="A1055" s="12" t="s">
        <v>4087</v>
      </c>
      <c r="B1055" s="12" t="s">
        <v>4088</v>
      </c>
      <c r="C1055" s="12" t="s">
        <v>12</v>
      </c>
      <c r="D1055" s="12" t="s">
        <v>6590</v>
      </c>
      <c r="E1055" s="12"/>
      <c r="F1055" s="12" t="s">
        <v>92</v>
      </c>
      <c r="G1055" s="12"/>
      <c r="H1055" s="12"/>
      <c r="I1055" s="12" t="s">
        <v>4089</v>
      </c>
      <c r="J1055" s="12"/>
      <c r="K1055" s="12" t="s">
        <v>4090</v>
      </c>
      <c r="L1055" s="12" t="s">
        <v>827</v>
      </c>
      <c r="M1055" s="12" t="str">
        <f>HYPERLINK("https://ceds.ed.gov/cedselementdetails.aspx?termid=9672")</f>
        <v>https://ceds.ed.gov/cedselementdetails.aspx?termid=9672</v>
      </c>
      <c r="N1055" s="12" t="str">
        <f>HYPERLINK("https://ceds.ed.gov/elementComment.aspx?elementName=Learning Standard Document Version &amp;elementID=9672", "Click here to submit comment")</f>
        <v>Click here to submit comment</v>
      </c>
    </row>
    <row r="1056" spans="1:14" ht="45" x14ac:dyDescent="0.25">
      <c r="A1056" s="12" t="s">
        <v>4091</v>
      </c>
      <c r="B1056" s="12" t="s">
        <v>4092</v>
      </c>
      <c r="C1056" s="12" t="s">
        <v>12</v>
      </c>
      <c r="D1056" s="12" t="s">
        <v>4093</v>
      </c>
      <c r="E1056" s="12"/>
      <c r="F1056" s="12" t="s">
        <v>68</v>
      </c>
      <c r="G1056" s="12"/>
      <c r="H1056" s="12"/>
      <c r="I1056" s="12" t="s">
        <v>4094</v>
      </c>
      <c r="J1056" s="12"/>
      <c r="K1056" s="12" t="s">
        <v>4095</v>
      </c>
      <c r="L1056" s="12"/>
      <c r="M1056" s="12" t="str">
        <f>HYPERLINK("https://ceds.ed.gov/cedselementdetails.aspx?termid=10371")</f>
        <v>https://ceds.ed.gov/cedselementdetails.aspx?termid=10371</v>
      </c>
      <c r="N1056" s="12" t="str">
        <f>HYPERLINK("https://ceds.ed.gov/elementComment.aspx?elementName=Learning Standard Item Association Connection Citation &amp;elementID=10371", "Click here to submit comment")</f>
        <v>Click here to submit comment</v>
      </c>
    </row>
    <row r="1057" spans="1:14" ht="60" x14ac:dyDescent="0.25">
      <c r="A1057" s="12" t="s">
        <v>4096</v>
      </c>
      <c r="B1057" s="12" t="s">
        <v>4097</v>
      </c>
      <c r="C1057" s="12" t="s">
        <v>12</v>
      </c>
      <c r="D1057" s="12" t="s">
        <v>4093</v>
      </c>
      <c r="E1057" s="12"/>
      <c r="F1057" s="12" t="s">
        <v>92</v>
      </c>
      <c r="G1057" s="12"/>
      <c r="H1057" s="12"/>
      <c r="I1057" s="12" t="s">
        <v>4098</v>
      </c>
      <c r="J1057" s="12"/>
      <c r="K1057" s="12" t="s">
        <v>4099</v>
      </c>
      <c r="L1057" s="12"/>
      <c r="M1057" s="12" t="str">
        <f>HYPERLINK("https://ceds.ed.gov/cedselementdetails.aspx?termid=10372")</f>
        <v>https://ceds.ed.gov/cedselementdetails.aspx?termid=10372</v>
      </c>
      <c r="N1057" s="12" t="str">
        <f>HYPERLINK("https://ceds.ed.gov/elementComment.aspx?elementName=Learning Standard Item Association Destination Node Name &amp;elementID=10372", "Click here to submit comment")</f>
        <v>Click here to submit comment</v>
      </c>
    </row>
    <row r="1058" spans="1:14" ht="45" x14ac:dyDescent="0.25">
      <c r="A1058" s="12" t="s">
        <v>4100</v>
      </c>
      <c r="B1058" s="12" t="s">
        <v>4101</v>
      </c>
      <c r="C1058" s="12" t="s">
        <v>12</v>
      </c>
      <c r="D1058" s="12" t="s">
        <v>4093</v>
      </c>
      <c r="E1058" s="12"/>
      <c r="F1058" s="12" t="s">
        <v>68</v>
      </c>
      <c r="G1058" s="12"/>
      <c r="H1058" s="12"/>
      <c r="I1058" s="12" t="s">
        <v>4102</v>
      </c>
      <c r="J1058" s="12"/>
      <c r="K1058" s="12" t="s">
        <v>4103</v>
      </c>
      <c r="L1058" s="12"/>
      <c r="M1058" s="12" t="str">
        <f>HYPERLINK("https://ceds.ed.gov/cedselementdetails.aspx?termid=10373")</f>
        <v>https://ceds.ed.gov/cedselementdetails.aspx?termid=10373</v>
      </c>
      <c r="N1058" s="12" t="str">
        <f>HYPERLINK("https://ceds.ed.gov/elementComment.aspx?elementName=Learning Standard Item Association Destination Node URI &amp;elementID=10373", "Click here to submit comment")</f>
        <v>Click here to submit comment</v>
      </c>
    </row>
    <row r="1059" spans="1:14" ht="150" x14ac:dyDescent="0.25">
      <c r="A1059" s="12" t="s">
        <v>4104</v>
      </c>
      <c r="B1059" s="12" t="s">
        <v>4105</v>
      </c>
      <c r="C1059" s="12" t="s">
        <v>12</v>
      </c>
      <c r="D1059" s="12" t="s">
        <v>6591</v>
      </c>
      <c r="E1059" s="12"/>
      <c r="F1059" s="12" t="s">
        <v>68</v>
      </c>
      <c r="G1059" s="12"/>
      <c r="H1059" s="12"/>
      <c r="I1059" s="12" t="s">
        <v>4106</v>
      </c>
      <c r="J1059" s="12"/>
      <c r="K1059" s="12" t="s">
        <v>4107</v>
      </c>
      <c r="L1059" s="12"/>
      <c r="M1059" s="12" t="str">
        <f>HYPERLINK("https://ceds.ed.gov/cedselementdetails.aspx?termid=9871")</f>
        <v>https://ceds.ed.gov/cedselementdetails.aspx?termid=9871</v>
      </c>
      <c r="N1059" s="12" t="str">
        <f>HYPERLINK("https://ceds.ed.gov/elementComment.aspx?elementName=Learning Standard Item Association Identifier URI &amp;elementID=9871", "Click here to submit comment")</f>
        <v>Click here to submit comment</v>
      </c>
    </row>
    <row r="1060" spans="1:14" ht="45" x14ac:dyDescent="0.25">
      <c r="A1060" s="12" t="s">
        <v>4108</v>
      </c>
      <c r="B1060" s="12" t="s">
        <v>4109</v>
      </c>
      <c r="C1060" s="12" t="s">
        <v>12</v>
      </c>
      <c r="D1060" s="12" t="s">
        <v>4093</v>
      </c>
      <c r="E1060" s="12"/>
      <c r="F1060" s="12" t="s">
        <v>92</v>
      </c>
      <c r="G1060" s="12"/>
      <c r="H1060" s="12"/>
      <c r="I1060" s="12" t="s">
        <v>4110</v>
      </c>
      <c r="J1060" s="12"/>
      <c r="K1060" s="12" t="s">
        <v>4111</v>
      </c>
      <c r="L1060" s="12"/>
      <c r="M1060" s="12" t="str">
        <f>HYPERLINK("https://ceds.ed.gov/cedselementdetails.aspx?termid=10374")</f>
        <v>https://ceds.ed.gov/cedselementdetails.aspx?termid=10374</v>
      </c>
      <c r="N1060" s="12" t="str">
        <f>HYPERLINK("https://ceds.ed.gov/elementComment.aspx?elementName=Learning Standard Item Association Origin Node Name &amp;elementID=10374", "Click here to submit comment")</f>
        <v>Click here to submit comment</v>
      </c>
    </row>
    <row r="1061" spans="1:14" ht="45" x14ac:dyDescent="0.25">
      <c r="A1061" s="12" t="s">
        <v>4112</v>
      </c>
      <c r="B1061" s="12" t="s">
        <v>4113</v>
      </c>
      <c r="C1061" s="12" t="s">
        <v>12</v>
      </c>
      <c r="D1061" s="12" t="s">
        <v>4093</v>
      </c>
      <c r="E1061" s="12"/>
      <c r="F1061" s="12" t="s">
        <v>68</v>
      </c>
      <c r="G1061" s="12"/>
      <c r="H1061" s="12"/>
      <c r="I1061" s="12" t="s">
        <v>4114</v>
      </c>
      <c r="J1061" s="12"/>
      <c r="K1061" s="12" t="s">
        <v>4115</v>
      </c>
      <c r="L1061" s="12"/>
      <c r="M1061" s="12" t="str">
        <f>HYPERLINK("https://ceds.ed.gov/cedselementdetails.aspx?termid=10375")</f>
        <v>https://ceds.ed.gov/cedselementdetails.aspx?termid=10375</v>
      </c>
      <c r="N1061" s="12" t="str">
        <f>HYPERLINK("https://ceds.ed.gov/elementComment.aspx?elementName=Learning Standard Item Association Origin Node URI &amp;elementID=10375", "Click here to submit comment")</f>
        <v>Click here to submit comment</v>
      </c>
    </row>
    <row r="1062" spans="1:14" ht="237" customHeight="1" x14ac:dyDescent="0.25">
      <c r="A1062" s="18" t="s">
        <v>4116</v>
      </c>
      <c r="B1062" s="18" t="s">
        <v>4117</v>
      </c>
      <c r="C1062" s="20" t="s">
        <v>7009</v>
      </c>
      <c r="D1062" s="18" t="s">
        <v>6591</v>
      </c>
      <c r="E1062" s="18" t="s">
        <v>98</v>
      </c>
      <c r="F1062" s="18"/>
      <c r="G1062" s="18"/>
      <c r="H1062" s="12" t="s">
        <v>4118</v>
      </c>
      <c r="I1062" s="18" t="s">
        <v>4120</v>
      </c>
      <c r="J1062" s="18"/>
      <c r="K1062" s="18" t="s">
        <v>4121</v>
      </c>
      <c r="L1062" s="18"/>
      <c r="M1062" s="18" t="str">
        <f>HYPERLINK("https://ceds.ed.gov/cedselementdetails.aspx?termid=9869")</f>
        <v>https://ceds.ed.gov/cedselementdetails.aspx?termid=9869</v>
      </c>
      <c r="N1062" s="18" t="str">
        <f>HYPERLINK("https://ceds.ed.gov/elementComment.aspx?elementName=Learning Standard Item Association Type &amp;elementID=9869", "Click here to submit comment")</f>
        <v>Click here to submit comment</v>
      </c>
    </row>
    <row r="1063" spans="1:14" x14ac:dyDescent="0.25">
      <c r="A1063" s="18"/>
      <c r="B1063" s="18"/>
      <c r="C1063" s="18"/>
      <c r="D1063" s="18"/>
      <c r="E1063" s="18"/>
      <c r="F1063" s="18"/>
      <c r="G1063" s="18"/>
      <c r="H1063" s="12"/>
      <c r="I1063" s="18"/>
      <c r="J1063" s="18"/>
      <c r="K1063" s="18"/>
      <c r="L1063" s="18"/>
      <c r="M1063" s="18"/>
      <c r="N1063" s="18"/>
    </row>
    <row r="1064" spans="1:14" x14ac:dyDescent="0.25">
      <c r="A1064" s="18"/>
      <c r="B1064" s="18"/>
      <c r="C1064" s="18"/>
      <c r="D1064" s="18"/>
      <c r="E1064" s="18"/>
      <c r="F1064" s="18"/>
      <c r="G1064" s="18"/>
      <c r="H1064" s="12"/>
      <c r="I1064" s="18"/>
      <c r="J1064" s="18"/>
      <c r="K1064" s="18"/>
      <c r="L1064" s="18"/>
      <c r="M1064" s="18"/>
      <c r="N1064" s="18"/>
    </row>
    <row r="1065" spans="1:14" ht="135" x14ac:dyDescent="0.25">
      <c r="A1065" s="18"/>
      <c r="B1065" s="18"/>
      <c r="C1065" s="18"/>
      <c r="D1065" s="18"/>
      <c r="E1065" s="18"/>
      <c r="F1065" s="18"/>
      <c r="G1065" s="18"/>
      <c r="H1065" s="12" t="s">
        <v>4119</v>
      </c>
      <c r="I1065" s="18"/>
      <c r="J1065" s="18"/>
      <c r="K1065" s="18"/>
      <c r="L1065" s="18"/>
      <c r="M1065" s="18"/>
      <c r="N1065" s="18"/>
    </row>
    <row r="1066" spans="1:14" ht="135" x14ac:dyDescent="0.25">
      <c r="A1066" s="12" t="s">
        <v>4122</v>
      </c>
      <c r="B1066" s="12" t="s">
        <v>4123</v>
      </c>
      <c r="C1066" s="12" t="s">
        <v>12</v>
      </c>
      <c r="D1066" s="12" t="s">
        <v>4093</v>
      </c>
      <c r="E1066" s="12"/>
      <c r="F1066" s="12" t="s">
        <v>4124</v>
      </c>
      <c r="G1066" s="12"/>
      <c r="H1066" s="12" t="s">
        <v>4125</v>
      </c>
      <c r="I1066" s="12" t="s">
        <v>4126</v>
      </c>
      <c r="J1066" s="12"/>
      <c r="K1066" s="12" t="s">
        <v>4127</v>
      </c>
      <c r="L1066" s="12"/>
      <c r="M1066" s="12" t="str">
        <f>HYPERLINK("https://ceds.ed.gov/cedselementdetails.aspx?termid=10376")</f>
        <v>https://ceds.ed.gov/cedselementdetails.aspx?termid=10376</v>
      </c>
      <c r="N1066" s="12" t="str">
        <f>HYPERLINK("https://ceds.ed.gov/elementComment.aspx?elementName=Learning Standard Item Association Weight &amp;elementID=10376", "Click here to submit comment")</f>
        <v>Click here to submit comment</v>
      </c>
    </row>
    <row r="1067" spans="1:14" ht="75" x14ac:dyDescent="0.25">
      <c r="A1067" s="12" t="s">
        <v>4128</v>
      </c>
      <c r="B1067" s="12" t="s">
        <v>4129</v>
      </c>
      <c r="C1067" s="13" t="s">
        <v>7010</v>
      </c>
      <c r="D1067" s="12" t="s">
        <v>6592</v>
      </c>
      <c r="E1067" s="12"/>
      <c r="F1067" s="12"/>
      <c r="G1067" s="12"/>
      <c r="H1067" s="12"/>
      <c r="I1067" s="12" t="s">
        <v>4130</v>
      </c>
      <c r="J1067" s="12"/>
      <c r="K1067" s="12" t="s">
        <v>4131</v>
      </c>
      <c r="L1067" s="12"/>
      <c r="M1067" s="12" t="str">
        <f>HYPERLINK("https://ceds.ed.gov/cedselementdetails.aspx?termid=9875")</f>
        <v>https://ceds.ed.gov/cedselementdetails.aspx?termid=9875</v>
      </c>
      <c r="N1067" s="12" t="str">
        <f>HYPERLINK("https://ceds.ed.gov/elementComment.aspx?elementName=Learning Standard Item Blooms Taxonomy Domain &amp;elementID=9875", "Click here to submit comment")</f>
        <v>Click here to submit comment</v>
      </c>
    </row>
    <row r="1068" spans="1:14" ht="90" x14ac:dyDescent="0.25">
      <c r="A1068" s="12" t="s">
        <v>4132</v>
      </c>
      <c r="B1068" s="12" t="s">
        <v>4133</v>
      </c>
      <c r="C1068" s="12" t="s">
        <v>12</v>
      </c>
      <c r="D1068" s="12" t="s">
        <v>6592</v>
      </c>
      <c r="E1068" s="12"/>
      <c r="F1068" s="12" t="s">
        <v>92</v>
      </c>
      <c r="G1068" s="12"/>
      <c r="H1068" s="12" t="s">
        <v>4134</v>
      </c>
      <c r="I1068" s="12" t="s">
        <v>4135</v>
      </c>
      <c r="J1068" s="12" t="s">
        <v>4136</v>
      </c>
      <c r="K1068" s="12" t="s">
        <v>4137</v>
      </c>
      <c r="L1068" s="12"/>
      <c r="M1068" s="12" t="str">
        <f>HYPERLINK("https://ceds.ed.gov/cedselementdetails.aspx?termid=9669")</f>
        <v>https://ceds.ed.gov/cedselementdetails.aspx?termid=9669</v>
      </c>
      <c r="N1068" s="12" t="str">
        <f>HYPERLINK("https://ceds.ed.gov/elementComment.aspx?elementName=Learning Standard Item Code &amp;elementID=9669", "Click here to submit comment")</f>
        <v>Click here to submit comment</v>
      </c>
    </row>
    <row r="1069" spans="1:14" ht="75" x14ac:dyDescent="0.25">
      <c r="A1069" s="12" t="s">
        <v>4138</v>
      </c>
      <c r="B1069" s="12" t="s">
        <v>4139</v>
      </c>
      <c r="C1069" s="12" t="s">
        <v>12</v>
      </c>
      <c r="D1069" s="12" t="s">
        <v>6592</v>
      </c>
      <c r="E1069" s="12"/>
      <c r="F1069" s="12" t="s">
        <v>68</v>
      </c>
      <c r="G1069" s="12"/>
      <c r="H1069" s="12"/>
      <c r="I1069" s="12" t="s">
        <v>4140</v>
      </c>
      <c r="J1069" s="12"/>
      <c r="K1069" s="12" t="s">
        <v>4141</v>
      </c>
      <c r="L1069" s="12"/>
      <c r="M1069" s="12" t="str">
        <f>HYPERLINK("https://ceds.ed.gov/cedselementdetails.aspx?termid=9887")</f>
        <v>https://ceds.ed.gov/cedselementdetails.aspx?termid=9887</v>
      </c>
      <c r="N1069" s="12" t="str">
        <f>HYPERLINK("https://ceds.ed.gov/elementComment.aspx?elementName=Learning Standard Item Concept Keyword &amp;elementID=9887", "Click here to submit comment")</f>
        <v>Click here to submit comment</v>
      </c>
    </row>
    <row r="1070" spans="1:14" ht="75" x14ac:dyDescent="0.25">
      <c r="A1070" s="12" t="s">
        <v>4142</v>
      </c>
      <c r="B1070" s="12" t="s">
        <v>4143</v>
      </c>
      <c r="C1070" s="12" t="s">
        <v>12</v>
      </c>
      <c r="D1070" s="12" t="s">
        <v>6592</v>
      </c>
      <c r="E1070" s="12"/>
      <c r="F1070" s="12" t="s">
        <v>92</v>
      </c>
      <c r="G1070" s="12"/>
      <c r="H1070" s="12"/>
      <c r="I1070" s="12" t="s">
        <v>4144</v>
      </c>
      <c r="J1070" s="12"/>
      <c r="K1070" s="12" t="s">
        <v>4145</v>
      </c>
      <c r="L1070" s="12"/>
      <c r="M1070" s="12" t="str">
        <f>HYPERLINK("https://ceds.ed.gov/cedselementdetails.aspx?termid=9888")</f>
        <v>https://ceds.ed.gov/cedselementdetails.aspx?termid=9888</v>
      </c>
      <c r="N1070" s="12" t="str">
        <f>HYPERLINK("https://ceds.ed.gov/elementComment.aspx?elementName=Learning Standard Item Concept Term &amp;elementID=9888", "Click here to submit comment")</f>
        <v>Click here to submit comment</v>
      </c>
    </row>
    <row r="1071" spans="1:14" ht="240" x14ac:dyDescent="0.25">
      <c r="A1071" s="12" t="s">
        <v>4146</v>
      </c>
      <c r="B1071" s="12" t="s">
        <v>4147</v>
      </c>
      <c r="C1071" s="12" t="s">
        <v>6364</v>
      </c>
      <c r="D1071" s="12" t="s">
        <v>6592</v>
      </c>
      <c r="E1071" s="12"/>
      <c r="F1071" s="12"/>
      <c r="G1071" s="12"/>
      <c r="H1071" s="12" t="s">
        <v>4148</v>
      </c>
      <c r="I1071" s="12" t="s">
        <v>4149</v>
      </c>
      <c r="J1071" s="12"/>
      <c r="K1071" s="12" t="s">
        <v>4150</v>
      </c>
      <c r="L1071" s="12"/>
      <c r="M1071" s="12" t="str">
        <f>HYPERLINK("https://ceds.ed.gov/cedselementdetails.aspx?termid=10499")</f>
        <v>https://ceds.ed.gov/cedselementdetails.aspx?termid=10499</v>
      </c>
      <c r="N1071" s="12" t="str">
        <f>HYPERLINK("https://ceds.ed.gov/elementComment.aspx?elementName=Learning Standard Item Current Version Indicator &amp;elementID=10499", "Click here to submit comment")</f>
        <v>Click here to submit comment</v>
      </c>
    </row>
    <row r="1072" spans="1:14" ht="409.5" x14ac:dyDescent="0.25">
      <c r="A1072" s="12" t="s">
        <v>4151</v>
      </c>
      <c r="B1072" s="12" t="s">
        <v>4152</v>
      </c>
      <c r="C1072" s="13" t="s">
        <v>6786</v>
      </c>
      <c r="D1072" s="12" t="s">
        <v>6592</v>
      </c>
      <c r="E1072" s="12"/>
      <c r="F1072" s="12"/>
      <c r="G1072" s="12"/>
      <c r="H1072" s="12" t="s">
        <v>4153</v>
      </c>
      <c r="I1072" s="12" t="s">
        <v>4154</v>
      </c>
      <c r="J1072" s="12"/>
      <c r="K1072" s="12" t="s">
        <v>4155</v>
      </c>
      <c r="L1072" s="12"/>
      <c r="M1072" s="12" t="str">
        <f>HYPERLINK("https://ceds.ed.gov/cedselementdetails.aspx?termid=9701")</f>
        <v>https://ceds.ed.gov/cedselementdetails.aspx?termid=9701</v>
      </c>
      <c r="N1072" s="12" t="str">
        <f>HYPERLINK("https://ceds.ed.gov/elementComment.aspx?elementName=Learning Standard Item Education Level &amp;elementID=9701", "Click here to submit comment")</f>
        <v>Click here to submit comment</v>
      </c>
    </row>
    <row r="1073" spans="1:14" ht="105" x14ac:dyDescent="0.25">
      <c r="A1073" s="18" t="s">
        <v>4156</v>
      </c>
      <c r="B1073" s="18" t="s">
        <v>4157</v>
      </c>
      <c r="C1073" s="18" t="s">
        <v>12</v>
      </c>
      <c r="D1073" s="18" t="s">
        <v>6592</v>
      </c>
      <c r="E1073" s="18"/>
      <c r="F1073" s="18" t="s">
        <v>142</v>
      </c>
      <c r="G1073" s="18"/>
      <c r="H1073" s="12" t="s">
        <v>143</v>
      </c>
      <c r="I1073" s="18" t="s">
        <v>4158</v>
      </c>
      <c r="J1073" s="18" t="s">
        <v>4159</v>
      </c>
      <c r="K1073" s="18" t="s">
        <v>4160</v>
      </c>
      <c r="L1073" s="18" t="s">
        <v>827</v>
      </c>
      <c r="M1073" s="18" t="str">
        <f>HYPERLINK("https://ceds.ed.gov/cedselementdetails.aspx?termid=9666")</f>
        <v>https://ceds.ed.gov/cedselementdetails.aspx?termid=9666</v>
      </c>
      <c r="N1073" s="18" t="str">
        <f>HYPERLINK("https://ceds.ed.gov/elementComment.aspx?elementName=Learning Standard Item Identifier &amp;elementID=9666", "Click here to submit comment")</f>
        <v>Click here to submit comment</v>
      </c>
    </row>
    <row r="1074" spans="1:14" x14ac:dyDescent="0.25">
      <c r="A1074" s="18"/>
      <c r="B1074" s="18"/>
      <c r="C1074" s="18"/>
      <c r="D1074" s="18"/>
      <c r="E1074" s="18"/>
      <c r="F1074" s="18"/>
      <c r="G1074" s="18"/>
      <c r="H1074" s="12"/>
      <c r="I1074" s="18"/>
      <c r="J1074" s="18"/>
      <c r="K1074" s="18"/>
      <c r="L1074" s="18"/>
      <c r="M1074" s="18"/>
      <c r="N1074" s="18"/>
    </row>
    <row r="1075" spans="1:14" ht="90" x14ac:dyDescent="0.25">
      <c r="A1075" s="18"/>
      <c r="B1075" s="18"/>
      <c r="C1075" s="18"/>
      <c r="D1075" s="18"/>
      <c r="E1075" s="18"/>
      <c r="F1075" s="18"/>
      <c r="G1075" s="18"/>
      <c r="H1075" s="12" t="s">
        <v>144</v>
      </c>
      <c r="I1075" s="18"/>
      <c r="J1075" s="18"/>
      <c r="K1075" s="18"/>
      <c r="L1075" s="18"/>
      <c r="M1075" s="18"/>
      <c r="N1075" s="18"/>
    </row>
    <row r="1076" spans="1:14" ht="90" x14ac:dyDescent="0.25">
      <c r="A1076" s="12" t="s">
        <v>4161</v>
      </c>
      <c r="B1076" s="12" t="s">
        <v>4162</v>
      </c>
      <c r="C1076" s="14" t="s">
        <v>999</v>
      </c>
      <c r="D1076" s="12" t="s">
        <v>6592</v>
      </c>
      <c r="E1076" s="12" t="s">
        <v>98</v>
      </c>
      <c r="F1076" s="12"/>
      <c r="G1076" s="12"/>
      <c r="H1076" s="14" t="s">
        <v>1000</v>
      </c>
      <c r="I1076" s="12" t="s">
        <v>4163</v>
      </c>
      <c r="J1076" s="12"/>
      <c r="K1076" s="12" t="s">
        <v>4164</v>
      </c>
      <c r="L1076" s="12"/>
      <c r="M1076" s="12" t="str">
        <f>HYPERLINK("https://ceds.ed.gov/cedselementdetails.aspx?termid=9881")</f>
        <v>https://ceds.ed.gov/cedselementdetails.aspx?termid=9881</v>
      </c>
      <c r="N1076" s="12" t="str">
        <f>HYPERLINK("https://ceds.ed.gov/elementComment.aspx?elementName=Learning Standard Item Language &amp;elementID=9881", "Click here to submit comment")</f>
        <v>Click here to submit comment</v>
      </c>
    </row>
    <row r="1077" spans="1:14" ht="75" x14ac:dyDescent="0.25">
      <c r="A1077" s="12" t="s">
        <v>4165</v>
      </c>
      <c r="B1077" s="12" t="s">
        <v>4166</v>
      </c>
      <c r="C1077" s="12" t="s">
        <v>12</v>
      </c>
      <c r="D1077" s="12" t="s">
        <v>6592</v>
      </c>
      <c r="E1077" s="12"/>
      <c r="F1077" s="12" t="s">
        <v>68</v>
      </c>
      <c r="G1077" s="12"/>
      <c r="H1077" s="12"/>
      <c r="I1077" s="12" t="s">
        <v>4167</v>
      </c>
      <c r="J1077" s="12"/>
      <c r="K1077" s="12" t="s">
        <v>4168</v>
      </c>
      <c r="L1077" s="12"/>
      <c r="M1077" s="12" t="str">
        <f>HYPERLINK("https://ceds.ed.gov/cedselementdetails.aspx?termid=9883")</f>
        <v>https://ceds.ed.gov/cedselementdetails.aspx?termid=9883</v>
      </c>
      <c r="N1077" s="12" t="str">
        <f>HYPERLINK("https://ceds.ed.gov/elementComment.aspx?elementName=Learning Standard Item License &amp;elementID=9883", "Click here to submit comment")</f>
        <v>Click here to submit comment</v>
      </c>
    </row>
    <row r="1078" spans="1:14" ht="150" x14ac:dyDescent="0.25">
      <c r="A1078" s="12" t="s">
        <v>4169</v>
      </c>
      <c r="B1078" s="12" t="s">
        <v>4170</v>
      </c>
      <c r="C1078" s="13" t="s">
        <v>7011</v>
      </c>
      <c r="D1078" s="12" t="s">
        <v>6592</v>
      </c>
      <c r="E1078" s="12"/>
      <c r="F1078" s="12"/>
      <c r="G1078" s="12"/>
      <c r="H1078" s="12"/>
      <c r="I1078" s="12" t="s">
        <v>4171</v>
      </c>
      <c r="J1078" s="12"/>
      <c r="K1078" s="12" t="s">
        <v>4172</v>
      </c>
      <c r="L1078" s="12"/>
      <c r="M1078" s="12" t="str">
        <f>HYPERLINK("https://ceds.ed.gov/cedselementdetails.aspx?termid=9876")</f>
        <v>https://ceds.ed.gov/cedselementdetails.aspx?termid=9876</v>
      </c>
      <c r="N1078" s="12" t="str">
        <f>HYPERLINK("https://ceds.ed.gov/elementComment.aspx?elementName=Learning Standard Item Multiple Intelligence &amp;elementID=9876", "Click here to submit comment")</f>
        <v>Click here to submit comment</v>
      </c>
    </row>
    <row r="1079" spans="1:14" ht="105" x14ac:dyDescent="0.25">
      <c r="A1079" s="12" t="s">
        <v>4173</v>
      </c>
      <c r="B1079" s="12" t="s">
        <v>4174</v>
      </c>
      <c r="C1079" s="13" t="s">
        <v>7012</v>
      </c>
      <c r="D1079" s="12" t="s">
        <v>4175</v>
      </c>
      <c r="E1079" s="12"/>
      <c r="F1079" s="12"/>
      <c r="G1079" s="12"/>
      <c r="H1079" s="12"/>
      <c r="I1079" s="12" t="s">
        <v>4176</v>
      </c>
      <c r="J1079" s="12"/>
      <c r="K1079" s="12" t="s">
        <v>4177</v>
      </c>
      <c r="L1079" s="12"/>
      <c r="M1079" s="12" t="str">
        <f>HYPERLINK("https://ceds.ed.gov/cedselementdetails.aspx?termid=10377")</f>
        <v>https://ceds.ed.gov/cedselementdetails.aspx?termid=10377</v>
      </c>
      <c r="N1079" s="12" t="str">
        <f>HYPERLINK("https://ceds.ed.gov/elementComment.aspx?elementName=Learning Standard Item Node Accessibility Profile &amp;elementID=10377", "Click here to submit comment")</f>
        <v>Click here to submit comment</v>
      </c>
    </row>
    <row r="1080" spans="1:14" ht="45" x14ac:dyDescent="0.25">
      <c r="A1080" s="12" t="s">
        <v>4178</v>
      </c>
      <c r="B1080" s="12" t="s">
        <v>4179</v>
      </c>
      <c r="C1080" s="12" t="s">
        <v>12</v>
      </c>
      <c r="D1080" s="12" t="s">
        <v>4175</v>
      </c>
      <c r="E1080" s="12"/>
      <c r="F1080" s="12" t="s">
        <v>92</v>
      </c>
      <c r="G1080" s="12"/>
      <c r="H1080" s="12"/>
      <c r="I1080" s="12" t="s">
        <v>4180</v>
      </c>
      <c r="J1080" s="12"/>
      <c r="K1080" s="12" t="s">
        <v>4181</v>
      </c>
      <c r="L1080" s="12"/>
      <c r="M1080" s="12" t="str">
        <f>HYPERLINK("https://ceds.ed.gov/cedselementdetails.aspx?termid=10378")</f>
        <v>https://ceds.ed.gov/cedselementdetails.aspx?termid=10378</v>
      </c>
      <c r="N1080" s="12" t="str">
        <f>HYPERLINK("https://ceds.ed.gov/elementComment.aspx?elementName=Learning Standard Item Node Name &amp;elementID=10378", "Click here to submit comment")</f>
        <v>Click here to submit comment</v>
      </c>
    </row>
    <row r="1081" spans="1:14" ht="75" x14ac:dyDescent="0.25">
      <c r="A1081" s="12" t="s">
        <v>4182</v>
      </c>
      <c r="B1081" s="12" t="s">
        <v>4183</v>
      </c>
      <c r="C1081" s="12" t="s">
        <v>12</v>
      </c>
      <c r="D1081" s="12" t="s">
        <v>6592</v>
      </c>
      <c r="E1081" s="12"/>
      <c r="F1081" s="12" t="s">
        <v>327</v>
      </c>
      <c r="G1081" s="12"/>
      <c r="H1081" s="12"/>
      <c r="I1081" s="12" t="s">
        <v>4184</v>
      </c>
      <c r="J1081" s="12"/>
      <c r="K1081" s="12" t="s">
        <v>4185</v>
      </c>
      <c r="L1081" s="12"/>
      <c r="M1081" s="12" t="str">
        <f>HYPERLINK("https://ceds.ed.gov/cedselementdetails.aspx?termid=10215")</f>
        <v>https://ceds.ed.gov/cedselementdetails.aspx?termid=10215</v>
      </c>
      <c r="N1081" s="12" t="str">
        <f>HYPERLINK("https://ceds.ed.gov/elementComment.aspx?elementName=Learning Standard Item Notes &amp;elementID=10215", "Click here to submit comment")</f>
        <v>Click here to submit comment</v>
      </c>
    </row>
    <row r="1082" spans="1:14" ht="75" x14ac:dyDescent="0.25">
      <c r="A1082" s="12" t="s">
        <v>4186</v>
      </c>
      <c r="B1082" s="12" t="s">
        <v>4187</v>
      </c>
      <c r="C1082" s="12" t="s">
        <v>12</v>
      </c>
      <c r="D1082" s="12" t="s">
        <v>6592</v>
      </c>
      <c r="E1082" s="12"/>
      <c r="F1082" s="12" t="s">
        <v>92</v>
      </c>
      <c r="G1082" s="12"/>
      <c r="H1082" s="12"/>
      <c r="I1082" s="12" t="s">
        <v>4188</v>
      </c>
      <c r="J1082" s="12"/>
      <c r="K1082" s="12" t="s">
        <v>4189</v>
      </c>
      <c r="L1082" s="12"/>
      <c r="M1082" s="12" t="str">
        <f>HYPERLINK("https://ceds.ed.gov/cedselementdetails.aspx?termid=9873")</f>
        <v>https://ceds.ed.gov/cedselementdetails.aspx?termid=9873</v>
      </c>
      <c r="N1082" s="12" t="str">
        <f>HYPERLINK("https://ceds.ed.gov/elementComment.aspx?elementName=Learning Standard Item Parent Code &amp;elementID=9873", "Click here to submit comment")</f>
        <v>Click here to submit comment</v>
      </c>
    </row>
    <row r="1083" spans="1:14" ht="105" x14ac:dyDescent="0.25">
      <c r="A1083" s="18" t="s">
        <v>4190</v>
      </c>
      <c r="B1083" s="18" t="s">
        <v>4191</v>
      </c>
      <c r="C1083" s="18" t="s">
        <v>12</v>
      </c>
      <c r="D1083" s="18" t="s">
        <v>6592</v>
      </c>
      <c r="E1083" s="18"/>
      <c r="F1083" s="18" t="s">
        <v>142</v>
      </c>
      <c r="G1083" s="18"/>
      <c r="H1083" s="12" t="s">
        <v>143</v>
      </c>
      <c r="I1083" s="18" t="s">
        <v>4192</v>
      </c>
      <c r="J1083" s="18"/>
      <c r="K1083" s="18" t="s">
        <v>4193</v>
      </c>
      <c r="L1083" s="18"/>
      <c r="M1083" s="18" t="str">
        <f>HYPERLINK("https://ceds.ed.gov/cedselementdetails.aspx?termid=9872")</f>
        <v>https://ceds.ed.gov/cedselementdetails.aspx?termid=9872</v>
      </c>
      <c r="N1083" s="18" t="str">
        <f>HYPERLINK("https://ceds.ed.gov/elementComment.aspx?elementName=Learning Standard Item Parent Identifier &amp;elementID=9872", "Click here to submit comment")</f>
        <v>Click here to submit comment</v>
      </c>
    </row>
    <row r="1084" spans="1:14" x14ac:dyDescent="0.25">
      <c r="A1084" s="18"/>
      <c r="B1084" s="18"/>
      <c r="C1084" s="18"/>
      <c r="D1084" s="18"/>
      <c r="E1084" s="18"/>
      <c r="F1084" s="18"/>
      <c r="G1084" s="18"/>
      <c r="H1084" s="12"/>
      <c r="I1084" s="18"/>
      <c r="J1084" s="18"/>
      <c r="K1084" s="18"/>
      <c r="L1084" s="18"/>
      <c r="M1084" s="18"/>
      <c r="N1084" s="18"/>
    </row>
    <row r="1085" spans="1:14" ht="90" x14ac:dyDescent="0.25">
      <c r="A1085" s="18"/>
      <c r="B1085" s="18"/>
      <c r="C1085" s="18"/>
      <c r="D1085" s="18"/>
      <c r="E1085" s="18"/>
      <c r="F1085" s="18"/>
      <c r="G1085" s="18"/>
      <c r="H1085" s="12" t="s">
        <v>144</v>
      </c>
      <c r="I1085" s="18"/>
      <c r="J1085" s="18"/>
      <c r="K1085" s="18"/>
      <c r="L1085" s="18"/>
      <c r="M1085" s="18"/>
      <c r="N1085" s="18"/>
    </row>
    <row r="1086" spans="1:14" ht="75" x14ac:dyDescent="0.25">
      <c r="A1086" s="12" t="s">
        <v>4194</v>
      </c>
      <c r="B1086" s="12" t="s">
        <v>4195</v>
      </c>
      <c r="C1086" s="12" t="s">
        <v>12</v>
      </c>
      <c r="D1086" s="12" t="s">
        <v>6592</v>
      </c>
      <c r="E1086" s="12"/>
      <c r="F1086" s="12" t="s">
        <v>68</v>
      </c>
      <c r="G1086" s="12"/>
      <c r="H1086" s="12"/>
      <c r="I1086" s="12" t="s">
        <v>4196</v>
      </c>
      <c r="J1086" s="12"/>
      <c r="K1086" s="12" t="s">
        <v>4197</v>
      </c>
      <c r="L1086" s="12"/>
      <c r="M1086" s="12" t="str">
        <f>HYPERLINK("https://ceds.ed.gov/cedselementdetails.aspx?termid=10078")</f>
        <v>https://ceds.ed.gov/cedselementdetails.aspx?termid=10078</v>
      </c>
      <c r="N1086" s="12" t="str">
        <f>HYPERLINK("https://ceds.ed.gov/elementComment.aspx?elementName=Learning Standard Item Parent URL &amp;elementID=10078", "Click here to submit comment")</f>
        <v>Click here to submit comment</v>
      </c>
    </row>
    <row r="1087" spans="1:14" ht="105" x14ac:dyDescent="0.25">
      <c r="A1087" s="18" t="s">
        <v>4198</v>
      </c>
      <c r="B1087" s="18" t="s">
        <v>4199</v>
      </c>
      <c r="C1087" s="18" t="s">
        <v>12</v>
      </c>
      <c r="D1087" s="18" t="s">
        <v>6592</v>
      </c>
      <c r="E1087" s="18"/>
      <c r="F1087" s="18" t="s">
        <v>142</v>
      </c>
      <c r="G1087" s="18"/>
      <c r="H1087" s="12" t="s">
        <v>4200</v>
      </c>
      <c r="I1087" s="18" t="s">
        <v>4201</v>
      </c>
      <c r="J1087" s="18"/>
      <c r="K1087" s="18" t="s">
        <v>4202</v>
      </c>
      <c r="L1087" s="18" t="s">
        <v>827</v>
      </c>
      <c r="M1087" s="18" t="str">
        <f>HYPERLINK("https://ceds.ed.gov/cedselementdetails.aspx?termid=9691")</f>
        <v>https://ceds.ed.gov/cedselementdetails.aspx?termid=9691</v>
      </c>
      <c r="N1087" s="18" t="str">
        <f>HYPERLINK("https://ceds.ed.gov/elementComment.aspx?elementName=Learning Standard Item Prerequisite Identifier &amp;elementID=9691", "Click here to submit comment")</f>
        <v>Click here to submit comment</v>
      </c>
    </row>
    <row r="1088" spans="1:14" x14ac:dyDescent="0.25">
      <c r="A1088" s="18"/>
      <c r="B1088" s="18"/>
      <c r="C1088" s="18"/>
      <c r="D1088" s="18"/>
      <c r="E1088" s="18"/>
      <c r="F1088" s="18"/>
      <c r="G1088" s="18"/>
      <c r="H1088" s="12"/>
      <c r="I1088" s="18"/>
      <c r="J1088" s="18"/>
      <c r="K1088" s="18"/>
      <c r="L1088" s="18"/>
      <c r="M1088" s="18"/>
      <c r="N1088" s="18"/>
    </row>
    <row r="1089" spans="1:14" x14ac:dyDescent="0.25">
      <c r="A1089" s="18"/>
      <c r="B1089" s="18"/>
      <c r="C1089" s="18"/>
      <c r="D1089" s="18"/>
      <c r="E1089" s="18"/>
      <c r="F1089" s="18"/>
      <c r="G1089" s="18"/>
      <c r="H1089" s="12"/>
      <c r="I1089" s="18"/>
      <c r="J1089" s="18"/>
      <c r="K1089" s="18"/>
      <c r="L1089" s="18"/>
      <c r="M1089" s="18"/>
      <c r="N1089" s="18"/>
    </row>
    <row r="1090" spans="1:14" x14ac:dyDescent="0.25">
      <c r="A1090" s="18"/>
      <c r="B1090" s="18"/>
      <c r="C1090" s="18"/>
      <c r="D1090" s="18"/>
      <c r="E1090" s="18"/>
      <c r="F1090" s="18"/>
      <c r="G1090" s="18"/>
      <c r="H1090" s="12"/>
      <c r="I1090" s="18"/>
      <c r="J1090" s="18"/>
      <c r="K1090" s="18"/>
      <c r="L1090" s="18"/>
      <c r="M1090" s="18"/>
      <c r="N1090" s="18"/>
    </row>
    <row r="1091" spans="1:14" ht="105" x14ac:dyDescent="0.25">
      <c r="A1091" s="18"/>
      <c r="B1091" s="18"/>
      <c r="C1091" s="18"/>
      <c r="D1091" s="18"/>
      <c r="E1091" s="18"/>
      <c r="F1091" s="18"/>
      <c r="G1091" s="18"/>
      <c r="H1091" s="12" t="s">
        <v>143</v>
      </c>
      <c r="I1091" s="18"/>
      <c r="J1091" s="18"/>
      <c r="K1091" s="18"/>
      <c r="L1091" s="18"/>
      <c r="M1091" s="18"/>
      <c r="N1091" s="18"/>
    </row>
    <row r="1092" spans="1:14" x14ac:dyDescent="0.25">
      <c r="A1092" s="18"/>
      <c r="B1092" s="18"/>
      <c r="C1092" s="18"/>
      <c r="D1092" s="18"/>
      <c r="E1092" s="18"/>
      <c r="F1092" s="18"/>
      <c r="G1092" s="18"/>
      <c r="H1092" s="12"/>
      <c r="I1092" s="18"/>
      <c r="J1092" s="18"/>
      <c r="K1092" s="18"/>
      <c r="L1092" s="18"/>
      <c r="M1092" s="18"/>
      <c r="N1092" s="18"/>
    </row>
    <row r="1093" spans="1:14" x14ac:dyDescent="0.25">
      <c r="A1093" s="18"/>
      <c r="B1093" s="18"/>
      <c r="C1093" s="18"/>
      <c r="D1093" s="18"/>
      <c r="E1093" s="18"/>
      <c r="F1093" s="18"/>
      <c r="G1093" s="18"/>
      <c r="H1093" s="12"/>
      <c r="I1093" s="18"/>
      <c r="J1093" s="18"/>
      <c r="K1093" s="18"/>
      <c r="L1093" s="18"/>
      <c r="M1093" s="18"/>
      <c r="N1093" s="18"/>
    </row>
    <row r="1094" spans="1:14" x14ac:dyDescent="0.25">
      <c r="A1094" s="18"/>
      <c r="B1094" s="18"/>
      <c r="C1094" s="18"/>
      <c r="D1094" s="18"/>
      <c r="E1094" s="18"/>
      <c r="F1094" s="18"/>
      <c r="G1094" s="18"/>
      <c r="H1094" s="12"/>
      <c r="I1094" s="18"/>
      <c r="J1094" s="18"/>
      <c r="K1094" s="18"/>
      <c r="L1094" s="18"/>
      <c r="M1094" s="18"/>
      <c r="N1094" s="18"/>
    </row>
    <row r="1095" spans="1:14" ht="90" x14ac:dyDescent="0.25">
      <c r="A1095" s="18"/>
      <c r="B1095" s="18"/>
      <c r="C1095" s="18"/>
      <c r="D1095" s="18"/>
      <c r="E1095" s="18"/>
      <c r="F1095" s="18"/>
      <c r="G1095" s="18"/>
      <c r="H1095" s="12" t="s">
        <v>144</v>
      </c>
      <c r="I1095" s="18"/>
      <c r="J1095" s="18"/>
      <c r="K1095" s="18"/>
      <c r="L1095" s="18"/>
      <c r="M1095" s="18"/>
      <c r="N1095" s="18"/>
    </row>
    <row r="1096" spans="1:14" ht="240" x14ac:dyDescent="0.25">
      <c r="A1096" s="18" t="s">
        <v>4203</v>
      </c>
      <c r="B1096" s="18" t="s">
        <v>4204</v>
      </c>
      <c r="C1096" s="18" t="s">
        <v>12</v>
      </c>
      <c r="D1096" s="18" t="s">
        <v>6592</v>
      </c>
      <c r="E1096" s="18"/>
      <c r="F1096" s="18" t="s">
        <v>142</v>
      </c>
      <c r="G1096" s="18"/>
      <c r="H1096" s="12" t="s">
        <v>4148</v>
      </c>
      <c r="I1096" s="18" t="s">
        <v>4205</v>
      </c>
      <c r="J1096" s="18"/>
      <c r="K1096" s="18" t="s">
        <v>4206</v>
      </c>
      <c r="L1096" s="18"/>
      <c r="M1096" s="18" t="str">
        <f>HYPERLINK("https://ceds.ed.gov/cedselementdetails.aspx?termid=10498")</f>
        <v>https://ceds.ed.gov/cedselementdetails.aspx?termid=10498</v>
      </c>
      <c r="N1096" s="18" t="str">
        <f>HYPERLINK("https://ceds.ed.gov/elementComment.aspx?elementName=Learning Standard Item Previous Version Identifier &amp;elementID=10498", "Click here to submit comment")</f>
        <v>Click here to submit comment</v>
      </c>
    </row>
    <row r="1097" spans="1:14" x14ac:dyDescent="0.25">
      <c r="A1097" s="18"/>
      <c r="B1097" s="18"/>
      <c r="C1097" s="18"/>
      <c r="D1097" s="18"/>
      <c r="E1097" s="18"/>
      <c r="F1097" s="18"/>
      <c r="G1097" s="18"/>
      <c r="H1097" s="12"/>
      <c r="I1097" s="18"/>
      <c r="J1097" s="18"/>
      <c r="K1097" s="18"/>
      <c r="L1097" s="18"/>
      <c r="M1097" s="18"/>
      <c r="N1097" s="18"/>
    </row>
    <row r="1098" spans="1:14" x14ac:dyDescent="0.25">
      <c r="A1098" s="18"/>
      <c r="B1098" s="18"/>
      <c r="C1098" s="18"/>
      <c r="D1098" s="18"/>
      <c r="E1098" s="18"/>
      <c r="F1098" s="18"/>
      <c r="G1098" s="18"/>
      <c r="H1098" s="12"/>
      <c r="I1098" s="18"/>
      <c r="J1098" s="18"/>
      <c r="K1098" s="18"/>
      <c r="L1098" s="18"/>
      <c r="M1098" s="18"/>
      <c r="N1098" s="18"/>
    </row>
    <row r="1099" spans="1:14" ht="105" x14ac:dyDescent="0.25">
      <c r="A1099" s="18"/>
      <c r="B1099" s="18"/>
      <c r="C1099" s="18"/>
      <c r="D1099" s="18"/>
      <c r="E1099" s="18"/>
      <c r="F1099" s="18"/>
      <c r="G1099" s="18"/>
      <c r="H1099" s="12" t="s">
        <v>143</v>
      </c>
      <c r="I1099" s="18"/>
      <c r="J1099" s="18"/>
      <c r="K1099" s="18"/>
      <c r="L1099" s="18"/>
      <c r="M1099" s="18"/>
      <c r="N1099" s="18"/>
    </row>
    <row r="1100" spans="1:14" x14ac:dyDescent="0.25">
      <c r="A1100" s="18"/>
      <c r="B1100" s="18"/>
      <c r="C1100" s="18"/>
      <c r="D1100" s="18"/>
      <c r="E1100" s="18"/>
      <c r="F1100" s="18"/>
      <c r="G1100" s="18"/>
      <c r="H1100" s="12"/>
      <c r="I1100" s="18"/>
      <c r="J1100" s="18"/>
      <c r="K1100" s="18"/>
      <c r="L1100" s="18"/>
      <c r="M1100" s="18"/>
      <c r="N1100" s="18"/>
    </row>
    <row r="1101" spans="1:14" x14ac:dyDescent="0.25">
      <c r="A1101" s="18"/>
      <c r="B1101" s="18"/>
      <c r="C1101" s="18"/>
      <c r="D1101" s="18"/>
      <c r="E1101" s="18"/>
      <c r="F1101" s="18"/>
      <c r="G1101" s="18"/>
      <c r="H1101" s="12"/>
      <c r="I1101" s="18"/>
      <c r="J1101" s="18"/>
      <c r="K1101" s="18"/>
      <c r="L1101" s="18"/>
      <c r="M1101" s="18"/>
      <c r="N1101" s="18"/>
    </row>
    <row r="1102" spans="1:14" ht="90" x14ac:dyDescent="0.25">
      <c r="A1102" s="18"/>
      <c r="B1102" s="18"/>
      <c r="C1102" s="18"/>
      <c r="D1102" s="18"/>
      <c r="E1102" s="18"/>
      <c r="F1102" s="18"/>
      <c r="G1102" s="18"/>
      <c r="H1102" s="12" t="s">
        <v>144</v>
      </c>
      <c r="I1102" s="18"/>
      <c r="J1102" s="18"/>
      <c r="K1102" s="18"/>
      <c r="L1102" s="18"/>
      <c r="M1102" s="18"/>
      <c r="N1102" s="18"/>
    </row>
    <row r="1103" spans="1:14" ht="75" x14ac:dyDescent="0.25">
      <c r="A1103" s="12" t="s">
        <v>4207</v>
      </c>
      <c r="B1103" s="12" t="s">
        <v>4208</v>
      </c>
      <c r="C1103" s="12" t="s">
        <v>12</v>
      </c>
      <c r="D1103" s="12" t="s">
        <v>4209</v>
      </c>
      <c r="E1103" s="12"/>
      <c r="F1103" s="12" t="s">
        <v>99</v>
      </c>
      <c r="G1103" s="12"/>
      <c r="H1103" s="12" t="s">
        <v>4210</v>
      </c>
      <c r="I1103" s="12" t="s">
        <v>4211</v>
      </c>
      <c r="J1103" s="12"/>
      <c r="K1103" s="12" t="s">
        <v>4212</v>
      </c>
      <c r="L1103" s="12"/>
      <c r="M1103" s="12" t="str">
        <f>HYPERLINK("https://ceds.ed.gov/cedselementdetails.aspx?termid=10549")</f>
        <v>https://ceds.ed.gov/cedselementdetails.aspx?termid=10549</v>
      </c>
      <c r="N1103" s="12" t="str">
        <f>HYPERLINK("https://ceds.ed.gov/elementComment.aspx?elementName=Learning Standard Item Sequence &amp;elementID=10549", "Click here to submit comment")</f>
        <v>Click here to submit comment</v>
      </c>
    </row>
    <row r="1104" spans="1:14" ht="225" x14ac:dyDescent="0.25">
      <c r="A1104" s="12" t="s">
        <v>4213</v>
      </c>
      <c r="B1104" s="12" t="s">
        <v>4214</v>
      </c>
      <c r="C1104" s="12" t="s">
        <v>12</v>
      </c>
      <c r="D1104" s="12" t="s">
        <v>6592</v>
      </c>
      <c r="E1104" s="12"/>
      <c r="F1104" s="12" t="s">
        <v>327</v>
      </c>
      <c r="G1104" s="12"/>
      <c r="H1104" s="12" t="s">
        <v>4215</v>
      </c>
      <c r="I1104" s="12" t="s">
        <v>4216</v>
      </c>
      <c r="J1104" s="12" t="s">
        <v>4217</v>
      </c>
      <c r="K1104" s="12" t="s">
        <v>4218</v>
      </c>
      <c r="L1104" s="12" t="s">
        <v>827</v>
      </c>
      <c r="M1104" s="12" t="str">
        <f>HYPERLINK("https://ceds.ed.gov/cedselementdetails.aspx?termid=9667")</f>
        <v>https://ceds.ed.gov/cedselementdetails.aspx?termid=9667</v>
      </c>
      <c r="N1104" s="12" t="str">
        <f>HYPERLINK("https://ceds.ed.gov/elementComment.aspx?elementName=Learning Standard Item Statement &amp;elementID=9667", "Click here to submit comment")</f>
        <v>Click here to submit comment</v>
      </c>
    </row>
    <row r="1105" spans="1:14" ht="105" x14ac:dyDescent="0.25">
      <c r="A1105" s="12" t="s">
        <v>4219</v>
      </c>
      <c r="B1105" s="12" t="s">
        <v>4220</v>
      </c>
      <c r="C1105" s="13" t="s">
        <v>7013</v>
      </c>
      <c r="D1105" s="12" t="s">
        <v>4175</v>
      </c>
      <c r="E1105" s="12"/>
      <c r="F1105" s="12"/>
      <c r="G1105" s="12"/>
      <c r="H1105" s="12"/>
      <c r="I1105" s="12" t="s">
        <v>4221</v>
      </c>
      <c r="J1105" s="12"/>
      <c r="K1105" s="12" t="s">
        <v>4222</v>
      </c>
      <c r="L1105" s="12"/>
      <c r="M1105" s="12" t="str">
        <f>HYPERLINK("https://ceds.ed.gov/cedselementdetails.aspx?termid=10380")</f>
        <v>https://ceds.ed.gov/cedselementdetails.aspx?termid=10380</v>
      </c>
      <c r="N1105" s="12" t="str">
        <f>HYPERLINK("https://ceds.ed.gov/elementComment.aspx?elementName=Learning Standard Item Testability Type &amp;elementID=10380", "Click here to submit comment")</f>
        <v>Click here to submit comment</v>
      </c>
    </row>
    <row r="1106" spans="1:14" ht="75" x14ac:dyDescent="0.25">
      <c r="A1106" s="12" t="s">
        <v>4223</v>
      </c>
      <c r="B1106" s="12" t="s">
        <v>4224</v>
      </c>
      <c r="C1106" s="12" t="s">
        <v>12</v>
      </c>
      <c r="D1106" s="12" t="s">
        <v>6592</v>
      </c>
      <c r="E1106" s="12"/>
      <c r="F1106" s="12" t="s">
        <v>157</v>
      </c>
      <c r="G1106" s="12"/>
      <c r="H1106" s="12"/>
      <c r="I1106" s="12" t="s">
        <v>4225</v>
      </c>
      <c r="J1106" s="12"/>
      <c r="K1106" s="12" t="s">
        <v>4226</v>
      </c>
      <c r="L1106" s="12"/>
      <c r="M1106" s="12" t="str">
        <f>HYPERLINK("https://ceds.ed.gov/cedselementdetails.aspx?termid=10115")</f>
        <v>https://ceds.ed.gov/cedselementdetails.aspx?termid=10115</v>
      </c>
      <c r="N1106" s="12" t="str">
        <f>HYPERLINK("https://ceds.ed.gov/elementComment.aspx?elementName=Learning Standard Item Text Complexity Maximum Value &amp;elementID=10115", "Click here to submit comment")</f>
        <v>Click here to submit comment</v>
      </c>
    </row>
    <row r="1107" spans="1:14" ht="75" x14ac:dyDescent="0.25">
      <c r="A1107" s="12" t="s">
        <v>4227</v>
      </c>
      <c r="B1107" s="12" t="s">
        <v>4228</v>
      </c>
      <c r="C1107" s="12" t="s">
        <v>12</v>
      </c>
      <c r="D1107" s="12" t="s">
        <v>6592</v>
      </c>
      <c r="E1107" s="12"/>
      <c r="F1107" s="12" t="s">
        <v>157</v>
      </c>
      <c r="G1107" s="12"/>
      <c r="H1107" s="12"/>
      <c r="I1107" s="12" t="s">
        <v>4229</v>
      </c>
      <c r="J1107" s="12"/>
      <c r="K1107" s="12" t="s">
        <v>4230</v>
      </c>
      <c r="L1107" s="12"/>
      <c r="M1107" s="12" t="str">
        <f>HYPERLINK("https://ceds.ed.gov/cedselementdetails.aspx?termid=10114")</f>
        <v>https://ceds.ed.gov/cedselementdetails.aspx?termid=10114</v>
      </c>
      <c r="N1107" s="12" t="str">
        <f>HYPERLINK("https://ceds.ed.gov/elementComment.aspx?elementName=Learning Standard Item Text Complexity Minimum Value &amp;elementID=10114", "Click here to submit comment")</f>
        <v>Click here to submit comment</v>
      </c>
    </row>
    <row r="1108" spans="1:14" ht="75" x14ac:dyDescent="0.25">
      <c r="A1108" s="12" t="s">
        <v>4231</v>
      </c>
      <c r="B1108" s="12" t="s">
        <v>4232</v>
      </c>
      <c r="C1108" s="12" t="s">
        <v>12</v>
      </c>
      <c r="D1108" s="12" t="s">
        <v>6592</v>
      </c>
      <c r="E1108" s="12"/>
      <c r="F1108" s="12" t="s">
        <v>92</v>
      </c>
      <c r="G1108" s="12"/>
      <c r="H1108" s="12"/>
      <c r="I1108" s="12" t="s">
        <v>4233</v>
      </c>
      <c r="J1108" s="12"/>
      <c r="K1108" s="12" t="s">
        <v>4234</v>
      </c>
      <c r="L1108" s="12"/>
      <c r="M1108" s="12" t="str">
        <f>HYPERLINK("https://ceds.ed.gov/cedselementdetails.aspx?termid=9910")</f>
        <v>https://ceds.ed.gov/cedselementdetails.aspx?termid=9910</v>
      </c>
      <c r="N1108" s="12" t="str">
        <f>HYPERLINK("https://ceds.ed.gov/elementComment.aspx?elementName=Learning Standard Item Text Complexity System &amp;elementID=9910", "Click here to submit comment")</f>
        <v>Click here to submit comment</v>
      </c>
    </row>
    <row r="1109" spans="1:14" ht="75" x14ac:dyDescent="0.25">
      <c r="A1109" s="12" t="s">
        <v>4235</v>
      </c>
      <c r="B1109" s="12" t="s">
        <v>4236</v>
      </c>
      <c r="C1109" s="12" t="s">
        <v>12</v>
      </c>
      <c r="D1109" s="12" t="s">
        <v>6592</v>
      </c>
      <c r="E1109" s="12"/>
      <c r="F1109" s="12" t="s">
        <v>99</v>
      </c>
      <c r="G1109" s="12"/>
      <c r="H1109" s="12"/>
      <c r="I1109" s="12" t="s">
        <v>4237</v>
      </c>
      <c r="J1109" s="12" t="s">
        <v>4238</v>
      </c>
      <c r="K1109" s="12" t="s">
        <v>4239</v>
      </c>
      <c r="L1109" s="12" t="s">
        <v>827</v>
      </c>
      <c r="M1109" s="12" t="str">
        <f>HYPERLINK("https://ceds.ed.gov/cedselementdetails.aspx?termid=9668")</f>
        <v>https://ceds.ed.gov/cedselementdetails.aspx?termid=9668</v>
      </c>
      <c r="N1109" s="12" t="str">
        <f>HYPERLINK("https://ceds.ed.gov/elementComment.aspx?elementName=Learning Standard Item Type &amp;elementID=9668", "Click here to submit comment")</f>
        <v>Click here to submit comment</v>
      </c>
    </row>
    <row r="1110" spans="1:14" ht="75" x14ac:dyDescent="0.25">
      <c r="A1110" s="12" t="s">
        <v>4240</v>
      </c>
      <c r="B1110" s="12" t="s">
        <v>4241</v>
      </c>
      <c r="C1110" s="12" t="s">
        <v>12</v>
      </c>
      <c r="D1110" s="12" t="s">
        <v>6592</v>
      </c>
      <c r="E1110" s="12"/>
      <c r="F1110" s="12" t="s">
        <v>1201</v>
      </c>
      <c r="G1110" s="12"/>
      <c r="H1110" s="12" t="s">
        <v>4242</v>
      </c>
      <c r="I1110" s="12" t="s">
        <v>4243</v>
      </c>
      <c r="J1110" s="12"/>
      <c r="K1110" s="12" t="s">
        <v>4244</v>
      </c>
      <c r="L1110" s="12"/>
      <c r="M1110" s="12" t="str">
        <f>HYPERLINK("https://ceds.ed.gov/cedselementdetails.aspx?termid=9870")</f>
        <v>https://ceds.ed.gov/cedselementdetails.aspx?termid=9870</v>
      </c>
      <c r="N1110" s="12" t="str">
        <f>HYPERLINK("https://ceds.ed.gov/elementComment.aspx?elementName=Learning Standard Item Typical Age Range &amp;elementID=9870", "Click here to submit comment")</f>
        <v>Click here to submit comment</v>
      </c>
    </row>
    <row r="1111" spans="1:14" ht="90" x14ac:dyDescent="0.25">
      <c r="A1111" s="12" t="s">
        <v>4245</v>
      </c>
      <c r="B1111" s="12" t="s">
        <v>4246</v>
      </c>
      <c r="C1111" s="12" t="s">
        <v>12</v>
      </c>
      <c r="D1111" s="12" t="s">
        <v>6592</v>
      </c>
      <c r="E1111" s="12"/>
      <c r="F1111" s="12" t="s">
        <v>68</v>
      </c>
      <c r="G1111" s="12"/>
      <c r="H1111" s="12" t="s">
        <v>144</v>
      </c>
      <c r="I1111" s="12" t="s">
        <v>4247</v>
      </c>
      <c r="J1111" s="12"/>
      <c r="K1111" s="12" t="s">
        <v>4248</v>
      </c>
      <c r="L1111" s="12"/>
      <c r="M1111" s="12" t="str">
        <f>HYPERLINK("https://ceds.ed.gov/cedselementdetails.aspx?termid=9874")</f>
        <v>https://ceds.ed.gov/cedselementdetails.aspx?termid=9874</v>
      </c>
      <c r="N1111" s="12" t="str">
        <f>HYPERLINK("https://ceds.ed.gov/elementComment.aspx?elementName=Learning Standard Item URL &amp;elementID=9874", "Click here to submit comment")</f>
        <v>Click here to submit comment</v>
      </c>
    </row>
    <row r="1112" spans="1:14" ht="60" x14ac:dyDescent="0.25">
      <c r="A1112" s="12" t="s">
        <v>4249</v>
      </c>
      <c r="B1112" s="12" t="s">
        <v>4250</v>
      </c>
      <c r="C1112" s="12" t="s">
        <v>12</v>
      </c>
      <c r="D1112" s="12" t="s">
        <v>4251</v>
      </c>
      <c r="E1112" s="12"/>
      <c r="F1112" s="12" t="s">
        <v>73</v>
      </c>
      <c r="G1112" s="12"/>
      <c r="H1112" s="12" t="s">
        <v>4252</v>
      </c>
      <c r="I1112" s="12" t="s">
        <v>4253</v>
      </c>
      <c r="J1112" s="12"/>
      <c r="K1112" s="12" t="s">
        <v>4254</v>
      </c>
      <c r="L1112" s="12"/>
      <c r="M1112" s="12" t="str">
        <f>HYPERLINK("https://ceds.ed.gov/cedselementdetails.aspx?termid=10483")</f>
        <v>https://ceds.ed.gov/cedselementdetails.aspx?termid=10483</v>
      </c>
      <c r="N1112" s="12" t="str">
        <f>HYPERLINK("https://ceds.ed.gov/elementComment.aspx?elementName=Learning Standard Item Valid End Date &amp;elementID=10483", "Click here to submit comment")</f>
        <v>Click here to submit comment</v>
      </c>
    </row>
    <row r="1113" spans="1:14" ht="45" x14ac:dyDescent="0.25">
      <c r="A1113" s="12" t="s">
        <v>4255</v>
      </c>
      <c r="B1113" s="12" t="s">
        <v>4256</v>
      </c>
      <c r="C1113" s="12" t="s">
        <v>12</v>
      </c>
      <c r="D1113" s="12" t="s">
        <v>4251</v>
      </c>
      <c r="E1113" s="12"/>
      <c r="F1113" s="12" t="s">
        <v>73</v>
      </c>
      <c r="G1113" s="12"/>
      <c r="H1113" s="12"/>
      <c r="I1113" s="12" t="s">
        <v>4257</v>
      </c>
      <c r="J1113" s="12"/>
      <c r="K1113" s="12" t="s">
        <v>4258</v>
      </c>
      <c r="L1113" s="12"/>
      <c r="M1113" s="12" t="str">
        <f>HYPERLINK("https://ceds.ed.gov/cedselementdetails.aspx?termid=10484")</f>
        <v>https://ceds.ed.gov/cedselementdetails.aspx?termid=10484</v>
      </c>
      <c r="N1113" s="12" t="str">
        <f>HYPERLINK("https://ceds.ed.gov/elementComment.aspx?elementName=Learning Standard Item Valid Start Date &amp;elementID=10484", "Click here to submit comment")</f>
        <v>Click here to submit comment</v>
      </c>
    </row>
    <row r="1114" spans="1:14" ht="75" x14ac:dyDescent="0.25">
      <c r="A1114" s="12" t="s">
        <v>4259</v>
      </c>
      <c r="B1114" s="12" t="s">
        <v>4260</v>
      </c>
      <c r="C1114" s="12" t="s">
        <v>12</v>
      </c>
      <c r="D1114" s="12" t="s">
        <v>6592</v>
      </c>
      <c r="E1114" s="12"/>
      <c r="F1114" s="12" t="s">
        <v>327</v>
      </c>
      <c r="G1114" s="12"/>
      <c r="H1114" s="12"/>
      <c r="I1114" s="12" t="s">
        <v>4261</v>
      </c>
      <c r="J1114" s="12"/>
      <c r="K1114" s="12" t="s">
        <v>4262</v>
      </c>
      <c r="L1114" s="12"/>
      <c r="M1114" s="12" t="str">
        <f>HYPERLINK("https://ceds.ed.gov/cedselementdetails.aspx?termid=10216")</f>
        <v>https://ceds.ed.gov/cedselementdetails.aspx?termid=10216</v>
      </c>
      <c r="N1114" s="12" t="str">
        <f>HYPERLINK("https://ceds.ed.gov/elementComment.aspx?elementName=Learning Standard Item Version &amp;elementID=10216", "Click here to submit comment")</f>
        <v>Click here to submit comment</v>
      </c>
    </row>
    <row r="1115" spans="1:14" ht="345" x14ac:dyDescent="0.25">
      <c r="A1115" s="12" t="s">
        <v>4263</v>
      </c>
      <c r="B1115" s="12" t="s">
        <v>4264</v>
      </c>
      <c r="C1115" s="13" t="s">
        <v>7014</v>
      </c>
      <c r="D1115" s="12" t="s">
        <v>4265</v>
      </c>
      <c r="E1115" s="12"/>
      <c r="F1115" s="12"/>
      <c r="G1115" s="12"/>
      <c r="H1115" s="12"/>
      <c r="I1115" s="12" t="s">
        <v>4266</v>
      </c>
      <c r="J1115" s="12"/>
      <c r="K1115" s="12" t="s">
        <v>4267</v>
      </c>
      <c r="L1115" s="12"/>
      <c r="M1115" s="12" t="str">
        <f>HYPERLINK("https://ceds.ed.gov/cedselementdetails.aspx?termid=9617")</f>
        <v>https://ceds.ed.gov/cedselementdetails.aspx?termid=9617</v>
      </c>
      <c r="N1115" s="12" t="str">
        <f>HYPERLINK("https://ceds.ed.gov/elementComment.aspx?elementName=Leave Event Type &amp;elementID=9617", "Click here to submit comment")</f>
        <v>Click here to submit comment</v>
      </c>
    </row>
    <row r="1116" spans="1:14" ht="90" x14ac:dyDescent="0.25">
      <c r="A1116" s="12" t="s">
        <v>4268</v>
      </c>
      <c r="B1116" s="12" t="s">
        <v>4269</v>
      </c>
      <c r="C1116" s="13" t="s">
        <v>7015</v>
      </c>
      <c r="D1116" s="12" t="s">
        <v>6593</v>
      </c>
      <c r="E1116" s="12"/>
      <c r="F1116" s="12"/>
      <c r="G1116" s="12"/>
      <c r="H1116" s="12"/>
      <c r="I1116" s="12" t="s">
        <v>4270</v>
      </c>
      <c r="J1116" s="12"/>
      <c r="K1116" s="12" t="s">
        <v>4271</v>
      </c>
      <c r="L1116" s="12" t="s">
        <v>6446</v>
      </c>
      <c r="M1116" s="12" t="str">
        <f>HYPERLINK("https://ceds.ed.gov/cedselementdetails.aspx?termid=9178")</f>
        <v>https://ceds.ed.gov/cedselementdetails.aspx?termid=9178</v>
      </c>
      <c r="N1116" s="12" t="str">
        <f>HYPERLINK("https://ceds.ed.gov/elementComment.aspx?elementName=Level of Institution &amp;elementID=9178", "Click here to submit comment")</f>
        <v>Click here to submit comment</v>
      </c>
    </row>
    <row r="1117" spans="1:14" ht="105" x14ac:dyDescent="0.25">
      <c r="A1117" s="12" t="s">
        <v>4272</v>
      </c>
      <c r="B1117" s="12" t="s">
        <v>4273</v>
      </c>
      <c r="C1117" s="13" t="s">
        <v>7016</v>
      </c>
      <c r="D1117" s="12" t="s">
        <v>2444</v>
      </c>
      <c r="E1117" s="12"/>
      <c r="F1117" s="12"/>
      <c r="G1117" s="12"/>
      <c r="H1117" s="12"/>
      <c r="I1117" s="12" t="s">
        <v>4274</v>
      </c>
      <c r="J1117" s="12"/>
      <c r="K1117" s="12" t="s">
        <v>4275</v>
      </c>
      <c r="L1117" s="12" t="s">
        <v>6523</v>
      </c>
      <c r="M1117" s="12" t="str">
        <f>HYPERLINK("https://ceds.ed.gov/cedselementdetails.aspx?termid=9340")</f>
        <v>https://ceds.ed.gov/cedselementdetails.aspx?termid=9340</v>
      </c>
      <c r="N1117" s="12" t="str">
        <f>HYPERLINK("https://ceds.ed.gov/elementComment.aspx?elementName=Level of Specialization in Early Learning &amp;elementID=9340", "Click here to submit comment")</f>
        <v>Click here to submit comment</v>
      </c>
    </row>
    <row r="1118" spans="1:14" ht="60" x14ac:dyDescent="0.25">
      <c r="A1118" s="12" t="s">
        <v>4276</v>
      </c>
      <c r="B1118" s="12" t="s">
        <v>4277</v>
      </c>
      <c r="C1118" s="13" t="s">
        <v>6747</v>
      </c>
      <c r="D1118" s="12" t="s">
        <v>1899</v>
      </c>
      <c r="E1118" s="12"/>
      <c r="F1118" s="12"/>
      <c r="G1118" s="12"/>
      <c r="H1118" s="12"/>
      <c r="I1118" s="12" t="s">
        <v>4278</v>
      </c>
      <c r="J1118" s="12"/>
      <c r="K1118" s="12" t="s">
        <v>4279</v>
      </c>
      <c r="L1118" s="12" t="s">
        <v>6464</v>
      </c>
      <c r="M1118" s="12" t="str">
        <f>HYPERLINK("https://ceds.ed.gov/cedselementdetails.aspx?termid=9349")</f>
        <v>https://ceds.ed.gov/cedselementdetails.aspx?termid=9349</v>
      </c>
      <c r="N1118" s="12" t="str">
        <f>HYPERLINK("https://ceds.ed.gov/elementComment.aspx?elementName=License Exempt &amp;elementID=9349", "Click here to submit comment")</f>
        <v>Click here to submit comment</v>
      </c>
    </row>
    <row r="1119" spans="1:14" ht="165" x14ac:dyDescent="0.25">
      <c r="A1119" s="12" t="s">
        <v>4280</v>
      </c>
      <c r="B1119" s="12" t="s">
        <v>4281</v>
      </c>
      <c r="C1119" s="13" t="s">
        <v>7017</v>
      </c>
      <c r="D1119" s="12" t="s">
        <v>1630</v>
      </c>
      <c r="E1119" s="12"/>
      <c r="F1119" s="12"/>
      <c r="G1119" s="12"/>
      <c r="H1119" s="12"/>
      <c r="I1119" s="12" t="s">
        <v>4282</v>
      </c>
      <c r="J1119" s="12" t="s">
        <v>4283</v>
      </c>
      <c r="K1119" s="12" t="s">
        <v>4284</v>
      </c>
      <c r="L1119" s="12" t="s">
        <v>25</v>
      </c>
      <c r="M1119" s="12" t="str">
        <f>HYPERLINK("https://ceds.ed.gov/cedselementdetails.aspx?termid=9179")</f>
        <v>https://ceds.ed.gov/cedselementdetails.aspx?termid=9179</v>
      </c>
      <c r="N1119" s="12" t="str">
        <f>HYPERLINK("https://ceds.ed.gov/elementComment.aspx?elementName=Limited English Proficiency - Postsecondary &amp;elementID=9179", "Click here to submit comment")</f>
        <v>Click here to submit comment</v>
      </c>
    </row>
    <row r="1120" spans="1:14" ht="45" x14ac:dyDescent="0.25">
      <c r="A1120" s="12" t="s">
        <v>4285</v>
      </c>
      <c r="B1120" s="12" t="s">
        <v>4286</v>
      </c>
      <c r="C1120" s="12" t="s">
        <v>12</v>
      </c>
      <c r="D1120" s="12" t="s">
        <v>4287</v>
      </c>
      <c r="E1120" s="12"/>
      <c r="F1120" s="12" t="s">
        <v>73</v>
      </c>
      <c r="G1120" s="12"/>
      <c r="H1120" s="12"/>
      <c r="I1120" s="12" t="s">
        <v>4288</v>
      </c>
      <c r="J1120" s="12" t="s">
        <v>4289</v>
      </c>
      <c r="K1120" s="12" t="s">
        <v>4290</v>
      </c>
      <c r="L1120" s="12"/>
      <c r="M1120" s="12" t="str">
        <f>HYPERLINK("https://ceds.ed.gov/cedselementdetails.aspx?termid=10213")</f>
        <v>https://ceds.ed.gov/cedselementdetails.aspx?termid=10213</v>
      </c>
      <c r="N1120" s="12" t="str">
        <f>HYPERLINK("https://ceds.ed.gov/elementComment.aspx?elementName=Limited English Proficiency Entry Date &amp;elementID=10213", "Click here to submit comment")</f>
        <v>Click here to submit comment</v>
      </c>
    </row>
    <row r="1121" spans="1:14" ht="45" x14ac:dyDescent="0.25">
      <c r="A1121" s="12" t="s">
        <v>4291</v>
      </c>
      <c r="B1121" s="12" t="s">
        <v>4292</v>
      </c>
      <c r="C1121" s="12" t="s">
        <v>12</v>
      </c>
      <c r="D1121" s="12" t="s">
        <v>4287</v>
      </c>
      <c r="E1121" s="12"/>
      <c r="F1121" s="12" t="s">
        <v>73</v>
      </c>
      <c r="G1121" s="12"/>
      <c r="H1121" s="12"/>
      <c r="I1121" s="12" t="s">
        <v>4293</v>
      </c>
      <c r="J1121" s="12" t="s">
        <v>4294</v>
      </c>
      <c r="K1121" s="12" t="s">
        <v>4295</v>
      </c>
      <c r="L1121" s="12" t="s">
        <v>222</v>
      </c>
      <c r="M1121" s="12" t="str">
        <f>HYPERLINK("https://ceds.ed.gov/cedselementdetails.aspx?termid=9562")</f>
        <v>https://ceds.ed.gov/cedselementdetails.aspx?termid=9562</v>
      </c>
      <c r="N1121" s="12" t="str">
        <f>HYPERLINK("https://ceds.ed.gov/elementComment.aspx?elementName=Limited English Proficiency Exit Date &amp;elementID=9562", "Click here to submit comment")</f>
        <v>Click here to submit comment</v>
      </c>
    </row>
    <row r="1122" spans="1:14" ht="409.5" x14ac:dyDescent="0.25">
      <c r="A1122" s="12" t="s">
        <v>4296</v>
      </c>
      <c r="B1122" s="12" t="s">
        <v>4297</v>
      </c>
      <c r="C1122" s="12" t="s">
        <v>6364</v>
      </c>
      <c r="D1122" s="12" t="s">
        <v>6594</v>
      </c>
      <c r="E1122" s="12"/>
      <c r="F1122" s="12"/>
      <c r="G1122" s="12"/>
      <c r="H1122" s="12"/>
      <c r="I1122" s="12" t="s">
        <v>4298</v>
      </c>
      <c r="J1122" s="12" t="s">
        <v>4299</v>
      </c>
      <c r="K1122" s="12" t="s">
        <v>4300</v>
      </c>
      <c r="L1122" s="12" t="s">
        <v>6438</v>
      </c>
      <c r="M1122" s="12" t="str">
        <f>HYPERLINK("https://ceds.ed.gov/cedselementdetails.aspx?termid=9180")</f>
        <v>https://ceds.ed.gov/cedselementdetails.aspx?termid=9180</v>
      </c>
      <c r="N1122" s="12" t="str">
        <f>HYPERLINK("https://ceds.ed.gov/elementComment.aspx?elementName=Limited English Proficiency Status &amp;elementID=9180", "Click here to submit comment")</f>
        <v>Click here to submit comment</v>
      </c>
    </row>
    <row r="1123" spans="1:14" ht="240" x14ac:dyDescent="0.25">
      <c r="A1123" s="12" t="s">
        <v>4301</v>
      </c>
      <c r="B1123" s="12" t="s">
        <v>4302</v>
      </c>
      <c r="C1123" s="13" t="s">
        <v>7018</v>
      </c>
      <c r="D1123" s="12" t="s">
        <v>28</v>
      </c>
      <c r="E1123" s="12"/>
      <c r="F1123" s="12"/>
      <c r="G1123" s="12"/>
      <c r="H1123" s="12"/>
      <c r="I1123" s="12" t="s">
        <v>4303</v>
      </c>
      <c r="J1123" s="12"/>
      <c r="K1123" s="12" t="s">
        <v>4304</v>
      </c>
      <c r="L1123" s="12" t="s">
        <v>211</v>
      </c>
      <c r="M1123" s="12" t="str">
        <f>HYPERLINK("https://ceds.ed.gov/cedselementdetails.aspx?termid=9456")</f>
        <v>https://ceds.ed.gov/cedselementdetails.aspx?termid=9456</v>
      </c>
      <c r="N1123" s="12" t="str">
        <f>HYPERLINK("https://ceds.ed.gov/elementComment.aspx?elementName=Literacy Assessment Administered Type &amp;elementID=9456", "Click here to submit comment")</f>
        <v>Click here to submit comment</v>
      </c>
    </row>
    <row r="1124" spans="1:14" ht="60" x14ac:dyDescent="0.25">
      <c r="A1124" s="12" t="s">
        <v>4305</v>
      </c>
      <c r="B1124" s="12" t="s">
        <v>4306</v>
      </c>
      <c r="C1124" s="12" t="s">
        <v>6364</v>
      </c>
      <c r="D1124" s="12" t="s">
        <v>28</v>
      </c>
      <c r="E1124" s="12"/>
      <c r="F1124" s="12"/>
      <c r="G1124" s="12"/>
      <c r="H1124" s="12"/>
      <c r="I1124" s="12" t="s">
        <v>4307</v>
      </c>
      <c r="J1124" s="12"/>
      <c r="K1124" s="12" t="s">
        <v>4308</v>
      </c>
      <c r="L1124" s="12" t="s">
        <v>211</v>
      </c>
      <c r="M1124" s="12" t="str">
        <f>HYPERLINK("https://ceds.ed.gov/cedselementdetails.aspx?termid=9457")</f>
        <v>https://ceds.ed.gov/cedselementdetails.aspx?termid=9457</v>
      </c>
      <c r="N1124" s="12" t="str">
        <f>HYPERLINK("https://ceds.ed.gov/elementComment.aspx?elementName=Literacy Goal Met Status &amp;elementID=9457", "Click here to submit comment")</f>
        <v>Click here to submit comment</v>
      </c>
    </row>
    <row r="1125" spans="1:14" ht="45" x14ac:dyDescent="0.25">
      <c r="A1125" s="12" t="s">
        <v>4309</v>
      </c>
      <c r="B1125" s="12" t="s">
        <v>4310</v>
      </c>
      <c r="C1125" s="12" t="s">
        <v>6364</v>
      </c>
      <c r="D1125" s="12" t="s">
        <v>28</v>
      </c>
      <c r="E1125" s="12"/>
      <c r="F1125" s="12"/>
      <c r="G1125" s="12"/>
      <c r="H1125" s="12"/>
      <c r="I1125" s="12" t="s">
        <v>4311</v>
      </c>
      <c r="J1125" s="12"/>
      <c r="K1125" s="12" t="s">
        <v>4312</v>
      </c>
      <c r="L1125" s="12" t="s">
        <v>211</v>
      </c>
      <c r="M1125" s="12" t="str">
        <f>HYPERLINK("https://ceds.ed.gov/cedselementdetails.aspx?termid=9458")</f>
        <v>https://ceds.ed.gov/cedselementdetails.aspx?termid=9458</v>
      </c>
      <c r="N1125" s="12" t="str">
        <f>HYPERLINK("https://ceds.ed.gov/elementComment.aspx?elementName=Literacy Post Test Status &amp;elementID=9458", "Click here to submit comment")</f>
        <v>Click here to submit comment</v>
      </c>
    </row>
    <row r="1126" spans="1:14" ht="45" x14ac:dyDescent="0.25">
      <c r="A1126" s="12" t="s">
        <v>4313</v>
      </c>
      <c r="B1126" s="12" t="s">
        <v>4314</v>
      </c>
      <c r="C1126" s="12" t="s">
        <v>6364</v>
      </c>
      <c r="D1126" s="12" t="s">
        <v>28</v>
      </c>
      <c r="E1126" s="12"/>
      <c r="F1126" s="12"/>
      <c r="G1126" s="12"/>
      <c r="H1126" s="12"/>
      <c r="I1126" s="12" t="s">
        <v>4315</v>
      </c>
      <c r="J1126" s="12"/>
      <c r="K1126" s="12" t="s">
        <v>4316</v>
      </c>
      <c r="L1126" s="12" t="s">
        <v>211</v>
      </c>
      <c r="M1126" s="12" t="str">
        <f>HYPERLINK("https://ceds.ed.gov/cedselementdetails.aspx?termid=9459")</f>
        <v>https://ceds.ed.gov/cedselementdetails.aspx?termid=9459</v>
      </c>
      <c r="N1126" s="12" t="str">
        <f>HYPERLINK("https://ceds.ed.gov/elementComment.aspx?elementName=Literacy Pre Test Status &amp;elementID=9459", "Click here to submit comment")</f>
        <v>Click here to submit comment</v>
      </c>
    </row>
    <row r="1127" spans="1:14" ht="60" x14ac:dyDescent="0.25">
      <c r="A1127" s="12" t="s">
        <v>4317</v>
      </c>
      <c r="B1127" s="12" t="s">
        <v>4318</v>
      </c>
      <c r="C1127" s="13" t="s">
        <v>7019</v>
      </c>
      <c r="D1127" s="12" t="s">
        <v>4319</v>
      </c>
      <c r="E1127" s="12"/>
      <c r="F1127" s="12"/>
      <c r="G1127" s="12"/>
      <c r="H1127" s="12"/>
      <c r="I1127" s="12" t="s">
        <v>4320</v>
      </c>
      <c r="J1127" s="12" t="s">
        <v>4321</v>
      </c>
      <c r="K1127" s="12" t="s">
        <v>4322</v>
      </c>
      <c r="L1127" s="12" t="s">
        <v>211</v>
      </c>
      <c r="M1127" s="12" t="str">
        <f>HYPERLINK("https://ceds.ed.gov/cedselementdetails.aspx?termid=9441")</f>
        <v>https://ceds.ed.gov/cedselementdetails.aspx?termid=9441</v>
      </c>
      <c r="N1127" s="12" t="str">
        <f>HYPERLINK("https://ceds.ed.gov/elementComment.aspx?elementName=Local Education Agency Funds Transfer Type &amp;elementID=9441", "Click here to submit comment")</f>
        <v>Click here to submit comment</v>
      </c>
    </row>
    <row r="1128" spans="1:14" ht="240" x14ac:dyDescent="0.25">
      <c r="A1128" s="12" t="s">
        <v>4323</v>
      </c>
      <c r="B1128" s="12" t="s">
        <v>4324</v>
      </c>
      <c r="C1128" s="13" t="s">
        <v>7020</v>
      </c>
      <c r="D1128" s="12" t="s">
        <v>6595</v>
      </c>
      <c r="E1128" s="12" t="s">
        <v>98</v>
      </c>
      <c r="F1128" s="12"/>
      <c r="G1128" s="12"/>
      <c r="H1128" s="12"/>
      <c r="I1128" s="12" t="s">
        <v>4325</v>
      </c>
      <c r="J1128" s="12" t="s">
        <v>4326</v>
      </c>
      <c r="K1128" s="12" t="s">
        <v>4327</v>
      </c>
      <c r="L1128" s="12" t="s">
        <v>6596</v>
      </c>
      <c r="M1128" s="12" t="str">
        <f>HYPERLINK("https://ceds.ed.gov/cedselementdetails.aspx?termid=9159")</f>
        <v>https://ceds.ed.gov/cedselementdetails.aspx?termid=9159</v>
      </c>
      <c r="N1128" s="12" t="str">
        <f>HYPERLINK("https://ceds.ed.gov/elementComment.aspx?elementName=Local Education Agency Identification System &amp;elementID=9159", "Click here to submit comment")</f>
        <v>Click here to submit comment</v>
      </c>
    </row>
    <row r="1129" spans="1:14" ht="105" x14ac:dyDescent="0.25">
      <c r="A1129" s="18" t="s">
        <v>4328</v>
      </c>
      <c r="B1129" s="18" t="s">
        <v>4329</v>
      </c>
      <c r="C1129" s="18" t="s">
        <v>12</v>
      </c>
      <c r="D1129" s="18" t="s">
        <v>6595</v>
      </c>
      <c r="E1129" s="18"/>
      <c r="F1129" s="18" t="s">
        <v>142</v>
      </c>
      <c r="G1129" s="18"/>
      <c r="H1129" s="12" t="s">
        <v>143</v>
      </c>
      <c r="I1129" s="18" t="s">
        <v>4330</v>
      </c>
      <c r="J1129" s="18" t="s">
        <v>4331</v>
      </c>
      <c r="K1129" s="18" t="s">
        <v>4332</v>
      </c>
      <c r="L1129" s="18" t="s">
        <v>6596</v>
      </c>
      <c r="M1129" s="18" t="str">
        <f>HYPERLINK("https://ceds.ed.gov/cedselementdetails.aspx?termid=9153")</f>
        <v>https://ceds.ed.gov/cedselementdetails.aspx?termid=9153</v>
      </c>
      <c r="N1129" s="18" t="str">
        <f>HYPERLINK("https://ceds.ed.gov/elementComment.aspx?elementName=Local Education Agency Identifier &amp;elementID=9153", "Click here to submit comment")</f>
        <v>Click here to submit comment</v>
      </c>
    </row>
    <row r="1130" spans="1:14" x14ac:dyDescent="0.25">
      <c r="A1130" s="18"/>
      <c r="B1130" s="18"/>
      <c r="C1130" s="18"/>
      <c r="D1130" s="18"/>
      <c r="E1130" s="18"/>
      <c r="F1130" s="18"/>
      <c r="G1130" s="18"/>
      <c r="H1130" s="12"/>
      <c r="I1130" s="18"/>
      <c r="J1130" s="18"/>
      <c r="K1130" s="18"/>
      <c r="L1130" s="18"/>
      <c r="M1130" s="18"/>
      <c r="N1130" s="18"/>
    </row>
    <row r="1131" spans="1:14" ht="90" x14ac:dyDescent="0.25">
      <c r="A1131" s="18"/>
      <c r="B1131" s="18"/>
      <c r="C1131" s="18"/>
      <c r="D1131" s="18"/>
      <c r="E1131" s="18"/>
      <c r="F1131" s="18"/>
      <c r="G1131" s="18"/>
      <c r="H1131" s="12" t="s">
        <v>144</v>
      </c>
      <c r="I1131" s="18"/>
      <c r="J1131" s="18"/>
      <c r="K1131" s="18"/>
      <c r="L1131" s="18"/>
      <c r="M1131" s="18"/>
      <c r="N1131" s="18"/>
    </row>
    <row r="1132" spans="1:14" ht="90" x14ac:dyDescent="0.25">
      <c r="A1132" s="12" t="s">
        <v>4333</v>
      </c>
      <c r="B1132" s="12" t="s">
        <v>4334</v>
      </c>
      <c r="C1132" s="13" t="s">
        <v>7021</v>
      </c>
      <c r="D1132" s="12" t="s">
        <v>55</v>
      </c>
      <c r="E1132" s="12"/>
      <c r="F1132" s="12"/>
      <c r="G1132" s="12"/>
      <c r="H1132" s="12"/>
      <c r="I1132" s="12" t="s">
        <v>4335</v>
      </c>
      <c r="J1132" s="12" t="s">
        <v>4336</v>
      </c>
      <c r="K1132" s="12" t="s">
        <v>4337</v>
      </c>
      <c r="L1132" s="12" t="s">
        <v>222</v>
      </c>
      <c r="M1132" s="12" t="str">
        <f>HYPERLINK("https://ceds.ed.gov/cedselementdetails.aspx?termid=9173")</f>
        <v>https://ceds.ed.gov/cedselementdetails.aspx?termid=9173</v>
      </c>
      <c r="N1132" s="12" t="str">
        <f>HYPERLINK("https://ceds.ed.gov/elementComment.aspx?elementName=Local Education Agency Improvement Status &amp;elementID=9173", "Click here to submit comment")</f>
        <v>Click here to submit comment</v>
      </c>
    </row>
    <row r="1133" spans="1:14" ht="135" x14ac:dyDescent="0.25">
      <c r="A1133" s="12" t="s">
        <v>4338</v>
      </c>
      <c r="B1133" s="12" t="s">
        <v>4339</v>
      </c>
      <c r="C1133" s="13" t="s">
        <v>7022</v>
      </c>
      <c r="D1133" s="12" t="s">
        <v>4340</v>
      </c>
      <c r="E1133" s="12"/>
      <c r="F1133" s="12"/>
      <c r="G1133" s="12"/>
      <c r="H1133" s="12"/>
      <c r="I1133" s="12" t="s">
        <v>4341</v>
      </c>
      <c r="J1133" s="12" t="s">
        <v>4342</v>
      </c>
      <c r="K1133" s="12" t="s">
        <v>4343</v>
      </c>
      <c r="L1133" s="12" t="s">
        <v>222</v>
      </c>
      <c r="M1133" s="12" t="str">
        <f>HYPERLINK("https://ceds.ed.gov/cedselementdetails.aspx?termid=9174")</f>
        <v>https://ceds.ed.gov/cedselementdetails.aspx?termid=9174</v>
      </c>
      <c r="N1133" s="12" t="str">
        <f>HYPERLINK("https://ceds.ed.gov/elementComment.aspx?elementName=Local Education Agency Operational Status &amp;elementID=9174", "Click here to submit comment")</f>
        <v>Click here to submit comment</v>
      </c>
    </row>
    <row r="1134" spans="1:14" ht="45" x14ac:dyDescent="0.25">
      <c r="A1134" s="12" t="s">
        <v>4344</v>
      </c>
      <c r="B1134" s="12" t="s">
        <v>4345</v>
      </c>
      <c r="C1134" s="12" t="s">
        <v>12</v>
      </c>
      <c r="D1134" s="12" t="s">
        <v>4340</v>
      </c>
      <c r="E1134" s="12"/>
      <c r="F1134" s="12" t="s">
        <v>4346</v>
      </c>
      <c r="G1134" s="12"/>
      <c r="H1134" s="12"/>
      <c r="I1134" s="12" t="s">
        <v>4347</v>
      </c>
      <c r="J1134" s="12" t="s">
        <v>4348</v>
      </c>
      <c r="K1134" s="12" t="s">
        <v>4349</v>
      </c>
      <c r="L1134" s="12" t="s">
        <v>222</v>
      </c>
      <c r="M1134" s="12" t="str">
        <f>HYPERLINK("https://ceds.ed.gov/cedselementdetails.aspx?termid=9175")</f>
        <v>https://ceds.ed.gov/cedselementdetails.aspx?termid=9175</v>
      </c>
      <c r="N1134" s="12" t="str">
        <f>HYPERLINK("https://ceds.ed.gov/elementComment.aspx?elementName=Local Education Agency Supervisory Union Identification Number &amp;elementID=9175", "Click here to submit comment")</f>
        <v>Click here to submit comment</v>
      </c>
    </row>
    <row r="1135" spans="1:14" ht="60" x14ac:dyDescent="0.25">
      <c r="A1135" s="12" t="s">
        <v>4350</v>
      </c>
      <c r="B1135" s="12" t="s">
        <v>4351</v>
      </c>
      <c r="C1135" s="12" t="s">
        <v>6364</v>
      </c>
      <c r="D1135" s="12" t="s">
        <v>4319</v>
      </c>
      <c r="E1135" s="12"/>
      <c r="F1135" s="12"/>
      <c r="G1135" s="12"/>
      <c r="H1135" s="12"/>
      <c r="I1135" s="12" t="s">
        <v>4352</v>
      </c>
      <c r="J1135" s="12" t="s">
        <v>4353</v>
      </c>
      <c r="K1135" s="12" t="s">
        <v>4354</v>
      </c>
      <c r="L1135" s="12" t="s">
        <v>211</v>
      </c>
      <c r="M1135" s="12" t="str">
        <f>HYPERLINK("https://ceds.ed.gov/cedselementdetails.aspx?termid=9436")</f>
        <v>https://ceds.ed.gov/cedselementdetails.aspx?termid=9436</v>
      </c>
      <c r="N1135" s="12" t="str">
        <f>HYPERLINK("https://ceds.ed.gov/elementComment.aspx?elementName=Local Education Agency Transferability of Funds &amp;elementID=9436", "Click here to submit comment")</f>
        <v>Click here to submit comment</v>
      </c>
    </row>
    <row r="1136" spans="1:14" ht="165" customHeight="1" x14ac:dyDescent="0.25">
      <c r="A1136" s="18" t="s">
        <v>4355</v>
      </c>
      <c r="B1136" s="18" t="s">
        <v>4356</v>
      </c>
      <c r="C1136" s="20" t="s">
        <v>7023</v>
      </c>
      <c r="D1136" s="18" t="s">
        <v>4340</v>
      </c>
      <c r="E1136" s="18" t="s">
        <v>98</v>
      </c>
      <c r="F1136" s="18"/>
      <c r="G1136" s="18"/>
      <c r="H1136" s="12" t="s">
        <v>4357</v>
      </c>
      <c r="I1136" s="18" t="s">
        <v>4359</v>
      </c>
      <c r="J1136" s="18"/>
      <c r="K1136" s="18" t="s">
        <v>4360</v>
      </c>
      <c r="L1136" s="18" t="s">
        <v>222</v>
      </c>
      <c r="M1136" s="18" t="str">
        <f>HYPERLINK("https://ceds.ed.gov/cedselementdetails.aspx?termid=9528")</f>
        <v>https://ceds.ed.gov/cedselementdetails.aspx?termid=9528</v>
      </c>
      <c r="N1136" s="18" t="str">
        <f>HYPERLINK("https://ceds.ed.gov/elementComment.aspx?elementName=Local Education Agency Type &amp;elementID=9528", "Click here to submit comment")</f>
        <v>Click here to submit comment</v>
      </c>
    </row>
    <row r="1137" spans="1:14" ht="45" x14ac:dyDescent="0.25">
      <c r="A1137" s="18"/>
      <c r="B1137" s="18"/>
      <c r="C1137" s="18"/>
      <c r="D1137" s="18"/>
      <c r="E1137" s="18"/>
      <c r="F1137" s="18"/>
      <c r="G1137" s="18"/>
      <c r="H1137" s="12" t="s">
        <v>4358</v>
      </c>
      <c r="I1137" s="18"/>
      <c r="J1137" s="18"/>
      <c r="K1137" s="18"/>
      <c r="L1137" s="18"/>
      <c r="M1137" s="18"/>
      <c r="N1137" s="18"/>
    </row>
    <row r="1138" spans="1:14" ht="409.5" x14ac:dyDescent="0.25">
      <c r="A1138" s="12" t="s">
        <v>4361</v>
      </c>
      <c r="B1138" s="12" t="s">
        <v>4362</v>
      </c>
      <c r="C1138" s="12" t="s">
        <v>12</v>
      </c>
      <c r="D1138" s="12" t="s">
        <v>6581</v>
      </c>
      <c r="E1138" s="12"/>
      <c r="F1138" s="12" t="s">
        <v>1201</v>
      </c>
      <c r="G1138" s="12"/>
      <c r="H1138" s="12"/>
      <c r="I1138" s="12" t="s">
        <v>4363</v>
      </c>
      <c r="J1138" s="12"/>
      <c r="K1138" s="12" t="s">
        <v>4361</v>
      </c>
      <c r="L1138" s="12"/>
      <c r="M1138" s="12" t="str">
        <f>HYPERLINK("https://ceds.ed.gov/cedselementdetails.aspx?termid=9600")</f>
        <v>https://ceds.ed.gov/cedselementdetails.aspx?termid=9600</v>
      </c>
      <c r="N1138" s="12" t="str">
        <f>HYPERLINK("https://ceds.ed.gov/elementComment.aspx?elementName=Longitude &amp;elementID=9600", "Click here to submit comment")</f>
        <v>Click here to submit comment</v>
      </c>
    </row>
    <row r="1139" spans="1:14" ht="180" x14ac:dyDescent="0.25">
      <c r="A1139" s="12" t="s">
        <v>4364</v>
      </c>
      <c r="B1139" s="12" t="s">
        <v>4365</v>
      </c>
      <c r="C1139" s="12" t="s">
        <v>6364</v>
      </c>
      <c r="D1139" s="12" t="s">
        <v>2389</v>
      </c>
      <c r="E1139" s="12"/>
      <c r="F1139" s="12"/>
      <c r="G1139" s="12"/>
      <c r="H1139" s="12"/>
      <c r="I1139" s="12" t="s">
        <v>4366</v>
      </c>
      <c r="J1139" s="12"/>
      <c r="K1139" s="12" t="s">
        <v>4367</v>
      </c>
      <c r="L1139" s="12"/>
      <c r="M1139" s="12" t="str">
        <f>HYPERLINK("https://ceds.ed.gov/cedselementdetails.aspx?termid=9758")</f>
        <v>https://ceds.ed.gov/cedselementdetails.aspx?termid=9758</v>
      </c>
      <c r="N1139" s="12" t="str">
        <f>HYPERLINK("https://ceds.ed.gov/elementComment.aspx?elementName=Low-income Status &amp;elementID=9758", "Click here to submit comment")</f>
        <v>Click here to submit comment</v>
      </c>
    </row>
    <row r="1140" spans="1:14" ht="135" x14ac:dyDescent="0.25">
      <c r="A1140" s="12" t="s">
        <v>4368</v>
      </c>
      <c r="B1140" s="12" t="s">
        <v>4369</v>
      </c>
      <c r="C1140" s="13" t="s">
        <v>7024</v>
      </c>
      <c r="D1140" s="12" t="s">
        <v>225</v>
      </c>
      <c r="E1140" s="12"/>
      <c r="F1140" s="12"/>
      <c r="G1140" s="12"/>
      <c r="H1140" s="12"/>
      <c r="I1140" s="12" t="s">
        <v>4370</v>
      </c>
      <c r="J1140" s="12"/>
      <c r="K1140" s="12" t="s">
        <v>4371</v>
      </c>
      <c r="L1140" s="12" t="s">
        <v>6369</v>
      </c>
      <c r="M1140" s="12" t="str">
        <f>HYPERLINK("https://ceds.ed.gov/cedselementdetails.aspx?termid=9181")</f>
        <v>https://ceds.ed.gov/cedselementdetails.aspx?termid=9181</v>
      </c>
      <c r="N1140" s="12" t="str">
        <f>HYPERLINK("https://ceds.ed.gov/elementComment.aspx?elementName=Magnet or Special Program Emphasis School &amp;elementID=9181", "Click here to submit comment")</f>
        <v>Click here to submit comment</v>
      </c>
    </row>
    <row r="1141" spans="1:14" ht="210" x14ac:dyDescent="0.25">
      <c r="A1141" s="12" t="s">
        <v>4372</v>
      </c>
      <c r="B1141" s="12" t="s">
        <v>4373</v>
      </c>
      <c r="C1141" s="12" t="s">
        <v>12</v>
      </c>
      <c r="D1141" s="12" t="s">
        <v>6597</v>
      </c>
      <c r="E1141" s="12"/>
      <c r="F1141" s="12" t="s">
        <v>92</v>
      </c>
      <c r="G1141" s="12"/>
      <c r="H1141" s="12"/>
      <c r="I1141" s="12" t="s">
        <v>4374</v>
      </c>
      <c r="J1141" s="12"/>
      <c r="K1141" s="12" t="s">
        <v>4375</v>
      </c>
      <c r="L1141" s="12" t="s">
        <v>6369</v>
      </c>
      <c r="M1141" s="12" t="str">
        <f>HYPERLINK("https://ceds.ed.gov/cedselementdetails.aspx?termid=9182")</f>
        <v>https://ceds.ed.gov/cedselementdetails.aspx?termid=9182</v>
      </c>
      <c r="N1141" s="12" t="str">
        <f>HYPERLINK("https://ceds.ed.gov/elementComment.aspx?elementName=Marking Period Name &amp;elementID=9182", "Click here to submit comment")</f>
        <v>Click here to submit comment</v>
      </c>
    </row>
    <row r="1142" spans="1:14" ht="165" x14ac:dyDescent="0.25">
      <c r="A1142" s="12" t="s">
        <v>4376</v>
      </c>
      <c r="B1142" s="12" t="s">
        <v>4377</v>
      </c>
      <c r="C1142" s="13" t="s">
        <v>7025</v>
      </c>
      <c r="D1142" s="12" t="s">
        <v>1630</v>
      </c>
      <c r="E1142" s="12" t="s">
        <v>98</v>
      </c>
      <c r="F1142" s="12"/>
      <c r="G1142" s="12"/>
      <c r="H1142" s="12"/>
      <c r="I1142" s="12" t="s">
        <v>4378</v>
      </c>
      <c r="J1142" s="12"/>
      <c r="K1142" s="12" t="s">
        <v>4379</v>
      </c>
      <c r="L1142" s="12"/>
      <c r="M1142" s="12" t="str">
        <f>HYPERLINK("https://ceds.ed.gov/cedselementdetails.aspx?termid=10194")</f>
        <v>https://ceds.ed.gov/cedselementdetails.aspx?termid=10194</v>
      </c>
      <c r="N1142" s="12" t="str">
        <f>HYPERLINK("https://ceds.ed.gov/elementComment.aspx?elementName=Maternal Guardian Education &amp;elementID=10194", "Click here to submit comment")</f>
        <v>Click here to submit comment</v>
      </c>
    </row>
    <row r="1143" spans="1:14" ht="60" x14ac:dyDescent="0.25">
      <c r="A1143" s="12" t="s">
        <v>4380</v>
      </c>
      <c r="B1143" s="12" t="s">
        <v>4381</v>
      </c>
      <c r="C1143" s="13" t="s">
        <v>7026</v>
      </c>
      <c r="D1143" s="12" t="s">
        <v>6598</v>
      </c>
      <c r="E1143" s="12"/>
      <c r="F1143" s="12"/>
      <c r="G1143" s="12"/>
      <c r="H1143" s="12"/>
      <c r="I1143" s="12" t="s">
        <v>4382</v>
      </c>
      <c r="J1143" s="12"/>
      <c r="K1143" s="12" t="s">
        <v>4383</v>
      </c>
      <c r="L1143" s="12" t="s">
        <v>1578</v>
      </c>
      <c r="M1143" s="12" t="str">
        <f>HYPERLINK("https://ceds.ed.gov/cedselementdetails.aspx?termid=9429")</f>
        <v>https://ceds.ed.gov/cedselementdetails.aspx?termid=9429</v>
      </c>
      <c r="N1143" s="12" t="str">
        <f>HYPERLINK("https://ceds.ed.gov/elementComment.aspx?elementName=Medical Alert Indicator &amp;elementID=9429", "Click here to submit comment")</f>
        <v>Click here to submit comment</v>
      </c>
    </row>
    <row r="1144" spans="1:14" ht="180" x14ac:dyDescent="0.25">
      <c r="A1144" s="12" t="s">
        <v>4384</v>
      </c>
      <c r="B1144" s="12" t="s">
        <v>4385</v>
      </c>
      <c r="C1144" s="12" t="s">
        <v>6364</v>
      </c>
      <c r="D1144" s="12" t="s">
        <v>33</v>
      </c>
      <c r="E1144" s="12"/>
      <c r="F1144" s="12"/>
      <c r="G1144" s="12"/>
      <c r="H1144" s="12" t="s">
        <v>2824</v>
      </c>
      <c r="I1144" s="12" t="s">
        <v>4386</v>
      </c>
      <c r="J1144" s="12"/>
      <c r="K1144" s="12" t="s">
        <v>4387</v>
      </c>
      <c r="L1144" s="12" t="s">
        <v>37</v>
      </c>
      <c r="M1144" s="12" t="str">
        <f>HYPERLINK("https://ceds.ed.gov/cedselementdetails.aspx?termid=9710")</f>
        <v>https://ceds.ed.gov/cedselementdetails.aspx?termid=9710</v>
      </c>
      <c r="N1144" s="12" t="str">
        <f>HYPERLINK("https://ceds.ed.gov/elementComment.aspx?elementName=Medical School Staff Status &amp;elementID=9710", "Click here to submit comment")</f>
        <v>Click here to submit comment</v>
      </c>
    </row>
    <row r="1145" spans="1:14" ht="60" x14ac:dyDescent="0.25">
      <c r="A1145" s="12" t="s">
        <v>4388</v>
      </c>
      <c r="B1145" s="12" t="s">
        <v>4389</v>
      </c>
      <c r="C1145" s="12" t="s">
        <v>12</v>
      </c>
      <c r="D1145" s="12" t="s">
        <v>4390</v>
      </c>
      <c r="E1145" s="12"/>
      <c r="F1145" s="12" t="s">
        <v>73</v>
      </c>
      <c r="G1145" s="12"/>
      <c r="H1145" s="12"/>
      <c r="I1145" s="12" t="s">
        <v>4391</v>
      </c>
      <c r="J1145" s="12"/>
      <c r="K1145" s="12" t="s">
        <v>4392</v>
      </c>
      <c r="L1145" s="12"/>
      <c r="M1145" s="12" t="str">
        <f>HYPERLINK("https://ceds.ed.gov/cedselementdetails.aspx?termid=10593")</f>
        <v>https://ceds.ed.gov/cedselementdetails.aspx?termid=10593</v>
      </c>
      <c r="N1145" s="12" t="str">
        <f>HYPERLINK("https://ceds.ed.gov/elementComment.aspx?elementName=Memorandum of Understanding End Date &amp;elementID=10593", "Click here to submit comment")</f>
        <v>Click here to submit comment</v>
      </c>
    </row>
    <row r="1146" spans="1:14" ht="60" x14ac:dyDescent="0.25">
      <c r="A1146" s="12" t="s">
        <v>4393</v>
      </c>
      <c r="B1146" s="12" t="s">
        <v>4394</v>
      </c>
      <c r="C1146" s="12" t="s">
        <v>12</v>
      </c>
      <c r="D1146" s="12" t="s">
        <v>4390</v>
      </c>
      <c r="E1146" s="12"/>
      <c r="F1146" s="12" t="s">
        <v>73</v>
      </c>
      <c r="G1146" s="12"/>
      <c r="H1146" s="12"/>
      <c r="I1146" s="12" t="s">
        <v>4395</v>
      </c>
      <c r="J1146" s="12"/>
      <c r="K1146" s="12" t="s">
        <v>4396</v>
      </c>
      <c r="L1146" s="12"/>
      <c r="M1146" s="12" t="str">
        <f>HYPERLINK("https://ceds.ed.gov/cedselementdetails.aspx?termid=10594")</f>
        <v>https://ceds.ed.gov/cedselementdetails.aspx?termid=10594</v>
      </c>
      <c r="N1146" s="12" t="str">
        <f>HYPERLINK("https://ceds.ed.gov/elementComment.aspx?elementName=Memorandum of Understanding Start Date &amp;elementID=10594", "Click here to submit comment")</f>
        <v>Click here to submit comment</v>
      </c>
    </row>
    <row r="1147" spans="1:14" ht="45" x14ac:dyDescent="0.25">
      <c r="A1147" s="12" t="s">
        <v>4397</v>
      </c>
      <c r="B1147" s="12" t="s">
        <v>4398</v>
      </c>
      <c r="C1147" s="13" t="s">
        <v>7027</v>
      </c>
      <c r="D1147" s="12" t="s">
        <v>3278</v>
      </c>
      <c r="E1147" s="12"/>
      <c r="F1147" s="12" t="s">
        <v>99</v>
      </c>
      <c r="G1147" s="12"/>
      <c r="H1147" s="12"/>
      <c r="I1147" s="12" t="s">
        <v>4399</v>
      </c>
      <c r="J1147" s="12"/>
      <c r="K1147" s="12" t="s">
        <v>4400</v>
      </c>
      <c r="L1147" s="12"/>
      <c r="M1147" s="12" t="str">
        <f>HYPERLINK("https://ceds.ed.gov/cedselementdetails.aspx?termid=10482")</f>
        <v>https://ceds.ed.gov/cedselementdetails.aspx?termid=10482</v>
      </c>
      <c r="N1147" s="12" t="str">
        <f>HYPERLINK("https://ceds.ed.gov/elementComment.aspx?elementName=Method of Service Delivery &amp;elementID=10482", "Click here to submit comment")</f>
        <v>Click here to submit comment</v>
      </c>
    </row>
    <row r="1148" spans="1:14" ht="210" x14ac:dyDescent="0.25">
      <c r="A1148" s="12" t="s">
        <v>4401</v>
      </c>
      <c r="B1148" s="12" t="s">
        <v>4402</v>
      </c>
      <c r="C1148" s="12" t="s">
        <v>12</v>
      </c>
      <c r="D1148" s="12" t="s">
        <v>6597</v>
      </c>
      <c r="E1148" s="12"/>
      <c r="F1148" s="12" t="s">
        <v>1950</v>
      </c>
      <c r="G1148" s="12"/>
      <c r="H1148" s="12"/>
      <c r="I1148" s="12" t="s">
        <v>4403</v>
      </c>
      <c r="J1148" s="12"/>
      <c r="K1148" s="12" t="s">
        <v>4404</v>
      </c>
      <c r="L1148" s="12" t="s">
        <v>6369</v>
      </c>
      <c r="M1148" s="12" t="str">
        <f>HYPERLINK("https://ceds.ed.gov/cedselementdetails.aspx?termid=9183")</f>
        <v>https://ceds.ed.gov/cedselementdetails.aspx?termid=9183</v>
      </c>
      <c r="N1148" s="12" t="str">
        <f>HYPERLINK("https://ceds.ed.gov/elementComment.aspx?elementName=Mid Term Mark &amp;elementID=9183", "Click here to submit comment")</f>
        <v>Click here to submit comment</v>
      </c>
    </row>
    <row r="1149" spans="1:14" ht="409.6" customHeight="1" x14ac:dyDescent="0.25">
      <c r="A1149" s="18" t="s">
        <v>4405</v>
      </c>
      <c r="B1149" s="18" t="s">
        <v>4406</v>
      </c>
      <c r="C1149" s="18" t="s">
        <v>12</v>
      </c>
      <c r="D1149" s="18" t="s">
        <v>6599</v>
      </c>
      <c r="E1149" s="18"/>
      <c r="F1149" s="18" t="s">
        <v>1349</v>
      </c>
      <c r="G1149" s="18"/>
      <c r="H1149" s="12" t="s">
        <v>3078</v>
      </c>
      <c r="I1149" s="18" t="s">
        <v>4407</v>
      </c>
      <c r="J1149" s="18"/>
      <c r="K1149" s="18" t="s">
        <v>4408</v>
      </c>
      <c r="L1149" s="18" t="s">
        <v>6540</v>
      </c>
      <c r="M1149" s="18" t="str">
        <f>HYPERLINK("https://ceds.ed.gov/cedselementdetails.aspx?termid=9184")</f>
        <v>https://ceds.ed.gov/cedselementdetails.aspx?termid=9184</v>
      </c>
      <c r="N1149" s="18" t="str">
        <f>HYPERLINK("https://ceds.ed.gov/elementComment.aspx?elementName=Middle Name &amp;elementID=9184", "Click here to submit comment")</f>
        <v>Click here to submit comment</v>
      </c>
    </row>
    <row r="1150" spans="1:14" ht="90" x14ac:dyDescent="0.25">
      <c r="A1150" s="18"/>
      <c r="B1150" s="18"/>
      <c r="C1150" s="18"/>
      <c r="D1150" s="18"/>
      <c r="E1150" s="18"/>
      <c r="F1150" s="18"/>
      <c r="G1150" s="18"/>
      <c r="H1150" s="12" t="s">
        <v>3079</v>
      </c>
      <c r="I1150" s="18"/>
      <c r="J1150" s="18"/>
      <c r="K1150" s="18"/>
      <c r="L1150" s="18"/>
      <c r="M1150" s="18"/>
      <c r="N1150" s="18"/>
    </row>
    <row r="1151" spans="1:14" ht="75" x14ac:dyDescent="0.25">
      <c r="A1151" s="12" t="s">
        <v>4409</v>
      </c>
      <c r="B1151" s="12" t="s">
        <v>4410</v>
      </c>
      <c r="C1151" s="12" t="s">
        <v>6364</v>
      </c>
      <c r="D1151" s="12" t="s">
        <v>1894</v>
      </c>
      <c r="E1151" s="12"/>
      <c r="F1151" s="12"/>
      <c r="G1151" s="12"/>
      <c r="H1151" s="12"/>
      <c r="I1151" s="12" t="s">
        <v>4411</v>
      </c>
      <c r="J1151" s="12" t="s">
        <v>4412</v>
      </c>
      <c r="K1151" s="12" t="s">
        <v>4413</v>
      </c>
      <c r="L1151" s="12" t="s">
        <v>222</v>
      </c>
      <c r="M1151" s="12" t="str">
        <f>HYPERLINK("https://ceds.ed.gov/cedselementdetails.aspx?termid=9555")</f>
        <v>https://ceds.ed.gov/cedselementdetails.aspx?termid=9555</v>
      </c>
      <c r="N1151" s="12" t="str">
        <f>HYPERLINK("https://ceds.ed.gov/elementComment.aspx?elementName=Migrant Education Program Continuation of Services Status &amp;elementID=9555", "Click here to submit comment")</f>
        <v>Click here to submit comment</v>
      </c>
    </row>
    <row r="1152" spans="1:14" ht="120" x14ac:dyDescent="0.25">
      <c r="A1152" s="12" t="s">
        <v>4414</v>
      </c>
      <c r="B1152" s="12" t="s">
        <v>4415</v>
      </c>
      <c r="C1152" s="12" t="s">
        <v>12</v>
      </c>
      <c r="D1152" s="12" t="s">
        <v>1894</v>
      </c>
      <c r="E1152" s="12"/>
      <c r="F1152" s="12" t="s">
        <v>73</v>
      </c>
      <c r="G1152" s="12"/>
      <c r="H1152" s="12"/>
      <c r="I1152" s="12" t="s">
        <v>4416</v>
      </c>
      <c r="J1152" s="12" t="s">
        <v>4417</v>
      </c>
      <c r="K1152" s="12" t="s">
        <v>4418</v>
      </c>
      <c r="L1152" s="12" t="s">
        <v>1578</v>
      </c>
      <c r="M1152" s="12" t="str">
        <f>HYPERLINK("https://ceds.ed.gov/cedselementdetails.aspx?termid=9420")</f>
        <v>https://ceds.ed.gov/cedselementdetails.aspx?termid=9420</v>
      </c>
      <c r="N1152" s="12" t="str">
        <f>HYPERLINK("https://ceds.ed.gov/elementComment.aspx?elementName=Migrant Education Program Eligibility Expiration Date &amp;elementID=9420", "Click here to submit comment")</f>
        <v>Click here to submit comment</v>
      </c>
    </row>
    <row r="1153" spans="1:14" ht="150" x14ac:dyDescent="0.25">
      <c r="A1153" s="12" t="s">
        <v>4419</v>
      </c>
      <c r="B1153" s="12" t="s">
        <v>4420</v>
      </c>
      <c r="C1153" s="13" t="s">
        <v>7028</v>
      </c>
      <c r="D1153" s="12" t="s">
        <v>1894</v>
      </c>
      <c r="E1153" s="12"/>
      <c r="F1153" s="12"/>
      <c r="G1153" s="12"/>
      <c r="H1153" s="12"/>
      <c r="I1153" s="12" t="s">
        <v>4421</v>
      </c>
      <c r="J1153" s="12" t="s">
        <v>4422</v>
      </c>
      <c r="K1153" s="12" t="s">
        <v>4423</v>
      </c>
      <c r="L1153" s="12" t="s">
        <v>1578</v>
      </c>
      <c r="M1153" s="12" t="str">
        <f>HYPERLINK("https://ceds.ed.gov/cedselementdetails.aspx?termid=9427")</f>
        <v>https://ceds.ed.gov/cedselementdetails.aspx?termid=9427</v>
      </c>
      <c r="N1153" s="12" t="str">
        <f>HYPERLINK("https://ceds.ed.gov/elementComment.aspx?elementName=Migrant Education Program Enrollment Type &amp;elementID=9427", "Click here to submit comment")</f>
        <v>Click here to submit comment</v>
      </c>
    </row>
    <row r="1154" spans="1:14" ht="45" x14ac:dyDescent="0.25">
      <c r="A1154" s="12" t="s">
        <v>4424</v>
      </c>
      <c r="B1154" s="12" t="s">
        <v>4425</v>
      </c>
      <c r="C1154" s="12" t="s">
        <v>6364</v>
      </c>
      <c r="D1154" s="12" t="s">
        <v>1894</v>
      </c>
      <c r="E1154" s="12"/>
      <c r="F1154" s="12"/>
      <c r="G1154" s="12"/>
      <c r="H1154" s="12"/>
      <c r="I1154" s="12" t="s">
        <v>4426</v>
      </c>
      <c r="J1154" s="12" t="s">
        <v>4427</v>
      </c>
      <c r="K1154" s="12" t="s">
        <v>4428</v>
      </c>
      <c r="L1154" s="12" t="s">
        <v>222</v>
      </c>
      <c r="M1154" s="12" t="str">
        <f>HYPERLINK("https://ceds.ed.gov/cedselementdetails.aspx?termid=9185")</f>
        <v>https://ceds.ed.gov/cedselementdetails.aspx?termid=9185</v>
      </c>
      <c r="N1154" s="12" t="str">
        <f>HYPERLINK("https://ceds.ed.gov/elementComment.aspx?elementName=Migrant Education Program Participation Status &amp;elementID=9185", "Click here to submit comment")</f>
        <v>Click here to submit comment</v>
      </c>
    </row>
    <row r="1155" spans="1:14" ht="60" x14ac:dyDescent="0.25">
      <c r="A1155" s="12" t="s">
        <v>4429</v>
      </c>
      <c r="B1155" s="12" t="s">
        <v>4430</v>
      </c>
      <c r="C1155" s="12" t="s">
        <v>6364</v>
      </c>
      <c r="D1155" s="12" t="s">
        <v>1904</v>
      </c>
      <c r="E1155" s="12"/>
      <c r="F1155" s="12"/>
      <c r="G1155" s="12"/>
      <c r="H1155" s="12"/>
      <c r="I1155" s="12" t="s">
        <v>4431</v>
      </c>
      <c r="J1155" s="12" t="s">
        <v>4432</v>
      </c>
      <c r="K1155" s="12" t="s">
        <v>4433</v>
      </c>
      <c r="L1155" s="12" t="s">
        <v>222</v>
      </c>
      <c r="M1155" s="12" t="str">
        <f>HYPERLINK("https://ceds.ed.gov/cedselementdetails.aspx?termid=9534")</f>
        <v>https://ceds.ed.gov/cedselementdetails.aspx?termid=9534</v>
      </c>
      <c r="N1155" s="12" t="str">
        <f>HYPERLINK("https://ceds.ed.gov/elementComment.aspx?elementName=Migrant Education Program Personnel Indicator &amp;elementID=9534", "Click here to submit comment")</f>
        <v>Click here to submit comment</v>
      </c>
    </row>
    <row r="1156" spans="1:14" ht="75" x14ac:dyDescent="0.25">
      <c r="A1156" s="12" t="s">
        <v>4434</v>
      </c>
      <c r="B1156" s="12" t="s">
        <v>4435</v>
      </c>
      <c r="C1156" s="13" t="s">
        <v>7029</v>
      </c>
      <c r="D1156" s="12" t="s">
        <v>1894</v>
      </c>
      <c r="E1156" s="12"/>
      <c r="F1156" s="12"/>
      <c r="G1156" s="12"/>
      <c r="H1156" s="12"/>
      <c r="I1156" s="12" t="s">
        <v>4436</v>
      </c>
      <c r="J1156" s="12" t="s">
        <v>4437</v>
      </c>
      <c r="K1156" s="12" t="s">
        <v>4438</v>
      </c>
      <c r="L1156" s="12" t="s">
        <v>1578</v>
      </c>
      <c r="M1156" s="12" t="str">
        <f>HYPERLINK("https://ceds.ed.gov/cedselementdetails.aspx?termid=9430")</f>
        <v>https://ceds.ed.gov/cedselementdetails.aspx?termid=9430</v>
      </c>
      <c r="N1156" s="12" t="str">
        <f>HYPERLINK("https://ceds.ed.gov/elementComment.aspx?elementName=Migrant Education Program Project Based &amp;elementID=9430", "Click here to submit comment")</f>
        <v>Click here to submit comment</v>
      </c>
    </row>
    <row r="1157" spans="1:14" ht="120" x14ac:dyDescent="0.25">
      <c r="A1157" s="12" t="s">
        <v>4439</v>
      </c>
      <c r="B1157" s="12" t="s">
        <v>4440</v>
      </c>
      <c r="C1157" s="13" t="s">
        <v>7030</v>
      </c>
      <c r="D1157" s="12" t="s">
        <v>3665</v>
      </c>
      <c r="E1157" s="12"/>
      <c r="F1157" s="12"/>
      <c r="G1157" s="12"/>
      <c r="H1157" s="12"/>
      <c r="I1157" s="12" t="s">
        <v>4441</v>
      </c>
      <c r="J1157" s="12" t="s">
        <v>4442</v>
      </c>
      <c r="K1157" s="12" t="s">
        <v>4443</v>
      </c>
      <c r="L1157" s="12" t="s">
        <v>211</v>
      </c>
      <c r="M1157" s="12" t="str">
        <f>HYPERLINK("https://ceds.ed.gov/cedselementdetails.aspx?termid=9453")</f>
        <v>https://ceds.ed.gov/cedselementdetails.aspx?termid=9453</v>
      </c>
      <c r="N1157" s="12" t="str">
        <f>HYPERLINK("https://ceds.ed.gov/elementComment.aspx?elementName=Migrant Education Program Project Type &amp;elementID=9453", "Click here to submit comment")</f>
        <v>Click here to submit comment</v>
      </c>
    </row>
    <row r="1158" spans="1:14" ht="195" x14ac:dyDescent="0.25">
      <c r="A1158" s="12" t="s">
        <v>4444</v>
      </c>
      <c r="B1158" s="12" t="s">
        <v>4445</v>
      </c>
      <c r="C1158" s="13" t="s">
        <v>7031</v>
      </c>
      <c r="D1158" s="12" t="s">
        <v>1894</v>
      </c>
      <c r="E1158" s="12"/>
      <c r="F1158" s="12"/>
      <c r="G1158" s="12"/>
      <c r="H1158" s="12"/>
      <c r="I1158" s="12" t="s">
        <v>4446</v>
      </c>
      <c r="J1158" s="12" t="s">
        <v>4447</v>
      </c>
      <c r="K1158" s="12" t="s">
        <v>4448</v>
      </c>
      <c r="L1158" s="12" t="s">
        <v>222</v>
      </c>
      <c r="M1158" s="12" t="str">
        <f>HYPERLINK("https://ceds.ed.gov/cedselementdetails.aspx?termid=9186")</f>
        <v>https://ceds.ed.gov/cedselementdetails.aspx?termid=9186</v>
      </c>
      <c r="N1158" s="12" t="str">
        <f>HYPERLINK("https://ceds.ed.gov/elementComment.aspx?elementName=Migrant Education Program Services Type &amp;elementID=9186", "Click here to submit comment")</f>
        <v>Click here to submit comment</v>
      </c>
    </row>
    <row r="1159" spans="1:14" ht="75" x14ac:dyDescent="0.25">
      <c r="A1159" s="12" t="s">
        <v>4449</v>
      </c>
      <c r="B1159" s="12" t="s">
        <v>4450</v>
      </c>
      <c r="C1159" s="13" t="s">
        <v>7032</v>
      </c>
      <c r="D1159" s="12" t="s">
        <v>3665</v>
      </c>
      <c r="E1159" s="12"/>
      <c r="F1159" s="12"/>
      <c r="G1159" s="12"/>
      <c r="H1159" s="12"/>
      <c r="I1159" s="12" t="s">
        <v>4451</v>
      </c>
      <c r="J1159" s="12" t="s">
        <v>4452</v>
      </c>
      <c r="K1159" s="12" t="s">
        <v>4453</v>
      </c>
      <c r="L1159" s="12" t="s">
        <v>222</v>
      </c>
      <c r="M1159" s="12" t="str">
        <f>HYPERLINK("https://ceds.ed.gov/cedselementdetails.aspx?termid=9187")</f>
        <v>https://ceds.ed.gov/cedselementdetails.aspx?termid=9187</v>
      </c>
      <c r="N1159" s="12" t="str">
        <f>HYPERLINK("https://ceds.ed.gov/elementComment.aspx?elementName=Migrant Education Program Session Type &amp;elementID=9187", "Click here to submit comment")</f>
        <v>Click here to submit comment</v>
      </c>
    </row>
    <row r="1160" spans="1:14" ht="120" x14ac:dyDescent="0.25">
      <c r="A1160" s="12" t="s">
        <v>4454</v>
      </c>
      <c r="B1160" s="12" t="s">
        <v>4455</v>
      </c>
      <c r="C1160" s="13" t="s">
        <v>7033</v>
      </c>
      <c r="D1160" s="12" t="s">
        <v>3651</v>
      </c>
      <c r="E1160" s="12"/>
      <c r="F1160" s="12"/>
      <c r="G1160" s="12"/>
      <c r="H1160" s="12" t="s">
        <v>4456</v>
      </c>
      <c r="I1160" s="12" t="s">
        <v>4457</v>
      </c>
      <c r="J1160" s="12" t="s">
        <v>4458</v>
      </c>
      <c r="K1160" s="12" t="s">
        <v>4459</v>
      </c>
      <c r="L1160" s="12" t="s">
        <v>222</v>
      </c>
      <c r="M1160" s="12" t="str">
        <f>HYPERLINK("https://ceds.ed.gov/cedselementdetails.aspx?termid=9188")</f>
        <v>https://ceds.ed.gov/cedselementdetails.aspx?termid=9188</v>
      </c>
      <c r="N1160" s="12" t="str">
        <f>HYPERLINK("https://ceds.ed.gov/elementComment.aspx?elementName=Migrant Education Program Staff Category &amp;elementID=9188", "Click here to submit comment")</f>
        <v>Click here to submit comment</v>
      </c>
    </row>
    <row r="1161" spans="1:14" ht="120" x14ac:dyDescent="0.25">
      <c r="A1161" s="12" t="s">
        <v>4460</v>
      </c>
      <c r="B1161" s="12" t="s">
        <v>4461</v>
      </c>
      <c r="C1161" s="12" t="s">
        <v>6364</v>
      </c>
      <c r="D1161" s="12" t="s">
        <v>1894</v>
      </c>
      <c r="E1161" s="12"/>
      <c r="F1161" s="12"/>
      <c r="G1161" s="12"/>
      <c r="H1161" s="12"/>
      <c r="I1161" s="12" t="s">
        <v>4462</v>
      </c>
      <c r="J1161" s="12"/>
      <c r="K1161" s="12" t="s">
        <v>4463</v>
      </c>
      <c r="L1161" s="12" t="s">
        <v>222</v>
      </c>
      <c r="M1161" s="12" t="str">
        <f>HYPERLINK("https://ceds.ed.gov/cedselementdetails.aspx?termid=9554")</f>
        <v>https://ceds.ed.gov/cedselementdetails.aspx?termid=9554</v>
      </c>
      <c r="N1161" s="12" t="str">
        <f>HYPERLINK("https://ceds.ed.gov/elementComment.aspx?elementName=Migrant Prioritized for Services &amp;elementID=9554", "Click here to submit comment")</f>
        <v>Click here to submit comment</v>
      </c>
    </row>
    <row r="1162" spans="1:14" ht="270" x14ac:dyDescent="0.25">
      <c r="A1162" s="12" t="s">
        <v>4464</v>
      </c>
      <c r="B1162" s="12" t="s">
        <v>4465</v>
      </c>
      <c r="C1162" s="12" t="s">
        <v>6364</v>
      </c>
      <c r="D1162" s="12" t="s">
        <v>6600</v>
      </c>
      <c r="E1162" s="12"/>
      <c r="F1162" s="12"/>
      <c r="G1162" s="12"/>
      <c r="H1162" s="12"/>
      <c r="I1162" s="12" t="s">
        <v>4466</v>
      </c>
      <c r="J1162" s="12"/>
      <c r="K1162" s="12" t="s">
        <v>4467</v>
      </c>
      <c r="L1162" s="12" t="s">
        <v>6438</v>
      </c>
      <c r="M1162" s="12" t="str">
        <f>HYPERLINK("https://ceds.ed.gov/cedselementdetails.aspx?termid=9189")</f>
        <v>https://ceds.ed.gov/cedselementdetails.aspx?termid=9189</v>
      </c>
      <c r="N1162" s="12" t="str">
        <f>HYPERLINK("https://ceds.ed.gov/elementComment.aspx?elementName=Migrant Status &amp;elementID=9189", "Click here to submit comment")</f>
        <v>Click here to submit comment</v>
      </c>
    </row>
    <row r="1163" spans="1:14" ht="195" x14ac:dyDescent="0.25">
      <c r="A1163" s="12" t="s">
        <v>4468</v>
      </c>
      <c r="B1163" s="12" t="s">
        <v>4469</v>
      </c>
      <c r="C1163" s="12" t="s">
        <v>12</v>
      </c>
      <c r="D1163" s="12" t="s">
        <v>1894</v>
      </c>
      <c r="E1163" s="12"/>
      <c r="F1163" s="12" t="s">
        <v>73</v>
      </c>
      <c r="G1163" s="12"/>
      <c r="H1163" s="12"/>
      <c r="I1163" s="12" t="s">
        <v>4470</v>
      </c>
      <c r="J1163" s="12"/>
      <c r="K1163" s="12" t="s">
        <v>4471</v>
      </c>
      <c r="L1163" s="12" t="s">
        <v>1578</v>
      </c>
      <c r="M1163" s="12" t="str">
        <f>HYPERLINK("https://ceds.ed.gov/cedselementdetails.aspx?termid=9422")</f>
        <v>https://ceds.ed.gov/cedselementdetails.aspx?termid=9422</v>
      </c>
      <c r="N1163" s="12" t="str">
        <f>HYPERLINK("https://ceds.ed.gov/elementComment.aspx?elementName=Migrant Student Qualifying Arrival Date &amp;elementID=9422", "Click here to submit comment")</f>
        <v>Click here to submit comment</v>
      </c>
    </row>
    <row r="1164" spans="1:14" ht="120" x14ac:dyDescent="0.25">
      <c r="A1164" s="12" t="s">
        <v>4472</v>
      </c>
      <c r="B1164" s="12" t="s">
        <v>4473</v>
      </c>
      <c r="C1164" s="13" t="s">
        <v>7034</v>
      </c>
      <c r="D1164" s="12" t="s">
        <v>6601</v>
      </c>
      <c r="E1164" s="12"/>
      <c r="F1164" s="12"/>
      <c r="G1164" s="12"/>
      <c r="H1164" s="12"/>
      <c r="I1164" s="12" t="s">
        <v>4474</v>
      </c>
      <c r="J1164" s="12"/>
      <c r="K1164" s="12" t="s">
        <v>4475</v>
      </c>
      <c r="L1164" s="12"/>
      <c r="M1164" s="12" t="str">
        <f>HYPERLINK("https://ceds.ed.gov/cedselementdetails.aspx?termid=10556")</f>
        <v>https://ceds.ed.gov/cedselementdetails.aspx?termid=10556</v>
      </c>
      <c r="N1164" s="12" t="str">
        <f>HYPERLINK("https://ceds.ed.gov/elementComment.aspx?elementName=Military Active Student Indicator &amp;elementID=10556", "Click here to submit comment")</f>
        <v>Click here to submit comment</v>
      </c>
    </row>
    <row r="1165" spans="1:14" ht="150" x14ac:dyDescent="0.25">
      <c r="A1165" s="12" t="s">
        <v>4476</v>
      </c>
      <c r="B1165" s="12" t="s">
        <v>4477</v>
      </c>
      <c r="C1165" s="13" t="s">
        <v>7035</v>
      </c>
      <c r="D1165" s="12" t="s">
        <v>6602</v>
      </c>
      <c r="E1165" s="12" t="s">
        <v>1498</v>
      </c>
      <c r="F1165" s="12"/>
      <c r="G1165" s="12"/>
      <c r="H1165" s="12"/>
      <c r="I1165" s="12" t="s">
        <v>4478</v>
      </c>
      <c r="J1165" s="12"/>
      <c r="K1165" s="12" t="s">
        <v>4479</v>
      </c>
      <c r="L1165" s="12"/>
      <c r="M1165" s="12" t="str">
        <f>HYPERLINK("https://ceds.ed.gov/cedselementdetails.aspx?termid=10621")</f>
        <v>https://ceds.ed.gov/cedselementdetails.aspx?termid=10621</v>
      </c>
      <c r="N1165" s="12" t="str">
        <f>HYPERLINK("https://ceds.ed.gov/elementComment.aspx?elementName=Military Branch &amp;elementID=10621", "Click here to submit comment")</f>
        <v>Click here to submit comment</v>
      </c>
    </row>
    <row r="1166" spans="1:14" ht="105" x14ac:dyDescent="0.25">
      <c r="A1166" s="12" t="s">
        <v>4480</v>
      </c>
      <c r="B1166" s="12" t="s">
        <v>4481</v>
      </c>
      <c r="C1166" s="13" t="s">
        <v>7036</v>
      </c>
      <c r="D1166" s="12" t="s">
        <v>1801</v>
      </c>
      <c r="E1166" s="12"/>
      <c r="F1166" s="12"/>
      <c r="G1166" s="12"/>
      <c r="H1166" s="12"/>
      <c r="I1166" s="12" t="s">
        <v>4482</v>
      </c>
      <c r="J1166" s="12"/>
      <c r="K1166" s="12" t="s">
        <v>4483</v>
      </c>
      <c r="L1166" s="12"/>
      <c r="M1166" s="12" t="str">
        <f>HYPERLINK("https://ceds.ed.gov/cedselementdetails.aspx?termid=10555")</f>
        <v>https://ceds.ed.gov/cedselementdetails.aspx?termid=10555</v>
      </c>
      <c r="N1166" s="12" t="str">
        <f>HYPERLINK("https://ceds.ed.gov/elementComment.aspx?elementName=Military Connected Student Indicator &amp;elementID=10555", "Click here to submit comment")</f>
        <v>Click here to submit comment</v>
      </c>
    </row>
    <row r="1167" spans="1:14" ht="210" x14ac:dyDescent="0.25">
      <c r="A1167" s="12" t="s">
        <v>4484</v>
      </c>
      <c r="B1167" s="12" t="s">
        <v>4485</v>
      </c>
      <c r="C1167" s="12" t="s">
        <v>6364</v>
      </c>
      <c r="D1167" s="12" t="s">
        <v>2682</v>
      </c>
      <c r="E1167" s="12"/>
      <c r="F1167" s="12"/>
      <c r="G1167" s="12"/>
      <c r="H1167" s="12" t="s">
        <v>4486</v>
      </c>
      <c r="I1167" s="12" t="s">
        <v>4487</v>
      </c>
      <c r="J1167" s="12"/>
      <c r="K1167" s="12" t="s">
        <v>4488</v>
      </c>
      <c r="L1167" s="12"/>
      <c r="M1167" s="12" t="str">
        <f>HYPERLINK("https://ceds.ed.gov/cedselementdetails.aspx?termid=10381")</f>
        <v>https://ceds.ed.gov/cedselementdetails.aspx?termid=10381</v>
      </c>
      <c r="N1167" s="12" t="str">
        <f>HYPERLINK("https://ceds.ed.gov/elementComment.aspx?elementName=Military Enlistment After Exit &amp;elementID=10381", "Click here to submit comment")</f>
        <v>Click here to submit comment</v>
      </c>
    </row>
    <row r="1168" spans="1:14" ht="120" x14ac:dyDescent="0.25">
      <c r="A1168" s="12" t="s">
        <v>4489</v>
      </c>
      <c r="B1168" s="12" t="s">
        <v>4490</v>
      </c>
      <c r="C1168" s="13" t="s">
        <v>7037</v>
      </c>
      <c r="D1168" s="12" t="s">
        <v>6601</v>
      </c>
      <c r="E1168" s="12"/>
      <c r="F1168" s="12"/>
      <c r="G1168" s="12"/>
      <c r="H1168" s="12"/>
      <c r="I1168" s="12" t="s">
        <v>4491</v>
      </c>
      <c r="J1168" s="12"/>
      <c r="K1168" s="12" t="s">
        <v>4492</v>
      </c>
      <c r="L1168" s="12"/>
      <c r="M1168" s="12" t="str">
        <f>HYPERLINK("https://ceds.ed.gov/cedselementdetails.aspx?termid=10557")</f>
        <v>https://ceds.ed.gov/cedselementdetails.aspx?termid=10557</v>
      </c>
      <c r="N1168" s="12" t="str">
        <f>HYPERLINK("https://ceds.ed.gov/elementComment.aspx?elementName=Military Veteran Student Indicator &amp;elementID=10557", "Click here to submit comment")</f>
        <v>Click here to submit comment</v>
      </c>
    </row>
    <row r="1169" spans="1:14" ht="45" x14ac:dyDescent="0.25">
      <c r="A1169" s="12" t="s">
        <v>4493</v>
      </c>
      <c r="B1169" s="12" t="s">
        <v>4494</v>
      </c>
      <c r="C1169" s="12" t="s">
        <v>12</v>
      </c>
      <c r="D1169" s="12" t="s">
        <v>2250</v>
      </c>
      <c r="E1169" s="12"/>
      <c r="F1169" s="12" t="s">
        <v>317</v>
      </c>
      <c r="G1169" s="12"/>
      <c r="H1169" s="12"/>
      <c r="I1169" s="12" t="s">
        <v>4495</v>
      </c>
      <c r="J1169" s="12"/>
      <c r="K1169" s="12" t="s">
        <v>4496</v>
      </c>
      <c r="L1169" s="12"/>
      <c r="M1169" s="12" t="str">
        <f>HYPERLINK("https://ceds.ed.gov/cedselementdetails.aspx?termid=9491")</f>
        <v>https://ceds.ed.gov/cedselementdetails.aspx?termid=9491</v>
      </c>
      <c r="N1169" s="12" t="str">
        <f>HYPERLINK("https://ceds.ed.gov/elementComment.aspx?elementName=Minutes Per Day &amp;elementID=9491", "Click here to submit comment")</f>
        <v>Click here to submit comment</v>
      </c>
    </row>
    <row r="1170" spans="1:14" ht="45" x14ac:dyDescent="0.25">
      <c r="A1170" s="12" t="s">
        <v>4497</v>
      </c>
      <c r="B1170" s="12" t="s">
        <v>4498</v>
      </c>
      <c r="C1170" s="12" t="s">
        <v>12</v>
      </c>
      <c r="D1170" s="12" t="s">
        <v>4499</v>
      </c>
      <c r="E1170" s="12"/>
      <c r="F1170" s="12" t="s">
        <v>73</v>
      </c>
      <c r="G1170" s="12"/>
      <c r="H1170" s="12"/>
      <c r="I1170" s="12" t="s">
        <v>4500</v>
      </c>
      <c r="J1170" s="12"/>
      <c r="K1170" s="12" t="s">
        <v>4501</v>
      </c>
      <c r="L1170" s="12"/>
      <c r="M1170" s="12" t="str">
        <f>HYPERLINK("https://ceds.ed.gov/cedselementdetails.aspx?termid=10298")</f>
        <v>https://ceds.ed.gov/cedselementdetails.aspx?termid=10298</v>
      </c>
      <c r="N1170" s="12" t="str">
        <f>HYPERLINK("https://ceds.ed.gov/elementComment.aspx?elementName=Monitoring Visit End Date &amp;elementID=10298", "Click here to submit comment")</f>
        <v>Click here to submit comment</v>
      </c>
    </row>
    <row r="1171" spans="1:14" ht="45" x14ac:dyDescent="0.25">
      <c r="A1171" s="12" t="s">
        <v>4502</v>
      </c>
      <c r="B1171" s="12" t="s">
        <v>4503</v>
      </c>
      <c r="C1171" s="12" t="s">
        <v>12</v>
      </c>
      <c r="D1171" s="12" t="s">
        <v>4499</v>
      </c>
      <c r="E1171" s="12"/>
      <c r="F1171" s="12" t="s">
        <v>73</v>
      </c>
      <c r="G1171" s="12"/>
      <c r="H1171" s="12"/>
      <c r="I1171" s="12" t="s">
        <v>4504</v>
      </c>
      <c r="J1171" s="12"/>
      <c r="K1171" s="12" t="s">
        <v>4505</v>
      </c>
      <c r="L1171" s="12"/>
      <c r="M1171" s="12" t="str">
        <f>HYPERLINK("https://ceds.ed.gov/cedselementdetails.aspx?termid=10297")</f>
        <v>https://ceds.ed.gov/cedselementdetails.aspx?termid=10297</v>
      </c>
      <c r="N1171" s="12" t="str">
        <f>HYPERLINK("https://ceds.ed.gov/elementComment.aspx?elementName=Monitoring Visit Start Date &amp;elementID=10297", "Click here to submit comment")</f>
        <v>Click here to submit comment</v>
      </c>
    </row>
    <row r="1172" spans="1:14" ht="45" x14ac:dyDescent="0.25">
      <c r="A1172" s="12" t="s">
        <v>4506</v>
      </c>
      <c r="B1172" s="12" t="s">
        <v>4507</v>
      </c>
      <c r="C1172" s="12" t="s">
        <v>6364</v>
      </c>
      <c r="D1172" s="12" t="s">
        <v>1894</v>
      </c>
      <c r="E1172" s="12"/>
      <c r="F1172" s="12"/>
      <c r="G1172" s="12"/>
      <c r="H1172" s="12"/>
      <c r="I1172" s="12" t="s">
        <v>4508</v>
      </c>
      <c r="J1172" s="12"/>
      <c r="K1172" s="12" t="s">
        <v>4509</v>
      </c>
      <c r="L1172" s="12" t="s">
        <v>1578</v>
      </c>
      <c r="M1172" s="12" t="str">
        <f>HYPERLINK("https://ceds.ed.gov/cedselementdetails.aspx?termid=9421")</f>
        <v>https://ceds.ed.gov/cedselementdetails.aspx?termid=9421</v>
      </c>
      <c r="N1172" s="12" t="str">
        <f>HYPERLINK("https://ceds.ed.gov/elementComment.aspx?elementName=Multiple Birth Indicator &amp;elementID=9421", "Click here to submit comment")</f>
        <v>Click here to submit comment</v>
      </c>
    </row>
    <row r="1173" spans="1:14" ht="105" x14ac:dyDescent="0.25">
      <c r="A1173" s="12" t="s">
        <v>4510</v>
      </c>
      <c r="B1173" s="12" t="s">
        <v>4511</v>
      </c>
      <c r="C1173" s="13" t="s">
        <v>7038</v>
      </c>
      <c r="D1173" s="12" t="s">
        <v>646</v>
      </c>
      <c r="E1173" s="12"/>
      <c r="F1173" s="12"/>
      <c r="G1173" s="12"/>
      <c r="H1173" s="12"/>
      <c r="I1173" s="12" t="s">
        <v>4512</v>
      </c>
      <c r="J1173" s="12"/>
      <c r="K1173" s="12" t="s">
        <v>4513</v>
      </c>
      <c r="L1173" s="12"/>
      <c r="M1173" s="12" t="str">
        <f>HYPERLINK("https://ceds.ed.gov/cedselementdetails.aspx?termid=10166")</f>
        <v>https://ceds.ed.gov/cedselementdetails.aspx?termid=10166</v>
      </c>
      <c r="N1173" s="12" t="str">
        <f>HYPERLINK("https://ceds.ed.gov/elementComment.aspx?elementName=NAEP Aspects of Reading &amp;elementID=10166", "Click here to submit comment")</f>
        <v>Click here to submit comment</v>
      </c>
    </row>
    <row r="1174" spans="1:14" ht="75" x14ac:dyDescent="0.25">
      <c r="A1174" s="12" t="s">
        <v>4514</v>
      </c>
      <c r="B1174" s="12" t="s">
        <v>4515</v>
      </c>
      <c r="C1174" s="13" t="s">
        <v>7039</v>
      </c>
      <c r="D1174" s="12" t="s">
        <v>646</v>
      </c>
      <c r="E1174" s="12"/>
      <c r="F1174" s="12"/>
      <c r="G1174" s="12"/>
      <c r="H1174" s="12"/>
      <c r="I1174" s="12" t="s">
        <v>4516</v>
      </c>
      <c r="J1174" s="12"/>
      <c r="K1174" s="12" t="s">
        <v>4517</v>
      </c>
      <c r="L1174" s="12"/>
      <c r="M1174" s="12" t="str">
        <f>HYPERLINK("https://ceds.ed.gov/cedselementdetails.aspx?termid=10072")</f>
        <v>https://ceds.ed.gov/cedselementdetails.aspx?termid=10072</v>
      </c>
      <c r="N1174" s="12" t="str">
        <f>HYPERLINK("https://ceds.ed.gov/elementComment.aspx?elementName=NAEP Mathematical Complexity Level &amp;elementID=10072", "Click here to submit comment")</f>
        <v>Click here to submit comment</v>
      </c>
    </row>
    <row r="1175" spans="1:14" ht="300" x14ac:dyDescent="0.25">
      <c r="A1175" s="12" t="s">
        <v>4518</v>
      </c>
      <c r="B1175" s="12" t="s">
        <v>4519</v>
      </c>
      <c r="C1175" s="12" t="s">
        <v>12</v>
      </c>
      <c r="D1175" s="12" t="s">
        <v>6603</v>
      </c>
      <c r="E1175" s="12"/>
      <c r="F1175" s="12" t="s">
        <v>99</v>
      </c>
      <c r="G1175" s="12"/>
      <c r="H1175" s="12"/>
      <c r="I1175" s="12" t="s">
        <v>4520</v>
      </c>
      <c r="J1175" s="12"/>
      <c r="K1175" s="12" t="s">
        <v>4521</v>
      </c>
      <c r="L1175" s="12" t="s">
        <v>6604</v>
      </c>
      <c r="M1175" s="12" t="str">
        <f>HYPERLINK("https://ceds.ed.gov/cedselementdetails.aspx?termid=9191")</f>
        <v>https://ceds.ed.gov/cedselementdetails.aspx?termid=9191</v>
      </c>
      <c r="N1175" s="12" t="str">
        <f>HYPERLINK("https://ceds.ed.gov/elementComment.aspx?elementName=Name of Institution &amp;elementID=9191", "Click here to submit comment")</f>
        <v>Click here to submit comment</v>
      </c>
    </row>
    <row r="1176" spans="1:14" ht="75" x14ac:dyDescent="0.25">
      <c r="A1176" s="12" t="s">
        <v>4522</v>
      </c>
      <c r="B1176" s="12" t="s">
        <v>4523</v>
      </c>
      <c r="C1176" s="12" t="s">
        <v>12</v>
      </c>
      <c r="D1176" s="12" t="s">
        <v>6487</v>
      </c>
      <c r="E1176" s="12"/>
      <c r="F1176" s="12" t="s">
        <v>99</v>
      </c>
      <c r="G1176" s="12"/>
      <c r="H1176" s="12"/>
      <c r="I1176" s="12" t="s">
        <v>4524</v>
      </c>
      <c r="J1176" s="12"/>
      <c r="K1176" s="12" t="s">
        <v>4525</v>
      </c>
      <c r="L1176" s="12" t="s">
        <v>205</v>
      </c>
      <c r="M1176" s="12" t="str">
        <f>HYPERLINK("https://ceds.ed.gov/cedselementdetails.aspx?termid=10064")</f>
        <v>https://ceds.ed.gov/cedselementdetails.aspx?termid=10064</v>
      </c>
      <c r="N1176" s="12" t="str">
        <f>HYPERLINK("https://ceds.ed.gov/elementComment.aspx?elementName=Name of Professional Credential or License &amp;elementID=10064", "Click here to submit comment")</f>
        <v>Click here to submit comment</v>
      </c>
    </row>
    <row r="1177" spans="1:14" ht="135" x14ac:dyDescent="0.25">
      <c r="A1177" s="12" t="s">
        <v>4526</v>
      </c>
      <c r="B1177" s="12" t="s">
        <v>4527</v>
      </c>
      <c r="C1177" s="12" t="s">
        <v>6364</v>
      </c>
      <c r="D1177" s="12" t="s">
        <v>6434</v>
      </c>
      <c r="E1177" s="12"/>
      <c r="F1177" s="12"/>
      <c r="G1177" s="12"/>
      <c r="H1177" s="12"/>
      <c r="I1177" s="12" t="s">
        <v>4528</v>
      </c>
      <c r="J1177" s="12" t="s">
        <v>4529</v>
      </c>
      <c r="K1177" s="12" t="s">
        <v>4530</v>
      </c>
      <c r="L1177" s="12"/>
      <c r="M1177" s="12" t="str">
        <f>HYPERLINK("https://ceds.ed.gov/cedselementdetails.aspx?termid=10382")</f>
        <v>https://ceds.ed.gov/cedselementdetails.aspx?termid=10382</v>
      </c>
      <c r="N1177" s="12" t="str">
        <f>HYPERLINK("https://ceds.ed.gov/elementComment.aspx?elementName=National Collegiate Athletic Association Eligibility &amp;elementID=10382", "Click here to submit comment")</f>
        <v>Click here to submit comment</v>
      </c>
    </row>
    <row r="1178" spans="1:14" ht="75" x14ac:dyDescent="0.25">
      <c r="A1178" s="12" t="s">
        <v>4531</v>
      </c>
      <c r="B1178" s="12" t="s">
        <v>4532</v>
      </c>
      <c r="C1178" s="12" t="s">
        <v>6364</v>
      </c>
      <c r="D1178" s="12" t="s">
        <v>2630</v>
      </c>
      <c r="E1178" s="12" t="s">
        <v>1498</v>
      </c>
      <c r="F1178" s="12"/>
      <c r="G1178" s="12"/>
      <c r="H1178" s="12" t="s">
        <v>4533</v>
      </c>
      <c r="I1178" s="12" t="s">
        <v>4534</v>
      </c>
      <c r="J1178" s="12"/>
      <c r="K1178" s="12" t="s">
        <v>4535</v>
      </c>
      <c r="L1178" s="12" t="s">
        <v>222</v>
      </c>
      <c r="M1178" s="12" t="str">
        <f>HYPERLINK("https://ceds.ed.gov/cedselementdetails.aspx?termid=10635")</f>
        <v>https://ceds.ed.gov/cedselementdetails.aspx?termid=10635</v>
      </c>
      <c r="N1178" s="12" t="str">
        <f>HYPERLINK("https://ceds.ed.gov/elementComment.aspx?elementName=National School Lunch Program Direct Certification Indicator &amp;elementID=10635", "Click here to submit comment")</f>
        <v>Click here to submit comment</v>
      </c>
    </row>
    <row r="1179" spans="1:14" ht="145.5" customHeight="1" x14ac:dyDescent="0.25">
      <c r="A1179" s="18" t="s">
        <v>4536</v>
      </c>
      <c r="B1179" s="18" t="s">
        <v>4537</v>
      </c>
      <c r="C1179" s="20" t="s">
        <v>6749</v>
      </c>
      <c r="D1179" s="18" t="s">
        <v>6389</v>
      </c>
      <c r="E1179" s="18"/>
      <c r="F1179" s="18"/>
      <c r="G1179" s="18"/>
      <c r="H1179" s="12" t="s">
        <v>361</v>
      </c>
      <c r="I1179" s="18" t="s">
        <v>4538</v>
      </c>
      <c r="J1179" s="18"/>
      <c r="K1179" s="18" t="s">
        <v>4539</v>
      </c>
      <c r="L1179" s="18" t="s">
        <v>6390</v>
      </c>
      <c r="M1179" s="18" t="str">
        <f>HYPERLINK("https://ceds.ed.gov/cedselementdetails.aspx?termid=9658")</f>
        <v>https://ceds.ed.gov/cedselementdetails.aspx?termid=9658</v>
      </c>
      <c r="N1179" s="18" t="str">
        <f>HYPERLINK("https://ceds.ed.gov/elementComment.aspx?elementName=Native Hawaiian or Other Pacific Islander &amp;elementID=9658", "Click here to submit comment")</f>
        <v>Click here to submit comment</v>
      </c>
    </row>
    <row r="1180" spans="1:14" x14ac:dyDescent="0.25">
      <c r="A1180" s="18"/>
      <c r="B1180" s="18"/>
      <c r="C1180" s="18"/>
      <c r="D1180" s="18"/>
      <c r="E1180" s="18"/>
      <c r="F1180" s="18"/>
      <c r="G1180" s="18"/>
      <c r="H1180" s="12"/>
      <c r="I1180" s="18"/>
      <c r="J1180" s="18"/>
      <c r="K1180" s="18"/>
      <c r="L1180" s="18"/>
      <c r="M1180" s="18"/>
      <c r="N1180" s="18"/>
    </row>
    <row r="1181" spans="1:14" x14ac:dyDescent="0.25">
      <c r="A1181" s="18"/>
      <c r="B1181" s="18"/>
      <c r="C1181" s="18"/>
      <c r="D1181" s="18"/>
      <c r="E1181" s="18"/>
      <c r="F1181" s="18"/>
      <c r="G1181" s="18"/>
      <c r="H1181" s="12" t="s">
        <v>362</v>
      </c>
      <c r="I1181" s="18"/>
      <c r="J1181" s="18"/>
      <c r="K1181" s="18"/>
      <c r="L1181" s="18"/>
      <c r="M1181" s="18"/>
      <c r="N1181" s="18"/>
    </row>
    <row r="1182" spans="1:14" ht="30" x14ac:dyDescent="0.25">
      <c r="A1182" s="18"/>
      <c r="B1182" s="18"/>
      <c r="C1182" s="18"/>
      <c r="D1182" s="18"/>
      <c r="E1182" s="18"/>
      <c r="F1182" s="18"/>
      <c r="G1182" s="18"/>
      <c r="H1182" s="12" t="s">
        <v>363</v>
      </c>
      <c r="I1182" s="18"/>
      <c r="J1182" s="18"/>
      <c r="K1182" s="18"/>
      <c r="L1182" s="18"/>
      <c r="M1182" s="18"/>
      <c r="N1182" s="18"/>
    </row>
    <row r="1183" spans="1:14" x14ac:dyDescent="0.25">
      <c r="A1183" s="18"/>
      <c r="B1183" s="18"/>
      <c r="C1183" s="18"/>
      <c r="D1183" s="18"/>
      <c r="E1183" s="18"/>
      <c r="F1183" s="18"/>
      <c r="G1183" s="18"/>
      <c r="H1183" s="12" t="s">
        <v>364</v>
      </c>
      <c r="I1183" s="18"/>
      <c r="J1183" s="18"/>
      <c r="K1183" s="18"/>
      <c r="L1183" s="18"/>
      <c r="M1183" s="18"/>
      <c r="N1183" s="18"/>
    </row>
    <row r="1184" spans="1:14" ht="120" x14ac:dyDescent="0.25">
      <c r="A1184" s="12" t="s">
        <v>4540</v>
      </c>
      <c r="B1184" s="12" t="s">
        <v>4541</v>
      </c>
      <c r="C1184" s="12" t="s">
        <v>4542</v>
      </c>
      <c r="D1184" s="12" t="s">
        <v>6387</v>
      </c>
      <c r="E1184" s="12"/>
      <c r="F1184" s="12"/>
      <c r="G1184" s="12"/>
      <c r="H1184" s="12"/>
      <c r="I1184" s="12" t="s">
        <v>4543</v>
      </c>
      <c r="J1184" s="12"/>
      <c r="K1184" s="12" t="s">
        <v>4544</v>
      </c>
      <c r="L1184" s="12"/>
      <c r="M1184" s="12" t="str">
        <f>HYPERLINK("https://ceds.ed.gov/cedselementdetails.aspx?termid=10383")</f>
        <v>https://ceds.ed.gov/cedselementdetails.aspx?termid=10383</v>
      </c>
      <c r="N1184" s="12" t="str">
        <f>HYPERLINK("https://ceds.ed.gov/elementComment.aspx?elementName=NCES College Course Map Code &amp;elementID=10383", "Click here to submit comment")</f>
        <v>Click here to submit comment</v>
      </c>
    </row>
    <row r="1185" spans="1:14" ht="90" x14ac:dyDescent="0.25">
      <c r="A1185" s="18" t="s">
        <v>4545</v>
      </c>
      <c r="B1185" s="18" t="s">
        <v>4546</v>
      </c>
      <c r="C1185" s="18" t="s">
        <v>6364</v>
      </c>
      <c r="D1185" s="18" t="s">
        <v>4547</v>
      </c>
      <c r="E1185" s="18"/>
      <c r="F1185" s="18"/>
      <c r="G1185" s="18"/>
      <c r="H1185" s="12" t="s">
        <v>4548</v>
      </c>
      <c r="I1185" s="18" t="s">
        <v>4550</v>
      </c>
      <c r="J1185" s="18"/>
      <c r="K1185" s="18" t="s">
        <v>4551</v>
      </c>
      <c r="L1185" s="18" t="s">
        <v>222</v>
      </c>
      <c r="M1185" s="18" t="str">
        <f>HYPERLINK("https://ceds.ed.gov/cedselementdetails.aspx?termid=9636")</f>
        <v>https://ceds.ed.gov/cedselementdetails.aspx?termid=9636</v>
      </c>
      <c r="N1185" s="18" t="str">
        <f>HYPERLINK("https://ceds.ed.gov/elementComment.aspx?elementName=Neglected or Delinquent Academic Achievement Indicator &amp;elementID=9636", "Click here to submit comment")</f>
        <v>Click here to submit comment</v>
      </c>
    </row>
    <row r="1186" spans="1:14" ht="105" x14ac:dyDescent="0.25">
      <c r="A1186" s="18"/>
      <c r="B1186" s="18"/>
      <c r="C1186" s="18"/>
      <c r="D1186" s="18"/>
      <c r="E1186" s="18"/>
      <c r="F1186" s="18"/>
      <c r="G1186" s="18"/>
      <c r="H1186" s="12" t="s">
        <v>4549</v>
      </c>
      <c r="I1186" s="18"/>
      <c r="J1186" s="18"/>
      <c r="K1186" s="18"/>
      <c r="L1186" s="18"/>
      <c r="M1186" s="18"/>
      <c r="N1186" s="18"/>
    </row>
    <row r="1187" spans="1:14" ht="90" x14ac:dyDescent="0.25">
      <c r="A1187" s="18" t="s">
        <v>4552</v>
      </c>
      <c r="B1187" s="18" t="s">
        <v>4553</v>
      </c>
      <c r="C1187" s="18" t="s">
        <v>6364</v>
      </c>
      <c r="D1187" s="18" t="s">
        <v>4547</v>
      </c>
      <c r="E1187" s="18"/>
      <c r="F1187" s="18"/>
      <c r="G1187" s="18"/>
      <c r="H1187" s="12" t="s">
        <v>4548</v>
      </c>
      <c r="I1187" s="18" t="s">
        <v>4554</v>
      </c>
      <c r="J1187" s="18"/>
      <c r="K1187" s="18" t="s">
        <v>4555</v>
      </c>
      <c r="L1187" s="18" t="s">
        <v>222</v>
      </c>
      <c r="M1187" s="18" t="str">
        <f>HYPERLINK("https://ceds.ed.gov/cedselementdetails.aspx?termid=9638")</f>
        <v>https://ceds.ed.gov/cedselementdetails.aspx?termid=9638</v>
      </c>
      <c r="N1187" s="18" t="str">
        <f>HYPERLINK("https://ceds.ed.gov/elementComment.aspx?elementName=Neglected or Delinquent Academic Outcome Indicator &amp;elementID=9638", "Click here to submit comment")</f>
        <v>Click here to submit comment</v>
      </c>
    </row>
    <row r="1188" spans="1:14" ht="105" x14ac:dyDescent="0.25">
      <c r="A1188" s="18"/>
      <c r="B1188" s="18"/>
      <c r="C1188" s="18"/>
      <c r="D1188" s="18"/>
      <c r="E1188" s="18"/>
      <c r="F1188" s="18"/>
      <c r="G1188" s="18"/>
      <c r="H1188" s="12" t="s">
        <v>4549</v>
      </c>
      <c r="I1188" s="18"/>
      <c r="J1188" s="18"/>
      <c r="K1188" s="18"/>
      <c r="L1188" s="18"/>
      <c r="M1188" s="18"/>
      <c r="N1188" s="18"/>
    </row>
    <row r="1189" spans="1:14" ht="45" x14ac:dyDescent="0.25">
      <c r="A1189" s="12" t="s">
        <v>4556</v>
      </c>
      <c r="B1189" s="12" t="s">
        <v>4557</v>
      </c>
      <c r="C1189" s="12" t="s">
        <v>6364</v>
      </c>
      <c r="D1189" s="12" t="s">
        <v>4547</v>
      </c>
      <c r="E1189" s="12"/>
      <c r="F1189" s="12"/>
      <c r="G1189" s="12"/>
      <c r="H1189" s="12"/>
      <c r="I1189" s="12" t="s">
        <v>4558</v>
      </c>
      <c r="J1189" s="12"/>
      <c r="K1189" s="12" t="s">
        <v>4559</v>
      </c>
      <c r="L1189" s="12" t="s">
        <v>211</v>
      </c>
      <c r="M1189" s="12" t="str">
        <f>HYPERLINK("https://ceds.ed.gov/cedselementdetails.aspx?termid=9475")</f>
        <v>https://ceds.ed.gov/cedselementdetails.aspx?termid=9475</v>
      </c>
      <c r="N1189" s="12" t="str">
        <f>HYPERLINK("https://ceds.ed.gov/elementComment.aspx?elementName=Neglected or Delinquent Obtained Employment &amp;elementID=9475", "Click here to submit comment")</f>
        <v>Click here to submit comment</v>
      </c>
    </row>
    <row r="1190" spans="1:14" ht="150" x14ac:dyDescent="0.25">
      <c r="A1190" s="12" t="s">
        <v>4560</v>
      </c>
      <c r="B1190" s="12" t="s">
        <v>4561</v>
      </c>
      <c r="C1190" s="13" t="s">
        <v>7040</v>
      </c>
      <c r="D1190" s="12" t="s">
        <v>4547</v>
      </c>
      <c r="E1190" s="12"/>
      <c r="F1190" s="12"/>
      <c r="G1190" s="12"/>
      <c r="H1190" s="12"/>
      <c r="I1190" s="12" t="s">
        <v>4562</v>
      </c>
      <c r="J1190" s="12"/>
      <c r="K1190" s="12" t="s">
        <v>4563</v>
      </c>
      <c r="L1190" s="12" t="s">
        <v>222</v>
      </c>
      <c r="M1190" s="12" t="str">
        <f>HYPERLINK("https://ceds.ed.gov/cedselementdetails.aspx?termid=9194")</f>
        <v>https://ceds.ed.gov/cedselementdetails.aspx?termid=9194</v>
      </c>
      <c r="N1190" s="12" t="str">
        <f>HYPERLINK("https://ceds.ed.gov/elementComment.aspx?elementName=Neglected or Delinquent Program Type &amp;elementID=9194", "Click here to submit comment")</f>
        <v>Click here to submit comment</v>
      </c>
    </row>
    <row r="1191" spans="1:14" ht="75" x14ac:dyDescent="0.25">
      <c r="A1191" s="12" t="s">
        <v>4564</v>
      </c>
      <c r="B1191" s="12" t="s">
        <v>4565</v>
      </c>
      <c r="C1191" s="12" t="s">
        <v>6544</v>
      </c>
      <c r="D1191" s="12" t="s">
        <v>4547</v>
      </c>
      <c r="E1191" s="12"/>
      <c r="F1191" s="12"/>
      <c r="G1191" s="12"/>
      <c r="H1191" s="12"/>
      <c r="I1191" s="12" t="s">
        <v>4566</v>
      </c>
      <c r="J1191" s="12"/>
      <c r="K1191" s="12" t="s">
        <v>4567</v>
      </c>
      <c r="L1191" s="12" t="s">
        <v>6438</v>
      </c>
      <c r="M1191" s="12" t="str">
        <f>HYPERLINK("https://ceds.ed.gov/cedselementdetails.aspx?termid=9193")</f>
        <v>https://ceds.ed.gov/cedselementdetails.aspx?termid=9193</v>
      </c>
      <c r="N1191" s="12" t="str">
        <f>HYPERLINK("https://ceds.ed.gov/elementComment.aspx?elementName=Neglected or Delinquent Status &amp;elementID=9193", "Click here to submit comment")</f>
        <v>Click here to submit comment</v>
      </c>
    </row>
    <row r="1192" spans="1:14" ht="165" x14ac:dyDescent="0.25">
      <c r="A1192" s="12" t="s">
        <v>4568</v>
      </c>
      <c r="B1192" s="12" t="s">
        <v>4569</v>
      </c>
      <c r="C1192" s="13" t="s">
        <v>7041</v>
      </c>
      <c r="D1192" s="12" t="s">
        <v>28</v>
      </c>
      <c r="E1192" s="12"/>
      <c r="F1192" s="12"/>
      <c r="G1192" s="12"/>
      <c r="H1192" s="12"/>
      <c r="I1192" s="12" t="s">
        <v>4570</v>
      </c>
      <c r="J1192" s="12"/>
      <c r="K1192" s="12" t="s">
        <v>4571</v>
      </c>
      <c r="L1192" s="12"/>
      <c r="M1192" s="12" t="str">
        <f>HYPERLINK("https://ceds.ed.gov/cedselementdetails.aspx?termid=9522")</f>
        <v>https://ceds.ed.gov/cedselementdetails.aspx?termid=9522</v>
      </c>
      <c r="N1192" s="12" t="str">
        <f>HYPERLINK("https://ceds.ed.gov/elementComment.aspx?elementName=Nonpromotion Reason &amp;elementID=9522", "Click here to submit comment")</f>
        <v>Click here to submit comment</v>
      </c>
    </row>
    <row r="1193" spans="1:14" ht="210" x14ac:dyDescent="0.25">
      <c r="A1193" s="12" t="s">
        <v>4572</v>
      </c>
      <c r="B1193" s="12" t="s">
        <v>4573</v>
      </c>
      <c r="C1193" s="12" t="s">
        <v>12</v>
      </c>
      <c r="D1193" s="12" t="s">
        <v>6509</v>
      </c>
      <c r="E1193" s="12"/>
      <c r="F1193" s="12" t="s">
        <v>99</v>
      </c>
      <c r="G1193" s="12"/>
      <c r="H1193" s="12"/>
      <c r="I1193" s="12" t="s">
        <v>4574</v>
      </c>
      <c r="J1193" s="12"/>
      <c r="K1193" s="12" t="s">
        <v>4575</v>
      </c>
      <c r="L1193" s="12" t="s">
        <v>6380</v>
      </c>
      <c r="M1193" s="12" t="str">
        <f>HYPERLINK("https://ceds.ed.gov/cedselementdetails.aspx?termid=9197")</f>
        <v>https://ceds.ed.gov/cedselementdetails.aspx?termid=9197</v>
      </c>
      <c r="N1193" s="12" t="str">
        <f>HYPERLINK("https://ceds.ed.gov/elementComment.aspx?elementName=Normal Length of Time for Completion &amp;elementID=9197", "Click here to submit comment")</f>
        <v>Click here to submit comment</v>
      </c>
    </row>
    <row r="1194" spans="1:14" ht="90" x14ac:dyDescent="0.25">
      <c r="A1194" s="12" t="s">
        <v>4576</v>
      </c>
      <c r="B1194" s="12" t="s">
        <v>4577</v>
      </c>
      <c r="C1194" s="13" t="s">
        <v>7042</v>
      </c>
      <c r="D1194" s="12" t="s">
        <v>6509</v>
      </c>
      <c r="E1194" s="12"/>
      <c r="F1194" s="12"/>
      <c r="G1194" s="12"/>
      <c r="H1194" s="12"/>
      <c r="I1194" s="12" t="s">
        <v>4578</v>
      </c>
      <c r="J1194" s="12"/>
      <c r="K1194" s="12" t="s">
        <v>4579</v>
      </c>
      <c r="L1194" s="12" t="s">
        <v>6380</v>
      </c>
      <c r="M1194" s="12" t="str">
        <f>HYPERLINK("https://ceds.ed.gov/cedselementdetails.aspx?termid=9198")</f>
        <v>https://ceds.ed.gov/cedselementdetails.aspx?termid=9198</v>
      </c>
      <c r="N1194" s="12" t="str">
        <f>HYPERLINK("https://ceds.ed.gov/elementComment.aspx?elementName=Normal Length of Time for Completion Units &amp;elementID=9198", "Click here to submit comment")</f>
        <v>Click here to submit comment</v>
      </c>
    </row>
    <row r="1195" spans="1:14" ht="45" x14ac:dyDescent="0.25">
      <c r="A1195" s="12" t="s">
        <v>4580</v>
      </c>
      <c r="B1195" s="12" t="s">
        <v>4581</v>
      </c>
      <c r="C1195" s="12" t="s">
        <v>12</v>
      </c>
      <c r="D1195" s="12" t="s">
        <v>2635</v>
      </c>
      <c r="E1195" s="12"/>
      <c r="F1195" s="12" t="s">
        <v>317</v>
      </c>
      <c r="G1195" s="12"/>
      <c r="H1195" s="12"/>
      <c r="I1195" s="12" t="s">
        <v>4582</v>
      </c>
      <c r="J1195" s="12"/>
      <c r="K1195" s="12" t="s">
        <v>4583</v>
      </c>
      <c r="L1195" s="12" t="s">
        <v>64</v>
      </c>
      <c r="M1195" s="12" t="str">
        <f>HYPERLINK("https://ceds.ed.gov/cedselementdetails.aspx?termid=9844")</f>
        <v>https://ceds.ed.gov/cedselementdetails.aspx?termid=9844</v>
      </c>
      <c r="N1195" s="12" t="str">
        <f>HYPERLINK("https://ceds.ed.gov/elementComment.aspx?elementName=Number of Classrooms &amp;elementID=9844", "Click here to submit comment")</f>
        <v>Click here to submit comment</v>
      </c>
    </row>
    <row r="1196" spans="1:14" ht="45" x14ac:dyDescent="0.25">
      <c r="A1196" s="12" t="s">
        <v>4584</v>
      </c>
      <c r="B1196" s="12" t="s">
        <v>4585</v>
      </c>
      <c r="C1196" s="12" t="s">
        <v>12</v>
      </c>
      <c r="D1196" s="12" t="s">
        <v>6605</v>
      </c>
      <c r="E1196" s="12"/>
      <c r="F1196" s="12" t="s">
        <v>1554</v>
      </c>
      <c r="G1196" s="12"/>
      <c r="H1196" s="12"/>
      <c r="I1196" s="12" t="s">
        <v>4586</v>
      </c>
      <c r="J1196" s="12"/>
      <c r="K1196" s="12" t="s">
        <v>4587</v>
      </c>
      <c r="L1196" s="12" t="s">
        <v>6369</v>
      </c>
      <c r="M1196" s="12" t="str">
        <f>HYPERLINK("https://ceds.ed.gov/cedselementdetails.aspx?termid=9199")</f>
        <v>https://ceds.ed.gov/cedselementdetails.aspx?termid=9199</v>
      </c>
      <c r="N1196" s="12" t="str">
        <f>HYPERLINK("https://ceds.ed.gov/elementComment.aspx?elementName=Number of Credits Attempted &amp;elementID=9199", "Click here to submit comment")</f>
        <v>Click here to submit comment</v>
      </c>
    </row>
    <row r="1197" spans="1:14" ht="360" x14ac:dyDescent="0.25">
      <c r="A1197" s="12" t="s">
        <v>4588</v>
      </c>
      <c r="B1197" s="12" t="s">
        <v>4589</v>
      </c>
      <c r="C1197" s="12" t="s">
        <v>12</v>
      </c>
      <c r="D1197" s="12" t="s">
        <v>6606</v>
      </c>
      <c r="E1197" s="12"/>
      <c r="F1197" s="12" t="s">
        <v>1554</v>
      </c>
      <c r="G1197" s="12"/>
      <c r="H1197" s="12"/>
      <c r="I1197" s="12" t="s">
        <v>4590</v>
      </c>
      <c r="J1197" s="12"/>
      <c r="K1197" s="12" t="s">
        <v>4591</v>
      </c>
      <c r="L1197" s="12" t="s">
        <v>6596</v>
      </c>
      <c r="M1197" s="12" t="str">
        <f>HYPERLINK("https://ceds.ed.gov/cedselementdetails.aspx?termid=9200")</f>
        <v>https://ceds.ed.gov/cedselementdetails.aspx?termid=9200</v>
      </c>
      <c r="N1197" s="12" t="str">
        <f>HYPERLINK("https://ceds.ed.gov/elementComment.aspx?elementName=Number of Credits Earned &amp;elementID=9200", "Click here to submit comment")</f>
        <v>Click here to submit comment</v>
      </c>
    </row>
    <row r="1198" spans="1:14" ht="60" x14ac:dyDescent="0.25">
      <c r="A1198" s="12" t="s">
        <v>4592</v>
      </c>
      <c r="B1198" s="12" t="s">
        <v>4593</v>
      </c>
      <c r="C1198" s="12" t="s">
        <v>12</v>
      </c>
      <c r="D1198" s="12" t="s">
        <v>6607</v>
      </c>
      <c r="E1198" s="12"/>
      <c r="F1198" s="12" t="s">
        <v>1554</v>
      </c>
      <c r="G1198" s="12"/>
      <c r="H1198" s="12"/>
      <c r="I1198" s="12" t="s">
        <v>4594</v>
      </c>
      <c r="J1198" s="12"/>
      <c r="K1198" s="12" t="s">
        <v>4595</v>
      </c>
      <c r="L1198" s="12" t="s">
        <v>6608</v>
      </c>
      <c r="M1198" s="12" t="str">
        <f>HYPERLINK("https://ceds.ed.gov/cedselementdetails.aspx?termid=9201")</f>
        <v>https://ceds.ed.gov/cedselementdetails.aspx?termid=9201</v>
      </c>
      <c r="N1198" s="12" t="str">
        <f>HYPERLINK("https://ceds.ed.gov/elementComment.aspx?elementName=Number of Days Absent &amp;elementID=9201", "Click here to submit comment")</f>
        <v>Click here to submit comment</v>
      </c>
    </row>
    <row r="1199" spans="1:14" ht="90" x14ac:dyDescent="0.25">
      <c r="A1199" s="12" t="s">
        <v>4596</v>
      </c>
      <c r="B1199" s="12" t="s">
        <v>4597</v>
      </c>
      <c r="C1199" s="12" t="s">
        <v>12</v>
      </c>
      <c r="D1199" s="12" t="s">
        <v>2237</v>
      </c>
      <c r="E1199" s="12"/>
      <c r="F1199" s="12" t="s">
        <v>1554</v>
      </c>
      <c r="G1199" s="12"/>
      <c r="H1199" s="12"/>
      <c r="I1199" s="12" t="s">
        <v>4598</v>
      </c>
      <c r="J1199" s="12"/>
      <c r="K1199" s="12" t="s">
        <v>4599</v>
      </c>
      <c r="L1199" s="12" t="s">
        <v>211</v>
      </c>
      <c r="M1199" s="12" t="str">
        <f>HYPERLINK("https://ceds.ed.gov/cedselementdetails.aspx?termid=9447")</f>
        <v>https://ceds.ed.gov/cedselementdetails.aspx?termid=9447</v>
      </c>
      <c r="N1199" s="12" t="str">
        <f>HYPERLINK("https://ceds.ed.gov/elementComment.aspx?elementName=Number of Days for Title III Subgrants &amp;elementID=9447", "Click here to submit comment")</f>
        <v>Click here to submit comment</v>
      </c>
    </row>
    <row r="1200" spans="1:14" ht="255" x14ac:dyDescent="0.25">
      <c r="A1200" s="12" t="s">
        <v>4600</v>
      </c>
      <c r="B1200" s="12" t="s">
        <v>4601</v>
      </c>
      <c r="C1200" s="12" t="s">
        <v>12</v>
      </c>
      <c r="D1200" s="12" t="s">
        <v>6609</v>
      </c>
      <c r="E1200" s="12"/>
      <c r="F1200" s="12" t="s">
        <v>1554</v>
      </c>
      <c r="G1200" s="12"/>
      <c r="H1200" s="12" t="s">
        <v>4602</v>
      </c>
      <c r="I1200" s="12" t="s">
        <v>4603</v>
      </c>
      <c r="J1200" s="12"/>
      <c r="K1200" s="12" t="s">
        <v>4604</v>
      </c>
      <c r="L1200" s="12" t="s">
        <v>6610</v>
      </c>
      <c r="M1200" s="12" t="str">
        <f>HYPERLINK("https://ceds.ed.gov/cedselementdetails.aspx?termid=9202")</f>
        <v>https://ceds.ed.gov/cedselementdetails.aspx?termid=9202</v>
      </c>
      <c r="N1200" s="12" t="str">
        <f>HYPERLINK("https://ceds.ed.gov/elementComment.aspx?elementName=Number of Days in Attendance &amp;elementID=9202", "Click here to submit comment")</f>
        <v>Click here to submit comment</v>
      </c>
    </row>
    <row r="1201" spans="1:14" ht="60" x14ac:dyDescent="0.25">
      <c r="A1201" s="12" t="s">
        <v>4605</v>
      </c>
      <c r="B1201" s="12" t="s">
        <v>4606</v>
      </c>
      <c r="C1201" s="12" t="s">
        <v>12</v>
      </c>
      <c r="D1201" s="12" t="s">
        <v>1630</v>
      </c>
      <c r="E1201" s="12"/>
      <c r="F1201" s="12" t="s">
        <v>620</v>
      </c>
      <c r="G1201" s="12"/>
      <c r="H1201" s="12"/>
      <c r="I1201" s="12" t="s">
        <v>4607</v>
      </c>
      <c r="J1201" s="12"/>
      <c r="K1201" s="12" t="s">
        <v>4608</v>
      </c>
      <c r="L1201" s="12"/>
      <c r="M1201" s="12" t="str">
        <f>HYPERLINK("https://ceds.ed.gov/cedselementdetails.aspx?termid=10384")</f>
        <v>https://ceds.ed.gov/cedselementdetails.aspx?termid=10384</v>
      </c>
      <c r="N1201" s="12" t="str">
        <f>HYPERLINK("https://ceds.ed.gov/elementComment.aspx?elementName=Number of Dependents &amp;elementID=10384", "Click here to submit comment")</f>
        <v>Click here to submit comment</v>
      </c>
    </row>
    <row r="1202" spans="1:14" ht="45" x14ac:dyDescent="0.25">
      <c r="A1202" s="12" t="s">
        <v>4609</v>
      </c>
      <c r="B1202" s="12" t="s">
        <v>4610</v>
      </c>
      <c r="C1202" s="12" t="s">
        <v>12</v>
      </c>
      <c r="D1202" s="12" t="s">
        <v>1899</v>
      </c>
      <c r="E1202" s="12"/>
      <c r="F1202" s="12" t="s">
        <v>317</v>
      </c>
      <c r="G1202" s="12"/>
      <c r="H1202" s="12"/>
      <c r="I1202" s="12" t="s">
        <v>4611</v>
      </c>
      <c r="J1202" s="12"/>
      <c r="K1202" s="12" t="s">
        <v>4612</v>
      </c>
      <c r="L1202" s="12" t="s">
        <v>64</v>
      </c>
      <c r="M1202" s="12" t="str">
        <f>HYPERLINK("https://ceds.ed.gov/cedselementdetails.aspx?termid=9835")</f>
        <v>https://ceds.ed.gov/cedselementdetails.aspx?termid=9835</v>
      </c>
      <c r="N1202" s="12" t="str">
        <f>HYPERLINK("https://ceds.ed.gov/elementComment.aspx?elementName=Number of Early Learning Fatalities &amp;elementID=9835", "Click here to submit comment")</f>
        <v>Click here to submit comment</v>
      </c>
    </row>
    <row r="1203" spans="1:14" ht="45" x14ac:dyDescent="0.25">
      <c r="A1203" s="12" t="s">
        <v>4613</v>
      </c>
      <c r="B1203" s="12" t="s">
        <v>4614</v>
      </c>
      <c r="C1203" s="12" t="s">
        <v>12</v>
      </c>
      <c r="D1203" s="12" t="s">
        <v>1899</v>
      </c>
      <c r="E1203" s="12"/>
      <c r="F1203" s="12" t="s">
        <v>317</v>
      </c>
      <c r="G1203" s="12"/>
      <c r="H1203" s="12"/>
      <c r="I1203" s="12" t="s">
        <v>4615</v>
      </c>
      <c r="J1203" s="12"/>
      <c r="K1203" s="12" t="s">
        <v>4616</v>
      </c>
      <c r="L1203" s="12" t="s">
        <v>64</v>
      </c>
      <c r="M1203" s="12" t="str">
        <f>HYPERLINK("https://ceds.ed.gov/cedselementdetails.aspx?termid=9836")</f>
        <v>https://ceds.ed.gov/cedselementdetails.aspx?termid=9836</v>
      </c>
      <c r="N1203" s="12" t="str">
        <f>HYPERLINK("https://ceds.ed.gov/elementComment.aspx?elementName=Number of Early Learning Injuries &amp;elementID=9836", "Click here to submit comment")</f>
        <v>Click here to submit comment</v>
      </c>
    </row>
    <row r="1204" spans="1:14" ht="45" x14ac:dyDescent="0.25">
      <c r="A1204" s="12" t="s">
        <v>4617</v>
      </c>
      <c r="B1204" s="12" t="s">
        <v>4618</v>
      </c>
      <c r="C1204" s="12" t="s">
        <v>12</v>
      </c>
      <c r="D1204" s="12" t="s">
        <v>4499</v>
      </c>
      <c r="E1204" s="12"/>
      <c r="F1204" s="12" t="s">
        <v>317</v>
      </c>
      <c r="G1204" s="12"/>
      <c r="H1204" s="12"/>
      <c r="I1204" s="12" t="s">
        <v>4619</v>
      </c>
      <c r="J1204" s="12"/>
      <c r="K1204" s="12" t="s">
        <v>4620</v>
      </c>
      <c r="L1204" s="12" t="s">
        <v>64</v>
      </c>
      <c r="M1204" s="12" t="str">
        <f>HYPERLINK("https://ceds.ed.gov/cedselementdetails.aspx?termid=9839")</f>
        <v>https://ceds.ed.gov/cedselementdetails.aspx?termid=9839</v>
      </c>
      <c r="N1204" s="12" t="str">
        <f>HYPERLINK("https://ceds.ed.gov/elementComment.aspx?elementName=Number of Early Learning Program Monitoring Visits &amp;elementID=9839", "Click here to submit comment")</f>
        <v>Click here to submit comment</v>
      </c>
    </row>
    <row r="1205" spans="1:14" ht="45" x14ac:dyDescent="0.25">
      <c r="A1205" s="12" t="s">
        <v>4621</v>
      </c>
      <c r="B1205" s="12" t="s">
        <v>4622</v>
      </c>
      <c r="C1205" s="12" t="s">
        <v>12</v>
      </c>
      <c r="D1205" s="12" t="s">
        <v>3665</v>
      </c>
      <c r="E1205" s="12"/>
      <c r="F1205" s="12" t="s">
        <v>317</v>
      </c>
      <c r="G1205" s="12"/>
      <c r="H1205" s="12"/>
      <c r="I1205" s="12" t="s">
        <v>4623</v>
      </c>
      <c r="J1205" s="12"/>
      <c r="K1205" s="12" t="s">
        <v>4624</v>
      </c>
      <c r="L1205" s="12" t="s">
        <v>211</v>
      </c>
      <c r="M1205" s="12" t="str">
        <f>HYPERLINK("https://ceds.ed.gov/cedselementdetails.aspx?termid=9460")</f>
        <v>https://ceds.ed.gov/cedselementdetails.aspx?termid=9460</v>
      </c>
      <c r="N1205" s="12" t="str">
        <f>HYPERLINK("https://ceds.ed.gov/elementComment.aspx?elementName=Number of Immigrant Program Subgrants &amp;elementID=9460", "Click here to submit comment")</f>
        <v>Click here to submit comment</v>
      </c>
    </row>
    <row r="1206" spans="1:14" ht="195" x14ac:dyDescent="0.25">
      <c r="A1206" s="12" t="s">
        <v>4625</v>
      </c>
      <c r="B1206" s="12" t="s">
        <v>4626</v>
      </c>
      <c r="C1206" s="12" t="s">
        <v>12</v>
      </c>
      <c r="D1206" s="12" t="s">
        <v>2838</v>
      </c>
      <c r="E1206" s="12"/>
      <c r="F1206" s="12" t="s">
        <v>317</v>
      </c>
      <c r="G1206" s="12"/>
      <c r="H1206" s="12"/>
      <c r="I1206" s="12" t="s">
        <v>4627</v>
      </c>
      <c r="J1206" s="12"/>
      <c r="K1206" s="12" t="s">
        <v>4628</v>
      </c>
      <c r="L1206" s="12" t="s">
        <v>2283</v>
      </c>
      <c r="M1206" s="12" t="str">
        <f>HYPERLINK("https://ceds.ed.gov/cedselementdetails.aspx?termid=9329")</f>
        <v>https://ceds.ed.gov/cedselementdetails.aspx?termid=9329</v>
      </c>
      <c r="N1206" s="12" t="str">
        <f>HYPERLINK("https://ceds.ed.gov/elementComment.aspx?elementName=Number of People in Family &amp;elementID=9329", "Click here to submit comment")</f>
        <v>Click here to submit comment</v>
      </c>
    </row>
    <row r="1207" spans="1:14" ht="45" x14ac:dyDescent="0.25">
      <c r="A1207" s="12" t="s">
        <v>4629</v>
      </c>
      <c r="B1207" s="12" t="s">
        <v>4630</v>
      </c>
      <c r="C1207" s="12" t="s">
        <v>12</v>
      </c>
      <c r="D1207" s="12" t="s">
        <v>2838</v>
      </c>
      <c r="E1207" s="12"/>
      <c r="F1207" s="12" t="s">
        <v>317</v>
      </c>
      <c r="G1207" s="12"/>
      <c r="H1207" s="12"/>
      <c r="I1207" s="12" t="s">
        <v>4631</v>
      </c>
      <c r="J1207" s="12"/>
      <c r="K1207" s="12" t="s">
        <v>4632</v>
      </c>
      <c r="L1207" s="12" t="s">
        <v>2283</v>
      </c>
      <c r="M1207" s="12" t="str">
        <f>HYPERLINK("https://ceds.ed.gov/cedselementdetails.aspx?termid=9330")</f>
        <v>https://ceds.ed.gov/cedselementdetails.aspx?termid=9330</v>
      </c>
      <c r="N1207" s="12" t="str">
        <f>HYPERLINK("https://ceds.ed.gov/elementComment.aspx?elementName=Number of People in Household &amp;elementID=9330", "Click here to submit comment")</f>
        <v>Click here to submit comment</v>
      </c>
    </row>
    <row r="1208" spans="1:14" ht="45" x14ac:dyDescent="0.25">
      <c r="A1208" s="12" t="s">
        <v>4633</v>
      </c>
      <c r="B1208" s="12" t="s">
        <v>4634</v>
      </c>
      <c r="C1208" s="12" t="s">
        <v>12</v>
      </c>
      <c r="D1208" s="12" t="s">
        <v>4635</v>
      </c>
      <c r="E1208" s="12"/>
      <c r="F1208" s="12" t="s">
        <v>317</v>
      </c>
      <c r="G1208" s="12"/>
      <c r="H1208" s="12"/>
      <c r="I1208" s="12" t="s">
        <v>4636</v>
      </c>
      <c r="J1208" s="12" t="s">
        <v>4637</v>
      </c>
      <c r="K1208" s="12" t="s">
        <v>4638</v>
      </c>
      <c r="L1208" s="12" t="s">
        <v>64</v>
      </c>
      <c r="M1208" s="12" t="str">
        <f>HYPERLINK("https://ceds.ed.gov/cedselementdetails.aspx?termid=9843")</f>
        <v>https://ceds.ed.gov/cedselementdetails.aspx?termid=9843</v>
      </c>
      <c r="N1208" s="12" t="str">
        <f>HYPERLINK("https://ceds.ed.gov/elementComment.aspx?elementName=Number of Quality Rating and Improvement System Levels &amp;elementID=9843", "Click here to submit comment")</f>
        <v>Click here to submit comment</v>
      </c>
    </row>
    <row r="1209" spans="1:14" ht="90" x14ac:dyDescent="0.25">
      <c r="A1209" s="12" t="s">
        <v>4639</v>
      </c>
      <c r="B1209" s="12" t="s">
        <v>4640</v>
      </c>
      <c r="C1209" s="12" t="s">
        <v>12</v>
      </c>
      <c r="D1209" s="12" t="s">
        <v>6516</v>
      </c>
      <c r="E1209" s="12"/>
      <c r="F1209" s="12" t="s">
        <v>2613</v>
      </c>
      <c r="G1209" s="12"/>
      <c r="H1209" s="12"/>
      <c r="I1209" s="12" t="s">
        <v>4641</v>
      </c>
      <c r="J1209" s="12"/>
      <c r="K1209" s="12" t="s">
        <v>4642</v>
      </c>
      <c r="L1209" s="12" t="s">
        <v>205</v>
      </c>
      <c r="M1209" s="12" t="str">
        <f>HYPERLINK("https://ceds.ed.gov/cedselementdetails.aspx?termid=9815")</f>
        <v>https://ceds.ed.gov/cedselementdetails.aspx?termid=9815</v>
      </c>
      <c r="N1209" s="12" t="str">
        <f>HYPERLINK("https://ceds.ed.gov/elementComment.aspx?elementName=Number of School-age Education Postsecondary Credit Hours &amp;elementID=9815", "Click here to submit comment")</f>
        <v>Click here to submit comment</v>
      </c>
    </row>
    <row r="1210" spans="1:14" ht="180" x14ac:dyDescent="0.25">
      <c r="A1210" s="12" t="s">
        <v>4643</v>
      </c>
      <c r="B1210" s="12" t="s">
        <v>4644</v>
      </c>
      <c r="C1210" s="12" t="s">
        <v>12</v>
      </c>
      <c r="D1210" s="12" t="s">
        <v>6611</v>
      </c>
      <c r="E1210" s="12"/>
      <c r="F1210" s="12" t="s">
        <v>4645</v>
      </c>
      <c r="G1210" s="12"/>
      <c r="H1210" s="12"/>
      <c r="I1210" s="12" t="s">
        <v>4646</v>
      </c>
      <c r="J1210" s="12" t="s">
        <v>4647</v>
      </c>
      <c r="K1210" s="12" t="s">
        <v>4647</v>
      </c>
      <c r="L1210" s="12"/>
      <c r="M1210" s="12" t="str">
        <f>HYPERLINK("https://ceds.ed.gov/cedselementdetails.aspx?termid=9203")</f>
        <v>https://ceds.ed.gov/cedselementdetails.aspx?termid=9203</v>
      </c>
      <c r="N1210" s="12" t="str">
        <f>HYPERLINK("https://ceds.ed.gov/elementComment.aspx?elementName=Office of Postsecondary Education Identifier &amp;elementID=9203", "Click here to submit comment")</f>
        <v>Click here to submit comment</v>
      </c>
    </row>
    <row r="1211" spans="1:14" ht="45" x14ac:dyDescent="0.25">
      <c r="A1211" s="12" t="s">
        <v>4648</v>
      </c>
      <c r="B1211" s="12" t="s">
        <v>4649</v>
      </c>
      <c r="C1211" s="12" t="s">
        <v>6364</v>
      </c>
      <c r="D1211" s="12" t="s">
        <v>2567</v>
      </c>
      <c r="E1211" s="12"/>
      <c r="F1211" s="12"/>
      <c r="G1211" s="12"/>
      <c r="H1211" s="12"/>
      <c r="I1211" s="12" t="s">
        <v>4650</v>
      </c>
      <c r="J1211" s="12"/>
      <c r="K1211" s="12" t="s">
        <v>4651</v>
      </c>
      <c r="L1211" s="12" t="s">
        <v>64</v>
      </c>
      <c r="M1211" s="12" t="str">
        <f>HYPERLINK("https://ceds.ed.gov/cedselementdetails.aspx?termid=9847")</f>
        <v>https://ceds.ed.gov/cedselementdetails.aspx?termid=9847</v>
      </c>
      <c r="N1211" s="12" t="str">
        <f>HYPERLINK("https://ceds.ed.gov/elementComment.aspx?elementName=Ongoing Health Screening Policy &amp;elementID=9847", "Click here to submit comment")</f>
        <v>Click here to submit comment</v>
      </c>
    </row>
    <row r="1212" spans="1:14" ht="45" x14ac:dyDescent="0.25">
      <c r="A1212" s="12" t="s">
        <v>4652</v>
      </c>
      <c r="B1212" s="12" t="s">
        <v>4653</v>
      </c>
      <c r="C1212" s="12" t="s">
        <v>12</v>
      </c>
      <c r="D1212" s="12" t="s">
        <v>2635</v>
      </c>
      <c r="E1212" s="12"/>
      <c r="F1212" s="12" t="s">
        <v>73</v>
      </c>
      <c r="G1212" s="12"/>
      <c r="H1212" s="12"/>
      <c r="I1212" s="12" t="s">
        <v>4654</v>
      </c>
      <c r="J1212" s="12"/>
      <c r="K1212" s="12" t="s">
        <v>4655</v>
      </c>
      <c r="L1212" s="12" t="s">
        <v>6464</v>
      </c>
      <c r="M1212" s="12" t="str">
        <f>HYPERLINK("https://ceds.ed.gov/cedselementdetails.aspx?termid=9350")</f>
        <v>https://ceds.ed.gov/cedselementdetails.aspx?termid=9350</v>
      </c>
      <c r="N1212" s="12" t="str">
        <f>HYPERLINK("https://ceds.ed.gov/elementComment.aspx?elementName=Operation Date &amp;elementID=9350", "Click here to submit comment")</f>
        <v>Click here to submit comment</v>
      </c>
    </row>
    <row r="1213" spans="1:14" ht="45" x14ac:dyDescent="0.25">
      <c r="A1213" s="12" t="s">
        <v>4656</v>
      </c>
      <c r="B1213" s="12" t="s">
        <v>4657</v>
      </c>
      <c r="C1213" s="12" t="s">
        <v>12</v>
      </c>
      <c r="D1213" s="12" t="s">
        <v>6447</v>
      </c>
      <c r="E1213" s="12"/>
      <c r="F1213" s="12" t="s">
        <v>73</v>
      </c>
      <c r="G1213" s="12"/>
      <c r="H1213" s="12"/>
      <c r="I1213" s="12" t="s">
        <v>4658</v>
      </c>
      <c r="J1213" s="12"/>
      <c r="K1213" s="12" t="s">
        <v>4659</v>
      </c>
      <c r="L1213" s="12" t="s">
        <v>222</v>
      </c>
      <c r="M1213" s="12" t="str">
        <f>HYPERLINK("https://ceds.ed.gov/cedselementdetails.aspx?termid=9525")</f>
        <v>https://ceds.ed.gov/cedselementdetails.aspx?termid=9525</v>
      </c>
      <c r="N1213" s="12" t="str">
        <f>HYPERLINK("https://ceds.ed.gov/elementComment.aspx?elementName=Operational Status Effective Date &amp;elementID=9525", "Click here to submit comment")</f>
        <v>Click here to submit comment</v>
      </c>
    </row>
    <row r="1214" spans="1:14" ht="90" x14ac:dyDescent="0.25">
      <c r="A1214" s="12" t="s">
        <v>4660</v>
      </c>
      <c r="B1214" s="12" t="s">
        <v>4661</v>
      </c>
      <c r="C1214" s="12" t="s">
        <v>6364</v>
      </c>
      <c r="D1214" s="12" t="s">
        <v>2410</v>
      </c>
      <c r="E1214" s="12"/>
      <c r="F1214" s="12"/>
      <c r="G1214" s="12"/>
      <c r="H1214" s="12"/>
      <c r="I1214" s="12" t="s">
        <v>4662</v>
      </c>
      <c r="J1214" s="12"/>
      <c r="K1214" s="12" t="s">
        <v>4663</v>
      </c>
      <c r="L1214" s="12"/>
      <c r="M1214" s="12" t="str">
        <f>HYPERLINK("https://ceds.ed.gov/cedselementdetails.aspx?termid=10385")</f>
        <v>https://ceds.ed.gov/cedselementdetails.aspx?termid=10385</v>
      </c>
      <c r="N1214" s="12" t="str">
        <f>HYPERLINK("https://ceds.ed.gov/elementComment.aspx?elementName=Oral Defense Completed Indicator &amp;elementID=10385", "Click here to submit comment")</f>
        <v>Click here to submit comment</v>
      </c>
    </row>
    <row r="1215" spans="1:14" ht="45" x14ac:dyDescent="0.25">
      <c r="A1215" s="12" t="s">
        <v>4664</v>
      </c>
      <c r="B1215" s="12" t="s">
        <v>4665</v>
      </c>
      <c r="C1215" s="12" t="s">
        <v>12</v>
      </c>
      <c r="D1215" s="12" t="s">
        <v>2410</v>
      </c>
      <c r="E1215" s="12"/>
      <c r="F1215" s="12" t="s">
        <v>73</v>
      </c>
      <c r="G1215" s="12"/>
      <c r="H1215" s="12"/>
      <c r="I1215" s="12" t="s">
        <v>4666</v>
      </c>
      <c r="J1215" s="12"/>
      <c r="K1215" s="12" t="s">
        <v>4667</v>
      </c>
      <c r="L1215" s="12"/>
      <c r="M1215" s="12" t="str">
        <f>HYPERLINK("https://ceds.ed.gov/cedselementdetails.aspx?termid=10386")</f>
        <v>https://ceds.ed.gov/cedselementdetails.aspx?termid=10386</v>
      </c>
      <c r="N1215" s="12" t="str">
        <f>HYPERLINK("https://ceds.ed.gov/elementComment.aspx?elementName=Oral Defense Date &amp;elementID=10386", "Click here to submit comment")</f>
        <v>Click here to submit comment</v>
      </c>
    </row>
    <row r="1216" spans="1:14" ht="409.5" x14ac:dyDescent="0.25">
      <c r="A1216" s="12" t="s">
        <v>4668</v>
      </c>
      <c r="B1216" s="12" t="s">
        <v>4669</v>
      </c>
      <c r="C1216" s="13" t="s">
        <v>6739</v>
      </c>
      <c r="D1216" s="12" t="s">
        <v>6612</v>
      </c>
      <c r="E1216" s="12"/>
      <c r="F1216" s="12"/>
      <c r="G1216" s="12"/>
      <c r="H1216" s="12"/>
      <c r="I1216" s="12" t="s">
        <v>4670</v>
      </c>
      <c r="J1216" s="12"/>
      <c r="K1216" s="12" t="s">
        <v>4671</v>
      </c>
      <c r="L1216" s="12" t="s">
        <v>64</v>
      </c>
      <c r="M1216" s="12" t="str">
        <f>HYPERLINK("https://ceds.ed.gov/cedselementdetails.aspx?termid=9827")</f>
        <v>https://ceds.ed.gov/cedselementdetails.aspx?termid=9827</v>
      </c>
      <c r="N1216" s="12" t="str">
        <f>HYPERLINK("https://ceds.ed.gov/elementComment.aspx?elementName=Organization Identification System &amp;elementID=9827", "Click here to submit comment")</f>
        <v>Click here to submit comment</v>
      </c>
    </row>
    <row r="1217" spans="1:14" ht="105" x14ac:dyDescent="0.25">
      <c r="A1217" s="18" t="s">
        <v>4672</v>
      </c>
      <c r="B1217" s="18" t="s">
        <v>4673</v>
      </c>
      <c r="C1217" s="18" t="s">
        <v>12</v>
      </c>
      <c r="D1217" s="18" t="s">
        <v>6613</v>
      </c>
      <c r="E1217" s="18"/>
      <c r="F1217" s="18" t="s">
        <v>142</v>
      </c>
      <c r="G1217" s="18"/>
      <c r="H1217" s="12" t="s">
        <v>143</v>
      </c>
      <c r="I1217" s="18" t="s">
        <v>4674</v>
      </c>
      <c r="J1217" s="18"/>
      <c r="K1217" s="18" t="s">
        <v>4675</v>
      </c>
      <c r="L1217" s="18" t="s">
        <v>64</v>
      </c>
      <c r="M1217" s="18" t="str">
        <f>HYPERLINK("https://ceds.ed.gov/cedselementdetails.aspx?termid=9825")</f>
        <v>https://ceds.ed.gov/cedselementdetails.aspx?termid=9825</v>
      </c>
      <c r="N1217" s="18" t="str">
        <f>HYPERLINK("https://ceds.ed.gov/elementComment.aspx?elementName=Organization Identifier &amp;elementID=9825", "Click here to submit comment")</f>
        <v>Click here to submit comment</v>
      </c>
    </row>
    <row r="1218" spans="1:14" x14ac:dyDescent="0.25">
      <c r="A1218" s="18"/>
      <c r="B1218" s="18"/>
      <c r="C1218" s="18"/>
      <c r="D1218" s="18"/>
      <c r="E1218" s="18"/>
      <c r="F1218" s="18"/>
      <c r="G1218" s="18"/>
      <c r="H1218" s="12"/>
      <c r="I1218" s="18"/>
      <c r="J1218" s="18"/>
      <c r="K1218" s="18"/>
      <c r="L1218" s="18"/>
      <c r="M1218" s="18"/>
      <c r="N1218" s="18"/>
    </row>
    <row r="1219" spans="1:14" ht="90" x14ac:dyDescent="0.25">
      <c r="A1219" s="18"/>
      <c r="B1219" s="18"/>
      <c r="C1219" s="18"/>
      <c r="D1219" s="18"/>
      <c r="E1219" s="18"/>
      <c r="F1219" s="18"/>
      <c r="G1219" s="18"/>
      <c r="H1219" s="12" t="s">
        <v>144</v>
      </c>
      <c r="I1219" s="18"/>
      <c r="J1219" s="18"/>
      <c r="K1219" s="18"/>
      <c r="L1219" s="18"/>
      <c r="M1219" s="18"/>
      <c r="N1219" s="18"/>
    </row>
    <row r="1220" spans="1:14" ht="45" x14ac:dyDescent="0.25">
      <c r="A1220" s="12" t="s">
        <v>4676</v>
      </c>
      <c r="B1220" s="12" t="s">
        <v>4677</v>
      </c>
      <c r="C1220" s="13" t="s">
        <v>7043</v>
      </c>
      <c r="D1220" s="12" t="s">
        <v>4499</v>
      </c>
      <c r="E1220" s="12"/>
      <c r="F1220" s="12"/>
      <c r="G1220" s="12"/>
      <c r="H1220" s="12"/>
      <c r="I1220" s="12" t="s">
        <v>4678</v>
      </c>
      <c r="J1220" s="12"/>
      <c r="K1220" s="12" t="s">
        <v>4679</v>
      </c>
      <c r="L1220" s="12"/>
      <c r="M1220" s="12" t="str">
        <f>HYPERLINK("https://ceds.ed.gov/cedselementdetails.aspx?termid=10296")</f>
        <v>https://ceds.ed.gov/cedselementdetails.aspx?termid=10296</v>
      </c>
      <c r="N1220" s="12" t="str">
        <f>HYPERLINK("https://ceds.ed.gov/elementComment.aspx?elementName=Organization Monitoring Notifications &amp;elementID=10296", "Click here to submit comment")</f>
        <v>Click here to submit comment</v>
      </c>
    </row>
    <row r="1221" spans="1:14" ht="285" x14ac:dyDescent="0.25">
      <c r="A1221" s="12" t="s">
        <v>4680</v>
      </c>
      <c r="B1221" s="12" t="s">
        <v>4681</v>
      </c>
      <c r="C1221" s="12" t="s">
        <v>12</v>
      </c>
      <c r="D1221" s="12" t="s">
        <v>6614</v>
      </c>
      <c r="E1221" s="12"/>
      <c r="F1221" s="12" t="s">
        <v>99</v>
      </c>
      <c r="G1221" s="12"/>
      <c r="H1221" s="12"/>
      <c r="I1221" s="12" t="s">
        <v>4682</v>
      </c>
      <c r="J1221" s="12"/>
      <c r="K1221" s="12" t="s">
        <v>4683</v>
      </c>
      <c r="L1221" s="12" t="s">
        <v>205</v>
      </c>
      <c r="M1221" s="12" t="str">
        <f>HYPERLINK("https://ceds.ed.gov/cedselementdetails.aspx?termid=9204")</f>
        <v>https://ceds.ed.gov/cedselementdetails.aspx?termid=9204</v>
      </c>
      <c r="N1221" s="12" t="str">
        <f>HYPERLINK("https://ceds.ed.gov/elementComment.aspx?elementName=Organization Name &amp;elementID=9204", "Click here to submit comment")</f>
        <v>Click here to submit comment</v>
      </c>
    </row>
    <row r="1222" spans="1:14" ht="120" x14ac:dyDescent="0.25">
      <c r="A1222" s="12" t="s">
        <v>4684</v>
      </c>
      <c r="B1222" s="12" t="s">
        <v>4685</v>
      </c>
      <c r="C1222" s="13" t="s">
        <v>7044</v>
      </c>
      <c r="D1222" s="12" t="s">
        <v>6615</v>
      </c>
      <c r="E1222" s="12"/>
      <c r="F1222" s="12"/>
      <c r="G1222" s="12"/>
      <c r="H1222" s="12"/>
      <c r="I1222" s="12" t="s">
        <v>4686</v>
      </c>
      <c r="J1222" s="12"/>
      <c r="K1222" s="12" t="s">
        <v>4687</v>
      </c>
      <c r="L1222" s="12"/>
      <c r="M1222" s="12" t="str">
        <f>HYPERLINK("https://ceds.ed.gov/cedselementdetails.aspx?termid=10387")</f>
        <v>https://ceds.ed.gov/cedselementdetails.aspx?termid=10387</v>
      </c>
      <c r="N1222" s="12" t="str">
        <f>HYPERLINK("https://ceds.ed.gov/elementComment.aspx?elementName=Organization Operational Status &amp;elementID=10387", "Click here to submit comment")</f>
        <v>Click here to submit comment</v>
      </c>
    </row>
    <row r="1223" spans="1:14" ht="45" x14ac:dyDescent="0.25">
      <c r="A1223" s="12" t="s">
        <v>4688</v>
      </c>
      <c r="B1223" s="12" t="s">
        <v>4689</v>
      </c>
      <c r="C1223" s="12" t="s">
        <v>12</v>
      </c>
      <c r="D1223" s="12" t="s">
        <v>60</v>
      </c>
      <c r="E1223" s="12"/>
      <c r="F1223" s="12" t="s">
        <v>73</v>
      </c>
      <c r="G1223" s="12"/>
      <c r="H1223" s="12"/>
      <c r="I1223" s="12" t="s">
        <v>4690</v>
      </c>
      <c r="J1223" s="12"/>
      <c r="K1223" s="12" t="s">
        <v>4691</v>
      </c>
      <c r="L1223" s="12"/>
      <c r="M1223" s="12" t="str">
        <f>HYPERLINK("https://ceds.ed.gov/cedselementdetails.aspx?termid=10388")</f>
        <v>https://ceds.ed.gov/cedselementdetails.aspx?termid=10388</v>
      </c>
      <c r="N1223" s="12" t="str">
        <f>HYPERLINK("https://ceds.ed.gov/elementComment.aspx?elementName=Organization Seeking Accreditation Date &amp;elementID=10388", "Click here to submit comment")</f>
        <v>Click here to submit comment</v>
      </c>
    </row>
    <row r="1224" spans="1:14" ht="409.5" x14ac:dyDescent="0.25">
      <c r="A1224" s="12" t="s">
        <v>4692</v>
      </c>
      <c r="B1224" s="12" t="s">
        <v>4693</v>
      </c>
      <c r="C1224" s="13" t="s">
        <v>7045</v>
      </c>
      <c r="D1224" s="12" t="s">
        <v>6616</v>
      </c>
      <c r="E1224" s="12" t="s">
        <v>98</v>
      </c>
      <c r="F1224" s="12" t="s">
        <v>142</v>
      </c>
      <c r="G1224" s="12"/>
      <c r="H1224" s="12" t="s">
        <v>4694</v>
      </c>
      <c r="I1224" s="12" t="s">
        <v>4695</v>
      </c>
      <c r="J1224" s="12"/>
      <c r="K1224" s="12" t="s">
        <v>4696</v>
      </c>
      <c r="L1224" s="12"/>
      <c r="M1224" s="12" t="str">
        <f>HYPERLINK("https://ceds.ed.gov/cedselementdetails.aspx?termid=10165")</f>
        <v>https://ceds.ed.gov/cedselementdetails.aspx?termid=10165</v>
      </c>
      <c r="N1224" s="12" t="str">
        <f>HYPERLINK("https://ceds.ed.gov/elementComment.aspx?elementName=Organization Type &amp;elementID=10165", "Click here to submit comment")</f>
        <v>Click here to submit comment</v>
      </c>
    </row>
    <row r="1225" spans="1:14" ht="45" x14ac:dyDescent="0.25">
      <c r="A1225" s="12" t="s">
        <v>4697</v>
      </c>
      <c r="B1225" s="12" t="s">
        <v>4698</v>
      </c>
      <c r="C1225" s="12" t="s">
        <v>12</v>
      </c>
      <c r="D1225" s="12" t="s">
        <v>4499</v>
      </c>
      <c r="E1225" s="12"/>
      <c r="F1225" s="12" t="s">
        <v>68</v>
      </c>
      <c r="G1225" s="12"/>
      <c r="H1225" s="12"/>
      <c r="I1225" s="12" t="s">
        <v>4699</v>
      </c>
      <c r="J1225" s="12"/>
      <c r="K1225" s="12" t="s">
        <v>4700</v>
      </c>
      <c r="L1225" s="12"/>
      <c r="M1225" s="12" t="str">
        <f>HYPERLINK("https://ceds.ed.gov/cedselementdetails.aspx?termid=10300")</f>
        <v>https://ceds.ed.gov/cedselementdetails.aspx?termid=10300</v>
      </c>
      <c r="N1225" s="12" t="str">
        <f>HYPERLINK("https://ceds.ed.gov/elementComment.aspx?elementName=Organization Type of Monitoring &amp;elementID=10300", "Click here to submit comment")</f>
        <v>Click here to submit comment</v>
      </c>
    </row>
    <row r="1226" spans="1:14" ht="105" x14ac:dyDescent="0.25">
      <c r="A1226" s="18" t="s">
        <v>4701</v>
      </c>
      <c r="B1226" s="18" t="s">
        <v>4702</v>
      </c>
      <c r="C1226" s="18" t="s">
        <v>12</v>
      </c>
      <c r="D1226" s="18" t="s">
        <v>6471</v>
      </c>
      <c r="E1226" s="18"/>
      <c r="F1226" s="18" t="s">
        <v>142</v>
      </c>
      <c r="G1226" s="18"/>
      <c r="H1226" s="12" t="s">
        <v>143</v>
      </c>
      <c r="I1226" s="18" t="s">
        <v>4703</v>
      </c>
      <c r="J1226" s="18"/>
      <c r="K1226" s="18" t="s">
        <v>4704</v>
      </c>
      <c r="L1226" s="18"/>
      <c r="M1226" s="18" t="str">
        <f>HYPERLINK("https://ceds.ed.gov/cedselementdetails.aspx?termid=10389")</f>
        <v>https://ceds.ed.gov/cedselementdetails.aspx?termid=10389</v>
      </c>
      <c r="N1226" s="18" t="str">
        <f>HYPERLINK("https://ceds.ed.gov/elementComment.aspx?elementName=Original Course Identifier &amp;elementID=10389", "Click here to submit comment")</f>
        <v>Click here to submit comment</v>
      </c>
    </row>
    <row r="1227" spans="1:14" x14ac:dyDescent="0.25">
      <c r="A1227" s="18"/>
      <c r="B1227" s="18"/>
      <c r="C1227" s="18"/>
      <c r="D1227" s="18"/>
      <c r="E1227" s="18"/>
      <c r="F1227" s="18"/>
      <c r="G1227" s="18"/>
      <c r="H1227" s="12"/>
      <c r="I1227" s="18"/>
      <c r="J1227" s="18"/>
      <c r="K1227" s="18"/>
      <c r="L1227" s="18"/>
      <c r="M1227" s="18"/>
      <c r="N1227" s="18"/>
    </row>
    <row r="1228" spans="1:14" ht="90" x14ac:dyDescent="0.25">
      <c r="A1228" s="18"/>
      <c r="B1228" s="18"/>
      <c r="C1228" s="18"/>
      <c r="D1228" s="18"/>
      <c r="E1228" s="18"/>
      <c r="F1228" s="18"/>
      <c r="G1228" s="18"/>
      <c r="H1228" s="12" t="s">
        <v>144</v>
      </c>
      <c r="I1228" s="18"/>
      <c r="J1228" s="18"/>
      <c r="K1228" s="18"/>
      <c r="L1228" s="18"/>
      <c r="M1228" s="18"/>
      <c r="N1228" s="18"/>
    </row>
    <row r="1229" spans="1:14" ht="409.5" x14ac:dyDescent="0.25">
      <c r="A1229" s="12" t="s">
        <v>4705</v>
      </c>
      <c r="B1229" s="12" t="s">
        <v>4706</v>
      </c>
      <c r="C1229" s="12" t="s">
        <v>12</v>
      </c>
      <c r="D1229" s="12" t="s">
        <v>6617</v>
      </c>
      <c r="E1229" s="12"/>
      <c r="F1229" s="12" t="s">
        <v>1349</v>
      </c>
      <c r="G1229" s="12"/>
      <c r="H1229" s="12" t="s">
        <v>4707</v>
      </c>
      <c r="I1229" s="12" t="s">
        <v>4708</v>
      </c>
      <c r="J1229" s="12"/>
      <c r="K1229" s="12" t="s">
        <v>4709</v>
      </c>
      <c r="L1229" s="12"/>
      <c r="M1229" s="12" t="str">
        <f>HYPERLINK("https://ceds.ed.gov/cedselementdetails.aspx?termid=10486")</f>
        <v>https://ceds.ed.gov/cedselementdetails.aspx?termid=10486</v>
      </c>
      <c r="N1229" s="12" t="str">
        <f>HYPERLINK("https://ceds.ed.gov/elementComment.aspx?elementName=Other First Name &amp;elementID=10486", "Click here to submit comment")</f>
        <v>Click here to submit comment</v>
      </c>
    </row>
    <row r="1230" spans="1:14" ht="409.5" x14ac:dyDescent="0.25">
      <c r="A1230" s="12" t="s">
        <v>4710</v>
      </c>
      <c r="B1230" s="12" t="s">
        <v>4711</v>
      </c>
      <c r="C1230" s="12" t="s">
        <v>12</v>
      </c>
      <c r="D1230" s="12" t="s">
        <v>6617</v>
      </c>
      <c r="E1230" s="12"/>
      <c r="F1230" s="12" t="s">
        <v>1349</v>
      </c>
      <c r="G1230" s="12"/>
      <c r="H1230" s="12" t="s">
        <v>4712</v>
      </c>
      <c r="I1230" s="12" t="s">
        <v>4713</v>
      </c>
      <c r="J1230" s="12"/>
      <c r="K1230" s="12" t="s">
        <v>4714</v>
      </c>
      <c r="L1230" s="12"/>
      <c r="M1230" s="12" t="str">
        <f>HYPERLINK("https://ceds.ed.gov/cedselementdetails.aspx?termid=10485")</f>
        <v>https://ceds.ed.gov/cedselementdetails.aspx?termid=10485</v>
      </c>
      <c r="N1230" s="12" t="str">
        <f>HYPERLINK("https://ceds.ed.gov/elementComment.aspx?elementName=Other Last Name &amp;elementID=10485", "Click here to submit comment")</f>
        <v>Click here to submit comment</v>
      </c>
    </row>
    <row r="1231" spans="1:14" ht="409.5" x14ac:dyDescent="0.25">
      <c r="A1231" s="12" t="s">
        <v>4715</v>
      </c>
      <c r="B1231" s="12" t="s">
        <v>4716</v>
      </c>
      <c r="C1231" s="12" t="s">
        <v>12</v>
      </c>
      <c r="D1231" s="12" t="s">
        <v>6617</v>
      </c>
      <c r="E1231" s="12"/>
      <c r="F1231" s="12" t="s">
        <v>1349</v>
      </c>
      <c r="G1231" s="12"/>
      <c r="H1231" s="12" t="s">
        <v>4717</v>
      </c>
      <c r="I1231" s="12" t="s">
        <v>4718</v>
      </c>
      <c r="J1231" s="12"/>
      <c r="K1231" s="12" t="s">
        <v>4719</v>
      </c>
      <c r="L1231" s="12"/>
      <c r="M1231" s="12" t="str">
        <f>HYPERLINK("https://ceds.ed.gov/cedselementdetails.aspx?termid=10487")</f>
        <v>https://ceds.ed.gov/cedselementdetails.aspx?termid=10487</v>
      </c>
      <c r="N1231" s="12" t="str">
        <f>HYPERLINK("https://ceds.ed.gov/elementComment.aspx?elementName=Other Middle Name &amp;elementID=10487", "Click here to submit comment")</f>
        <v>Click here to submit comment</v>
      </c>
    </row>
    <row r="1232" spans="1:14" ht="409.5" x14ac:dyDescent="0.25">
      <c r="A1232" s="12" t="s">
        <v>4720</v>
      </c>
      <c r="B1232" s="12" t="s">
        <v>4721</v>
      </c>
      <c r="C1232" s="12" t="s">
        <v>12</v>
      </c>
      <c r="D1232" s="12" t="s">
        <v>6617</v>
      </c>
      <c r="E1232" s="12"/>
      <c r="F1232" s="12" t="s">
        <v>142</v>
      </c>
      <c r="G1232" s="12"/>
      <c r="H1232" s="12"/>
      <c r="I1232" s="12" t="s">
        <v>4722</v>
      </c>
      <c r="J1232" s="12"/>
      <c r="K1232" s="12" t="s">
        <v>4723</v>
      </c>
      <c r="L1232" s="12" t="s">
        <v>6543</v>
      </c>
      <c r="M1232" s="12" t="str">
        <f>HYPERLINK("https://ceds.ed.gov/cedselementdetails.aspx?termid=9206")</f>
        <v>https://ceds.ed.gov/cedselementdetails.aspx?termid=9206</v>
      </c>
      <c r="N1232" s="12" t="str">
        <f>HYPERLINK("https://ceds.ed.gov/elementComment.aspx?elementName=Other Name &amp;elementID=9206", "Click here to submit comment")</f>
        <v>Click here to submit comment</v>
      </c>
    </row>
    <row r="1233" spans="1:14" ht="409.5" x14ac:dyDescent="0.25">
      <c r="A1233" s="12" t="s">
        <v>4724</v>
      </c>
      <c r="B1233" s="12" t="s">
        <v>4725</v>
      </c>
      <c r="C1233" s="13" t="s">
        <v>7046</v>
      </c>
      <c r="D1233" s="12" t="s">
        <v>6618</v>
      </c>
      <c r="E1233" s="12"/>
      <c r="F1233" s="12" t="s">
        <v>92</v>
      </c>
      <c r="G1233" s="12"/>
      <c r="H1233" s="12"/>
      <c r="I1233" s="12" t="s">
        <v>4726</v>
      </c>
      <c r="J1233" s="12"/>
      <c r="K1233" s="12" t="s">
        <v>4727</v>
      </c>
      <c r="L1233" s="12" t="s">
        <v>6619</v>
      </c>
      <c r="M1233" s="12" t="str">
        <f>HYPERLINK("https://ceds.ed.gov/cedselementdetails.aspx?termid=9627")</f>
        <v>https://ceds.ed.gov/cedselementdetails.aspx?termid=9627</v>
      </c>
      <c r="N1233" s="12" t="str">
        <f>HYPERLINK("https://ceds.ed.gov/elementComment.aspx?elementName=Other Name Type &amp;elementID=9627", "Click here to submit comment")</f>
        <v>Click here to submit comment</v>
      </c>
    </row>
    <row r="1234" spans="1:14" ht="45" x14ac:dyDescent="0.25">
      <c r="A1234" s="12" t="s">
        <v>4728</v>
      </c>
      <c r="B1234" s="12" t="s">
        <v>4729</v>
      </c>
      <c r="C1234" s="12" t="s">
        <v>6364</v>
      </c>
      <c r="D1234" s="12" t="s">
        <v>3040</v>
      </c>
      <c r="E1234" s="12"/>
      <c r="F1234" s="12"/>
      <c r="G1234" s="12"/>
      <c r="H1234" s="12" t="s">
        <v>4730</v>
      </c>
      <c r="I1234" s="12" t="s">
        <v>4731</v>
      </c>
      <c r="J1234" s="12"/>
      <c r="K1234" s="12" t="s">
        <v>4732</v>
      </c>
      <c r="L1234" s="12"/>
      <c r="M1234" s="12" t="str">
        <f>HYPERLINK("https://ceds.ed.gov/cedselementdetails.aspx?termid=10390")</f>
        <v>https://ceds.ed.gov/cedselementdetails.aspx?termid=10390</v>
      </c>
      <c r="N1234" s="12" t="str">
        <f>HYPERLINK("https://ceds.ed.gov/elementComment.aspx?elementName=Other Race Indicator &amp;elementID=10390", "Click here to submit comment")</f>
        <v>Click here to submit comment</v>
      </c>
    </row>
    <row r="1235" spans="1:14" ht="75" x14ac:dyDescent="0.25">
      <c r="A1235" s="12" t="s">
        <v>4733</v>
      </c>
      <c r="B1235" s="12" t="s">
        <v>4734</v>
      </c>
      <c r="C1235" s="12" t="s">
        <v>12</v>
      </c>
      <c r="D1235" s="12" t="s">
        <v>236</v>
      </c>
      <c r="E1235" s="12"/>
      <c r="F1235" s="12" t="s">
        <v>1554</v>
      </c>
      <c r="G1235" s="12"/>
      <c r="H1235" s="12" t="s">
        <v>369</v>
      </c>
      <c r="I1235" s="12" t="s">
        <v>4735</v>
      </c>
      <c r="J1235" s="12"/>
      <c r="K1235" s="12" t="s">
        <v>4736</v>
      </c>
      <c r="L1235" s="12" t="s">
        <v>1593</v>
      </c>
      <c r="M1235" s="12" t="str">
        <f>HYPERLINK("https://ceds.ed.gov/cedselementdetails.aspx?termid=9731")</f>
        <v>https://ceds.ed.gov/cedselementdetails.aspx?termid=9731</v>
      </c>
      <c r="N1235" s="12" t="str">
        <f>HYPERLINK("https://ceds.ed.gov/elementComment.aspx?elementName=Other Student Expenses &amp;elementID=9731", "Click here to submit comment")</f>
        <v>Click here to submit comment</v>
      </c>
    </row>
    <row r="1236" spans="1:14" ht="105" x14ac:dyDescent="0.25">
      <c r="A1236" s="12" t="s">
        <v>4737</v>
      </c>
      <c r="B1236" s="12" t="s">
        <v>4738</v>
      </c>
      <c r="C1236" s="12" t="s">
        <v>12</v>
      </c>
      <c r="D1236" s="12" t="s">
        <v>6471</v>
      </c>
      <c r="E1236" s="12"/>
      <c r="F1236" s="12" t="s">
        <v>92</v>
      </c>
      <c r="G1236" s="12"/>
      <c r="H1236" s="12"/>
      <c r="I1236" s="12" t="s">
        <v>4739</v>
      </c>
      <c r="J1236" s="12"/>
      <c r="K1236" s="12" t="s">
        <v>4740</v>
      </c>
      <c r="L1236" s="12"/>
      <c r="M1236" s="12" t="str">
        <f>HYPERLINK("https://ceds.ed.gov/cedselementdetails.aspx?termid=10391")</f>
        <v>https://ceds.ed.gov/cedselementdetails.aspx?termid=10391</v>
      </c>
      <c r="N1236" s="12" t="str">
        <f>HYPERLINK("https://ceds.ed.gov/elementComment.aspx?elementName=Override School Course Number &amp;elementID=10391", "Click here to submit comment")</f>
        <v>Click here to submit comment</v>
      </c>
    </row>
    <row r="1237" spans="1:14" ht="60" x14ac:dyDescent="0.25">
      <c r="A1237" s="12" t="s">
        <v>4741</v>
      </c>
      <c r="B1237" s="12" t="s">
        <v>4742</v>
      </c>
      <c r="C1237" s="13" t="s">
        <v>7047</v>
      </c>
      <c r="D1237" s="12" t="s">
        <v>3219</v>
      </c>
      <c r="E1237" s="12"/>
      <c r="F1237" s="12"/>
      <c r="G1237" s="12"/>
      <c r="H1237" s="12"/>
      <c r="I1237" s="12" t="s">
        <v>4743</v>
      </c>
      <c r="J1237" s="12"/>
      <c r="K1237" s="12" t="s">
        <v>4744</v>
      </c>
      <c r="L1237" s="12" t="s">
        <v>222</v>
      </c>
      <c r="M1237" s="12" t="str">
        <f>HYPERLINK("https://ceds.ed.gov/cedselementdetails.aspx?termid=9207")</f>
        <v>https://ceds.ed.gov/cedselementdetails.aspx?termid=9207</v>
      </c>
      <c r="N1237" s="12" t="str">
        <f>HYPERLINK("https://ceds.ed.gov/elementComment.aspx?elementName=Paraprofessional Qualification Status &amp;elementID=9207", "Click here to submit comment")</f>
        <v>Click here to submit comment</v>
      </c>
    </row>
    <row r="1238" spans="1:14" ht="150" x14ac:dyDescent="0.25">
      <c r="A1238" s="12" t="s">
        <v>4745</v>
      </c>
      <c r="B1238" s="12" t="s">
        <v>4746</v>
      </c>
      <c r="C1238" s="13" t="s">
        <v>7048</v>
      </c>
      <c r="D1238" s="12" t="s">
        <v>1424</v>
      </c>
      <c r="E1238" s="12"/>
      <c r="F1238" s="12"/>
      <c r="G1238" s="12"/>
      <c r="H1238" s="12"/>
      <c r="I1238" s="12" t="s">
        <v>4747</v>
      </c>
      <c r="J1238" s="12"/>
      <c r="K1238" s="12" t="s">
        <v>4748</v>
      </c>
      <c r="L1238" s="12" t="s">
        <v>64</v>
      </c>
      <c r="M1238" s="12" t="str">
        <f>HYPERLINK("https://ceds.ed.gov/cedselementdetails.aspx?termid=9857")</f>
        <v>https://ceds.ed.gov/cedselementdetails.aspx?termid=9857</v>
      </c>
      <c r="N1238" s="12" t="str">
        <f>HYPERLINK("https://ceds.ed.gov/elementComment.aspx?elementName=Parent Communication Method &amp;elementID=9857", "Click here to submit comment")</f>
        <v>Click here to submit comment</v>
      </c>
    </row>
    <row r="1239" spans="1:14" ht="409.5" x14ac:dyDescent="0.25">
      <c r="A1239" s="12" t="s">
        <v>4749</v>
      </c>
      <c r="B1239" s="12" t="s">
        <v>4750</v>
      </c>
      <c r="C1239" s="13" t="s">
        <v>6934</v>
      </c>
      <c r="D1239" s="12" t="s">
        <v>2323</v>
      </c>
      <c r="E1239" s="12"/>
      <c r="F1239" s="12"/>
      <c r="G1239" s="12"/>
      <c r="H1239" s="12"/>
      <c r="I1239" s="12" t="s">
        <v>4751</v>
      </c>
      <c r="J1239" s="12"/>
      <c r="K1239" s="12" t="s">
        <v>4752</v>
      </c>
      <c r="L1239" s="12" t="s">
        <v>6515</v>
      </c>
      <c r="M1239" s="12" t="str">
        <f>HYPERLINK("https://ceds.ed.gov/cedselementdetails.aspx?termid=9867")</f>
        <v>https://ceds.ed.gov/cedselementdetails.aspx?termid=9867</v>
      </c>
      <c r="N1239" s="12" t="str">
        <f>HYPERLINK("https://ceds.ed.gov/elementComment.aspx?elementName=Part-Time Employee Benefits &amp;elementID=9867", "Click here to submit comment")</f>
        <v>Click here to submit comment</v>
      </c>
    </row>
    <row r="1240" spans="1:14" ht="300" x14ac:dyDescent="0.25">
      <c r="A1240" s="12" t="s">
        <v>4753</v>
      </c>
      <c r="B1240" s="12" t="s">
        <v>4754</v>
      </c>
      <c r="C1240" s="13" t="s">
        <v>7049</v>
      </c>
      <c r="D1240" s="12" t="s">
        <v>6620</v>
      </c>
      <c r="E1240" s="12"/>
      <c r="F1240" s="12"/>
      <c r="G1240" s="12"/>
      <c r="H1240" s="12"/>
      <c r="I1240" s="12" t="s">
        <v>4755</v>
      </c>
      <c r="J1240" s="12"/>
      <c r="K1240" s="12" t="s">
        <v>4756</v>
      </c>
      <c r="L1240" s="12" t="s">
        <v>6393</v>
      </c>
      <c r="M1240" s="12" t="str">
        <f>HYPERLINK("https://ceds.ed.gov/cedselementdetails.aspx?termid=9325")</f>
        <v>https://ceds.ed.gov/cedselementdetails.aspx?termid=9325</v>
      </c>
      <c r="N1240" s="12" t="str">
        <f>HYPERLINK("https://ceds.ed.gov/elementComment.aspx?elementName=Participation in School Food Service Programs &amp;elementID=9325", "Click here to submit comment")</f>
        <v>Click here to submit comment</v>
      </c>
    </row>
    <row r="1241" spans="1:14" ht="120" x14ac:dyDescent="0.25">
      <c r="A1241" s="12" t="s">
        <v>4757</v>
      </c>
      <c r="B1241" s="12" t="s">
        <v>4758</v>
      </c>
      <c r="C1241" s="13" t="s">
        <v>7050</v>
      </c>
      <c r="D1241" s="12" t="s">
        <v>6383</v>
      </c>
      <c r="E1241" s="12"/>
      <c r="F1241" s="12"/>
      <c r="G1241" s="12"/>
      <c r="H1241" s="12"/>
      <c r="I1241" s="12" t="s">
        <v>4759</v>
      </c>
      <c r="J1241" s="12"/>
      <c r="K1241" s="12" t="s">
        <v>4760</v>
      </c>
      <c r="L1241" s="12" t="s">
        <v>222</v>
      </c>
      <c r="M1241" s="12" t="str">
        <f>HYPERLINK("https://ceds.ed.gov/cedselementdetails.aspx?termid=9208")</f>
        <v>https://ceds.ed.gov/cedselementdetails.aspx?termid=9208</v>
      </c>
      <c r="N1241" s="12" t="str">
        <f>HYPERLINK("https://ceds.ed.gov/elementComment.aspx?elementName=Participation Status for Math &amp;elementID=9208", "Click here to submit comment")</f>
        <v>Click here to submit comment</v>
      </c>
    </row>
    <row r="1242" spans="1:14" ht="120" x14ac:dyDescent="0.25">
      <c r="A1242" s="12" t="s">
        <v>4761</v>
      </c>
      <c r="B1242" s="12" t="s">
        <v>4762</v>
      </c>
      <c r="C1242" s="13" t="s">
        <v>7050</v>
      </c>
      <c r="D1242" s="12" t="s">
        <v>6383</v>
      </c>
      <c r="E1242" s="12"/>
      <c r="F1242" s="12"/>
      <c r="G1242" s="12"/>
      <c r="H1242" s="12"/>
      <c r="I1242" s="12" t="s">
        <v>4763</v>
      </c>
      <c r="J1242" s="12"/>
      <c r="K1242" s="12" t="s">
        <v>4764</v>
      </c>
      <c r="L1242" s="12" t="s">
        <v>222</v>
      </c>
      <c r="M1242" s="12" t="str">
        <f>HYPERLINK("https://ceds.ed.gov/cedselementdetails.aspx?termid=9209")</f>
        <v>https://ceds.ed.gov/cedselementdetails.aspx?termid=9209</v>
      </c>
      <c r="N1242" s="12" t="str">
        <f>HYPERLINK("https://ceds.ed.gov/elementComment.aspx?elementName=Participation Status for Reading and Language Arts &amp;elementID=9209", "Click here to submit comment")</f>
        <v>Click here to submit comment</v>
      </c>
    </row>
    <row r="1243" spans="1:14" ht="165" x14ac:dyDescent="0.25">
      <c r="A1243" s="12" t="s">
        <v>4765</v>
      </c>
      <c r="B1243" s="12" t="s">
        <v>4766</v>
      </c>
      <c r="C1243" s="13" t="s">
        <v>7025</v>
      </c>
      <c r="D1243" s="12" t="s">
        <v>1630</v>
      </c>
      <c r="E1243" s="12" t="s">
        <v>98</v>
      </c>
      <c r="F1243" s="12"/>
      <c r="G1243" s="12"/>
      <c r="H1243" s="12"/>
      <c r="I1243" s="12" t="s">
        <v>4767</v>
      </c>
      <c r="J1243" s="12"/>
      <c r="K1243" s="12" t="s">
        <v>4768</v>
      </c>
      <c r="L1243" s="12"/>
      <c r="M1243" s="12" t="str">
        <f>HYPERLINK("https://ceds.ed.gov/cedselementdetails.aspx?termid=10195")</f>
        <v>https://ceds.ed.gov/cedselementdetails.aspx?termid=10195</v>
      </c>
      <c r="N1243" s="12" t="str">
        <f>HYPERLINK("https://ceds.ed.gov/elementComment.aspx?elementName=Paternal Guardian Education &amp;elementID=10195", "Click here to submit comment")</f>
        <v>Click here to submit comment</v>
      </c>
    </row>
    <row r="1244" spans="1:14" ht="105" x14ac:dyDescent="0.25">
      <c r="A1244" s="12" t="s">
        <v>4769</v>
      </c>
      <c r="B1244" s="12" t="s">
        <v>4770</v>
      </c>
      <c r="C1244" s="12" t="s">
        <v>12</v>
      </c>
      <c r="D1244" s="12" t="s">
        <v>6621</v>
      </c>
      <c r="E1244" s="12"/>
      <c r="F1244" s="12" t="s">
        <v>73</v>
      </c>
      <c r="G1244" s="12"/>
      <c r="H1244" s="12"/>
      <c r="I1244" s="12" t="s">
        <v>4771</v>
      </c>
      <c r="J1244" s="12"/>
      <c r="K1244" s="12" t="s">
        <v>4772</v>
      </c>
      <c r="L1244" s="12"/>
      <c r="M1244" s="12" t="str">
        <f>HYPERLINK("https://ceds.ed.gov/cedselementdetails.aspx?termid=10171")</f>
        <v>https://ceds.ed.gov/cedselementdetails.aspx?termid=10171</v>
      </c>
      <c r="N1244" s="12" t="str">
        <f>HYPERLINK("https://ceds.ed.gov/elementComment.aspx?elementName=Peer Rating Date &amp;elementID=10171", "Click here to submit comment")</f>
        <v>Click here to submit comment</v>
      </c>
    </row>
    <row r="1245" spans="1:14" ht="120" x14ac:dyDescent="0.25">
      <c r="A1245" s="12" t="s">
        <v>4773</v>
      </c>
      <c r="B1245" s="12" t="s">
        <v>4774</v>
      </c>
      <c r="C1245" s="12" t="s">
        <v>12</v>
      </c>
      <c r="D1245" s="12" t="s">
        <v>6622</v>
      </c>
      <c r="E1245" s="12"/>
      <c r="F1245" s="12" t="s">
        <v>1021</v>
      </c>
      <c r="G1245" s="12"/>
      <c r="H1245" s="12"/>
      <c r="I1245" s="12" t="s">
        <v>4775</v>
      </c>
      <c r="J1245" s="12"/>
      <c r="K1245" s="12" t="s">
        <v>4776</v>
      </c>
      <c r="L1245" s="12"/>
      <c r="M1245" s="12" t="str">
        <f>HYPERLINK("https://ceds.ed.gov/cedselementdetails.aspx?termid=10162")</f>
        <v>https://ceds.ed.gov/cedselementdetails.aspx?termid=10162</v>
      </c>
      <c r="N1245" s="12" t="str">
        <f>HYPERLINK("https://ceds.ed.gov/elementComment.aspx?elementName=Peer Rating System Maximum Value &amp;elementID=10162", "Click here to submit comment")</f>
        <v>Click here to submit comment</v>
      </c>
    </row>
    <row r="1246" spans="1:14" ht="120" x14ac:dyDescent="0.25">
      <c r="A1246" s="12" t="s">
        <v>4777</v>
      </c>
      <c r="B1246" s="12" t="s">
        <v>4778</v>
      </c>
      <c r="C1246" s="12" t="s">
        <v>12</v>
      </c>
      <c r="D1246" s="12" t="s">
        <v>6622</v>
      </c>
      <c r="E1246" s="12"/>
      <c r="F1246" s="12" t="s">
        <v>1021</v>
      </c>
      <c r="G1246" s="12"/>
      <c r="H1246" s="12"/>
      <c r="I1246" s="12" t="s">
        <v>4779</v>
      </c>
      <c r="J1246" s="12"/>
      <c r="K1246" s="12" t="s">
        <v>4780</v>
      </c>
      <c r="L1246" s="12"/>
      <c r="M1246" s="12" t="str">
        <f>HYPERLINK("https://ceds.ed.gov/cedselementdetails.aspx?termid=10163")</f>
        <v>https://ceds.ed.gov/cedselementdetails.aspx?termid=10163</v>
      </c>
      <c r="N1246" s="12" t="str">
        <f>HYPERLINK("https://ceds.ed.gov/elementComment.aspx?elementName=Peer Rating System Minimum Value &amp;elementID=10163", "Click here to submit comment")</f>
        <v>Click here to submit comment</v>
      </c>
    </row>
    <row r="1247" spans="1:14" ht="120" x14ac:dyDescent="0.25">
      <c r="A1247" s="12" t="s">
        <v>4781</v>
      </c>
      <c r="B1247" s="12" t="s">
        <v>4782</v>
      </c>
      <c r="C1247" s="12" t="s">
        <v>12</v>
      </c>
      <c r="D1247" s="12" t="s">
        <v>6622</v>
      </c>
      <c r="E1247" s="12"/>
      <c r="F1247" s="12" t="s">
        <v>99</v>
      </c>
      <c r="G1247" s="12"/>
      <c r="H1247" s="12"/>
      <c r="I1247" s="12" t="s">
        <v>4783</v>
      </c>
      <c r="J1247" s="12"/>
      <c r="K1247" s="12" t="s">
        <v>4784</v>
      </c>
      <c r="L1247" s="12"/>
      <c r="M1247" s="12" t="str">
        <f>HYPERLINK("https://ceds.ed.gov/cedselementdetails.aspx?termid=10160")</f>
        <v>https://ceds.ed.gov/cedselementdetails.aspx?termid=10160</v>
      </c>
      <c r="N1247" s="12" t="str">
        <f>HYPERLINK("https://ceds.ed.gov/elementComment.aspx?elementName=Peer Rating System Name &amp;elementID=10160", "Click here to submit comment")</f>
        <v>Click here to submit comment</v>
      </c>
    </row>
    <row r="1248" spans="1:14" ht="120" x14ac:dyDescent="0.25">
      <c r="A1248" s="12" t="s">
        <v>4785</v>
      </c>
      <c r="B1248" s="12" t="s">
        <v>4786</v>
      </c>
      <c r="C1248" s="12" t="s">
        <v>12</v>
      </c>
      <c r="D1248" s="12" t="s">
        <v>6622</v>
      </c>
      <c r="E1248" s="12"/>
      <c r="F1248" s="12" t="s">
        <v>1021</v>
      </c>
      <c r="G1248" s="12"/>
      <c r="H1248" s="12"/>
      <c r="I1248" s="12" t="s">
        <v>4787</v>
      </c>
      <c r="J1248" s="12"/>
      <c r="K1248" s="12" t="s">
        <v>4788</v>
      </c>
      <c r="L1248" s="12"/>
      <c r="M1248" s="12" t="str">
        <f>HYPERLINK("https://ceds.ed.gov/cedselementdetails.aspx?termid=10164")</f>
        <v>https://ceds.ed.gov/cedselementdetails.aspx?termid=10164</v>
      </c>
      <c r="N1248" s="12" t="str">
        <f>HYPERLINK("https://ceds.ed.gov/elementComment.aspx?elementName=Peer Rating System Optimum Value &amp;elementID=10164", "Click here to submit comment")</f>
        <v>Click here to submit comment</v>
      </c>
    </row>
    <row r="1249" spans="1:14" ht="210" x14ac:dyDescent="0.25">
      <c r="A1249" s="12" t="s">
        <v>4789</v>
      </c>
      <c r="B1249" s="12" t="s">
        <v>4790</v>
      </c>
      <c r="C1249" s="12" t="s">
        <v>6364</v>
      </c>
      <c r="D1249" s="12" t="s">
        <v>4287</v>
      </c>
      <c r="E1249" s="12"/>
      <c r="F1249" s="12"/>
      <c r="G1249" s="12"/>
      <c r="H1249" s="12"/>
      <c r="I1249" s="12" t="s">
        <v>4791</v>
      </c>
      <c r="J1249" s="12" t="s">
        <v>4792</v>
      </c>
      <c r="K1249" s="12" t="s">
        <v>4793</v>
      </c>
      <c r="L1249" s="12" t="s">
        <v>222</v>
      </c>
      <c r="M1249" s="12" t="str">
        <f>HYPERLINK("https://ceds.ed.gov/cedselementdetails.aspx?termid=9574")</f>
        <v>https://ceds.ed.gov/cedselementdetails.aspx?termid=9574</v>
      </c>
      <c r="N1249" s="12" t="str">
        <f>HYPERLINK("https://ceds.ed.gov/elementComment.aspx?elementName=Perkins Limited English Proficiency Status &amp;elementID=9574", "Click here to submit comment")</f>
        <v>Click here to submit comment</v>
      </c>
    </row>
    <row r="1250" spans="1:14" ht="45" x14ac:dyDescent="0.25">
      <c r="A1250" s="12" t="s">
        <v>4794</v>
      </c>
      <c r="B1250" s="12" t="s">
        <v>4795</v>
      </c>
      <c r="C1250" s="12" t="s">
        <v>6364</v>
      </c>
      <c r="D1250" s="12" t="s">
        <v>1931</v>
      </c>
      <c r="E1250" s="12"/>
      <c r="F1250" s="12"/>
      <c r="G1250" s="12"/>
      <c r="H1250" s="12"/>
      <c r="I1250" s="12" t="s">
        <v>4796</v>
      </c>
      <c r="J1250" s="12"/>
      <c r="K1250" s="12" t="s">
        <v>4797</v>
      </c>
      <c r="L1250" s="12" t="s">
        <v>222</v>
      </c>
      <c r="M1250" s="12" t="str">
        <f>HYPERLINK("https://ceds.ed.gov/cedselementdetails.aspx?termid=9210")</f>
        <v>https://ceds.ed.gov/cedselementdetails.aspx?termid=9210</v>
      </c>
      <c r="N1250" s="12" t="str">
        <f>HYPERLINK("https://ceds.ed.gov/elementComment.aspx?elementName=Persistently Dangerous Status &amp;elementID=9210", "Click here to submit comment")</f>
        <v>Click here to submit comment</v>
      </c>
    </row>
    <row r="1251" spans="1:14" ht="45" x14ac:dyDescent="0.25">
      <c r="A1251" s="12" t="s">
        <v>4798</v>
      </c>
      <c r="B1251" s="12" t="s">
        <v>4799</v>
      </c>
      <c r="C1251" s="12" t="s">
        <v>6364</v>
      </c>
      <c r="D1251" s="12" t="s">
        <v>1931</v>
      </c>
      <c r="E1251" s="12"/>
      <c r="F1251" s="12"/>
      <c r="G1251" s="12"/>
      <c r="H1251" s="12"/>
      <c r="I1251" s="12" t="s">
        <v>4800</v>
      </c>
      <c r="J1251" s="12"/>
      <c r="K1251" s="12" t="s">
        <v>4801</v>
      </c>
      <c r="L1251" s="12" t="s">
        <v>222</v>
      </c>
      <c r="M1251" s="12" t="str">
        <f>HYPERLINK("https://ceds.ed.gov/cedselementdetails.aspx?termid=9211")</f>
        <v>https://ceds.ed.gov/cedselementdetails.aspx?termid=9211</v>
      </c>
      <c r="N1251" s="12" t="str">
        <f>HYPERLINK("https://ceds.ed.gov/elementComment.aspx?elementName=Persistently Lowest Achieving School Status &amp;elementID=9211", "Click here to submit comment")</f>
        <v>Click here to submit comment</v>
      </c>
    </row>
    <row r="1252" spans="1:14" ht="225" x14ac:dyDescent="0.25">
      <c r="A1252" s="12" t="s">
        <v>4802</v>
      </c>
      <c r="B1252" s="12" t="s">
        <v>4803</v>
      </c>
      <c r="C1252" s="12" t="s">
        <v>12</v>
      </c>
      <c r="D1252" s="12" t="s">
        <v>2682</v>
      </c>
      <c r="E1252" s="12"/>
      <c r="F1252" s="12" t="s">
        <v>620</v>
      </c>
      <c r="G1252" s="12"/>
      <c r="H1252" s="12" t="s">
        <v>4804</v>
      </c>
      <c r="I1252" s="12" t="s">
        <v>4805</v>
      </c>
      <c r="J1252" s="12"/>
      <c r="K1252" s="12" t="s">
        <v>4806</v>
      </c>
      <c r="L1252" s="12"/>
      <c r="M1252" s="12" t="str">
        <f>HYPERLINK("https://ceds.ed.gov/cedselementdetails.aspx?termid=9993")</f>
        <v>https://ceds.ed.gov/cedselementdetails.aspx?termid=9993</v>
      </c>
      <c r="N1252" s="12" t="str">
        <f>HYPERLINK("https://ceds.ed.gov/elementComment.aspx?elementName=Person Employed in Multiple Jobs Count &amp;elementID=9993", "Click here to submit comment")</f>
        <v>Click here to submit comment</v>
      </c>
    </row>
    <row r="1253" spans="1:14" ht="375" x14ac:dyDescent="0.25">
      <c r="A1253" s="12" t="s">
        <v>4807</v>
      </c>
      <c r="B1253" s="12" t="s">
        <v>4808</v>
      </c>
      <c r="C1253" s="13" t="s">
        <v>7051</v>
      </c>
      <c r="D1253" s="12" t="s">
        <v>6623</v>
      </c>
      <c r="E1253" s="12"/>
      <c r="F1253" s="12"/>
      <c r="G1253" s="12"/>
      <c r="H1253" s="12"/>
      <c r="I1253" s="12" t="s">
        <v>4809</v>
      </c>
      <c r="J1253" s="12"/>
      <c r="K1253" s="12" t="s">
        <v>4810</v>
      </c>
      <c r="L1253" s="12"/>
      <c r="M1253" s="12" t="str">
        <f>HYPERLINK("https://ceds.ed.gov/cedselementdetails.aspx?termid=10550")</f>
        <v>https://ceds.ed.gov/cedselementdetails.aspx?termid=10550</v>
      </c>
      <c r="N1253" s="12" t="str">
        <f>HYPERLINK("https://ceds.ed.gov/elementComment.aspx?elementName=Person Identification System &amp;elementID=10550", "Click here to submit comment")</f>
        <v>Click here to submit comment</v>
      </c>
    </row>
    <row r="1254" spans="1:14" ht="105" x14ac:dyDescent="0.25">
      <c r="A1254" s="18" t="s">
        <v>4811</v>
      </c>
      <c r="B1254" s="18" t="s">
        <v>4812</v>
      </c>
      <c r="C1254" s="18" t="s">
        <v>12</v>
      </c>
      <c r="D1254" s="18" t="s">
        <v>6623</v>
      </c>
      <c r="E1254" s="18"/>
      <c r="F1254" s="18" t="s">
        <v>142</v>
      </c>
      <c r="G1254" s="18"/>
      <c r="H1254" s="12" t="s">
        <v>143</v>
      </c>
      <c r="I1254" s="18" t="s">
        <v>4813</v>
      </c>
      <c r="J1254" s="18"/>
      <c r="K1254" s="18" t="s">
        <v>4814</v>
      </c>
      <c r="L1254" s="18"/>
      <c r="M1254" s="18" t="str">
        <f>HYPERLINK("https://ceds.ed.gov/cedselementdetails.aspx?termid=10551")</f>
        <v>https://ceds.ed.gov/cedselementdetails.aspx?termid=10551</v>
      </c>
      <c r="N1254" s="18" t="str">
        <f>HYPERLINK("https://ceds.ed.gov/elementComment.aspx?elementName=Person Identifier &amp;elementID=10551", "Click here to submit comment")</f>
        <v>Click here to submit comment</v>
      </c>
    </row>
    <row r="1255" spans="1:14" x14ac:dyDescent="0.25">
      <c r="A1255" s="18"/>
      <c r="B1255" s="18"/>
      <c r="C1255" s="18"/>
      <c r="D1255" s="18"/>
      <c r="E1255" s="18"/>
      <c r="F1255" s="18"/>
      <c r="G1255" s="18"/>
      <c r="H1255" s="12"/>
      <c r="I1255" s="18"/>
      <c r="J1255" s="18"/>
      <c r="K1255" s="18"/>
      <c r="L1255" s="18"/>
      <c r="M1255" s="18"/>
      <c r="N1255" s="18"/>
    </row>
    <row r="1256" spans="1:14" ht="90" x14ac:dyDescent="0.25">
      <c r="A1256" s="18"/>
      <c r="B1256" s="18"/>
      <c r="C1256" s="18"/>
      <c r="D1256" s="18"/>
      <c r="E1256" s="18"/>
      <c r="F1256" s="18"/>
      <c r="G1256" s="18"/>
      <c r="H1256" s="12" t="s">
        <v>144</v>
      </c>
      <c r="I1256" s="18"/>
      <c r="J1256" s="18"/>
      <c r="K1256" s="18"/>
      <c r="L1256" s="18"/>
      <c r="M1256" s="18"/>
      <c r="N1256" s="18"/>
    </row>
    <row r="1257" spans="1:14" ht="60" x14ac:dyDescent="0.25">
      <c r="A1257" s="12" t="s">
        <v>4815</v>
      </c>
      <c r="B1257" s="12" t="s">
        <v>4816</v>
      </c>
      <c r="C1257" s="12" t="s">
        <v>12</v>
      </c>
      <c r="D1257" s="12" t="s">
        <v>6518</v>
      </c>
      <c r="E1257" s="12"/>
      <c r="F1257" s="12" t="s">
        <v>620</v>
      </c>
      <c r="G1257" s="12"/>
      <c r="H1257" s="12"/>
      <c r="I1257" s="12" t="s">
        <v>4817</v>
      </c>
      <c r="J1257" s="12"/>
      <c r="K1257" s="12" t="s">
        <v>4818</v>
      </c>
      <c r="L1257" s="12"/>
      <c r="M1257" s="12" t="str">
        <f>HYPERLINK("https://ceds.ed.gov/cedselementdetails.aspx?termid=10392")</f>
        <v>https://ceds.ed.gov/cedselementdetails.aspx?termid=10392</v>
      </c>
      <c r="N1257" s="12" t="str">
        <f>HYPERLINK("https://ceds.ed.gov/elementComment.aspx?elementName=Person Relationship to Learner Contact Priority Number &amp;elementID=10392", "Click here to submit comment")</f>
        <v>Click here to submit comment</v>
      </c>
    </row>
    <row r="1258" spans="1:14" ht="60" x14ac:dyDescent="0.25">
      <c r="A1258" s="12" t="s">
        <v>4819</v>
      </c>
      <c r="B1258" s="12" t="s">
        <v>4820</v>
      </c>
      <c r="C1258" s="12" t="s">
        <v>12</v>
      </c>
      <c r="D1258" s="12" t="s">
        <v>6518</v>
      </c>
      <c r="E1258" s="12"/>
      <c r="F1258" s="12" t="s">
        <v>327</v>
      </c>
      <c r="G1258" s="12"/>
      <c r="H1258" s="12"/>
      <c r="I1258" s="12" t="s">
        <v>4821</v>
      </c>
      <c r="J1258" s="12"/>
      <c r="K1258" s="12" t="s">
        <v>4822</v>
      </c>
      <c r="L1258" s="12"/>
      <c r="M1258" s="12" t="str">
        <f>HYPERLINK("https://ceds.ed.gov/cedselementdetails.aspx?termid=10393")</f>
        <v>https://ceds.ed.gov/cedselementdetails.aspx?termid=10393</v>
      </c>
      <c r="N1258" s="12" t="str">
        <f>HYPERLINK("https://ceds.ed.gov/elementComment.aspx?elementName=Person Relationship to Learner Contact Restrictions Description &amp;elementID=10393", "Click here to submit comment")</f>
        <v>Click here to submit comment</v>
      </c>
    </row>
    <row r="1259" spans="1:14" ht="60" x14ac:dyDescent="0.25">
      <c r="A1259" s="12" t="s">
        <v>4823</v>
      </c>
      <c r="B1259" s="12" t="s">
        <v>4824</v>
      </c>
      <c r="C1259" s="12" t="s">
        <v>6364</v>
      </c>
      <c r="D1259" s="12" t="s">
        <v>6518</v>
      </c>
      <c r="E1259" s="12"/>
      <c r="F1259" s="12"/>
      <c r="G1259" s="12"/>
      <c r="H1259" s="12"/>
      <c r="I1259" s="12" t="s">
        <v>4825</v>
      </c>
      <c r="J1259" s="12"/>
      <c r="K1259" s="12" t="s">
        <v>4826</v>
      </c>
      <c r="L1259" s="12"/>
      <c r="M1259" s="12" t="str">
        <f>HYPERLINK("https://ceds.ed.gov/cedselementdetails.aspx?termid=10394")</f>
        <v>https://ceds.ed.gov/cedselementdetails.aspx?termid=10394</v>
      </c>
      <c r="N1259" s="12" t="str">
        <f>HYPERLINK("https://ceds.ed.gov/elementComment.aspx?elementName=Person Relationship to Learner Lives With Indicator &amp;elementID=10394", "Click here to submit comment")</f>
        <v>Click here to submit comment</v>
      </c>
    </row>
    <row r="1260" spans="1:14" ht="409.5" x14ac:dyDescent="0.25">
      <c r="A1260" s="12" t="s">
        <v>4827</v>
      </c>
      <c r="B1260" s="12" t="s">
        <v>4828</v>
      </c>
      <c r="C1260" s="13" t="s">
        <v>7052</v>
      </c>
      <c r="D1260" s="12" t="s">
        <v>6624</v>
      </c>
      <c r="E1260" s="12"/>
      <c r="F1260" s="12"/>
      <c r="G1260" s="12"/>
      <c r="H1260" s="12"/>
      <c r="I1260" s="12" t="s">
        <v>4829</v>
      </c>
      <c r="J1260" s="12"/>
      <c r="K1260" s="12" t="s">
        <v>4830</v>
      </c>
      <c r="L1260" s="12" t="s">
        <v>1578</v>
      </c>
      <c r="M1260" s="12" t="str">
        <f>HYPERLINK("https://ceds.ed.gov/cedselementdetails.aspx?termid=9415")</f>
        <v>https://ceds.ed.gov/cedselementdetails.aspx?termid=9415</v>
      </c>
      <c r="N1260" s="12" t="str">
        <f>HYPERLINK("https://ceds.ed.gov/elementComment.aspx?elementName=Person Relationship to Learner Type &amp;elementID=9415", "Click here to submit comment")</f>
        <v>Click here to submit comment</v>
      </c>
    </row>
    <row r="1261" spans="1:14" ht="409.5" x14ac:dyDescent="0.25">
      <c r="A1261" s="12" t="s">
        <v>4831</v>
      </c>
      <c r="B1261" s="12" t="s">
        <v>4832</v>
      </c>
      <c r="C1261" s="13" t="s">
        <v>7053</v>
      </c>
      <c r="D1261" s="12" t="s">
        <v>6625</v>
      </c>
      <c r="E1261" s="12"/>
      <c r="F1261" s="12"/>
      <c r="G1261" s="12"/>
      <c r="H1261" s="12"/>
      <c r="I1261" s="12" t="s">
        <v>4833</v>
      </c>
      <c r="J1261" s="12"/>
      <c r="K1261" s="12" t="s">
        <v>4834</v>
      </c>
      <c r="L1261" s="12"/>
      <c r="M1261" s="12" t="str">
        <f>HYPERLINK("https://ceds.ed.gov/cedselementdetails.aspx?termid=9611")</f>
        <v>https://ceds.ed.gov/cedselementdetails.aspx?termid=9611</v>
      </c>
      <c r="N1261" s="12" t="str">
        <f>HYPERLINK("https://ceds.ed.gov/elementComment.aspx?elementName=Personal Information Verification &amp;elementID=9611", "Click here to submit comment")</f>
        <v>Click here to submit comment</v>
      </c>
    </row>
    <row r="1262" spans="1:14" ht="409.5" x14ac:dyDescent="0.25">
      <c r="A1262" s="12" t="s">
        <v>4835</v>
      </c>
      <c r="B1262" s="12" t="s">
        <v>4836</v>
      </c>
      <c r="C1262" s="12" t="s">
        <v>12</v>
      </c>
      <c r="D1262" s="12" t="s">
        <v>6626</v>
      </c>
      <c r="E1262" s="12"/>
      <c r="F1262" s="12" t="s">
        <v>92</v>
      </c>
      <c r="G1262" s="12"/>
      <c r="H1262" s="12"/>
      <c r="I1262" s="12" t="s">
        <v>4837</v>
      </c>
      <c r="J1262" s="12" t="s">
        <v>4838</v>
      </c>
      <c r="K1262" s="12" t="s">
        <v>4839</v>
      </c>
      <c r="L1262" s="12" t="s">
        <v>6627</v>
      </c>
      <c r="M1262" s="12" t="str">
        <f>HYPERLINK("https://ceds.ed.gov/cedselementdetails.aspx?termid=9212")</f>
        <v>https://ceds.ed.gov/cedselementdetails.aspx?termid=9212</v>
      </c>
      <c r="N1262" s="12" t="str">
        <f>HYPERLINK("https://ceds.ed.gov/elementComment.aspx?elementName=Personal Title or Prefix &amp;elementID=9212", "Click here to submit comment")</f>
        <v>Click here to submit comment</v>
      </c>
    </row>
    <row r="1263" spans="1:14" ht="90" x14ac:dyDescent="0.25">
      <c r="A1263" s="12" t="s">
        <v>4840</v>
      </c>
      <c r="B1263" s="12" t="s">
        <v>4841</v>
      </c>
      <c r="C1263" s="13" t="s">
        <v>7054</v>
      </c>
      <c r="D1263" s="12" t="s">
        <v>230</v>
      </c>
      <c r="E1263" s="12"/>
      <c r="F1263" s="12"/>
      <c r="G1263" s="12"/>
      <c r="H1263" s="12"/>
      <c r="I1263" s="12" t="s">
        <v>4842</v>
      </c>
      <c r="J1263" s="12"/>
      <c r="K1263" s="12" t="s">
        <v>4843</v>
      </c>
      <c r="L1263" s="12" t="s">
        <v>64</v>
      </c>
      <c r="M1263" s="12" t="str">
        <f>HYPERLINK("https://ceds.ed.gov/cedselementdetails.aspx?termid=9842")</f>
        <v>https://ceds.ed.gov/cedselementdetails.aspx?termid=9842</v>
      </c>
      <c r="N1263" s="12" t="str">
        <f>HYPERLINK("https://ceds.ed.gov/elementComment.aspx?elementName=Personnel Policy Type &amp;elementID=9842", "Click here to submit comment")</f>
        <v>Click here to submit comment</v>
      </c>
    </row>
    <row r="1264" spans="1:14" ht="255" x14ac:dyDescent="0.25">
      <c r="A1264" s="12" t="s">
        <v>4844</v>
      </c>
      <c r="B1264" s="12" t="s">
        <v>4845</v>
      </c>
      <c r="C1264" s="12" t="s">
        <v>12</v>
      </c>
      <c r="D1264" s="12" t="s">
        <v>6628</v>
      </c>
      <c r="E1264" s="12"/>
      <c r="F1264" s="12" t="s">
        <v>1386</v>
      </c>
      <c r="G1264" s="12"/>
      <c r="H1264" s="12"/>
      <c r="I1264" s="12" t="s">
        <v>4846</v>
      </c>
      <c r="J1264" s="12"/>
      <c r="K1264" s="12" t="s">
        <v>4847</v>
      </c>
      <c r="L1264" s="12" t="s">
        <v>6369</v>
      </c>
      <c r="M1264" s="12" t="str">
        <f>HYPERLINK("https://ceds.ed.gov/cedselementdetails.aspx?termid=9213")</f>
        <v>https://ceds.ed.gov/cedselementdetails.aspx?termid=9213</v>
      </c>
      <c r="N1264" s="12" t="str">
        <f>HYPERLINK("https://ceds.ed.gov/elementComment.aspx?elementName=Position Title &amp;elementID=9213", "Click here to submit comment")</f>
        <v>Click here to submit comment</v>
      </c>
    </row>
    <row r="1265" spans="1:14" ht="180" x14ac:dyDescent="0.25">
      <c r="A1265" s="12" t="s">
        <v>4848</v>
      </c>
      <c r="B1265" s="12" t="s">
        <v>4849</v>
      </c>
      <c r="C1265" s="12" t="s">
        <v>6364</v>
      </c>
      <c r="D1265" s="12" t="s">
        <v>246</v>
      </c>
      <c r="E1265" s="12"/>
      <c r="F1265" s="12"/>
      <c r="G1265" s="12"/>
      <c r="H1265" s="12" t="s">
        <v>4850</v>
      </c>
      <c r="I1265" s="12" t="s">
        <v>4851</v>
      </c>
      <c r="J1265" s="12"/>
      <c r="K1265" s="12" t="s">
        <v>4852</v>
      </c>
      <c r="L1265" s="12" t="s">
        <v>250</v>
      </c>
      <c r="M1265" s="12" t="str">
        <f>HYPERLINK("https://ceds.ed.gov/cedselementdetails.aspx?termid=9735")</f>
        <v>https://ceds.ed.gov/cedselementdetails.aspx?termid=9735</v>
      </c>
      <c r="N1265" s="12" t="str">
        <f>HYPERLINK("https://ceds.ed.gov/elementComment.aspx?elementName=Postsecondary Applicant &amp;elementID=9735", "Click here to submit comment")</f>
        <v>Click here to submit comment</v>
      </c>
    </row>
    <row r="1266" spans="1:14" ht="120" x14ac:dyDescent="0.25">
      <c r="A1266" s="12" t="s">
        <v>4853</v>
      </c>
      <c r="B1266" s="12" t="s">
        <v>4854</v>
      </c>
      <c r="C1266" s="12" t="s">
        <v>12</v>
      </c>
      <c r="D1266" s="12" t="s">
        <v>6387</v>
      </c>
      <c r="E1266" s="12"/>
      <c r="F1266" s="12" t="s">
        <v>99</v>
      </c>
      <c r="G1266" s="12"/>
      <c r="H1266" s="12"/>
      <c r="I1266" s="12" t="s">
        <v>4855</v>
      </c>
      <c r="J1266" s="12"/>
      <c r="K1266" s="12" t="s">
        <v>4856</v>
      </c>
      <c r="L1266" s="12" t="s">
        <v>25</v>
      </c>
      <c r="M1266" s="12" t="str">
        <f>HYPERLINK("https://ceds.ed.gov/cedselementdetails.aspx?termid=9068")</f>
        <v>https://ceds.ed.gov/cedselementdetails.aspx?termid=9068</v>
      </c>
      <c r="N1266" s="12" t="str">
        <f>HYPERLINK("https://ceds.ed.gov/elementComment.aspx?elementName=Postsecondary Course Title &amp;elementID=9068", "Click here to submit comment")</f>
        <v>Click here to submit comment</v>
      </c>
    </row>
    <row r="1267" spans="1:14" ht="75" x14ac:dyDescent="0.25">
      <c r="A1267" s="12" t="s">
        <v>4857</v>
      </c>
      <c r="B1267" s="12" t="s">
        <v>4858</v>
      </c>
      <c r="C1267" s="13" t="s">
        <v>6737</v>
      </c>
      <c r="D1267" s="12" t="s">
        <v>28</v>
      </c>
      <c r="E1267" s="12"/>
      <c r="F1267" s="12"/>
      <c r="G1267" s="12"/>
      <c r="H1267" s="12"/>
      <c r="I1267" s="12" t="s">
        <v>4859</v>
      </c>
      <c r="J1267" s="12"/>
      <c r="K1267" s="12" t="s">
        <v>4860</v>
      </c>
      <c r="L1267" s="12" t="s">
        <v>222</v>
      </c>
      <c r="M1267" s="12" t="str">
        <f>HYPERLINK("https://ceds.ed.gov/cedselementdetails.aspx?termid=9579")</f>
        <v>https://ceds.ed.gov/cedselementdetails.aspx?termid=9579</v>
      </c>
      <c r="N1267" s="12" t="str">
        <f>HYPERLINK("https://ceds.ed.gov/elementComment.aspx?elementName=Postsecondary Enrollment Action &amp;elementID=9579", "Click here to submit comment")</f>
        <v>Click here to submit comment</v>
      </c>
    </row>
    <row r="1268" spans="1:14" ht="135" x14ac:dyDescent="0.25">
      <c r="A1268" s="12" t="s">
        <v>4861</v>
      </c>
      <c r="B1268" s="12" t="s">
        <v>4862</v>
      </c>
      <c r="C1268" s="13" t="s">
        <v>7055</v>
      </c>
      <c r="D1268" s="12" t="s">
        <v>2399</v>
      </c>
      <c r="E1268" s="12"/>
      <c r="F1268" s="12"/>
      <c r="G1268" s="12"/>
      <c r="H1268" s="12" t="s">
        <v>4863</v>
      </c>
      <c r="I1268" s="12" t="s">
        <v>4864</v>
      </c>
      <c r="J1268" s="12"/>
      <c r="K1268" s="12" t="s">
        <v>4865</v>
      </c>
      <c r="L1268" s="12" t="s">
        <v>6629</v>
      </c>
      <c r="M1268" s="12" t="str">
        <f>HYPERLINK("https://ceds.ed.gov/cedselementdetails.aspx?termid=9096")</f>
        <v>https://ceds.ed.gov/cedselementdetails.aspx?termid=9096</v>
      </c>
      <c r="N1268" s="12" t="str">
        <f>HYPERLINK("https://ceds.ed.gov/elementComment.aspx?elementName=Postsecondary Enrollment Status &amp;elementID=9096", "Click here to submit comment")</f>
        <v>Click here to submit comment</v>
      </c>
    </row>
    <row r="1269" spans="1:14" ht="90" x14ac:dyDescent="0.25">
      <c r="A1269" s="12" t="s">
        <v>4866</v>
      </c>
      <c r="B1269" s="12" t="s">
        <v>4867</v>
      </c>
      <c r="C1269" s="13" t="s">
        <v>7056</v>
      </c>
      <c r="D1269" s="12" t="s">
        <v>2399</v>
      </c>
      <c r="E1269" s="12"/>
      <c r="F1269" s="12"/>
      <c r="G1269" s="12"/>
      <c r="H1269" s="12"/>
      <c r="I1269" s="12" t="s">
        <v>4868</v>
      </c>
      <c r="J1269" s="12"/>
      <c r="K1269" s="12" t="s">
        <v>4869</v>
      </c>
      <c r="L1269" s="12" t="s">
        <v>6380</v>
      </c>
      <c r="M1269" s="12" t="str">
        <f>HYPERLINK("https://ceds.ed.gov/cedselementdetails.aspx?termid=9095")</f>
        <v>https://ceds.ed.gov/cedselementdetails.aspx?termid=9095</v>
      </c>
      <c r="N1269" s="12" t="str">
        <f>HYPERLINK("https://ceds.ed.gov/elementComment.aspx?elementName=Postsecondary Enrollment Type &amp;elementID=9095", "Click here to submit comment")</f>
        <v>Click here to submit comment</v>
      </c>
    </row>
    <row r="1270" spans="1:14" ht="105" x14ac:dyDescent="0.25">
      <c r="A1270" s="12" t="s">
        <v>4870</v>
      </c>
      <c r="B1270" s="12" t="s">
        <v>4871</v>
      </c>
      <c r="C1270" s="12" t="s">
        <v>6364</v>
      </c>
      <c r="D1270" s="12" t="s">
        <v>4872</v>
      </c>
      <c r="E1270" s="12"/>
      <c r="F1270" s="12"/>
      <c r="G1270" s="12"/>
      <c r="H1270" s="12" t="s">
        <v>4873</v>
      </c>
      <c r="I1270" s="12" t="s">
        <v>4874</v>
      </c>
      <c r="J1270" s="12"/>
      <c r="K1270" s="12" t="s">
        <v>4875</v>
      </c>
      <c r="L1270" s="12"/>
      <c r="M1270" s="12" t="str">
        <f>HYPERLINK("https://ceds.ed.gov/cedselementdetails.aspx?termid=10395")</f>
        <v>https://ceds.ed.gov/cedselementdetails.aspx?termid=10395</v>
      </c>
      <c r="N1270" s="12" t="str">
        <f>HYPERLINK("https://ceds.ed.gov/elementComment.aspx?elementName=Postsecondary Entering Student Indicator &amp;elementID=10395", "Click here to submit comment")</f>
        <v>Click here to submit comment</v>
      </c>
    </row>
    <row r="1271" spans="1:14" ht="105" x14ac:dyDescent="0.25">
      <c r="A1271" s="12" t="s">
        <v>4876</v>
      </c>
      <c r="B1271" s="12" t="s">
        <v>4877</v>
      </c>
      <c r="C1271" s="13" t="s">
        <v>7057</v>
      </c>
      <c r="D1271" s="12" t="s">
        <v>1856</v>
      </c>
      <c r="E1271" s="12"/>
      <c r="F1271" s="12"/>
      <c r="G1271" s="12"/>
      <c r="H1271" s="12"/>
      <c r="I1271" s="12" t="s">
        <v>4878</v>
      </c>
      <c r="J1271" s="12"/>
      <c r="K1271" s="12" t="s">
        <v>4879</v>
      </c>
      <c r="L1271" s="12" t="s">
        <v>2017</v>
      </c>
      <c r="M1271" s="12" t="str">
        <f>HYPERLINK("https://ceds.ed.gov/cedselementdetails.aspx?termid=10596")</f>
        <v>https://ceds.ed.gov/cedselementdetails.aspx?termid=10596</v>
      </c>
      <c r="N1271" s="12" t="str">
        <f>HYPERLINK("https://ceds.ed.gov/elementComment.aspx?elementName=Postsecondary Exit or Withdrawal Type &amp;elementID=10596", "Click here to submit comment")</f>
        <v>Click here to submit comment</v>
      </c>
    </row>
    <row r="1272" spans="1:14" ht="360" x14ac:dyDescent="0.25">
      <c r="A1272" s="12" t="s">
        <v>4880</v>
      </c>
      <c r="B1272" s="12" t="s">
        <v>4881</v>
      </c>
      <c r="C1272" s="13" t="s">
        <v>7058</v>
      </c>
      <c r="D1272" s="12" t="s">
        <v>6456</v>
      </c>
      <c r="E1272" s="12"/>
      <c r="F1272" s="12"/>
      <c r="G1272" s="12"/>
      <c r="H1272" s="12"/>
      <c r="I1272" s="12" t="s">
        <v>4882</v>
      </c>
      <c r="J1272" s="12"/>
      <c r="K1272" s="12" t="s">
        <v>4883</v>
      </c>
      <c r="L1272" s="12" t="s">
        <v>6630</v>
      </c>
      <c r="M1272" s="12" t="str">
        <f>HYPERLINK("https://ceds.ed.gov/cedselementdetails.aspx?termid=10595")</f>
        <v>https://ceds.ed.gov/cedselementdetails.aspx?termid=10595</v>
      </c>
      <c r="N1272" s="12" t="str">
        <f>HYPERLINK("https://ceds.ed.gov/elementComment.aspx?elementName=Postsecondary Program Level &amp;elementID=10595", "Click here to submit comment")</f>
        <v>Click here to submit comment</v>
      </c>
    </row>
    <row r="1273" spans="1:14" ht="120" x14ac:dyDescent="0.25">
      <c r="A1273" s="12" t="s">
        <v>4884</v>
      </c>
      <c r="B1273" s="12" t="s">
        <v>4885</v>
      </c>
      <c r="C1273" s="12" t="s">
        <v>12</v>
      </c>
      <c r="D1273" s="12" t="s">
        <v>4872</v>
      </c>
      <c r="E1273" s="12"/>
      <c r="F1273" s="12" t="s">
        <v>92</v>
      </c>
      <c r="G1273" s="12"/>
      <c r="H1273" s="12" t="s">
        <v>4873</v>
      </c>
      <c r="I1273" s="12" t="s">
        <v>4886</v>
      </c>
      <c r="J1273" s="12"/>
      <c r="K1273" s="12" t="s">
        <v>4887</v>
      </c>
      <c r="L1273" s="12"/>
      <c r="M1273" s="12" t="str">
        <f>HYPERLINK("https://ceds.ed.gov/cedselementdetails.aspx?termid=10396")</f>
        <v>https://ceds.ed.gov/cedselementdetails.aspx?termid=10396</v>
      </c>
      <c r="N1273" s="12" t="str">
        <f>HYPERLINK("https://ceds.ed.gov/elementComment.aspx?elementName=Postsecondary Student Entering Term &amp;elementID=10396", "Click here to submit comment")</f>
        <v>Click here to submit comment</v>
      </c>
    </row>
    <row r="1274" spans="1:14" ht="105" x14ac:dyDescent="0.25">
      <c r="A1274" s="12" t="s">
        <v>4888</v>
      </c>
      <c r="B1274" s="12" t="s">
        <v>4889</v>
      </c>
      <c r="C1274" s="12" t="s">
        <v>6364</v>
      </c>
      <c r="D1274" s="12" t="s">
        <v>2399</v>
      </c>
      <c r="E1274" s="12"/>
      <c r="F1274" s="12"/>
      <c r="G1274" s="12"/>
      <c r="H1274" s="12" t="s">
        <v>4890</v>
      </c>
      <c r="I1274" s="12" t="s">
        <v>4891</v>
      </c>
      <c r="J1274" s="12"/>
      <c r="K1274" s="12" t="s">
        <v>4892</v>
      </c>
      <c r="L1274" s="12" t="s">
        <v>250</v>
      </c>
      <c r="M1274" s="12" t="str">
        <f>HYPERLINK("https://ceds.ed.gov/cedselementdetails.aspx?termid=9741")</f>
        <v>https://ceds.ed.gov/cedselementdetails.aspx?termid=9741</v>
      </c>
      <c r="N1274" s="12" t="str">
        <f>HYPERLINK("https://ceds.ed.gov/elementComment.aspx?elementName=Postsecondary Student Housing On-Campus &amp;elementID=9741", "Click here to submit comment")</f>
        <v>Click here to submit comment</v>
      </c>
    </row>
    <row r="1275" spans="1:14" ht="75" x14ac:dyDescent="0.25">
      <c r="A1275" s="12" t="s">
        <v>4893</v>
      </c>
      <c r="B1275" s="12" t="s">
        <v>4894</v>
      </c>
      <c r="C1275" s="13" t="s">
        <v>7059</v>
      </c>
      <c r="D1275" s="12" t="s">
        <v>28</v>
      </c>
      <c r="E1275" s="12"/>
      <c r="F1275" s="12"/>
      <c r="G1275" s="12"/>
      <c r="H1275" s="12"/>
      <c r="I1275" s="12" t="s">
        <v>4895</v>
      </c>
      <c r="J1275" s="12"/>
      <c r="K1275" s="12" t="s">
        <v>4896</v>
      </c>
      <c r="L1275" s="12" t="s">
        <v>6416</v>
      </c>
      <c r="M1275" s="12" t="str">
        <f>HYPERLINK("https://ceds.ed.gov/cedselementdetails.aspx?termid=9563")</f>
        <v>https://ceds.ed.gov/cedselementdetails.aspx?termid=9563</v>
      </c>
      <c r="N1275" s="12" t="str">
        <f>HYPERLINK("https://ceds.ed.gov/elementComment.aspx?elementName=Pre and Post Test Indicator &amp;elementID=9563", "Click here to submit comment")</f>
        <v>Click here to submit comment</v>
      </c>
    </row>
    <row r="1276" spans="1:14" ht="120" x14ac:dyDescent="0.25">
      <c r="A1276" s="12" t="s">
        <v>4897</v>
      </c>
      <c r="B1276" s="12" t="s">
        <v>4898</v>
      </c>
      <c r="C1276" s="13" t="s">
        <v>7060</v>
      </c>
      <c r="D1276" s="12" t="s">
        <v>1708</v>
      </c>
      <c r="E1276" s="12"/>
      <c r="F1276" s="12"/>
      <c r="G1276" s="12"/>
      <c r="H1276" s="12" t="s">
        <v>4899</v>
      </c>
      <c r="I1276" s="12" t="s">
        <v>4900</v>
      </c>
      <c r="J1276" s="12"/>
      <c r="K1276" s="12" t="s">
        <v>4901</v>
      </c>
      <c r="L1276" s="12" t="s">
        <v>6631</v>
      </c>
      <c r="M1276" s="12" t="str">
        <f>HYPERLINK("https://ceds.ed.gov/cedselementdetails.aspx?termid=9705")</f>
        <v>https://ceds.ed.gov/cedselementdetails.aspx?termid=9705</v>
      </c>
      <c r="N1276" s="12" t="str">
        <f>HYPERLINK("https://ceds.ed.gov/elementComment.aspx?elementName=Predominant Calendar System &amp;elementID=9705", "Click here to submit comment")</f>
        <v>Click here to submit comment</v>
      </c>
    </row>
    <row r="1277" spans="1:14" ht="60" x14ac:dyDescent="0.25">
      <c r="A1277" s="12" t="s">
        <v>4902</v>
      </c>
      <c r="B1277" s="12" t="s">
        <v>4903</v>
      </c>
      <c r="C1277" s="13" t="s">
        <v>6986</v>
      </c>
      <c r="D1277" s="12" t="s">
        <v>3665</v>
      </c>
      <c r="E1277" s="12"/>
      <c r="F1277" s="12"/>
      <c r="G1277" s="12"/>
      <c r="H1277" s="12"/>
      <c r="I1277" s="12" t="s">
        <v>4904</v>
      </c>
      <c r="J1277" s="12"/>
      <c r="K1277" s="12" t="s">
        <v>4905</v>
      </c>
      <c r="L1277" s="12" t="s">
        <v>4</v>
      </c>
      <c r="M1277" s="12" t="str">
        <f>HYPERLINK("https://ceds.ed.gov/cedselementdetails.aspx?termid=9481")</f>
        <v>https://ceds.ed.gov/cedselementdetails.aspx?termid=9481</v>
      </c>
      <c r="N1277" s="12" t="str">
        <f>HYPERLINK("https://ceds.ed.gov/elementComment.aspx?elementName=Prekindergarten Daily Length &amp;elementID=9481", "Click here to submit comment")</f>
        <v>Click here to submit comment</v>
      </c>
    </row>
    <row r="1278" spans="1:14" ht="105" x14ac:dyDescent="0.25">
      <c r="A1278" s="12" t="s">
        <v>4906</v>
      </c>
      <c r="B1278" s="12" t="s">
        <v>4907</v>
      </c>
      <c r="C1278" s="13" t="s">
        <v>7061</v>
      </c>
      <c r="D1278" s="12" t="s">
        <v>3665</v>
      </c>
      <c r="E1278" s="12"/>
      <c r="F1278" s="12"/>
      <c r="G1278" s="12"/>
      <c r="H1278" s="12"/>
      <c r="I1278" s="12" t="s">
        <v>4908</v>
      </c>
      <c r="J1278" s="12"/>
      <c r="K1278" s="12" t="s">
        <v>4909</v>
      </c>
      <c r="L1278" s="12" t="s">
        <v>4</v>
      </c>
      <c r="M1278" s="12" t="str">
        <f>HYPERLINK("https://ceds.ed.gov/cedselementdetails.aspx?termid=9216")</f>
        <v>https://ceds.ed.gov/cedselementdetails.aspx?termid=9216</v>
      </c>
      <c r="N1278" s="12" t="str">
        <f>HYPERLINK("https://ceds.ed.gov/elementComment.aspx?elementName=Prekindergarten Eligibility &amp;elementID=9216", "Click here to submit comment")</f>
        <v>Click here to submit comment</v>
      </c>
    </row>
    <row r="1279" spans="1:14" ht="90" x14ac:dyDescent="0.25">
      <c r="A1279" s="12" t="s">
        <v>4910</v>
      </c>
      <c r="B1279" s="12" t="s">
        <v>4911</v>
      </c>
      <c r="C1279" s="13" t="s">
        <v>7062</v>
      </c>
      <c r="D1279" s="12" t="s">
        <v>3665</v>
      </c>
      <c r="E1279" s="12"/>
      <c r="F1279" s="12"/>
      <c r="G1279" s="12"/>
      <c r="H1279" s="12"/>
      <c r="I1279" s="12" t="s">
        <v>4912</v>
      </c>
      <c r="J1279" s="12"/>
      <c r="K1279" s="12" t="s">
        <v>4913</v>
      </c>
      <c r="L1279" s="12" t="s">
        <v>4</v>
      </c>
      <c r="M1279" s="12" t="str">
        <f>HYPERLINK("https://ceds.ed.gov/cedselementdetails.aspx?termid=9217")</f>
        <v>https://ceds.ed.gov/cedselementdetails.aspx?termid=9217</v>
      </c>
      <c r="N1279" s="12" t="str">
        <f>HYPERLINK("https://ceds.ed.gov/elementComment.aspx?elementName=Prekindergarten Eligible Ages for Non-IDEA Students &amp;elementID=9217", "Click here to submit comment")</f>
        <v>Click here to submit comment</v>
      </c>
    </row>
    <row r="1280" spans="1:14" ht="180" x14ac:dyDescent="0.25">
      <c r="A1280" s="12" t="s">
        <v>4914</v>
      </c>
      <c r="B1280" s="12" t="s">
        <v>4915</v>
      </c>
      <c r="C1280" s="13" t="s">
        <v>7063</v>
      </c>
      <c r="D1280" s="12" t="s">
        <v>7</v>
      </c>
      <c r="E1280" s="12"/>
      <c r="F1280" s="12"/>
      <c r="G1280" s="12"/>
      <c r="H1280" s="12"/>
      <c r="I1280" s="12" t="s">
        <v>4916</v>
      </c>
      <c r="J1280" s="12"/>
      <c r="K1280" s="12" t="s">
        <v>4917</v>
      </c>
      <c r="L1280" s="12"/>
      <c r="M1280" s="12" t="str">
        <f>HYPERLINK("https://ceds.ed.gov/cedselementdetails.aspx?termid=9593")</f>
        <v>https://ceds.ed.gov/cedselementdetails.aspx?termid=9593</v>
      </c>
      <c r="N1280" s="12" t="str">
        <f>HYPERLINK("https://ceds.ed.gov/elementComment.aspx?elementName=Present Attendance Category &amp;elementID=9593", "Click here to submit comment")</f>
        <v>Click here to submit comment</v>
      </c>
    </row>
    <row r="1281" spans="1:14" ht="180" x14ac:dyDescent="0.25">
      <c r="A1281" s="12" t="s">
        <v>4918</v>
      </c>
      <c r="B1281" s="12" t="s">
        <v>4919</v>
      </c>
      <c r="C1281" s="12" t="s">
        <v>12</v>
      </c>
      <c r="D1281" s="12" t="s">
        <v>236</v>
      </c>
      <c r="E1281" s="12"/>
      <c r="F1281" s="12" t="s">
        <v>1554</v>
      </c>
      <c r="G1281" s="12"/>
      <c r="H1281" s="12" t="s">
        <v>369</v>
      </c>
      <c r="I1281" s="12" t="s">
        <v>4920</v>
      </c>
      <c r="J1281" s="12"/>
      <c r="K1281" s="12" t="s">
        <v>4921</v>
      </c>
      <c r="L1281" s="12" t="s">
        <v>1593</v>
      </c>
      <c r="M1281" s="12" t="str">
        <f>HYPERLINK("https://ceds.ed.gov/cedselementdetails.aspx?termid=9732")</f>
        <v>https://ceds.ed.gov/cedselementdetails.aspx?termid=9732</v>
      </c>
      <c r="N1281" s="12" t="str">
        <f>HYPERLINK("https://ceds.ed.gov/elementComment.aspx?elementName=Price of Attendance &amp;elementID=9732", "Click here to submit comment")</f>
        <v>Click here to submit comment</v>
      </c>
    </row>
    <row r="1282" spans="1:14" ht="45" x14ac:dyDescent="0.25">
      <c r="A1282" s="12" t="s">
        <v>4922</v>
      </c>
      <c r="B1282" s="12" t="s">
        <v>4923</v>
      </c>
      <c r="C1282" s="12" t="s">
        <v>6364</v>
      </c>
      <c r="D1282" s="12" t="s">
        <v>3651</v>
      </c>
      <c r="E1282" s="12"/>
      <c r="F1282" s="12"/>
      <c r="G1282" s="12"/>
      <c r="H1282" s="12"/>
      <c r="I1282" s="12" t="s">
        <v>4924</v>
      </c>
      <c r="J1282" s="12"/>
      <c r="K1282" s="12" t="s">
        <v>4925</v>
      </c>
      <c r="L1282" s="12"/>
      <c r="M1282" s="12" t="str">
        <f>HYPERLINK("https://ceds.ed.gov/cedselementdetails.aspx?termid=9516")</f>
        <v>https://ceds.ed.gov/cedselementdetails.aspx?termid=9516</v>
      </c>
      <c r="N1282" s="12" t="str">
        <f>HYPERLINK("https://ceds.ed.gov/elementComment.aspx?elementName=Primary Assignment Indicator &amp;elementID=9516", "Click here to submit comment")</f>
        <v>Click here to submit comment</v>
      </c>
    </row>
    <row r="1283" spans="1:14" ht="210" x14ac:dyDescent="0.25">
      <c r="A1283" s="12" t="s">
        <v>4926</v>
      </c>
      <c r="B1283" s="12" t="s">
        <v>4927</v>
      </c>
      <c r="C1283" s="12" t="s">
        <v>6364</v>
      </c>
      <c r="D1283" s="12" t="s">
        <v>6632</v>
      </c>
      <c r="E1283" s="12"/>
      <c r="F1283" s="12"/>
      <c r="G1283" s="12"/>
      <c r="H1283" s="12"/>
      <c r="I1283" s="12" t="s">
        <v>4928</v>
      </c>
      <c r="J1283" s="12"/>
      <c r="K1283" s="12" t="s">
        <v>4929</v>
      </c>
      <c r="L1283" s="12"/>
      <c r="M1283" s="12" t="str">
        <f>HYPERLINK("https://ceds.ed.gov/cedselementdetails.aspx?termid=10397")</f>
        <v>https://ceds.ed.gov/cedselementdetails.aspx?termid=10397</v>
      </c>
      <c r="N1283" s="12" t="str">
        <f>HYPERLINK("https://ceds.ed.gov/elementComment.aspx?elementName=Primary Contact Indicator &amp;elementID=10397", "Click here to submit comment")</f>
        <v>Click here to submit comment</v>
      </c>
    </row>
    <row r="1284" spans="1:14" ht="210" x14ac:dyDescent="0.25">
      <c r="A1284" s="12" t="s">
        <v>4930</v>
      </c>
      <c r="B1284" s="12" t="s">
        <v>4931</v>
      </c>
      <c r="C1284" s="13" t="s">
        <v>7064</v>
      </c>
      <c r="D1284" s="12" t="s">
        <v>6505</v>
      </c>
      <c r="E1284" s="12"/>
      <c r="F1284" s="12"/>
      <c r="G1284" s="12"/>
      <c r="H1284" s="12"/>
      <c r="I1284" s="12" t="s">
        <v>4932</v>
      </c>
      <c r="J1284" s="12"/>
      <c r="K1284" s="12" t="s">
        <v>4933</v>
      </c>
      <c r="L1284" s="12" t="s">
        <v>6633</v>
      </c>
      <c r="M1284" s="12" t="str">
        <f>HYPERLINK("https://ceds.ed.gov/cedselementdetails.aspx?termid=9218")</f>
        <v>https://ceds.ed.gov/cedselementdetails.aspx?termid=9218</v>
      </c>
      <c r="N1284" s="12" t="str">
        <f>HYPERLINK("https://ceds.ed.gov/elementComment.aspx?elementName=Primary Disability Type &amp;elementID=9218", "Click here to submit comment")</f>
        <v>Click here to submit comment</v>
      </c>
    </row>
    <row r="1285" spans="1:14" ht="409.5" x14ac:dyDescent="0.25">
      <c r="A1285" s="12" t="s">
        <v>4934</v>
      </c>
      <c r="B1285" s="12" t="s">
        <v>4935</v>
      </c>
      <c r="C1285" s="12" t="s">
        <v>6364</v>
      </c>
      <c r="D1285" s="12" t="s">
        <v>6634</v>
      </c>
      <c r="E1285" s="12"/>
      <c r="F1285" s="12"/>
      <c r="G1285" s="12"/>
      <c r="H1285" s="12"/>
      <c r="I1285" s="12" t="s">
        <v>4936</v>
      </c>
      <c r="J1285" s="12"/>
      <c r="K1285" s="12" t="s">
        <v>4937</v>
      </c>
      <c r="L1285" s="12" t="s">
        <v>6369</v>
      </c>
      <c r="M1285" s="12" t="str">
        <f>HYPERLINK("https://ceds.ed.gov/cedselementdetails.aspx?termid=9219")</f>
        <v>https://ceds.ed.gov/cedselementdetails.aspx?termid=9219</v>
      </c>
      <c r="N1285" s="12" t="str">
        <f>HYPERLINK("https://ceds.ed.gov/elementComment.aspx?elementName=Primary Telephone Number Indicator &amp;elementID=9219", "Click here to submit comment")</f>
        <v>Click here to submit comment</v>
      </c>
    </row>
    <row r="1286" spans="1:14" ht="45" x14ac:dyDescent="0.25">
      <c r="A1286" s="12" t="s">
        <v>4938</v>
      </c>
      <c r="B1286" s="12" t="s">
        <v>4939</v>
      </c>
      <c r="C1286" s="12" t="s">
        <v>6364</v>
      </c>
      <c r="D1286" s="12" t="s">
        <v>1635</v>
      </c>
      <c r="E1286" s="12"/>
      <c r="F1286" s="12"/>
      <c r="G1286" s="12"/>
      <c r="H1286" s="12"/>
      <c r="I1286" s="12" t="s">
        <v>4940</v>
      </c>
      <c r="J1286" s="12"/>
      <c r="K1286" s="12" t="s">
        <v>4941</v>
      </c>
      <c r="L1286" s="12" t="s">
        <v>205</v>
      </c>
      <c r="M1286" s="12" t="str">
        <f>HYPERLINK("https://ceds.ed.gov/cedselementdetails.aspx?termid=9806")</f>
        <v>https://ceds.ed.gov/cedselementdetails.aspx?termid=9806</v>
      </c>
      <c r="N1286" s="12" t="str">
        <f>HYPERLINK("https://ceds.ed.gov/elementComment.aspx?elementName=Professional Association Membership Status &amp;elementID=9806", "Click here to submit comment")</f>
        <v>Click here to submit comment</v>
      </c>
    </row>
    <row r="1287" spans="1:14" ht="45" x14ac:dyDescent="0.25">
      <c r="A1287" s="12" t="s">
        <v>4942</v>
      </c>
      <c r="B1287" s="12" t="s">
        <v>4943</v>
      </c>
      <c r="C1287" s="12" t="s">
        <v>12</v>
      </c>
      <c r="D1287" s="12" t="s">
        <v>1635</v>
      </c>
      <c r="E1287" s="12"/>
      <c r="F1287" s="12" t="s">
        <v>99</v>
      </c>
      <c r="G1287" s="12"/>
      <c r="H1287" s="12"/>
      <c r="I1287" s="12" t="s">
        <v>4944</v>
      </c>
      <c r="J1287" s="12"/>
      <c r="K1287" s="12" t="s">
        <v>4945</v>
      </c>
      <c r="L1287" s="12" t="s">
        <v>205</v>
      </c>
      <c r="M1287" s="12" t="str">
        <f>HYPERLINK("https://ceds.ed.gov/cedselementdetails.aspx?termid=9807")</f>
        <v>https://ceds.ed.gov/cedselementdetails.aspx?termid=9807</v>
      </c>
      <c r="N1287" s="12" t="str">
        <f>HYPERLINK("https://ceds.ed.gov/elementComment.aspx?elementName=Professional Association Name &amp;elementID=9807", "Click here to submit comment")</f>
        <v>Click here to submit comment</v>
      </c>
    </row>
    <row r="1288" spans="1:14" ht="45" x14ac:dyDescent="0.25">
      <c r="A1288" s="12" t="s">
        <v>4946</v>
      </c>
      <c r="B1288" s="12" t="s">
        <v>4947</v>
      </c>
      <c r="C1288" s="12" t="s">
        <v>12</v>
      </c>
      <c r="D1288" s="12" t="s">
        <v>4948</v>
      </c>
      <c r="E1288" s="12"/>
      <c r="F1288" s="12" t="s">
        <v>92</v>
      </c>
      <c r="G1288" s="12"/>
      <c r="H1288" s="12"/>
      <c r="I1288" s="12" t="s">
        <v>4949</v>
      </c>
      <c r="J1288" s="12"/>
      <c r="K1288" s="12" t="s">
        <v>4950</v>
      </c>
      <c r="L1288" s="12"/>
      <c r="M1288" s="12" t="str">
        <f>HYPERLINK("https://ceds.ed.gov/cedselementdetails.aspx?termid=10398")</f>
        <v>https://ceds.ed.gov/cedselementdetails.aspx?termid=10398</v>
      </c>
      <c r="N1288" s="12" t="str">
        <f>HYPERLINK("https://ceds.ed.gov/elementComment.aspx?elementName=Professional Certificate or License Number &amp;elementID=10398", "Click here to submit comment")</f>
        <v>Click here to submit comment</v>
      </c>
    </row>
    <row r="1289" spans="1:14" ht="75" x14ac:dyDescent="0.25">
      <c r="A1289" s="12" t="s">
        <v>4951</v>
      </c>
      <c r="B1289" s="12" t="s">
        <v>4952</v>
      </c>
      <c r="C1289" s="12" t="s">
        <v>12</v>
      </c>
      <c r="D1289" s="12" t="s">
        <v>6635</v>
      </c>
      <c r="E1289" s="12"/>
      <c r="F1289" s="12" t="s">
        <v>92</v>
      </c>
      <c r="G1289" s="12"/>
      <c r="H1289" s="12"/>
      <c r="I1289" s="12" t="s">
        <v>4953</v>
      </c>
      <c r="J1289" s="12"/>
      <c r="K1289" s="12" t="s">
        <v>4954</v>
      </c>
      <c r="L1289" s="12"/>
      <c r="M1289" s="12" t="str">
        <f>HYPERLINK("https://ceds.ed.gov/cedselementdetails.aspx?termid=10402")</f>
        <v>https://ceds.ed.gov/cedselementdetails.aspx?termid=10402</v>
      </c>
      <c r="N1289" s="12" t="str">
        <f>HYPERLINK("https://ceds.ed.gov/elementComment.aspx?elementName=Professional Development Activity Approval Code &amp;elementID=10402", "Click here to submit comment")</f>
        <v>Click here to submit comment</v>
      </c>
    </row>
    <row r="1290" spans="1:14" ht="90" x14ac:dyDescent="0.25">
      <c r="A1290" s="12" t="s">
        <v>4955</v>
      </c>
      <c r="B1290" s="12" t="s">
        <v>4956</v>
      </c>
      <c r="C1290" s="13" t="s">
        <v>7065</v>
      </c>
      <c r="D1290" s="12" t="s">
        <v>6635</v>
      </c>
      <c r="E1290" s="12"/>
      <c r="F1290" s="12"/>
      <c r="G1290" s="12"/>
      <c r="H1290" s="12"/>
      <c r="I1290" s="12" t="s">
        <v>4957</v>
      </c>
      <c r="J1290" s="12"/>
      <c r="K1290" s="12" t="s">
        <v>4958</v>
      </c>
      <c r="L1290" s="12"/>
      <c r="M1290" s="12" t="str">
        <f>HYPERLINK("https://ceds.ed.gov/cedselementdetails.aspx?termid=10403")</f>
        <v>https://ceds.ed.gov/cedselementdetails.aspx?termid=10403</v>
      </c>
      <c r="N1290" s="12" t="str">
        <f>HYPERLINK("https://ceds.ed.gov/elementComment.aspx?elementName=Professional Development Activity Approved Purpose &amp;elementID=10403", "Click here to submit comment")</f>
        <v>Click here to submit comment</v>
      </c>
    </row>
    <row r="1291" spans="1:14" ht="75" x14ac:dyDescent="0.25">
      <c r="A1291" s="12" t="s">
        <v>4959</v>
      </c>
      <c r="B1291" s="12" t="s">
        <v>4960</v>
      </c>
      <c r="C1291" s="12" t="s">
        <v>12</v>
      </c>
      <c r="D1291" s="12" t="s">
        <v>6635</v>
      </c>
      <c r="E1291" s="12"/>
      <c r="F1291" s="12" t="s">
        <v>92</v>
      </c>
      <c r="G1291" s="12"/>
      <c r="H1291" s="12"/>
      <c r="I1291" s="12" t="s">
        <v>4961</v>
      </c>
      <c r="J1291" s="12"/>
      <c r="K1291" s="12" t="s">
        <v>4962</v>
      </c>
      <c r="L1291" s="12"/>
      <c r="M1291" s="12" t="str">
        <f>HYPERLINK("https://ceds.ed.gov/cedselementdetails.aspx?termid=10404")</f>
        <v>https://ceds.ed.gov/cedselementdetails.aspx?termid=10404</v>
      </c>
      <c r="N1291" s="12" t="str">
        <f>HYPERLINK("https://ceds.ed.gov/elementComment.aspx?elementName=Professional Development Activity Code &amp;elementID=10404", "Click here to submit comment")</f>
        <v>Click here to submit comment</v>
      </c>
    </row>
    <row r="1292" spans="1:14" ht="75" x14ac:dyDescent="0.25">
      <c r="A1292" s="12" t="s">
        <v>4963</v>
      </c>
      <c r="B1292" s="12" t="s">
        <v>4964</v>
      </c>
      <c r="C1292" s="12" t="s">
        <v>12</v>
      </c>
      <c r="D1292" s="12" t="s">
        <v>6635</v>
      </c>
      <c r="E1292" s="12"/>
      <c r="F1292" s="12" t="s">
        <v>1554</v>
      </c>
      <c r="G1292" s="12"/>
      <c r="H1292" s="12"/>
      <c r="I1292" s="12" t="s">
        <v>4965</v>
      </c>
      <c r="J1292" s="12"/>
      <c r="K1292" s="12" t="s">
        <v>4966</v>
      </c>
      <c r="L1292" s="12"/>
      <c r="M1292" s="12" t="str">
        <f>HYPERLINK("https://ceds.ed.gov/cedselementdetails.aspx?termid=10405")</f>
        <v>https://ceds.ed.gov/cedselementdetails.aspx?termid=10405</v>
      </c>
      <c r="N1292" s="12" t="str">
        <f>HYPERLINK("https://ceds.ed.gov/elementComment.aspx?elementName=Professional Development Activity Cost &amp;elementID=10405", "Click here to submit comment")</f>
        <v>Click here to submit comment</v>
      </c>
    </row>
    <row r="1293" spans="1:14" ht="75" x14ac:dyDescent="0.25">
      <c r="A1293" s="12" t="s">
        <v>4967</v>
      </c>
      <c r="B1293" s="12" t="s">
        <v>4968</v>
      </c>
      <c r="C1293" s="13" t="s">
        <v>7066</v>
      </c>
      <c r="D1293" s="12" t="s">
        <v>6635</v>
      </c>
      <c r="E1293" s="12"/>
      <c r="F1293" s="12"/>
      <c r="G1293" s="12"/>
      <c r="H1293" s="12"/>
      <c r="I1293" s="12" t="s">
        <v>4969</v>
      </c>
      <c r="J1293" s="12"/>
      <c r="K1293" s="12" t="s">
        <v>4970</v>
      </c>
      <c r="L1293" s="12"/>
      <c r="M1293" s="12" t="str">
        <f>HYPERLINK("https://ceds.ed.gov/cedselementdetails.aspx?termid=10406")</f>
        <v>https://ceds.ed.gov/cedselementdetails.aspx?termid=10406</v>
      </c>
      <c r="N1293" s="12" t="str">
        <f>HYPERLINK("https://ceds.ed.gov/elementComment.aspx?elementName=Professional Development Activity Credit Type &amp;elementID=10406", "Click here to submit comment")</f>
        <v>Click here to submit comment</v>
      </c>
    </row>
    <row r="1294" spans="1:14" ht="75" x14ac:dyDescent="0.25">
      <c r="A1294" s="12" t="s">
        <v>4971</v>
      </c>
      <c r="B1294" s="12" t="s">
        <v>4972</v>
      </c>
      <c r="C1294" s="12" t="s">
        <v>12</v>
      </c>
      <c r="D1294" s="12" t="s">
        <v>6635</v>
      </c>
      <c r="E1294" s="12"/>
      <c r="F1294" s="12" t="s">
        <v>1554</v>
      </c>
      <c r="G1294" s="12"/>
      <c r="H1294" s="12"/>
      <c r="I1294" s="12" t="s">
        <v>4973</v>
      </c>
      <c r="J1294" s="12"/>
      <c r="K1294" s="12" t="s">
        <v>4974</v>
      </c>
      <c r="L1294" s="12"/>
      <c r="M1294" s="12" t="str">
        <f>HYPERLINK("https://ceds.ed.gov/cedselementdetails.aspx?termid=10407")</f>
        <v>https://ceds.ed.gov/cedselementdetails.aspx?termid=10407</v>
      </c>
      <c r="N1294" s="12" t="str">
        <f>HYPERLINK("https://ceds.ed.gov/elementComment.aspx?elementName=Professional Development Activity Credits &amp;elementID=10407", "Click here to submit comment")</f>
        <v>Click here to submit comment</v>
      </c>
    </row>
    <row r="1295" spans="1:14" ht="75" x14ac:dyDescent="0.25">
      <c r="A1295" s="12" t="s">
        <v>4975</v>
      </c>
      <c r="B1295" s="12" t="s">
        <v>4976</v>
      </c>
      <c r="C1295" s="12" t="s">
        <v>12</v>
      </c>
      <c r="D1295" s="12" t="s">
        <v>6635</v>
      </c>
      <c r="E1295" s="12"/>
      <c r="F1295" s="12" t="s">
        <v>327</v>
      </c>
      <c r="G1295" s="12"/>
      <c r="H1295" s="12"/>
      <c r="I1295" s="12" t="s">
        <v>4977</v>
      </c>
      <c r="J1295" s="12"/>
      <c r="K1295" s="12" t="s">
        <v>4978</v>
      </c>
      <c r="L1295" s="12"/>
      <c r="M1295" s="12" t="str">
        <f>HYPERLINK("https://ceds.ed.gov/cedselementdetails.aspx?termid=10408")</f>
        <v>https://ceds.ed.gov/cedselementdetails.aspx?termid=10408</v>
      </c>
      <c r="N1295" s="12" t="str">
        <f>HYPERLINK("https://ceds.ed.gov/elementComment.aspx?elementName=Professional Development Activity Description &amp;elementID=10408", "Click here to submit comment")</f>
        <v>Click here to submit comment</v>
      </c>
    </row>
    <row r="1296" spans="1:14" ht="409.5" x14ac:dyDescent="0.25">
      <c r="A1296" s="12" t="s">
        <v>4979</v>
      </c>
      <c r="B1296" s="12" t="s">
        <v>4980</v>
      </c>
      <c r="C1296" s="13" t="s">
        <v>7067</v>
      </c>
      <c r="D1296" s="12" t="s">
        <v>6635</v>
      </c>
      <c r="E1296" s="12"/>
      <c r="F1296" s="12"/>
      <c r="G1296" s="12"/>
      <c r="H1296" s="12" t="s">
        <v>4981</v>
      </c>
      <c r="I1296" s="12" t="s">
        <v>4982</v>
      </c>
      <c r="J1296" s="12"/>
      <c r="K1296" s="12" t="s">
        <v>4983</v>
      </c>
      <c r="L1296" s="12"/>
      <c r="M1296" s="12" t="str">
        <f>HYPERLINK("https://ceds.ed.gov/cedselementdetails.aspx?termid=10245")</f>
        <v>https://ceds.ed.gov/cedselementdetails.aspx?termid=10245</v>
      </c>
      <c r="N1296" s="12" t="str">
        <f>HYPERLINK("https://ceds.ed.gov/elementComment.aspx?elementName=Professional Development Activity Education Levels Addressed &amp;elementID=10245", "Click here to submit comment")</f>
        <v>Click here to submit comment</v>
      </c>
    </row>
    <row r="1297" spans="1:14" ht="75" x14ac:dyDescent="0.25">
      <c r="A1297" s="12" t="s">
        <v>4984</v>
      </c>
      <c r="B1297" s="12" t="s">
        <v>4985</v>
      </c>
      <c r="C1297" s="12" t="s">
        <v>12</v>
      </c>
      <c r="D1297" s="12" t="s">
        <v>6635</v>
      </c>
      <c r="E1297" s="12"/>
      <c r="F1297" s="12" t="s">
        <v>73</v>
      </c>
      <c r="G1297" s="12"/>
      <c r="H1297" s="12"/>
      <c r="I1297" s="12" t="s">
        <v>4986</v>
      </c>
      <c r="J1297" s="12"/>
      <c r="K1297" s="12" t="s">
        <v>4987</v>
      </c>
      <c r="L1297" s="12"/>
      <c r="M1297" s="12" t="str">
        <f>HYPERLINK("https://ceds.ed.gov/cedselementdetails.aspx?termid=10421")</f>
        <v>https://ceds.ed.gov/cedselementdetails.aspx?termid=10421</v>
      </c>
      <c r="N1297" s="12" t="str">
        <f>HYPERLINK("https://ceds.ed.gov/elementComment.aspx?elementName=Professional Development Activity Expiration Date &amp;elementID=10421", "Click here to submit comment")</f>
        <v>Click here to submit comment</v>
      </c>
    </row>
    <row r="1298" spans="1:14" ht="105" x14ac:dyDescent="0.25">
      <c r="A1298" s="12" t="s">
        <v>4988</v>
      </c>
      <c r="B1298" s="12" t="s">
        <v>4989</v>
      </c>
      <c r="C1298" s="12" t="s">
        <v>12</v>
      </c>
      <c r="D1298" s="12" t="s">
        <v>6635</v>
      </c>
      <c r="E1298" s="12"/>
      <c r="F1298" s="12" t="s">
        <v>142</v>
      </c>
      <c r="G1298" s="12"/>
      <c r="H1298" s="12" t="s">
        <v>143</v>
      </c>
      <c r="I1298" s="12" t="s">
        <v>4990</v>
      </c>
      <c r="J1298" s="12"/>
      <c r="K1298" s="12" t="s">
        <v>4991</v>
      </c>
      <c r="L1298" s="12" t="s">
        <v>205</v>
      </c>
      <c r="M1298" s="12" t="str">
        <f>HYPERLINK("https://ceds.ed.gov/cedselementdetails.aspx?termid=9808")</f>
        <v>https://ceds.ed.gov/cedselementdetails.aspx?termid=9808</v>
      </c>
      <c r="N1298" s="12" t="str">
        <f>HYPERLINK("https://ceds.ed.gov/elementComment.aspx?elementName=Professional Development Activity Identifier &amp;elementID=9808", "Click here to submit comment")</f>
        <v>Click here to submit comment</v>
      </c>
    </row>
    <row r="1299" spans="1:14" ht="75" x14ac:dyDescent="0.25">
      <c r="A1299" s="12" t="s">
        <v>4992</v>
      </c>
      <c r="B1299" s="12" t="s">
        <v>4993</v>
      </c>
      <c r="C1299" s="13" t="s">
        <v>7068</v>
      </c>
      <c r="D1299" s="12" t="s">
        <v>6635</v>
      </c>
      <c r="E1299" s="12"/>
      <c r="F1299" s="12"/>
      <c r="G1299" s="12"/>
      <c r="H1299" s="12"/>
      <c r="I1299" s="12" t="s">
        <v>4994</v>
      </c>
      <c r="J1299" s="12"/>
      <c r="K1299" s="12" t="s">
        <v>4995</v>
      </c>
      <c r="L1299" s="12"/>
      <c r="M1299" s="12" t="str">
        <f>HYPERLINK("https://ceds.ed.gov/cedselementdetails.aspx?termid=10409")</f>
        <v>https://ceds.ed.gov/cedselementdetails.aspx?termid=10409</v>
      </c>
      <c r="N1299" s="12" t="str">
        <f>HYPERLINK("https://ceds.ed.gov/elementComment.aspx?elementName=Professional Development Activity Level &amp;elementID=10409", "Click here to submit comment")</f>
        <v>Click here to submit comment</v>
      </c>
    </row>
    <row r="1300" spans="1:14" ht="75" x14ac:dyDescent="0.25">
      <c r="A1300" s="12" t="s">
        <v>4996</v>
      </c>
      <c r="B1300" s="12" t="s">
        <v>4997</v>
      </c>
      <c r="C1300" s="12" t="s">
        <v>12</v>
      </c>
      <c r="D1300" s="12" t="s">
        <v>6635</v>
      </c>
      <c r="E1300" s="12"/>
      <c r="F1300" s="12" t="s">
        <v>327</v>
      </c>
      <c r="G1300" s="12"/>
      <c r="H1300" s="12"/>
      <c r="I1300" s="12" t="s">
        <v>4998</v>
      </c>
      <c r="J1300" s="12"/>
      <c r="K1300" s="12" t="s">
        <v>4999</v>
      </c>
      <c r="L1300" s="12"/>
      <c r="M1300" s="12" t="str">
        <f>HYPERLINK("https://ceds.ed.gov/cedselementdetails.aspx?termid=10410")</f>
        <v>https://ceds.ed.gov/cedselementdetails.aspx?termid=10410</v>
      </c>
      <c r="N1300" s="12" t="str">
        <f>HYPERLINK("https://ceds.ed.gov/elementComment.aspx?elementName=Professional Development Activity Objective &amp;elementID=10410", "Click here to submit comment")</f>
        <v>Click here to submit comment</v>
      </c>
    </row>
    <row r="1301" spans="1:14" ht="45" x14ac:dyDescent="0.25">
      <c r="A1301" s="12" t="s">
        <v>5000</v>
      </c>
      <c r="B1301" s="12" t="s">
        <v>5001</v>
      </c>
      <c r="C1301" s="12" t="s">
        <v>6364</v>
      </c>
      <c r="D1301" s="12" t="s">
        <v>5002</v>
      </c>
      <c r="E1301" s="12"/>
      <c r="F1301" s="12"/>
      <c r="G1301" s="12"/>
      <c r="H1301" s="12"/>
      <c r="I1301" s="12" t="s">
        <v>5003</v>
      </c>
      <c r="J1301" s="12"/>
      <c r="K1301" s="12" t="s">
        <v>5004</v>
      </c>
      <c r="L1301" s="12"/>
      <c r="M1301" s="12" t="str">
        <f>HYPERLINK("https://ceds.ed.gov/cedselementdetails.aspx?termid=10598")</f>
        <v>https://ceds.ed.gov/cedselementdetails.aspx?termid=10598</v>
      </c>
      <c r="N1301" s="12" t="str">
        <f>HYPERLINK("https://ceds.ed.gov/elementComment.aspx?elementName=Professional Development Activity State Approved Status &amp;elementID=10598", "Click here to submit comment")</f>
        <v>Click here to submit comment</v>
      </c>
    </row>
    <row r="1302" spans="1:14" ht="409.5" x14ac:dyDescent="0.25">
      <c r="A1302" s="12" t="s">
        <v>5005</v>
      </c>
      <c r="B1302" s="12" t="s">
        <v>5006</v>
      </c>
      <c r="C1302" s="13" t="s">
        <v>7069</v>
      </c>
      <c r="D1302" s="12" t="s">
        <v>6635</v>
      </c>
      <c r="E1302" s="12"/>
      <c r="F1302" s="12"/>
      <c r="G1302" s="12"/>
      <c r="H1302" s="12"/>
      <c r="I1302" s="12" t="s">
        <v>5007</v>
      </c>
      <c r="J1302" s="12"/>
      <c r="K1302" s="12" t="s">
        <v>5008</v>
      </c>
      <c r="L1302" s="12"/>
      <c r="M1302" s="12" t="str">
        <f>HYPERLINK("https://ceds.ed.gov/cedselementdetails.aspx?termid=10464")</f>
        <v>https://ceds.ed.gov/cedselementdetails.aspx?termid=10464</v>
      </c>
      <c r="N1302" s="12" t="str">
        <f>HYPERLINK("https://ceds.ed.gov/elementComment.aspx?elementName=Professional Development Activity Target Audience &amp;elementID=10464", "Click here to submit comment")</f>
        <v>Click here to submit comment</v>
      </c>
    </row>
    <row r="1303" spans="1:14" ht="75" x14ac:dyDescent="0.25">
      <c r="A1303" s="12" t="s">
        <v>5009</v>
      </c>
      <c r="B1303" s="12" t="s">
        <v>5010</v>
      </c>
      <c r="C1303" s="12" t="s">
        <v>12</v>
      </c>
      <c r="D1303" s="12" t="s">
        <v>6635</v>
      </c>
      <c r="E1303" s="12"/>
      <c r="F1303" s="12" t="s">
        <v>99</v>
      </c>
      <c r="G1303" s="12"/>
      <c r="H1303" s="12"/>
      <c r="I1303" s="12" t="s">
        <v>5011</v>
      </c>
      <c r="J1303" s="12"/>
      <c r="K1303" s="12" t="s">
        <v>5012</v>
      </c>
      <c r="L1303" s="12" t="s">
        <v>205</v>
      </c>
      <c r="M1303" s="12" t="str">
        <f>HYPERLINK("https://ceds.ed.gov/cedselementdetails.aspx?termid=9809")</f>
        <v>https://ceds.ed.gov/cedselementdetails.aspx?termid=9809</v>
      </c>
      <c r="N1303" s="12" t="str">
        <f>HYPERLINK("https://ceds.ed.gov/elementComment.aspx?elementName=Professional Development Activity Title &amp;elementID=9809", "Click here to submit comment")</f>
        <v>Click here to submit comment</v>
      </c>
    </row>
    <row r="1304" spans="1:14" ht="210" x14ac:dyDescent="0.25">
      <c r="A1304" s="12" t="s">
        <v>5013</v>
      </c>
      <c r="B1304" s="12" t="s">
        <v>5014</v>
      </c>
      <c r="C1304" s="13" t="s">
        <v>7070</v>
      </c>
      <c r="D1304" s="12" t="s">
        <v>6635</v>
      </c>
      <c r="E1304" s="12"/>
      <c r="F1304" s="12"/>
      <c r="G1304" s="12"/>
      <c r="H1304" s="12" t="s">
        <v>5015</v>
      </c>
      <c r="I1304" s="12" t="s">
        <v>5016</v>
      </c>
      <c r="J1304" s="12"/>
      <c r="K1304" s="12" t="s">
        <v>5017</v>
      </c>
      <c r="L1304" s="12"/>
      <c r="M1304" s="12" t="str">
        <f>HYPERLINK("https://ceds.ed.gov/cedselementdetails.aspx?termid=10412")</f>
        <v>https://ceds.ed.gov/cedselementdetails.aspx?termid=10412</v>
      </c>
      <c r="N1304" s="12" t="str">
        <f>HYPERLINK("https://ceds.ed.gov/elementComment.aspx?elementName=Professional Development Activity Type &amp;elementID=10412", "Click here to submit comment")</f>
        <v>Click here to submit comment</v>
      </c>
    </row>
    <row r="1305" spans="1:14" ht="45" x14ac:dyDescent="0.25">
      <c r="A1305" s="12" t="s">
        <v>5018</v>
      </c>
      <c r="B1305" s="12" t="s">
        <v>5019</v>
      </c>
      <c r="C1305" s="13" t="s">
        <v>7027</v>
      </c>
      <c r="D1305" s="12" t="s">
        <v>1635</v>
      </c>
      <c r="E1305" s="12"/>
      <c r="F1305" s="12"/>
      <c r="G1305" s="12"/>
      <c r="H1305" s="12"/>
      <c r="I1305" s="12" t="s">
        <v>5020</v>
      </c>
      <c r="J1305" s="12"/>
      <c r="K1305" s="12" t="s">
        <v>5021</v>
      </c>
      <c r="L1305" s="12"/>
      <c r="M1305" s="12" t="str">
        <f>HYPERLINK("https://ceds.ed.gov/cedselementdetails.aspx?termid=10399")</f>
        <v>https://ceds.ed.gov/cedselementdetails.aspx?termid=10399</v>
      </c>
      <c r="N1305" s="12" t="str">
        <f>HYPERLINK("https://ceds.ed.gov/elementComment.aspx?elementName=Professional Development Audience Type &amp;elementID=10399", "Click here to submit comment")</f>
        <v>Click here to submit comment</v>
      </c>
    </row>
    <row r="1306" spans="1:14" ht="90" x14ac:dyDescent="0.25">
      <c r="A1306" s="12" t="s">
        <v>5022</v>
      </c>
      <c r="B1306" s="12" t="s">
        <v>5023</v>
      </c>
      <c r="C1306" s="13" t="s">
        <v>7071</v>
      </c>
      <c r="D1306" s="12" t="s">
        <v>6636</v>
      </c>
      <c r="E1306" s="12"/>
      <c r="F1306" s="12"/>
      <c r="G1306" s="12"/>
      <c r="H1306" s="12"/>
      <c r="I1306" s="12" t="s">
        <v>5024</v>
      </c>
      <c r="J1306" s="12"/>
      <c r="K1306" s="12" t="s">
        <v>5025</v>
      </c>
      <c r="L1306" s="12"/>
      <c r="M1306" s="12" t="str">
        <f>HYPERLINK("https://ceds.ed.gov/cedselementdetails.aspx?termid=10401")</f>
        <v>https://ceds.ed.gov/cedselementdetails.aspx?termid=10401</v>
      </c>
      <c r="N1306" s="12" t="str">
        <f>HYPERLINK("https://ceds.ed.gov/elementComment.aspx?elementName=Professional Development Delivery Method &amp;elementID=10401", "Click here to submit comment")</f>
        <v>Click here to submit comment</v>
      </c>
    </row>
    <row r="1307" spans="1:14" ht="180" x14ac:dyDescent="0.25">
      <c r="A1307" s="12" t="s">
        <v>5026</v>
      </c>
      <c r="B1307" s="12" t="s">
        <v>5027</v>
      </c>
      <c r="C1307" s="13" t="s">
        <v>7072</v>
      </c>
      <c r="D1307" s="12" t="s">
        <v>1635</v>
      </c>
      <c r="E1307" s="12"/>
      <c r="F1307" s="12"/>
      <c r="G1307" s="12"/>
      <c r="H1307" s="12"/>
      <c r="I1307" s="12" t="s">
        <v>5028</v>
      </c>
      <c r="J1307" s="12"/>
      <c r="K1307" s="12" t="s">
        <v>5029</v>
      </c>
      <c r="L1307" s="12" t="s">
        <v>205</v>
      </c>
      <c r="M1307" s="12" t="str">
        <f>HYPERLINK("https://ceds.ed.gov/cedselementdetails.aspx?termid=9811")</f>
        <v>https://ceds.ed.gov/cedselementdetails.aspx?termid=9811</v>
      </c>
      <c r="N1307" s="12" t="str">
        <f>HYPERLINK("https://ceds.ed.gov/elementComment.aspx?elementName=Professional Development Financial Support Type &amp;elementID=9811", "Click here to submit comment")</f>
        <v>Click here to submit comment</v>
      </c>
    </row>
    <row r="1308" spans="1:14" ht="90" x14ac:dyDescent="0.25">
      <c r="A1308" s="12" t="s">
        <v>5030</v>
      </c>
      <c r="B1308" s="12" t="s">
        <v>5031</v>
      </c>
      <c r="C1308" s="12" t="s">
        <v>12</v>
      </c>
      <c r="D1308" s="12" t="s">
        <v>6636</v>
      </c>
      <c r="E1308" s="12"/>
      <c r="F1308" s="12" t="s">
        <v>92</v>
      </c>
      <c r="G1308" s="12"/>
      <c r="H1308" s="12"/>
      <c r="I1308" s="12" t="s">
        <v>5032</v>
      </c>
      <c r="J1308" s="12"/>
      <c r="K1308" s="12" t="s">
        <v>5033</v>
      </c>
      <c r="L1308" s="12"/>
      <c r="M1308" s="12" t="str">
        <f>HYPERLINK("https://ceds.ed.gov/cedselementdetails.aspx?termid=10413")</f>
        <v>https://ceds.ed.gov/cedselementdetails.aspx?termid=10413</v>
      </c>
      <c r="N1308" s="12" t="str">
        <f>HYPERLINK("https://ceds.ed.gov/elementComment.aspx?elementName=Professional Development Funding Source &amp;elementID=10413", "Click here to submit comment")</f>
        <v>Click here to submit comment</v>
      </c>
    </row>
    <row r="1309" spans="1:14" ht="180" x14ac:dyDescent="0.25">
      <c r="A1309" s="12" t="s">
        <v>5034</v>
      </c>
      <c r="B1309" s="12" t="s">
        <v>5035</v>
      </c>
      <c r="C1309" s="13" t="s">
        <v>7073</v>
      </c>
      <c r="D1309" s="12" t="s">
        <v>6636</v>
      </c>
      <c r="E1309" s="12"/>
      <c r="F1309" s="12"/>
      <c r="G1309" s="12"/>
      <c r="H1309" s="12"/>
      <c r="I1309" s="12" t="s">
        <v>5036</v>
      </c>
      <c r="J1309" s="12"/>
      <c r="K1309" s="12" t="s">
        <v>5037</v>
      </c>
      <c r="L1309" s="12"/>
      <c r="M1309" s="12" t="str">
        <f>HYPERLINK("https://ceds.ed.gov/cedselementdetails.aspx?termid=10429")</f>
        <v>https://ceds.ed.gov/cedselementdetails.aspx?termid=10429</v>
      </c>
      <c r="N1309" s="12" t="str">
        <f>HYPERLINK("https://ceds.ed.gov/elementComment.aspx?elementName=Professional Development Instructional Delivery Mode &amp;elementID=10429", "Click here to submit comment")</f>
        <v>Click here to submit comment</v>
      </c>
    </row>
    <row r="1310" spans="1:14" ht="105" x14ac:dyDescent="0.25">
      <c r="A1310" s="18" t="s">
        <v>5038</v>
      </c>
      <c r="B1310" s="18" t="s">
        <v>5039</v>
      </c>
      <c r="C1310" s="18" t="s">
        <v>12</v>
      </c>
      <c r="D1310" s="18" t="s">
        <v>6636</v>
      </c>
      <c r="E1310" s="18"/>
      <c r="F1310" s="18" t="s">
        <v>142</v>
      </c>
      <c r="G1310" s="18"/>
      <c r="H1310" s="12" t="s">
        <v>143</v>
      </c>
      <c r="I1310" s="18" t="s">
        <v>5040</v>
      </c>
      <c r="J1310" s="18"/>
      <c r="K1310" s="18" t="s">
        <v>5041</v>
      </c>
      <c r="L1310" s="18"/>
      <c r="M1310" s="18" t="str">
        <f>HYPERLINK("https://ceds.ed.gov/cedselementdetails.aspx?termid=10414")</f>
        <v>https://ceds.ed.gov/cedselementdetails.aspx?termid=10414</v>
      </c>
      <c r="N1310" s="18" t="str">
        <f>HYPERLINK("https://ceds.ed.gov/elementComment.aspx?elementName=Professional Development Instructor Identifier &amp;elementID=10414", "Click here to submit comment")</f>
        <v>Click here to submit comment</v>
      </c>
    </row>
    <row r="1311" spans="1:14" x14ac:dyDescent="0.25">
      <c r="A1311" s="18"/>
      <c r="B1311" s="18"/>
      <c r="C1311" s="18"/>
      <c r="D1311" s="18"/>
      <c r="E1311" s="18"/>
      <c r="F1311" s="18"/>
      <c r="G1311" s="18"/>
      <c r="H1311" s="12"/>
      <c r="I1311" s="18"/>
      <c r="J1311" s="18"/>
      <c r="K1311" s="18"/>
      <c r="L1311" s="18"/>
      <c r="M1311" s="18"/>
      <c r="N1311" s="18"/>
    </row>
    <row r="1312" spans="1:14" ht="90" x14ac:dyDescent="0.25">
      <c r="A1312" s="18"/>
      <c r="B1312" s="18"/>
      <c r="C1312" s="18"/>
      <c r="D1312" s="18"/>
      <c r="E1312" s="18"/>
      <c r="F1312" s="18"/>
      <c r="G1312" s="18"/>
      <c r="H1312" s="12" t="s">
        <v>144</v>
      </c>
      <c r="I1312" s="18"/>
      <c r="J1312" s="18"/>
      <c r="K1312" s="18"/>
      <c r="L1312" s="18"/>
      <c r="M1312" s="18"/>
      <c r="N1312" s="18"/>
    </row>
    <row r="1313" spans="1:14" ht="45" x14ac:dyDescent="0.25">
      <c r="A1313" s="12" t="s">
        <v>5042</v>
      </c>
      <c r="B1313" s="12" t="s">
        <v>5043</v>
      </c>
      <c r="C1313" s="12" t="s">
        <v>6364</v>
      </c>
      <c r="D1313" s="12" t="s">
        <v>1635</v>
      </c>
      <c r="E1313" s="12"/>
      <c r="F1313" s="12"/>
      <c r="G1313" s="12"/>
      <c r="H1313" s="12"/>
      <c r="I1313" s="12" t="s">
        <v>5044</v>
      </c>
      <c r="J1313" s="12"/>
      <c r="K1313" s="12" t="s">
        <v>5045</v>
      </c>
      <c r="L1313" s="12"/>
      <c r="M1313" s="12" t="str">
        <f>HYPERLINK("https://ceds.ed.gov/cedselementdetails.aspx?termid=10599")</f>
        <v>https://ceds.ed.gov/cedselementdetails.aspx?termid=10599</v>
      </c>
      <c r="N1313" s="12" t="str">
        <f>HYPERLINK("https://ceds.ed.gov/elementComment.aspx?elementName=Professional Development Plan Approved By Supervisor &amp;elementID=10599", "Click here to submit comment")</f>
        <v>Click here to submit comment</v>
      </c>
    </row>
    <row r="1314" spans="1:14" ht="45" x14ac:dyDescent="0.25">
      <c r="A1314" s="12" t="s">
        <v>5046</v>
      </c>
      <c r="B1314" s="12" t="s">
        <v>5047</v>
      </c>
      <c r="C1314" s="12" t="s">
        <v>12</v>
      </c>
      <c r="D1314" s="12" t="s">
        <v>1635</v>
      </c>
      <c r="E1314" s="12"/>
      <c r="F1314" s="12" t="s">
        <v>73</v>
      </c>
      <c r="G1314" s="12"/>
      <c r="H1314" s="12"/>
      <c r="I1314" s="12" t="s">
        <v>5048</v>
      </c>
      <c r="J1314" s="12"/>
      <c r="K1314" s="12" t="s">
        <v>5049</v>
      </c>
      <c r="L1314" s="12"/>
      <c r="M1314" s="12" t="str">
        <f>HYPERLINK("https://ceds.ed.gov/cedselementdetails.aspx?termid=10600")</f>
        <v>https://ceds.ed.gov/cedselementdetails.aspx?termid=10600</v>
      </c>
      <c r="N1314" s="12" t="str">
        <f>HYPERLINK("https://ceds.ed.gov/elementComment.aspx?elementName=Professional Development Plan Completion &amp;elementID=10600", "Click here to submit comment")</f>
        <v>Click here to submit comment</v>
      </c>
    </row>
    <row r="1315" spans="1:14" ht="45" x14ac:dyDescent="0.25">
      <c r="A1315" s="12" t="s">
        <v>5050</v>
      </c>
      <c r="B1315" s="12" t="s">
        <v>5051</v>
      </c>
      <c r="C1315" s="12" t="s">
        <v>6364</v>
      </c>
      <c r="D1315" s="12" t="s">
        <v>1635</v>
      </c>
      <c r="E1315" s="12"/>
      <c r="F1315" s="12"/>
      <c r="G1315" s="12"/>
      <c r="H1315" s="12"/>
      <c r="I1315" s="12" t="s">
        <v>5052</v>
      </c>
      <c r="J1315" s="12"/>
      <c r="K1315" s="12" t="s">
        <v>5053</v>
      </c>
      <c r="L1315" s="12"/>
      <c r="M1315" s="12" t="str">
        <f>HYPERLINK("https://ceds.ed.gov/cedselementdetails.aspx?termid=10415")</f>
        <v>https://ceds.ed.gov/cedselementdetails.aspx?termid=10415</v>
      </c>
      <c r="N1315" s="12" t="str">
        <f>HYPERLINK("https://ceds.ed.gov/elementComment.aspx?elementName=Professional Development Publish Activity Indicator &amp;elementID=10415", "Click here to submit comment")</f>
        <v>Click here to submit comment</v>
      </c>
    </row>
    <row r="1316" spans="1:14" ht="60" x14ac:dyDescent="0.25">
      <c r="A1316" s="12" t="s">
        <v>5054</v>
      </c>
      <c r="B1316" s="12" t="s">
        <v>5055</v>
      </c>
      <c r="C1316" s="12" t="s">
        <v>6364</v>
      </c>
      <c r="D1316" s="12" t="s">
        <v>1635</v>
      </c>
      <c r="E1316" s="12"/>
      <c r="F1316" s="12"/>
      <c r="G1316" s="12"/>
      <c r="H1316" s="12"/>
      <c r="I1316" s="12" t="s">
        <v>5056</v>
      </c>
      <c r="J1316" s="12"/>
      <c r="K1316" s="12" t="s">
        <v>5057</v>
      </c>
      <c r="L1316" s="12" t="s">
        <v>205</v>
      </c>
      <c r="M1316" s="12" t="str">
        <f>HYPERLINK("https://ceds.ed.gov/cedselementdetails.aspx?termid=9810")</f>
        <v>https://ceds.ed.gov/cedselementdetails.aspx?termid=9810</v>
      </c>
      <c r="N1316" s="12" t="str">
        <f>HYPERLINK("https://ceds.ed.gov/elementComment.aspx?elementName=Professional Development Scholarship Status &amp;elementID=9810", "Click here to submit comment")</f>
        <v>Click here to submit comment</v>
      </c>
    </row>
    <row r="1317" spans="1:14" ht="90" x14ac:dyDescent="0.25">
      <c r="A1317" s="12" t="s">
        <v>5058</v>
      </c>
      <c r="B1317" s="12" t="s">
        <v>5059</v>
      </c>
      <c r="C1317" s="12" t="s">
        <v>12</v>
      </c>
      <c r="D1317" s="12" t="s">
        <v>6636</v>
      </c>
      <c r="E1317" s="12"/>
      <c r="F1317" s="12" t="s">
        <v>620</v>
      </c>
      <c r="G1317" s="12"/>
      <c r="H1317" s="12"/>
      <c r="I1317" s="12" t="s">
        <v>5060</v>
      </c>
      <c r="J1317" s="12"/>
      <c r="K1317" s="12" t="s">
        <v>5061</v>
      </c>
      <c r="L1317" s="12"/>
      <c r="M1317" s="12" t="str">
        <f>HYPERLINK("https://ceds.ed.gov/cedselementdetails.aspx?termid=10416")</f>
        <v>https://ceds.ed.gov/cedselementdetails.aspx?termid=10416</v>
      </c>
      <c r="N1317" s="12" t="str">
        <f>HYPERLINK("https://ceds.ed.gov/elementComment.aspx?elementName=Professional Development Session Capacity &amp;elementID=10416", "Click here to submit comment")</f>
        <v>Click here to submit comment</v>
      </c>
    </row>
    <row r="1318" spans="1:14" ht="90" x14ac:dyDescent="0.25">
      <c r="A1318" s="12" t="s">
        <v>5062</v>
      </c>
      <c r="B1318" s="12" t="s">
        <v>5063</v>
      </c>
      <c r="C1318" s="12" t="s">
        <v>12</v>
      </c>
      <c r="D1318" s="12" t="s">
        <v>6636</v>
      </c>
      <c r="E1318" s="12"/>
      <c r="F1318" s="12" t="s">
        <v>73</v>
      </c>
      <c r="G1318" s="12"/>
      <c r="H1318" s="12"/>
      <c r="I1318" s="12" t="s">
        <v>5064</v>
      </c>
      <c r="J1318" s="12"/>
      <c r="K1318" s="12" t="s">
        <v>5065</v>
      </c>
      <c r="L1318" s="12"/>
      <c r="M1318" s="12" t="str">
        <f>HYPERLINK("https://ceds.ed.gov/cedselementdetails.aspx?termid=10417")</f>
        <v>https://ceds.ed.gov/cedselementdetails.aspx?termid=10417</v>
      </c>
      <c r="N1318" s="12" t="str">
        <f>HYPERLINK("https://ceds.ed.gov/elementComment.aspx?elementName=Professional Development Session End Date &amp;elementID=10417", "Click here to submit comment")</f>
        <v>Click here to submit comment</v>
      </c>
    </row>
    <row r="1319" spans="1:14" ht="90" x14ac:dyDescent="0.25">
      <c r="A1319" s="12" t="s">
        <v>5066</v>
      </c>
      <c r="B1319" s="12" t="s">
        <v>5067</v>
      </c>
      <c r="C1319" s="12" t="s">
        <v>12</v>
      </c>
      <c r="D1319" s="12" t="s">
        <v>6636</v>
      </c>
      <c r="E1319" s="12"/>
      <c r="F1319" s="12" t="s">
        <v>5068</v>
      </c>
      <c r="G1319" s="12"/>
      <c r="H1319" s="12"/>
      <c r="I1319" s="12" t="s">
        <v>5069</v>
      </c>
      <c r="J1319" s="12"/>
      <c r="K1319" s="12" t="s">
        <v>5070</v>
      </c>
      <c r="L1319" s="12"/>
      <c r="M1319" s="12" t="str">
        <f>HYPERLINK("https://ceds.ed.gov/cedselementdetails.aspx?termid=10418")</f>
        <v>https://ceds.ed.gov/cedselementdetails.aspx?termid=10418</v>
      </c>
      <c r="N1319" s="12" t="str">
        <f>HYPERLINK("https://ceds.ed.gov/elementComment.aspx?elementName=Professional Development Session End Time &amp;elementID=10418", "Click here to submit comment")</f>
        <v>Click here to submit comment</v>
      </c>
    </row>
    <row r="1320" spans="1:14" ht="90" x14ac:dyDescent="0.25">
      <c r="A1320" s="12" t="s">
        <v>5071</v>
      </c>
      <c r="B1320" s="12" t="s">
        <v>5072</v>
      </c>
      <c r="C1320" s="12" t="s">
        <v>12</v>
      </c>
      <c r="D1320" s="12" t="s">
        <v>6636</v>
      </c>
      <c r="E1320" s="12"/>
      <c r="F1320" s="12" t="s">
        <v>92</v>
      </c>
      <c r="G1320" s="12"/>
      <c r="H1320" s="12"/>
      <c r="I1320" s="12" t="s">
        <v>5073</v>
      </c>
      <c r="J1320" s="12"/>
      <c r="K1320" s="12" t="s">
        <v>5074</v>
      </c>
      <c r="L1320" s="12"/>
      <c r="M1320" s="12" t="str">
        <f>HYPERLINK("https://ceds.ed.gov/cedselementdetails.aspx?termid=10419")</f>
        <v>https://ceds.ed.gov/cedselementdetails.aspx?termid=10419</v>
      </c>
      <c r="N1320" s="12" t="str">
        <f>HYPERLINK("https://ceds.ed.gov/elementComment.aspx?elementName=Professional Development Session Evaluation Method &amp;elementID=10419", "Click here to submit comment")</f>
        <v>Click here to submit comment</v>
      </c>
    </row>
    <row r="1321" spans="1:14" ht="90" x14ac:dyDescent="0.25">
      <c r="A1321" s="12" t="s">
        <v>5075</v>
      </c>
      <c r="B1321" s="12" t="s">
        <v>5076</v>
      </c>
      <c r="C1321" s="12" t="s">
        <v>12</v>
      </c>
      <c r="D1321" s="12" t="s">
        <v>6636</v>
      </c>
      <c r="E1321" s="12"/>
      <c r="F1321" s="12" t="s">
        <v>92</v>
      </c>
      <c r="G1321" s="12"/>
      <c r="H1321" s="12"/>
      <c r="I1321" s="12" t="s">
        <v>5077</v>
      </c>
      <c r="J1321" s="12"/>
      <c r="K1321" s="12" t="s">
        <v>5078</v>
      </c>
      <c r="L1321" s="12"/>
      <c r="M1321" s="12" t="str">
        <f>HYPERLINK("https://ceds.ed.gov/cedselementdetails.aspx?termid=10420")</f>
        <v>https://ceds.ed.gov/cedselementdetails.aspx?termid=10420</v>
      </c>
      <c r="N1321" s="12" t="str">
        <f>HYPERLINK("https://ceds.ed.gov/elementComment.aspx?elementName=Professional Development Session Evaluation Score &amp;elementID=10420", "Click here to submit comment")</f>
        <v>Click here to submit comment</v>
      </c>
    </row>
    <row r="1322" spans="1:14" ht="105" x14ac:dyDescent="0.25">
      <c r="A1322" s="18" t="s">
        <v>5079</v>
      </c>
      <c r="B1322" s="18" t="s">
        <v>5080</v>
      </c>
      <c r="C1322" s="18" t="s">
        <v>12</v>
      </c>
      <c r="D1322" s="18" t="s">
        <v>6636</v>
      </c>
      <c r="E1322" s="18"/>
      <c r="F1322" s="18" t="s">
        <v>142</v>
      </c>
      <c r="G1322" s="18"/>
      <c r="H1322" s="12" t="s">
        <v>143</v>
      </c>
      <c r="I1322" s="18" t="s">
        <v>5081</v>
      </c>
      <c r="J1322" s="18"/>
      <c r="K1322" s="18" t="s">
        <v>5082</v>
      </c>
      <c r="L1322" s="18"/>
      <c r="M1322" s="18" t="str">
        <f>HYPERLINK("https://ceds.ed.gov/cedselementdetails.aspx?termid=10422")</f>
        <v>https://ceds.ed.gov/cedselementdetails.aspx?termid=10422</v>
      </c>
      <c r="N1322" s="18" t="str">
        <f>HYPERLINK("https://ceds.ed.gov/elementComment.aspx?elementName=Professional Development Session Identifier &amp;elementID=10422", "Click here to submit comment")</f>
        <v>Click here to submit comment</v>
      </c>
    </row>
    <row r="1323" spans="1:14" x14ac:dyDescent="0.25">
      <c r="A1323" s="18"/>
      <c r="B1323" s="18"/>
      <c r="C1323" s="18"/>
      <c r="D1323" s="18"/>
      <c r="E1323" s="18"/>
      <c r="F1323" s="18"/>
      <c r="G1323" s="18"/>
      <c r="H1323" s="12"/>
      <c r="I1323" s="18"/>
      <c r="J1323" s="18"/>
      <c r="K1323" s="18"/>
      <c r="L1323" s="18"/>
      <c r="M1323" s="18"/>
      <c r="N1323" s="18"/>
    </row>
    <row r="1324" spans="1:14" ht="90" x14ac:dyDescent="0.25">
      <c r="A1324" s="18"/>
      <c r="B1324" s="18"/>
      <c r="C1324" s="18"/>
      <c r="D1324" s="18"/>
      <c r="E1324" s="18"/>
      <c r="F1324" s="18"/>
      <c r="G1324" s="18"/>
      <c r="H1324" s="12" t="s">
        <v>144</v>
      </c>
      <c r="I1324" s="18"/>
      <c r="J1324" s="18"/>
      <c r="K1324" s="18"/>
      <c r="L1324" s="18"/>
      <c r="M1324" s="18"/>
      <c r="N1324" s="18"/>
    </row>
    <row r="1325" spans="1:14" ht="90" x14ac:dyDescent="0.25">
      <c r="A1325" s="12" t="s">
        <v>5083</v>
      </c>
      <c r="B1325" s="12" t="s">
        <v>5084</v>
      </c>
      <c r="C1325" s="14" t="s">
        <v>999</v>
      </c>
      <c r="D1325" s="12" t="s">
        <v>6635</v>
      </c>
      <c r="E1325" s="12" t="s">
        <v>98</v>
      </c>
      <c r="F1325" s="12"/>
      <c r="G1325" s="12"/>
      <c r="H1325" s="14" t="s">
        <v>1000</v>
      </c>
      <c r="I1325" s="12" t="s">
        <v>5085</v>
      </c>
      <c r="J1325" s="12"/>
      <c r="K1325" s="12" t="s">
        <v>5086</v>
      </c>
      <c r="L1325" s="12"/>
      <c r="M1325" s="12" t="str">
        <f>HYPERLINK("https://ceds.ed.gov/cedselementdetails.aspx?termid=10357")</f>
        <v>https://ceds.ed.gov/cedselementdetails.aspx?termid=10357</v>
      </c>
      <c r="N1325" s="12" t="str">
        <f>HYPERLINK("https://ceds.ed.gov/elementComment.aspx?elementName=Professional Development Session Language &amp;elementID=10357", "Click here to submit comment")</f>
        <v>Click here to submit comment</v>
      </c>
    </row>
    <row r="1326" spans="1:14" ht="105" x14ac:dyDescent="0.25">
      <c r="A1326" s="12" t="s">
        <v>5087</v>
      </c>
      <c r="B1326" s="12" t="s">
        <v>5088</v>
      </c>
      <c r="C1326" s="12" t="s">
        <v>12</v>
      </c>
      <c r="D1326" s="12" t="s">
        <v>6637</v>
      </c>
      <c r="E1326" s="12"/>
      <c r="F1326" s="12" t="s">
        <v>99</v>
      </c>
      <c r="G1326" s="12"/>
      <c r="H1326" s="12"/>
      <c r="I1326" s="12" t="s">
        <v>5089</v>
      </c>
      <c r="J1326" s="12"/>
      <c r="K1326" s="12" t="s">
        <v>5090</v>
      </c>
      <c r="L1326" s="12"/>
      <c r="M1326" s="12" t="str">
        <f>HYPERLINK("https://ceds.ed.gov/cedselementdetails.aspx?termid=10424")</f>
        <v>https://ceds.ed.gov/cedselementdetails.aspx?termid=10424</v>
      </c>
      <c r="N1326" s="12" t="str">
        <f>HYPERLINK("https://ceds.ed.gov/elementComment.aspx?elementName=Professional Development Session Location Name &amp;elementID=10424", "Click here to submit comment")</f>
        <v>Click here to submit comment</v>
      </c>
    </row>
    <row r="1327" spans="1:14" ht="90" x14ac:dyDescent="0.25">
      <c r="A1327" s="12" t="s">
        <v>5091</v>
      </c>
      <c r="B1327" s="12" t="s">
        <v>5092</v>
      </c>
      <c r="C1327" s="12" t="s">
        <v>12</v>
      </c>
      <c r="D1327" s="12" t="s">
        <v>6636</v>
      </c>
      <c r="E1327" s="12"/>
      <c r="F1327" s="12" t="s">
        <v>73</v>
      </c>
      <c r="G1327" s="12"/>
      <c r="H1327" s="12"/>
      <c r="I1327" s="12" t="s">
        <v>5093</v>
      </c>
      <c r="J1327" s="12"/>
      <c r="K1327" s="12" t="s">
        <v>5094</v>
      </c>
      <c r="L1327" s="12"/>
      <c r="M1327" s="12" t="str">
        <f>HYPERLINK("https://ceds.ed.gov/cedselementdetails.aspx?termid=10426")</f>
        <v>https://ceds.ed.gov/cedselementdetails.aspx?termid=10426</v>
      </c>
      <c r="N1327" s="12" t="str">
        <f>HYPERLINK("https://ceds.ed.gov/elementComment.aspx?elementName=Professional Development Session Start Date &amp;elementID=10426", "Click here to submit comment")</f>
        <v>Click here to submit comment</v>
      </c>
    </row>
    <row r="1328" spans="1:14" ht="90" x14ac:dyDescent="0.25">
      <c r="A1328" s="12" t="s">
        <v>5095</v>
      </c>
      <c r="B1328" s="12" t="s">
        <v>5096</v>
      </c>
      <c r="C1328" s="12" t="s">
        <v>12</v>
      </c>
      <c r="D1328" s="12" t="s">
        <v>6636</v>
      </c>
      <c r="E1328" s="12"/>
      <c r="F1328" s="12" t="s">
        <v>5068</v>
      </c>
      <c r="G1328" s="12"/>
      <c r="H1328" s="12"/>
      <c r="I1328" s="12" t="s">
        <v>5097</v>
      </c>
      <c r="J1328" s="12"/>
      <c r="K1328" s="12" t="s">
        <v>5098</v>
      </c>
      <c r="L1328" s="12"/>
      <c r="M1328" s="12" t="str">
        <f>HYPERLINK("https://ceds.ed.gov/cedselementdetails.aspx?termid=10427")</f>
        <v>https://ceds.ed.gov/cedselementdetails.aspx?termid=10427</v>
      </c>
      <c r="N1328" s="12" t="str">
        <f>HYPERLINK("https://ceds.ed.gov/elementComment.aspx?elementName=Professional Development Session Start Time &amp;elementID=10427", "Click here to submit comment")</f>
        <v>Click here to submit comment</v>
      </c>
    </row>
    <row r="1329" spans="1:14" ht="90" x14ac:dyDescent="0.25">
      <c r="A1329" s="12" t="s">
        <v>5099</v>
      </c>
      <c r="B1329" s="12" t="s">
        <v>5100</v>
      </c>
      <c r="C1329" s="13" t="s">
        <v>7074</v>
      </c>
      <c r="D1329" s="12" t="s">
        <v>6636</v>
      </c>
      <c r="E1329" s="12"/>
      <c r="F1329" s="12"/>
      <c r="G1329" s="12"/>
      <c r="H1329" s="12"/>
      <c r="I1329" s="12" t="s">
        <v>5101</v>
      </c>
      <c r="J1329" s="12"/>
      <c r="K1329" s="12" t="s">
        <v>5102</v>
      </c>
      <c r="L1329" s="12"/>
      <c r="M1329" s="12" t="str">
        <f>HYPERLINK("https://ceds.ed.gov/cedselementdetails.aspx?termid=10428")</f>
        <v>https://ceds.ed.gov/cedselementdetails.aspx?termid=10428</v>
      </c>
      <c r="N1329" s="12" t="str">
        <f>HYPERLINK("https://ceds.ed.gov/elementComment.aspx?elementName=Professional Development Session Status &amp;elementID=10428", "Click here to submit comment")</f>
        <v>Click here to submit comment</v>
      </c>
    </row>
    <row r="1330" spans="1:14" ht="255" x14ac:dyDescent="0.25">
      <c r="A1330" s="12" t="s">
        <v>5103</v>
      </c>
      <c r="B1330" s="12" t="s">
        <v>5104</v>
      </c>
      <c r="C1330" s="13" t="s">
        <v>7075</v>
      </c>
      <c r="D1330" s="12" t="s">
        <v>3651</v>
      </c>
      <c r="E1330" s="12"/>
      <c r="F1330" s="12"/>
      <c r="G1330" s="12"/>
      <c r="H1330" s="12"/>
      <c r="I1330" s="12" t="s">
        <v>5105</v>
      </c>
      <c r="J1330" s="12"/>
      <c r="K1330" s="12" t="s">
        <v>5106</v>
      </c>
      <c r="L1330" s="12"/>
      <c r="M1330" s="12" t="str">
        <f>HYPERLINK("https://ceds.ed.gov/cedselementdetails.aspx?termid=9220")</f>
        <v>https://ceds.ed.gov/cedselementdetails.aspx?termid=9220</v>
      </c>
      <c r="N1330" s="12" t="str">
        <f>HYPERLINK("https://ceds.ed.gov/elementComment.aspx?elementName=Professional Educational Job Classification &amp;elementID=9220", "Click here to submit comment")</f>
        <v>Click here to submit comment</v>
      </c>
    </row>
    <row r="1331" spans="1:14" ht="360" x14ac:dyDescent="0.25">
      <c r="A1331" s="12" t="s">
        <v>5107</v>
      </c>
      <c r="B1331" s="12" t="s">
        <v>5108</v>
      </c>
      <c r="C1331" s="13" t="s">
        <v>7076</v>
      </c>
      <c r="D1331" s="12" t="s">
        <v>6638</v>
      </c>
      <c r="E1331" s="12"/>
      <c r="F1331" s="12"/>
      <c r="G1331" s="12"/>
      <c r="H1331" s="12"/>
      <c r="I1331" s="12" t="s">
        <v>5109</v>
      </c>
      <c r="J1331" s="12"/>
      <c r="K1331" s="12" t="s">
        <v>5110</v>
      </c>
      <c r="L1331" s="12"/>
      <c r="M1331" s="12" t="str">
        <f>HYPERLINK("https://ceds.ed.gov/cedselementdetails.aspx?termid=9780")</f>
        <v>https://ceds.ed.gov/cedselementdetails.aspx?termid=9780</v>
      </c>
      <c r="N1331" s="12" t="str">
        <f>HYPERLINK("https://ceds.ed.gov/elementComment.aspx?elementName=Professional or Technical Credential Conferred &amp;elementID=9780", "Click here to submit comment")</f>
        <v>Click here to submit comment</v>
      </c>
    </row>
    <row r="1332" spans="1:14" ht="60" x14ac:dyDescent="0.25">
      <c r="A1332" s="12" t="s">
        <v>5111</v>
      </c>
      <c r="B1332" s="12" t="s">
        <v>5112</v>
      </c>
      <c r="C1332" s="13" t="s">
        <v>7077</v>
      </c>
      <c r="D1332" s="12" t="s">
        <v>6639</v>
      </c>
      <c r="E1332" s="12"/>
      <c r="F1332" s="12"/>
      <c r="G1332" s="12"/>
      <c r="H1332" s="12"/>
      <c r="I1332" s="12" t="s">
        <v>5113</v>
      </c>
      <c r="J1332" s="12"/>
      <c r="K1332" s="12" t="s">
        <v>5114</v>
      </c>
      <c r="L1332" s="12" t="s">
        <v>222</v>
      </c>
      <c r="M1332" s="12" t="str">
        <f>HYPERLINK("https://ceds.ed.gov/cedselementdetails.aspx?termid=9565")</f>
        <v>https://ceds.ed.gov/cedselementdetails.aspx?termid=9565</v>
      </c>
      <c r="N1332" s="12" t="str">
        <f>HYPERLINK("https://ceds.ed.gov/elementComment.aspx?elementName=Proficiency Status &amp;elementID=9565", "Click here to submit comment")</f>
        <v>Click here to submit comment</v>
      </c>
    </row>
    <row r="1333" spans="1:14" ht="195" x14ac:dyDescent="0.25">
      <c r="A1333" s="12" t="s">
        <v>5115</v>
      </c>
      <c r="B1333" s="12" t="s">
        <v>5116</v>
      </c>
      <c r="C1333" s="13" t="s">
        <v>7078</v>
      </c>
      <c r="D1333" s="12" t="s">
        <v>6383</v>
      </c>
      <c r="E1333" s="12"/>
      <c r="F1333" s="12"/>
      <c r="G1333" s="12"/>
      <c r="H1333" s="12"/>
      <c r="I1333" s="12" t="s">
        <v>5117</v>
      </c>
      <c r="J1333" s="12"/>
      <c r="K1333" s="12" t="s">
        <v>5118</v>
      </c>
      <c r="L1333" s="12" t="s">
        <v>222</v>
      </c>
      <c r="M1333" s="12" t="str">
        <f>HYPERLINK("https://ceds.ed.gov/cedselementdetails.aspx?termid=9221")</f>
        <v>https://ceds.ed.gov/cedselementdetails.aspx?termid=9221</v>
      </c>
      <c r="N1333" s="12" t="str">
        <f>HYPERLINK("https://ceds.ed.gov/elementComment.aspx?elementName=Proficiency Target Status for Math &amp;elementID=9221", "Click here to submit comment")</f>
        <v>Click here to submit comment</v>
      </c>
    </row>
    <row r="1334" spans="1:14" ht="195" x14ac:dyDescent="0.25">
      <c r="A1334" s="12" t="s">
        <v>5119</v>
      </c>
      <c r="B1334" s="12" t="s">
        <v>5120</v>
      </c>
      <c r="C1334" s="13" t="s">
        <v>7078</v>
      </c>
      <c r="D1334" s="12" t="s">
        <v>6383</v>
      </c>
      <c r="E1334" s="12"/>
      <c r="F1334" s="12"/>
      <c r="G1334" s="12"/>
      <c r="H1334" s="12"/>
      <c r="I1334" s="12" t="s">
        <v>5121</v>
      </c>
      <c r="J1334" s="12"/>
      <c r="K1334" s="12" t="s">
        <v>5122</v>
      </c>
      <c r="L1334" s="12" t="s">
        <v>222</v>
      </c>
      <c r="M1334" s="12" t="str">
        <f>HYPERLINK("https://ceds.ed.gov/cedselementdetails.aspx?termid=9544")</f>
        <v>https://ceds.ed.gov/cedselementdetails.aspx?termid=9544</v>
      </c>
      <c r="N1334" s="12" t="str">
        <f>HYPERLINK("https://ceds.ed.gov/elementComment.aspx?elementName=Proficiency Target Status for Reading and Language Arts &amp;elementID=9544", "Click here to submit comment")</f>
        <v>Click here to submit comment</v>
      </c>
    </row>
    <row r="1335" spans="1:14" ht="60" x14ac:dyDescent="0.25">
      <c r="A1335" s="12" t="s">
        <v>5123</v>
      </c>
      <c r="B1335" s="12" t="s">
        <v>5124</v>
      </c>
      <c r="C1335" s="12" t="s">
        <v>6364</v>
      </c>
      <c r="D1335" s="12" t="s">
        <v>1424</v>
      </c>
      <c r="E1335" s="12"/>
      <c r="F1335" s="12"/>
      <c r="G1335" s="12"/>
      <c r="H1335" s="12"/>
      <c r="I1335" s="12" t="s">
        <v>5125</v>
      </c>
      <c r="J1335" s="12"/>
      <c r="K1335" s="12" t="s">
        <v>5126</v>
      </c>
      <c r="L1335" s="12" t="s">
        <v>6640</v>
      </c>
      <c r="M1335" s="12" t="str">
        <f>HYPERLINK("https://ceds.ed.gov/cedselementdetails.aspx?termid=9854")</f>
        <v>https://ceds.ed.gov/cedselementdetails.aspx?termid=9854</v>
      </c>
      <c r="N1335" s="12" t="str">
        <f>HYPERLINK("https://ceds.ed.gov/elementComment.aspx?elementName=Program Collects Parental Feedback &amp;elementID=9854", "Click here to submit comment")</f>
        <v>Click here to submit comment</v>
      </c>
    </row>
    <row r="1336" spans="1:14" ht="45" x14ac:dyDescent="0.25">
      <c r="A1336" s="12" t="s">
        <v>5127</v>
      </c>
      <c r="B1336" s="12" t="s">
        <v>5128</v>
      </c>
      <c r="C1336" s="12" t="s">
        <v>6364</v>
      </c>
      <c r="D1336" s="12" t="s">
        <v>5129</v>
      </c>
      <c r="E1336" s="12"/>
      <c r="F1336" s="12"/>
      <c r="G1336" s="12"/>
      <c r="H1336" s="12"/>
      <c r="I1336" s="12" t="s">
        <v>5130</v>
      </c>
      <c r="J1336" s="12"/>
      <c r="K1336" s="12" t="s">
        <v>5131</v>
      </c>
      <c r="L1336" s="12" t="s">
        <v>6515</v>
      </c>
      <c r="M1336" s="12" t="str">
        <f>HYPERLINK("https://ceds.ed.gov/cedselementdetails.aspx?termid=9863")</f>
        <v>https://ceds.ed.gov/cedselementdetails.aspx?termid=9863</v>
      </c>
      <c r="N1336" s="12" t="str">
        <f>HYPERLINK("https://ceds.ed.gov/elementComment.aspx?elementName=Program Follows Salary Scale &amp;elementID=9863", "Click here to submit comment")</f>
        <v>Click here to submit comment</v>
      </c>
    </row>
    <row r="1337" spans="1:14" ht="409.5" x14ac:dyDescent="0.25">
      <c r="A1337" s="12" t="s">
        <v>5132</v>
      </c>
      <c r="B1337" s="12" t="s">
        <v>5133</v>
      </c>
      <c r="C1337" s="13" t="s">
        <v>7079</v>
      </c>
      <c r="D1337" s="12" t="s">
        <v>6641</v>
      </c>
      <c r="E1337" s="12"/>
      <c r="F1337" s="12"/>
      <c r="G1337" s="12"/>
      <c r="H1337" s="12"/>
      <c r="I1337" s="12" t="s">
        <v>5134</v>
      </c>
      <c r="J1337" s="12"/>
      <c r="K1337" s="12" t="s">
        <v>5135</v>
      </c>
      <c r="L1337" s="12"/>
      <c r="M1337" s="12" t="str">
        <f>HYPERLINK("https://ceds.ed.gov/cedselementdetails.aspx?termid=10210")</f>
        <v>https://ceds.ed.gov/cedselementdetails.aspx?termid=10210</v>
      </c>
      <c r="N1337" s="12" t="str">
        <f>HYPERLINK("https://ceds.ed.gov/elementComment.aspx?elementName=Program Gifted Eligibility Criteria &amp;elementID=10210", "Click here to submit comment")</f>
        <v>Click here to submit comment</v>
      </c>
    </row>
    <row r="1338" spans="1:14" ht="45" x14ac:dyDescent="0.25">
      <c r="A1338" s="12" t="s">
        <v>5136</v>
      </c>
      <c r="B1338" s="12" t="s">
        <v>5137</v>
      </c>
      <c r="C1338" s="12" t="s">
        <v>6364</v>
      </c>
      <c r="D1338" s="12" t="s">
        <v>5138</v>
      </c>
      <c r="E1338" s="12"/>
      <c r="F1338" s="12"/>
      <c r="G1338" s="12"/>
      <c r="H1338" s="12"/>
      <c r="I1338" s="12" t="s">
        <v>5139</v>
      </c>
      <c r="J1338" s="12"/>
      <c r="K1338" s="12" t="s">
        <v>5140</v>
      </c>
      <c r="L1338" s="12" t="s">
        <v>64</v>
      </c>
      <c r="M1338" s="12" t="str">
        <f>HYPERLINK("https://ceds.ed.gov/cedselementdetails.aspx?termid=9851")</f>
        <v>https://ceds.ed.gov/cedselementdetails.aspx?termid=9851</v>
      </c>
      <c r="N1338" s="12" t="str">
        <f>HYPERLINK("https://ceds.ed.gov/elementComment.aspx?elementName=Program Heath Safety Checklist Use Status &amp;elementID=9851", "Click here to submit comment")</f>
        <v>Click here to submit comment</v>
      </c>
    </row>
    <row r="1339" spans="1:14" ht="150" customHeight="1" x14ac:dyDescent="0.25">
      <c r="A1339" s="18" t="s">
        <v>5141</v>
      </c>
      <c r="B1339" s="18" t="s">
        <v>5142</v>
      </c>
      <c r="C1339" s="18" t="s">
        <v>12</v>
      </c>
      <c r="D1339" s="18" t="s">
        <v>6642</v>
      </c>
      <c r="E1339" s="18"/>
      <c r="F1339" s="18" t="s">
        <v>142</v>
      </c>
      <c r="G1339" s="18"/>
      <c r="H1339" s="12" t="s">
        <v>143</v>
      </c>
      <c r="I1339" s="18" t="s">
        <v>5143</v>
      </c>
      <c r="J1339" s="18"/>
      <c r="K1339" s="18" t="s">
        <v>5144</v>
      </c>
      <c r="L1339" s="18" t="s">
        <v>2017</v>
      </c>
      <c r="M1339" s="18" t="str">
        <f>HYPERLINK("https://ceds.ed.gov/cedselementdetails.aspx?termid=9618")</f>
        <v>https://ceds.ed.gov/cedselementdetails.aspx?termid=9618</v>
      </c>
      <c r="N1339" s="18" t="str">
        <f>HYPERLINK("https://ceds.ed.gov/elementComment.aspx?elementName=Program Identifier &amp;elementID=9618", "Click here to submit comment")</f>
        <v>Click here to submit comment</v>
      </c>
    </row>
    <row r="1340" spans="1:14" x14ac:dyDescent="0.25">
      <c r="A1340" s="18"/>
      <c r="B1340" s="18"/>
      <c r="C1340" s="18"/>
      <c r="D1340" s="18"/>
      <c r="E1340" s="18"/>
      <c r="F1340" s="18"/>
      <c r="G1340" s="18"/>
      <c r="H1340" s="12"/>
      <c r="I1340" s="18"/>
      <c r="J1340" s="18"/>
      <c r="K1340" s="18"/>
      <c r="L1340" s="18"/>
      <c r="M1340" s="18"/>
      <c r="N1340" s="18"/>
    </row>
    <row r="1341" spans="1:14" ht="90" x14ac:dyDescent="0.25">
      <c r="A1341" s="18"/>
      <c r="B1341" s="18"/>
      <c r="C1341" s="18"/>
      <c r="D1341" s="18"/>
      <c r="E1341" s="18"/>
      <c r="F1341" s="18"/>
      <c r="G1341" s="18"/>
      <c r="H1341" s="12" t="s">
        <v>144</v>
      </c>
      <c r="I1341" s="18"/>
      <c r="J1341" s="18"/>
      <c r="K1341" s="18"/>
      <c r="L1341" s="18"/>
      <c r="M1341" s="18"/>
      <c r="N1341" s="18"/>
    </row>
    <row r="1342" spans="1:14" ht="90" x14ac:dyDescent="0.25">
      <c r="A1342" s="12" t="s">
        <v>5145</v>
      </c>
      <c r="B1342" s="12" t="s">
        <v>5146</v>
      </c>
      <c r="C1342" s="12" t="s">
        <v>6364</v>
      </c>
      <c r="D1342" s="12" t="s">
        <v>3665</v>
      </c>
      <c r="E1342" s="12"/>
      <c r="F1342" s="12"/>
      <c r="G1342" s="12"/>
      <c r="H1342" s="12"/>
      <c r="I1342" s="12" t="s">
        <v>5147</v>
      </c>
      <c r="J1342" s="12"/>
      <c r="K1342" s="12" t="s">
        <v>5148</v>
      </c>
      <c r="L1342" s="12" t="s">
        <v>211</v>
      </c>
      <c r="M1342" s="12" t="str">
        <f>HYPERLINK("https://ceds.ed.gov/cedselementdetails.aspx?termid=9476")</f>
        <v>https://ceds.ed.gov/cedselementdetails.aspx?termid=9476</v>
      </c>
      <c r="N1342" s="12" t="str">
        <f>HYPERLINK("https://ceds.ed.gov/elementComment.aspx?elementName=Program in Multiple Purpose Facility &amp;elementID=9476", "Click here to submit comment")</f>
        <v>Click here to submit comment</v>
      </c>
    </row>
    <row r="1343" spans="1:14" ht="75" x14ac:dyDescent="0.25">
      <c r="A1343" s="12" t="s">
        <v>5149</v>
      </c>
      <c r="B1343" s="12" t="s">
        <v>5150</v>
      </c>
      <c r="C1343" s="12" t="s">
        <v>12</v>
      </c>
      <c r="D1343" s="12" t="s">
        <v>6509</v>
      </c>
      <c r="E1343" s="12"/>
      <c r="F1343" s="12" t="s">
        <v>1554</v>
      </c>
      <c r="G1343" s="12"/>
      <c r="H1343" s="12"/>
      <c r="I1343" s="12" t="s">
        <v>5151</v>
      </c>
      <c r="J1343" s="12"/>
      <c r="K1343" s="12" t="s">
        <v>5152</v>
      </c>
      <c r="L1343" s="12" t="s">
        <v>239</v>
      </c>
      <c r="M1343" s="12" t="str">
        <f>HYPERLINK("https://ceds.ed.gov/cedselementdetails.aspx?termid=9223")</f>
        <v>https://ceds.ed.gov/cedselementdetails.aspx?termid=9223</v>
      </c>
      <c r="N1343" s="12" t="str">
        <f>HYPERLINK("https://ceds.ed.gov/elementComment.aspx?elementName=Program Length Hours &amp;elementID=9223", "Click here to submit comment")</f>
        <v>Click here to submit comment</v>
      </c>
    </row>
    <row r="1344" spans="1:14" ht="75" x14ac:dyDescent="0.25">
      <c r="A1344" s="12" t="s">
        <v>5153</v>
      </c>
      <c r="B1344" s="12" t="s">
        <v>5154</v>
      </c>
      <c r="C1344" s="13" t="s">
        <v>6977</v>
      </c>
      <c r="D1344" s="12" t="s">
        <v>6509</v>
      </c>
      <c r="E1344" s="12"/>
      <c r="F1344" s="12"/>
      <c r="G1344" s="12"/>
      <c r="H1344" s="12"/>
      <c r="I1344" s="12" t="s">
        <v>5155</v>
      </c>
      <c r="J1344" s="12"/>
      <c r="K1344" s="12" t="s">
        <v>5156</v>
      </c>
      <c r="L1344" s="12" t="s">
        <v>239</v>
      </c>
      <c r="M1344" s="12" t="str">
        <f>HYPERLINK("https://ceds.ed.gov/cedselementdetails.aspx?termid=9224")</f>
        <v>https://ceds.ed.gov/cedselementdetails.aspx?termid=9224</v>
      </c>
      <c r="N1344" s="12" t="str">
        <f>HYPERLINK("https://ceds.ed.gov/elementComment.aspx?elementName=Program Length Hours Type &amp;elementID=9224", "Click here to submit comment")</f>
        <v>Click here to submit comment</v>
      </c>
    </row>
    <row r="1345" spans="1:14" ht="210" x14ac:dyDescent="0.25">
      <c r="A1345" s="12" t="s">
        <v>5157</v>
      </c>
      <c r="B1345" s="12" t="s">
        <v>5158</v>
      </c>
      <c r="C1345" s="12" t="s">
        <v>12</v>
      </c>
      <c r="D1345" s="12" t="s">
        <v>6643</v>
      </c>
      <c r="E1345" s="12"/>
      <c r="F1345" s="12" t="s">
        <v>99</v>
      </c>
      <c r="G1345" s="12"/>
      <c r="H1345" s="12"/>
      <c r="I1345" s="12" t="s">
        <v>5159</v>
      </c>
      <c r="J1345" s="12"/>
      <c r="K1345" s="12" t="s">
        <v>5160</v>
      </c>
      <c r="L1345" s="12" t="s">
        <v>2017</v>
      </c>
      <c r="M1345" s="12" t="str">
        <f>HYPERLINK("https://ceds.ed.gov/cedselementdetails.aspx?termid=9619")</f>
        <v>https://ceds.ed.gov/cedselementdetails.aspx?termid=9619</v>
      </c>
      <c r="N1345" s="12" t="str">
        <f>HYPERLINK("https://ceds.ed.gov/elementComment.aspx?elementName=Program Name &amp;elementID=9619", "Click here to submit comment")</f>
        <v>Click here to submit comment</v>
      </c>
    </row>
    <row r="1346" spans="1:14" ht="360" x14ac:dyDescent="0.25">
      <c r="A1346" s="12" t="s">
        <v>5161</v>
      </c>
      <c r="B1346" s="12" t="s">
        <v>1684</v>
      </c>
      <c r="C1346" s="12" t="s">
        <v>12</v>
      </c>
      <c r="D1346" s="12" t="s">
        <v>6644</v>
      </c>
      <c r="E1346" s="12"/>
      <c r="F1346" s="12" t="s">
        <v>73</v>
      </c>
      <c r="G1346" s="12"/>
      <c r="H1346" s="12"/>
      <c r="I1346" s="12" t="s">
        <v>5162</v>
      </c>
      <c r="J1346" s="12"/>
      <c r="K1346" s="12" t="s">
        <v>5163</v>
      </c>
      <c r="L1346" s="12" t="s">
        <v>6645</v>
      </c>
      <c r="M1346" s="12" t="str">
        <f>HYPERLINK("https://ceds.ed.gov/cedselementdetails.aspx?termid=9584")</f>
        <v>https://ceds.ed.gov/cedselementdetails.aspx?termid=9584</v>
      </c>
      <c r="N1346" s="12" t="str">
        <f>HYPERLINK("https://ceds.ed.gov/elementComment.aspx?elementName=Program Participation Exit Date &amp;elementID=9584", "Click here to submit comment")</f>
        <v>Click here to submit comment</v>
      </c>
    </row>
    <row r="1347" spans="1:14" ht="360" x14ac:dyDescent="0.25">
      <c r="A1347" s="12" t="s">
        <v>5164</v>
      </c>
      <c r="B1347" s="12" t="s">
        <v>5165</v>
      </c>
      <c r="C1347" s="12" t="s">
        <v>12</v>
      </c>
      <c r="D1347" s="12" t="s">
        <v>6644</v>
      </c>
      <c r="E1347" s="12"/>
      <c r="F1347" s="12" t="s">
        <v>73</v>
      </c>
      <c r="G1347" s="12"/>
      <c r="H1347" s="12"/>
      <c r="I1347" s="12" t="s">
        <v>5166</v>
      </c>
      <c r="J1347" s="12"/>
      <c r="K1347" s="12" t="s">
        <v>5167</v>
      </c>
      <c r="L1347" s="12" t="s">
        <v>6646</v>
      </c>
      <c r="M1347" s="12" t="str">
        <f>HYPERLINK("https://ceds.ed.gov/cedselementdetails.aspx?termid=9583")</f>
        <v>https://ceds.ed.gov/cedselementdetails.aspx?termid=9583</v>
      </c>
      <c r="N1347" s="12" t="str">
        <f>HYPERLINK("https://ceds.ed.gov/elementComment.aspx?elementName=Program Participation Start Date &amp;elementID=9583", "Click here to submit comment")</f>
        <v>Click here to submit comment</v>
      </c>
    </row>
    <row r="1348" spans="1:14" ht="135" x14ac:dyDescent="0.25">
      <c r="A1348" s="12" t="s">
        <v>5168</v>
      </c>
      <c r="B1348" s="12" t="s">
        <v>5169</v>
      </c>
      <c r="C1348" s="13" t="s">
        <v>7080</v>
      </c>
      <c r="D1348" s="12" t="s">
        <v>6647</v>
      </c>
      <c r="E1348" s="12"/>
      <c r="F1348" s="12"/>
      <c r="G1348" s="12"/>
      <c r="H1348" s="12"/>
      <c r="I1348" s="12" t="s">
        <v>5170</v>
      </c>
      <c r="J1348" s="12"/>
      <c r="K1348" s="12" t="s">
        <v>5171</v>
      </c>
      <c r="L1348" s="12" t="s">
        <v>2017</v>
      </c>
      <c r="M1348" s="12" t="str">
        <f>HYPERLINK("https://ceds.ed.gov/cedselementdetails.aspx?termid=10209")</f>
        <v>https://ceds.ed.gov/cedselementdetails.aspx?termid=10209</v>
      </c>
      <c r="N1348" s="12" t="str">
        <f>HYPERLINK("https://ceds.ed.gov/elementComment.aspx?elementName=Program Participation Status &amp;elementID=10209", "Click here to submit comment")</f>
        <v>Click here to submit comment</v>
      </c>
    </row>
    <row r="1349" spans="1:14" ht="45" x14ac:dyDescent="0.25">
      <c r="A1349" s="12" t="s">
        <v>5172</v>
      </c>
      <c r="B1349" s="12" t="s">
        <v>5173</v>
      </c>
      <c r="C1349" s="12" t="s">
        <v>6364</v>
      </c>
      <c r="D1349" s="12" t="s">
        <v>1424</v>
      </c>
      <c r="E1349" s="12"/>
      <c r="F1349" s="12"/>
      <c r="G1349" s="12"/>
      <c r="H1349" s="12"/>
      <c r="I1349" s="12" t="s">
        <v>5174</v>
      </c>
      <c r="J1349" s="12"/>
      <c r="K1349" s="12" t="s">
        <v>5175</v>
      </c>
      <c r="L1349" s="12" t="s">
        <v>64</v>
      </c>
      <c r="M1349" s="12" t="str">
        <f>HYPERLINK("https://ceds.ed.gov/cedselementdetails.aspx?termid=9856")</f>
        <v>https://ceds.ed.gov/cedselementdetails.aspx?termid=9856</v>
      </c>
      <c r="N1349" s="12" t="str">
        <f>HYPERLINK("https://ceds.ed.gov/elementComment.aspx?elementName=Program Provides Parent Education &amp;elementID=9856", "Click here to submit comment")</f>
        <v>Click here to submit comment</v>
      </c>
    </row>
    <row r="1350" spans="1:14" ht="60" x14ac:dyDescent="0.25">
      <c r="A1350" s="12" t="s">
        <v>5176</v>
      </c>
      <c r="B1350" s="12" t="s">
        <v>5177</v>
      </c>
      <c r="C1350" s="12" t="s">
        <v>6364</v>
      </c>
      <c r="D1350" s="12" t="s">
        <v>1424</v>
      </c>
      <c r="E1350" s="12"/>
      <c r="F1350" s="12"/>
      <c r="G1350" s="12"/>
      <c r="H1350" s="12"/>
      <c r="I1350" s="12" t="s">
        <v>5178</v>
      </c>
      <c r="J1350" s="12"/>
      <c r="K1350" s="12" t="s">
        <v>5179</v>
      </c>
      <c r="L1350" s="12" t="s">
        <v>64</v>
      </c>
      <c r="M1350" s="12" t="str">
        <f>HYPERLINK("https://ceds.ed.gov/cedselementdetails.aspx?termid=9855")</f>
        <v>https://ceds.ed.gov/cedselementdetails.aspx?termid=9855</v>
      </c>
      <c r="N1350" s="12" t="str">
        <f>HYPERLINK("https://ceds.ed.gov/elementComment.aspx?elementName=Program Provides Parent Involvement Opportunity &amp;elementID=9855", "Click here to submit comment")</f>
        <v>Click here to submit comment</v>
      </c>
    </row>
    <row r="1351" spans="1:14" ht="45" x14ac:dyDescent="0.25">
      <c r="A1351" s="12" t="s">
        <v>5180</v>
      </c>
      <c r="B1351" s="12" t="s">
        <v>5181</v>
      </c>
      <c r="C1351" s="12" t="s">
        <v>6364</v>
      </c>
      <c r="D1351" s="12" t="s">
        <v>5182</v>
      </c>
      <c r="E1351" s="12"/>
      <c r="F1351" s="12"/>
      <c r="G1351" s="12"/>
      <c r="H1351" s="12"/>
      <c r="I1351" s="12" t="s">
        <v>5183</v>
      </c>
      <c r="J1351" s="12"/>
      <c r="K1351" s="12" t="s">
        <v>5184</v>
      </c>
      <c r="L1351" s="12" t="s">
        <v>64</v>
      </c>
      <c r="M1351" s="12" t="str">
        <f>HYPERLINK("https://ceds.ed.gov/cedselementdetails.aspx?termid=9845")</f>
        <v>https://ceds.ed.gov/cedselementdetails.aspx?termid=9845</v>
      </c>
      <c r="N1351" s="12" t="str">
        <f>HYPERLINK("https://ceds.ed.gov/elementComment.aspx?elementName=Program Provides Translated Materials &amp;elementID=9845", "Click here to submit comment")</f>
        <v>Click here to submit comment</v>
      </c>
    </row>
    <row r="1352" spans="1:14" ht="45" x14ac:dyDescent="0.25">
      <c r="A1352" s="12" t="s">
        <v>5185</v>
      </c>
      <c r="B1352" s="12" t="s">
        <v>5186</v>
      </c>
      <c r="C1352" s="12" t="s">
        <v>6364</v>
      </c>
      <c r="D1352" s="12" t="s">
        <v>1424</v>
      </c>
      <c r="E1352" s="12"/>
      <c r="F1352" s="12"/>
      <c r="G1352" s="12"/>
      <c r="H1352" s="12"/>
      <c r="I1352" s="12" t="s">
        <v>5187</v>
      </c>
      <c r="J1352" s="12"/>
      <c r="K1352" s="12" t="s">
        <v>5188</v>
      </c>
      <c r="L1352" s="12" t="s">
        <v>64</v>
      </c>
      <c r="M1352" s="12" t="str">
        <f>HYPERLINK("https://ceds.ed.gov/cedselementdetails.aspx?termid=9853")</f>
        <v>https://ceds.ed.gov/cedselementdetails.aspx?termid=9853</v>
      </c>
      <c r="N1352" s="12" t="str">
        <f>HYPERLINK("https://ceds.ed.gov/elementComment.aspx?elementName=Program Provides Written Handbook &amp;elementID=9853", "Click here to submit comment")</f>
        <v>Click here to submit comment</v>
      </c>
    </row>
    <row r="1353" spans="1:14" ht="270" x14ac:dyDescent="0.25">
      <c r="A1353" s="12" t="s">
        <v>5189</v>
      </c>
      <c r="B1353" s="12" t="s">
        <v>5190</v>
      </c>
      <c r="C1353" s="13" t="s">
        <v>7081</v>
      </c>
      <c r="D1353" s="12" t="s">
        <v>6648</v>
      </c>
      <c r="E1353" s="12"/>
      <c r="F1353" s="12"/>
      <c r="G1353" s="12"/>
      <c r="H1353" s="12"/>
      <c r="I1353" s="12" t="s">
        <v>5191</v>
      </c>
      <c r="J1353" s="12"/>
      <c r="K1353" s="12" t="s">
        <v>5192</v>
      </c>
      <c r="L1353" s="12"/>
      <c r="M1353" s="12" t="str">
        <f>HYPERLINK("https://ceds.ed.gov/cedselementdetails.aspx?termid=9692")</f>
        <v>https://ceds.ed.gov/cedselementdetails.aspx?termid=9692</v>
      </c>
      <c r="N1353" s="12" t="str">
        <f>HYPERLINK("https://ceds.ed.gov/elementComment.aspx?elementName=Program Sponsor Type &amp;elementID=9692", "Click here to submit comment")</f>
        <v>Click here to submit comment</v>
      </c>
    </row>
    <row r="1354" spans="1:14" ht="45" x14ac:dyDescent="0.25">
      <c r="A1354" s="12" t="s">
        <v>5193</v>
      </c>
      <c r="B1354" s="12" t="s">
        <v>5194</v>
      </c>
      <c r="C1354" s="12" t="s">
        <v>6364</v>
      </c>
      <c r="D1354" s="12" t="s">
        <v>230</v>
      </c>
      <c r="E1354" s="12"/>
      <c r="F1354" s="12"/>
      <c r="G1354" s="12"/>
      <c r="H1354" s="12"/>
      <c r="I1354" s="12" t="s">
        <v>5195</v>
      </c>
      <c r="J1354" s="12"/>
      <c r="K1354" s="12" t="s">
        <v>5196</v>
      </c>
      <c r="L1354" s="12" t="s">
        <v>64</v>
      </c>
      <c r="M1354" s="12" t="str">
        <f>HYPERLINK("https://ceds.ed.gov/cedselementdetails.aspx?termid=9859")</f>
        <v>https://ceds.ed.gov/cedselementdetails.aspx?termid=9859</v>
      </c>
      <c r="N1354" s="12" t="str">
        <f>HYPERLINK("https://ceds.ed.gov/elementComment.aspx?elementName=Program Transition Planning Policy &amp;elementID=9859", "Click here to submit comment")</f>
        <v>Click here to submit comment</v>
      </c>
    </row>
    <row r="1355" spans="1:14" ht="409.5" x14ac:dyDescent="0.25">
      <c r="A1355" s="12" t="s">
        <v>5197</v>
      </c>
      <c r="B1355" s="12" t="s">
        <v>5198</v>
      </c>
      <c r="C1355" s="13" t="s">
        <v>7082</v>
      </c>
      <c r="D1355" s="12" t="s">
        <v>6649</v>
      </c>
      <c r="E1355" s="12"/>
      <c r="F1355" s="12"/>
      <c r="G1355" s="12"/>
      <c r="H1355" s="12"/>
      <c r="I1355" s="12" t="s">
        <v>5199</v>
      </c>
      <c r="J1355" s="12"/>
      <c r="K1355" s="12" t="s">
        <v>5200</v>
      </c>
      <c r="L1355" s="12" t="s">
        <v>6369</v>
      </c>
      <c r="M1355" s="12" t="str">
        <f>HYPERLINK("https://ceds.ed.gov/cedselementdetails.aspx?termid=9225")</f>
        <v>https://ceds.ed.gov/cedselementdetails.aspx?termid=9225</v>
      </c>
      <c r="N1355" s="12" t="str">
        <f>HYPERLINK("https://ceds.ed.gov/elementComment.aspx?elementName=Program Type &amp;elementID=9225", "Click here to submit comment")</f>
        <v>Click here to submit comment</v>
      </c>
    </row>
    <row r="1356" spans="1:14" ht="165" x14ac:dyDescent="0.25">
      <c r="A1356" s="12" t="s">
        <v>5201</v>
      </c>
      <c r="B1356" s="12" t="s">
        <v>5202</v>
      </c>
      <c r="C1356" s="13" t="s">
        <v>7083</v>
      </c>
      <c r="D1356" s="12" t="s">
        <v>28</v>
      </c>
      <c r="E1356" s="12"/>
      <c r="F1356" s="12"/>
      <c r="G1356" s="12"/>
      <c r="H1356" s="12"/>
      <c r="I1356" s="12" t="s">
        <v>5203</v>
      </c>
      <c r="J1356" s="12"/>
      <c r="K1356" s="12" t="s">
        <v>5204</v>
      </c>
      <c r="L1356" s="12" t="s">
        <v>222</v>
      </c>
      <c r="M1356" s="12" t="str">
        <f>HYPERLINK("https://ceds.ed.gov/cedselementdetails.aspx?termid=9553")</f>
        <v>https://ceds.ed.gov/cedselementdetails.aspx?termid=9553</v>
      </c>
      <c r="N1356" s="12" t="str">
        <f>HYPERLINK("https://ceds.ed.gov/elementComment.aspx?elementName=Progress Level &amp;elementID=9553", "Click here to submit comment")</f>
        <v>Click here to submit comment</v>
      </c>
    </row>
    <row r="1357" spans="1:14" ht="45" x14ac:dyDescent="0.25">
      <c r="A1357" s="12" t="s">
        <v>5205</v>
      </c>
      <c r="B1357" s="12" t="s">
        <v>5206</v>
      </c>
      <c r="C1357" s="12" t="s">
        <v>12</v>
      </c>
      <c r="D1357" s="12" t="s">
        <v>28</v>
      </c>
      <c r="E1357" s="12"/>
      <c r="F1357" s="12" t="s">
        <v>2328</v>
      </c>
      <c r="G1357" s="12"/>
      <c r="H1357" s="12"/>
      <c r="I1357" s="12" t="s">
        <v>5207</v>
      </c>
      <c r="J1357" s="12"/>
      <c r="K1357" s="12" t="s">
        <v>5208</v>
      </c>
      <c r="L1357" s="12" t="s">
        <v>6369</v>
      </c>
      <c r="M1357" s="12" t="str">
        <f>HYPERLINK("https://ceds.ed.gov/cedselementdetails.aspx?termid=9226")</f>
        <v>https://ceds.ed.gov/cedselementdetails.aspx?termid=9226</v>
      </c>
      <c r="N1357" s="12" t="str">
        <f>HYPERLINK("https://ceds.ed.gov/elementComment.aspx?elementName=Projected Graduation Date &amp;elementID=9226", "Click here to submit comment")</f>
        <v>Click here to submit comment</v>
      </c>
    </row>
    <row r="1358" spans="1:14" ht="150" x14ac:dyDescent="0.25">
      <c r="A1358" s="12" t="s">
        <v>5209</v>
      </c>
      <c r="B1358" s="12" t="s">
        <v>5210</v>
      </c>
      <c r="C1358" s="13" t="s">
        <v>7084</v>
      </c>
      <c r="D1358" s="12" t="s">
        <v>28</v>
      </c>
      <c r="E1358" s="12"/>
      <c r="F1358" s="12"/>
      <c r="G1358" s="12"/>
      <c r="H1358" s="12"/>
      <c r="I1358" s="12" t="s">
        <v>5211</v>
      </c>
      <c r="J1358" s="12"/>
      <c r="K1358" s="12" t="s">
        <v>5212</v>
      </c>
      <c r="L1358" s="12"/>
      <c r="M1358" s="12" t="str">
        <f>HYPERLINK("https://ceds.ed.gov/cedselementdetails.aspx?termid=9521")</f>
        <v>https://ceds.ed.gov/cedselementdetails.aspx?termid=9521</v>
      </c>
      <c r="N1358" s="12" t="str">
        <f>HYPERLINK("https://ceds.ed.gov/elementComment.aspx?elementName=Promotion Reason &amp;elementID=9521", "Click here to submit comment")</f>
        <v>Click here to submit comment</v>
      </c>
    </row>
    <row r="1359" spans="1:14" ht="75" x14ac:dyDescent="0.25">
      <c r="A1359" s="12" t="s">
        <v>5213</v>
      </c>
      <c r="B1359" s="12" t="s">
        <v>5214</v>
      </c>
      <c r="C1359" s="13" t="s">
        <v>7085</v>
      </c>
      <c r="D1359" s="12" t="s">
        <v>2838</v>
      </c>
      <c r="E1359" s="12"/>
      <c r="F1359" s="12"/>
      <c r="G1359" s="12"/>
      <c r="H1359" s="12"/>
      <c r="I1359" s="12" t="s">
        <v>5215</v>
      </c>
      <c r="J1359" s="12"/>
      <c r="K1359" s="12" t="s">
        <v>5216</v>
      </c>
      <c r="L1359" s="12" t="s">
        <v>2283</v>
      </c>
      <c r="M1359" s="12" t="str">
        <f>HYPERLINK("https://ceds.ed.gov/cedselementdetails.aspx?termid=9305")</f>
        <v>https://ceds.ed.gov/cedselementdetails.aspx?termid=9305</v>
      </c>
      <c r="N1359" s="12" t="str">
        <f>HYPERLINK("https://ceds.ed.gov/elementComment.aspx?elementName=Proof of Residency Type &amp;elementID=9305", "Click here to submit comment")</f>
        <v>Click here to submit comment</v>
      </c>
    </row>
    <row r="1360" spans="1:14" ht="45" x14ac:dyDescent="0.25">
      <c r="A1360" s="12" t="s">
        <v>5217</v>
      </c>
      <c r="B1360" s="12" t="s">
        <v>5218</v>
      </c>
      <c r="C1360" s="12" t="s">
        <v>12</v>
      </c>
      <c r="D1360" s="12" t="s">
        <v>258</v>
      </c>
      <c r="E1360" s="12"/>
      <c r="F1360" s="12" t="s">
        <v>5219</v>
      </c>
      <c r="G1360" s="12"/>
      <c r="H1360" s="12"/>
      <c r="I1360" s="12" t="s">
        <v>5220</v>
      </c>
      <c r="J1360" s="12"/>
      <c r="K1360" s="12" t="s">
        <v>5221</v>
      </c>
      <c r="L1360" s="12"/>
      <c r="M1360" s="12" t="str">
        <f>HYPERLINK("https://ceds.ed.gov/cedselementdetails.aspx?termid=9776")</f>
        <v>https://ceds.ed.gov/cedselementdetails.aspx?termid=9776</v>
      </c>
      <c r="N1360" s="12" t="str">
        <f>HYPERLINK("https://ceds.ed.gov/elementComment.aspx?elementName=Proxy Contact Hours &amp;elementID=9776", "Click here to submit comment")</f>
        <v>Click here to submit comment</v>
      </c>
    </row>
    <row r="1361" spans="1:14" ht="75" x14ac:dyDescent="0.25">
      <c r="A1361" s="12" t="s">
        <v>5222</v>
      </c>
      <c r="B1361" s="12" t="s">
        <v>5223</v>
      </c>
      <c r="C1361" s="12" t="s">
        <v>6364</v>
      </c>
      <c r="D1361" s="12" t="s">
        <v>2389</v>
      </c>
      <c r="E1361" s="12"/>
      <c r="F1361" s="12"/>
      <c r="G1361" s="12"/>
      <c r="H1361" s="12"/>
      <c r="I1361" s="12" t="s">
        <v>5224</v>
      </c>
      <c r="J1361" s="12"/>
      <c r="K1361" s="12" t="s">
        <v>5225</v>
      </c>
      <c r="L1361" s="12"/>
      <c r="M1361" s="12" t="str">
        <f>HYPERLINK("https://ceds.ed.gov/cedselementdetails.aspx?termid=9760")</f>
        <v>https://ceds.ed.gov/cedselementdetails.aspx?termid=9760</v>
      </c>
      <c r="N1361" s="12" t="str">
        <f>HYPERLINK("https://ceds.ed.gov/elementComment.aspx?elementName=Public Assistance Status &amp;elementID=9760", "Click here to submit comment")</f>
        <v>Click here to submit comment</v>
      </c>
    </row>
    <row r="1362" spans="1:14" ht="60" x14ac:dyDescent="0.25">
      <c r="A1362" s="12" t="s">
        <v>5226</v>
      </c>
      <c r="B1362" s="12" t="s">
        <v>5227</v>
      </c>
      <c r="C1362" s="12" t="s">
        <v>12</v>
      </c>
      <c r="D1362" s="12" t="s">
        <v>6541</v>
      </c>
      <c r="E1362" s="12"/>
      <c r="F1362" s="12" t="s">
        <v>1554</v>
      </c>
      <c r="G1362" s="12"/>
      <c r="H1362" s="12"/>
      <c r="I1362" s="12" t="s">
        <v>5228</v>
      </c>
      <c r="J1362" s="12"/>
      <c r="K1362" s="12" t="s">
        <v>5229</v>
      </c>
      <c r="L1362" s="12" t="s">
        <v>222</v>
      </c>
      <c r="M1362" s="12" t="str">
        <f>HYPERLINK("https://ceds.ed.gov/cedselementdetails.aspx?termid=9560")</f>
        <v>https://ceds.ed.gov/cedselementdetails.aspx?termid=9560</v>
      </c>
      <c r="N1362" s="12" t="str">
        <f>HYPERLINK("https://ceds.ed.gov/elementComment.aspx?elementName=Public School Choice Funds Spent &amp;elementID=9560", "Click here to submit comment")</f>
        <v>Click here to submit comment</v>
      </c>
    </row>
    <row r="1363" spans="1:14" ht="165" x14ac:dyDescent="0.25">
      <c r="A1363" s="12" t="s">
        <v>5230</v>
      </c>
      <c r="B1363" s="12" t="s">
        <v>5231</v>
      </c>
      <c r="C1363" s="13" t="s">
        <v>7086</v>
      </c>
      <c r="D1363" s="12" t="s">
        <v>55</v>
      </c>
      <c r="E1363" s="12"/>
      <c r="F1363" s="12"/>
      <c r="G1363" s="12"/>
      <c r="H1363" s="12"/>
      <c r="I1363" s="12" t="s">
        <v>5232</v>
      </c>
      <c r="J1363" s="12"/>
      <c r="K1363" s="12" t="s">
        <v>5233</v>
      </c>
      <c r="L1363" s="12" t="s">
        <v>222</v>
      </c>
      <c r="M1363" s="12" t="str">
        <f>HYPERLINK("https://ceds.ed.gov/cedselementdetails.aspx?termid=9227")</f>
        <v>https://ceds.ed.gov/cedselementdetails.aspx?termid=9227</v>
      </c>
      <c r="N1363" s="12" t="str">
        <f>HYPERLINK("https://ceds.ed.gov/elementComment.aspx?elementName=Public School Choice Implementation Status &amp;elementID=9227", "Click here to submit comment")</f>
        <v>Click here to submit comment</v>
      </c>
    </row>
    <row r="1364" spans="1:14" ht="150" x14ac:dyDescent="0.25">
      <c r="A1364" s="12" t="s">
        <v>5234</v>
      </c>
      <c r="B1364" s="12" t="s">
        <v>5235</v>
      </c>
      <c r="C1364" s="13" t="s">
        <v>7087</v>
      </c>
      <c r="D1364" s="12" t="s">
        <v>1801</v>
      </c>
      <c r="E1364" s="12"/>
      <c r="F1364" s="12"/>
      <c r="G1364" s="12"/>
      <c r="H1364" s="12"/>
      <c r="I1364" s="12" t="s">
        <v>5236</v>
      </c>
      <c r="J1364" s="12"/>
      <c r="K1364" s="12" t="s">
        <v>5237</v>
      </c>
      <c r="L1364" s="12"/>
      <c r="M1364" s="12" t="str">
        <f>HYPERLINK("https://ceds.ed.gov/cedselementdetails.aspx?termid=9523")</f>
        <v>https://ceds.ed.gov/cedselementdetails.aspx?termid=9523</v>
      </c>
      <c r="N1364" s="12" t="str">
        <f>HYPERLINK("https://ceds.ed.gov/elementComment.aspx?elementName=Public School Residence Status &amp;elementID=9523", "Click here to submit comment")</f>
        <v>Click here to submit comment</v>
      </c>
    </row>
    <row r="1365" spans="1:14" ht="90" x14ac:dyDescent="0.25">
      <c r="A1365" s="12" t="s">
        <v>5238</v>
      </c>
      <c r="B1365" s="12" t="s">
        <v>5239</v>
      </c>
      <c r="C1365" s="13" t="s">
        <v>7088</v>
      </c>
      <c r="D1365" s="12" t="s">
        <v>4499</v>
      </c>
      <c r="E1365" s="12"/>
      <c r="F1365" s="12"/>
      <c r="G1365" s="12"/>
      <c r="H1365" s="12"/>
      <c r="I1365" s="12" t="s">
        <v>5240</v>
      </c>
      <c r="J1365" s="12"/>
      <c r="K1365" s="12" t="s">
        <v>5241</v>
      </c>
      <c r="L1365" s="12"/>
      <c r="M1365" s="12" t="str">
        <f>HYPERLINK("https://ceds.ed.gov/cedselementdetails.aspx?termid=10299")</f>
        <v>https://ceds.ed.gov/cedselementdetails.aspx?termid=10299</v>
      </c>
      <c r="N1365" s="12" t="str">
        <f>HYPERLINK("https://ceds.ed.gov/elementComment.aspx?elementName=Purpose of Monitoring Visit &amp;elementID=10299", "Click here to submit comment")</f>
        <v>Click here to submit comment</v>
      </c>
    </row>
    <row r="1366" spans="1:14" ht="45" x14ac:dyDescent="0.25">
      <c r="A1366" s="12" t="s">
        <v>5242</v>
      </c>
      <c r="B1366" s="12" t="s">
        <v>5243</v>
      </c>
      <c r="C1366" s="12" t="s">
        <v>12</v>
      </c>
      <c r="D1366" s="12" t="s">
        <v>1894</v>
      </c>
      <c r="E1366" s="12"/>
      <c r="F1366" s="12" t="s">
        <v>92</v>
      </c>
      <c r="G1366" s="12"/>
      <c r="H1366" s="12"/>
      <c r="I1366" s="12" t="s">
        <v>5244</v>
      </c>
      <c r="J1366" s="12"/>
      <c r="K1366" s="12" t="s">
        <v>5245</v>
      </c>
      <c r="L1366" s="12" t="s">
        <v>1578</v>
      </c>
      <c r="M1366" s="12" t="str">
        <f>HYPERLINK("https://ceds.ed.gov/cedselementdetails.aspx?termid=9423")</f>
        <v>https://ceds.ed.gov/cedselementdetails.aspx?termid=9423</v>
      </c>
      <c r="N1366" s="12" t="str">
        <f>HYPERLINK("https://ceds.ed.gov/elementComment.aspx?elementName=Qualifying Move From City &amp;elementID=9423", "Click here to submit comment")</f>
        <v>Click here to submit comment</v>
      </c>
    </row>
    <row r="1367" spans="1:14" ht="409.5" x14ac:dyDescent="0.25">
      <c r="A1367" s="12" t="s">
        <v>5246</v>
      </c>
      <c r="B1367" s="12" t="s">
        <v>5247</v>
      </c>
      <c r="C1367" s="13" t="s">
        <v>6829</v>
      </c>
      <c r="D1367" s="12" t="s">
        <v>1894</v>
      </c>
      <c r="E1367" s="12" t="s">
        <v>98</v>
      </c>
      <c r="F1367" s="12"/>
      <c r="G1367" s="12"/>
      <c r="H1367" s="14" t="s">
        <v>1936</v>
      </c>
      <c r="I1367" s="12" t="s">
        <v>5248</v>
      </c>
      <c r="J1367" s="12"/>
      <c r="K1367" s="12" t="s">
        <v>5249</v>
      </c>
      <c r="L1367" s="12" t="s">
        <v>1578</v>
      </c>
      <c r="M1367" s="12" t="str">
        <f>HYPERLINK("https://ceds.ed.gov/cedselementdetails.aspx?termid=9424")</f>
        <v>https://ceds.ed.gov/cedselementdetails.aspx?termid=9424</v>
      </c>
      <c r="N1367" s="12" t="str">
        <f>HYPERLINK("https://ceds.ed.gov/elementComment.aspx?elementName=Qualifying Move From Country &amp;elementID=9424", "Click here to submit comment")</f>
        <v>Click here to submit comment</v>
      </c>
    </row>
    <row r="1368" spans="1:14" ht="409.5" x14ac:dyDescent="0.25">
      <c r="A1368" s="12" t="s">
        <v>5250</v>
      </c>
      <c r="B1368" s="12" t="s">
        <v>5251</v>
      </c>
      <c r="C1368" s="13" t="s">
        <v>7089</v>
      </c>
      <c r="D1368" s="12" t="s">
        <v>1894</v>
      </c>
      <c r="E1368" s="12"/>
      <c r="F1368" s="12"/>
      <c r="G1368" s="12"/>
      <c r="H1368" s="12"/>
      <c r="I1368" s="12" t="s">
        <v>5252</v>
      </c>
      <c r="J1368" s="12"/>
      <c r="K1368" s="12" t="s">
        <v>5253</v>
      </c>
      <c r="L1368" s="12" t="s">
        <v>1578</v>
      </c>
      <c r="M1368" s="12" t="str">
        <f>HYPERLINK("https://ceds.ed.gov/cedselementdetails.aspx?termid=9425")</f>
        <v>https://ceds.ed.gov/cedselementdetails.aspx?termid=9425</v>
      </c>
      <c r="N1368" s="12" t="str">
        <f>HYPERLINK("https://ceds.ed.gov/elementComment.aspx?elementName=Qualifying Move From State &amp;elementID=9425", "Click here to submit comment")</f>
        <v>Click here to submit comment</v>
      </c>
    </row>
    <row r="1369" spans="1:14" ht="45" x14ac:dyDescent="0.25">
      <c r="A1369" s="12" t="s">
        <v>5254</v>
      </c>
      <c r="B1369" s="12" t="s">
        <v>5255</v>
      </c>
      <c r="C1369" s="12" t="s">
        <v>12</v>
      </c>
      <c r="D1369" s="12" t="s">
        <v>5256</v>
      </c>
      <c r="E1369" s="12"/>
      <c r="F1369" s="12" t="s">
        <v>92</v>
      </c>
      <c r="G1369" s="12"/>
      <c r="H1369" s="12"/>
      <c r="I1369" s="12" t="s">
        <v>5257</v>
      </c>
      <c r="J1369" s="12"/>
      <c r="K1369" s="12" t="s">
        <v>5258</v>
      </c>
      <c r="L1369" s="12"/>
      <c r="M1369" s="12" t="str">
        <f>HYPERLINK("https://ceds.ed.gov/cedselementdetails.aspx?termid=10432")</f>
        <v>https://ceds.ed.gov/cedselementdetails.aspx?termid=10432</v>
      </c>
      <c r="N1369" s="12" t="str">
        <f>HYPERLINK("https://ceds.ed.gov/elementComment.aspx?elementName=Quality Initiative Maximum Score &amp;elementID=10432", "Click here to submit comment")</f>
        <v>Click here to submit comment</v>
      </c>
    </row>
    <row r="1370" spans="1:14" ht="45" x14ac:dyDescent="0.25">
      <c r="A1370" s="12" t="s">
        <v>5259</v>
      </c>
      <c r="B1370" s="12" t="s">
        <v>5260</v>
      </c>
      <c r="C1370" s="12" t="s">
        <v>12</v>
      </c>
      <c r="D1370" s="12" t="s">
        <v>5256</v>
      </c>
      <c r="E1370" s="12"/>
      <c r="F1370" s="12" t="s">
        <v>92</v>
      </c>
      <c r="G1370" s="12"/>
      <c r="H1370" s="12"/>
      <c r="I1370" s="12" t="s">
        <v>5261</v>
      </c>
      <c r="J1370" s="12"/>
      <c r="K1370" s="12" t="s">
        <v>5262</v>
      </c>
      <c r="L1370" s="12"/>
      <c r="M1370" s="12" t="str">
        <f>HYPERLINK("https://ceds.ed.gov/cedselementdetails.aspx?termid=10433")</f>
        <v>https://ceds.ed.gov/cedselementdetails.aspx?termid=10433</v>
      </c>
      <c r="N1370" s="12" t="str">
        <f>HYPERLINK("https://ceds.ed.gov/elementComment.aspx?elementName=Quality Initiative Minimum Score &amp;elementID=10433", "Click here to submit comment")</f>
        <v>Click here to submit comment</v>
      </c>
    </row>
    <row r="1371" spans="1:14" ht="45" x14ac:dyDescent="0.25">
      <c r="A1371" s="12" t="s">
        <v>5263</v>
      </c>
      <c r="B1371" s="12" t="s">
        <v>5264</v>
      </c>
      <c r="C1371" s="12" t="s">
        <v>12</v>
      </c>
      <c r="D1371" s="12" t="s">
        <v>5256</v>
      </c>
      <c r="E1371" s="12"/>
      <c r="F1371" s="12" t="s">
        <v>73</v>
      </c>
      <c r="G1371" s="12"/>
      <c r="H1371" s="12"/>
      <c r="I1371" s="12" t="s">
        <v>5265</v>
      </c>
      <c r="J1371" s="12"/>
      <c r="K1371" s="12" t="s">
        <v>5266</v>
      </c>
      <c r="L1371" s="12"/>
      <c r="M1371" s="12" t="str">
        <f>HYPERLINK("https://ceds.ed.gov/cedselementdetails.aspx?termid=10436")</f>
        <v>https://ceds.ed.gov/cedselementdetails.aspx?termid=10436</v>
      </c>
      <c r="N1371" s="12" t="str">
        <f>HYPERLINK("https://ceds.ed.gov/elementComment.aspx?elementName=Quality Initiative Participation End Date &amp;elementID=10436", "Click here to submit comment")</f>
        <v>Click here to submit comment</v>
      </c>
    </row>
    <row r="1372" spans="1:14" ht="45" x14ac:dyDescent="0.25">
      <c r="A1372" s="12" t="s">
        <v>5267</v>
      </c>
      <c r="B1372" s="12" t="s">
        <v>5268</v>
      </c>
      <c r="C1372" s="12" t="s">
        <v>6364</v>
      </c>
      <c r="D1372" s="12" t="s">
        <v>5256</v>
      </c>
      <c r="E1372" s="12"/>
      <c r="F1372" s="12"/>
      <c r="G1372" s="12"/>
      <c r="H1372" s="12"/>
      <c r="I1372" s="12" t="s">
        <v>5269</v>
      </c>
      <c r="J1372" s="12"/>
      <c r="K1372" s="12" t="s">
        <v>5270</v>
      </c>
      <c r="L1372" s="12"/>
      <c r="M1372" s="12" t="str">
        <f>HYPERLINK("https://ceds.ed.gov/cedselementdetails.aspx?termid=10435")</f>
        <v>https://ceds.ed.gov/cedselementdetails.aspx?termid=10435</v>
      </c>
      <c r="N1372" s="12" t="str">
        <f>HYPERLINK("https://ceds.ed.gov/elementComment.aspx?elementName=Quality Initiative Participation Indicator &amp;elementID=10435", "Click here to submit comment")</f>
        <v>Click here to submit comment</v>
      </c>
    </row>
    <row r="1373" spans="1:14" ht="45" x14ac:dyDescent="0.25">
      <c r="A1373" s="12" t="s">
        <v>5271</v>
      </c>
      <c r="B1373" s="12" t="s">
        <v>5272</v>
      </c>
      <c r="C1373" s="12" t="s">
        <v>12</v>
      </c>
      <c r="D1373" s="12" t="s">
        <v>5256</v>
      </c>
      <c r="E1373" s="12"/>
      <c r="F1373" s="12" t="s">
        <v>73</v>
      </c>
      <c r="G1373" s="12"/>
      <c r="H1373" s="12"/>
      <c r="I1373" s="12" t="s">
        <v>5273</v>
      </c>
      <c r="J1373" s="12"/>
      <c r="K1373" s="12" t="s">
        <v>5274</v>
      </c>
      <c r="L1373" s="12"/>
      <c r="M1373" s="12" t="str">
        <f>HYPERLINK("https://ceds.ed.gov/cedselementdetails.aspx?termid=10437")</f>
        <v>https://ceds.ed.gov/cedselementdetails.aspx?termid=10437</v>
      </c>
      <c r="N1373" s="12" t="str">
        <f>HYPERLINK("https://ceds.ed.gov/elementComment.aspx?elementName=Quality Initiative Participation Start Date &amp;elementID=10437", "Click here to submit comment")</f>
        <v>Click here to submit comment</v>
      </c>
    </row>
    <row r="1374" spans="1:14" ht="60" x14ac:dyDescent="0.25">
      <c r="A1374" s="12" t="s">
        <v>5275</v>
      </c>
      <c r="B1374" s="12" t="s">
        <v>5276</v>
      </c>
      <c r="C1374" s="12" t="s">
        <v>12</v>
      </c>
      <c r="D1374" s="12" t="s">
        <v>5256</v>
      </c>
      <c r="E1374" s="12"/>
      <c r="F1374" s="12" t="s">
        <v>92</v>
      </c>
      <c r="G1374" s="12"/>
      <c r="H1374" s="12"/>
      <c r="I1374" s="12" t="s">
        <v>5277</v>
      </c>
      <c r="J1374" s="12"/>
      <c r="K1374" s="12" t="s">
        <v>5278</v>
      </c>
      <c r="L1374" s="12"/>
      <c r="M1374" s="12" t="str">
        <f>HYPERLINK("https://ceds.ed.gov/cedselementdetails.aspx?termid=10434")</f>
        <v>https://ceds.ed.gov/cedselementdetails.aspx?termid=10434</v>
      </c>
      <c r="N1374" s="12" t="str">
        <f>HYPERLINK("https://ceds.ed.gov/elementComment.aspx?elementName=Quality Initiative Score Level &amp;elementID=10434", "Click here to submit comment")</f>
        <v>Click here to submit comment</v>
      </c>
    </row>
    <row r="1375" spans="1:14" ht="45" x14ac:dyDescent="0.25">
      <c r="A1375" s="12" t="s">
        <v>5279</v>
      </c>
      <c r="B1375" s="12" t="s">
        <v>5280</v>
      </c>
      <c r="C1375" s="12" t="s">
        <v>12</v>
      </c>
      <c r="D1375" s="12" t="s">
        <v>4635</v>
      </c>
      <c r="E1375" s="12"/>
      <c r="F1375" s="12" t="s">
        <v>73</v>
      </c>
      <c r="G1375" s="12"/>
      <c r="H1375" s="12"/>
      <c r="I1375" s="12" t="s">
        <v>5281</v>
      </c>
      <c r="J1375" s="12" t="s">
        <v>5282</v>
      </c>
      <c r="K1375" s="12" t="s">
        <v>5283</v>
      </c>
      <c r="L1375" s="12" t="s">
        <v>64</v>
      </c>
      <c r="M1375" s="12" t="str">
        <f>HYPERLINK("https://ceds.ed.gov/cedselementdetails.aspx?termid=9830")</f>
        <v>https://ceds.ed.gov/cedselementdetails.aspx?termid=9830</v>
      </c>
      <c r="N1375" s="12" t="str">
        <f>HYPERLINK("https://ceds.ed.gov/elementComment.aspx?elementName=Quality Rating and Improvement System Award Date &amp;elementID=9830", "Click here to submit comment")</f>
        <v>Click here to submit comment</v>
      </c>
    </row>
    <row r="1376" spans="1:14" ht="45" x14ac:dyDescent="0.25">
      <c r="A1376" s="12" t="s">
        <v>5284</v>
      </c>
      <c r="B1376" s="12" t="s">
        <v>5285</v>
      </c>
      <c r="C1376" s="12" t="s">
        <v>12</v>
      </c>
      <c r="D1376" s="12" t="s">
        <v>4635</v>
      </c>
      <c r="E1376" s="12"/>
      <c r="F1376" s="12" t="s">
        <v>73</v>
      </c>
      <c r="G1376" s="12"/>
      <c r="H1376" s="12"/>
      <c r="I1376" s="12" t="s">
        <v>5286</v>
      </c>
      <c r="J1376" s="12" t="s">
        <v>5287</v>
      </c>
      <c r="K1376" s="12" t="s">
        <v>5288</v>
      </c>
      <c r="L1376" s="12" t="s">
        <v>64</v>
      </c>
      <c r="M1376" s="12" t="str">
        <f>HYPERLINK("https://ceds.ed.gov/cedselementdetails.aspx?termid=9831")</f>
        <v>https://ceds.ed.gov/cedselementdetails.aspx?termid=9831</v>
      </c>
      <c r="N1376" s="12" t="str">
        <f>HYPERLINK("https://ceds.ed.gov/elementComment.aspx?elementName=Quality Rating and Improvement System Expiration Date &amp;elementID=9831", "Click here to submit comment")</f>
        <v>Click here to submit comment</v>
      </c>
    </row>
    <row r="1377" spans="1:14" ht="105" x14ac:dyDescent="0.25">
      <c r="A1377" s="12" t="s">
        <v>5289</v>
      </c>
      <c r="B1377" s="12" t="s">
        <v>5290</v>
      </c>
      <c r="C1377" s="13" t="s">
        <v>7090</v>
      </c>
      <c r="D1377" s="12" t="s">
        <v>4635</v>
      </c>
      <c r="E1377" s="12"/>
      <c r="F1377" s="12"/>
      <c r="G1377" s="12"/>
      <c r="H1377" s="12"/>
      <c r="I1377" s="12" t="s">
        <v>5291</v>
      </c>
      <c r="J1377" s="12" t="s">
        <v>5292</v>
      </c>
      <c r="K1377" s="12" t="s">
        <v>5293</v>
      </c>
      <c r="L1377" s="12" t="s">
        <v>5294</v>
      </c>
      <c r="M1377" s="12" t="str">
        <f>HYPERLINK("https://ceds.ed.gov/cedselementdetails.aspx?termid=9356")</f>
        <v>https://ceds.ed.gov/cedselementdetails.aspx?termid=9356</v>
      </c>
      <c r="N1377" s="12" t="str">
        <f>HYPERLINK("https://ceds.ed.gov/elementComment.aspx?elementName=Quality Rating and Improvement System Participation &amp;elementID=9356", "Click here to submit comment")</f>
        <v>Click here to submit comment</v>
      </c>
    </row>
    <row r="1378" spans="1:14" ht="45" x14ac:dyDescent="0.25">
      <c r="A1378" s="12" t="s">
        <v>5295</v>
      </c>
      <c r="B1378" s="12" t="s">
        <v>5296</v>
      </c>
      <c r="C1378" s="12" t="s">
        <v>12</v>
      </c>
      <c r="D1378" s="12" t="s">
        <v>4635</v>
      </c>
      <c r="E1378" s="12"/>
      <c r="F1378" s="12" t="s">
        <v>1386</v>
      </c>
      <c r="G1378" s="12"/>
      <c r="H1378" s="12"/>
      <c r="I1378" s="12" t="s">
        <v>5297</v>
      </c>
      <c r="J1378" s="12" t="s">
        <v>5298</v>
      </c>
      <c r="K1378" s="12" t="s">
        <v>5299</v>
      </c>
      <c r="L1378" s="12" t="s">
        <v>5294</v>
      </c>
      <c r="M1378" s="12" t="str">
        <f>HYPERLINK("https://ceds.ed.gov/cedselementdetails.aspx?termid=9357")</f>
        <v>https://ceds.ed.gov/cedselementdetails.aspx?termid=9357</v>
      </c>
      <c r="N1378" s="12" t="str">
        <f>HYPERLINK("https://ceds.ed.gov/elementComment.aspx?elementName=Quality Rating and Improvement System Score &amp;elementID=9357", "Click here to submit comment")</f>
        <v>Click here to submit comment</v>
      </c>
    </row>
    <row r="1379" spans="1:14" ht="210" x14ac:dyDescent="0.25">
      <c r="A1379" s="12" t="s">
        <v>5300</v>
      </c>
      <c r="B1379" s="12" t="s">
        <v>5301</v>
      </c>
      <c r="C1379" s="12" t="s">
        <v>12</v>
      </c>
      <c r="D1379" s="12" t="s">
        <v>2682</v>
      </c>
      <c r="E1379" s="12"/>
      <c r="F1379" s="12" t="s">
        <v>3765</v>
      </c>
      <c r="G1379" s="12"/>
      <c r="H1379" s="12" t="s">
        <v>5302</v>
      </c>
      <c r="I1379" s="12" t="s">
        <v>5303</v>
      </c>
      <c r="J1379" s="12"/>
      <c r="K1379" s="12" t="s">
        <v>5304</v>
      </c>
      <c r="L1379" s="12"/>
      <c r="M1379" s="12" t="str">
        <f>HYPERLINK("https://ceds.ed.gov/cedselementdetails.aspx?termid=9991")</f>
        <v>https://ceds.ed.gov/cedselementdetails.aspx?termid=9991</v>
      </c>
      <c r="N1379" s="12" t="str">
        <f>HYPERLINK("https://ceds.ed.gov/elementComment.aspx?elementName=Quarterly Earnings &amp;elementID=9991", "Click here to submit comment")</f>
        <v>Click here to submit comment</v>
      </c>
    </row>
    <row r="1380" spans="1:14" ht="45" x14ac:dyDescent="0.25">
      <c r="A1380" s="12" t="s">
        <v>5305</v>
      </c>
      <c r="B1380" s="12" t="s">
        <v>5306</v>
      </c>
      <c r="C1380" s="12" t="s">
        <v>12</v>
      </c>
      <c r="D1380" s="12" t="s">
        <v>2449</v>
      </c>
      <c r="E1380" s="12"/>
      <c r="F1380" s="12" t="s">
        <v>327</v>
      </c>
      <c r="G1380" s="12"/>
      <c r="H1380" s="12"/>
      <c r="I1380" s="12" t="s">
        <v>5307</v>
      </c>
      <c r="J1380" s="12"/>
      <c r="K1380" s="12" t="s">
        <v>5308</v>
      </c>
      <c r="L1380" s="12"/>
      <c r="M1380" s="12" t="str">
        <f>HYPERLINK("https://ceds.ed.gov/cedselementdetails.aspx?termid=10460")</f>
        <v>https://ceds.ed.gov/cedselementdetails.aspx?termid=10460</v>
      </c>
      <c r="N1380" s="12" t="str">
        <f>HYPERLINK("https://ceds.ed.gov/elementComment.aspx?elementName=Reason for Declined Services &amp;elementID=10460", "Click here to submit comment")</f>
        <v>Click here to submit comment</v>
      </c>
    </row>
    <row r="1381" spans="1:14" ht="105" x14ac:dyDescent="0.25">
      <c r="A1381" s="12" t="s">
        <v>5309</v>
      </c>
      <c r="B1381" s="12" t="s">
        <v>5310</v>
      </c>
      <c r="C1381" s="13" t="s">
        <v>7091</v>
      </c>
      <c r="D1381" s="12" t="s">
        <v>2232</v>
      </c>
      <c r="E1381" s="12"/>
      <c r="F1381" s="12"/>
      <c r="G1381" s="12"/>
      <c r="H1381" s="12"/>
      <c r="I1381" s="12" t="s">
        <v>5311</v>
      </c>
      <c r="J1381" s="12"/>
      <c r="K1381" s="12" t="s">
        <v>5312</v>
      </c>
      <c r="L1381" s="12"/>
      <c r="M1381" s="12" t="str">
        <f>HYPERLINK("https://ceds.ed.gov/cedselementdetails.aspx?termid=10494")</f>
        <v>https://ceds.ed.gov/cedselementdetails.aspx?termid=10494</v>
      </c>
      <c r="N1381" s="12" t="str">
        <f>HYPERLINK("https://ceds.ed.gov/elementComment.aspx?elementName=Reason for Delay of Transition Conference &amp;elementID=10494", "Click here to submit comment")</f>
        <v>Click here to submit comment</v>
      </c>
    </row>
    <row r="1382" spans="1:14" ht="135" x14ac:dyDescent="0.25">
      <c r="A1382" s="12" t="s">
        <v>5313</v>
      </c>
      <c r="B1382" s="12" t="s">
        <v>5314</v>
      </c>
      <c r="C1382" s="13" t="s">
        <v>7092</v>
      </c>
      <c r="D1382" s="12" t="s">
        <v>1237</v>
      </c>
      <c r="E1382" s="12"/>
      <c r="F1382" s="12"/>
      <c r="G1382" s="12"/>
      <c r="H1382" s="12"/>
      <c r="I1382" s="12" t="s">
        <v>5315</v>
      </c>
      <c r="J1382" s="12"/>
      <c r="K1382" s="12" t="s">
        <v>5316</v>
      </c>
      <c r="L1382" s="12"/>
      <c r="M1382" s="12" t="str">
        <f>HYPERLINK("https://ceds.ed.gov/cedselementdetails.aspx?termid=9228")</f>
        <v>https://ceds.ed.gov/cedselementdetails.aspx?termid=9228</v>
      </c>
      <c r="N1382" s="12" t="str">
        <f>HYPERLINK("https://ceds.ed.gov/elementComment.aspx?elementName=Reason Not Tested &amp;elementID=9228", "Click here to submit comment")</f>
        <v>Click here to submit comment</v>
      </c>
    </row>
    <row r="1383" spans="1:14" ht="180" x14ac:dyDescent="0.25">
      <c r="A1383" s="12" t="s">
        <v>5317</v>
      </c>
      <c r="B1383" s="12" t="s">
        <v>5318</v>
      </c>
      <c r="C1383" s="13" t="s">
        <v>7093</v>
      </c>
      <c r="D1383" s="12" t="s">
        <v>6650</v>
      </c>
      <c r="E1383" s="12"/>
      <c r="F1383" s="12"/>
      <c r="G1383" s="12"/>
      <c r="H1383" s="12"/>
      <c r="I1383" s="12" t="s">
        <v>5319</v>
      </c>
      <c r="J1383" s="12"/>
      <c r="K1383" s="12" t="s">
        <v>5320</v>
      </c>
      <c r="L1383" s="12"/>
      <c r="M1383" s="12" t="str">
        <f>HYPERLINK("https://ceds.ed.gov/cedselementdetails.aspx?termid=9515")</f>
        <v>https://ceds.ed.gov/cedselementdetails.aspx?termid=9515</v>
      </c>
      <c r="N1383" s="12" t="str">
        <f>HYPERLINK("https://ceds.ed.gov/elementComment.aspx?elementName=Receiving Location of Instruction &amp;elementID=9515", "Click here to submit comment")</f>
        <v>Click here to submit comment</v>
      </c>
    </row>
    <row r="1384" spans="1:14" ht="210" x14ac:dyDescent="0.25">
      <c r="A1384" s="12" t="s">
        <v>5321</v>
      </c>
      <c r="B1384" s="12" t="s">
        <v>5322</v>
      </c>
      <c r="C1384" s="13" t="s">
        <v>7094</v>
      </c>
      <c r="D1384" s="12" t="s">
        <v>28</v>
      </c>
      <c r="E1384" s="12"/>
      <c r="F1384" s="12"/>
      <c r="G1384" s="12"/>
      <c r="H1384" s="12"/>
      <c r="I1384" s="12" t="s">
        <v>5323</v>
      </c>
      <c r="J1384" s="12"/>
      <c r="K1384" s="12" t="s">
        <v>5324</v>
      </c>
      <c r="L1384" s="12" t="s">
        <v>6369</v>
      </c>
      <c r="M1384" s="12" t="str">
        <f>HYPERLINK("https://ceds.ed.gov/cedselementdetails.aspx?termid=9229")</f>
        <v>https://ceds.ed.gov/cedselementdetails.aspx?termid=9229</v>
      </c>
      <c r="N1384" s="12" t="str">
        <f>HYPERLINK("https://ceds.ed.gov/elementComment.aspx?elementName=Recognition for Participation or Performance in an Activity &amp;elementID=9229", "Click here to submit comment")</f>
        <v>Click here to submit comment</v>
      </c>
    </row>
    <row r="1385" spans="1:14" ht="90" x14ac:dyDescent="0.25">
      <c r="A1385" s="12" t="s">
        <v>5325</v>
      </c>
      <c r="B1385" s="12" t="s">
        <v>5326</v>
      </c>
      <c r="C1385" s="13" t="s">
        <v>7095</v>
      </c>
      <c r="D1385" s="12" t="s">
        <v>1931</v>
      </c>
      <c r="E1385" s="12"/>
      <c r="F1385" s="12"/>
      <c r="G1385" s="12"/>
      <c r="H1385" s="12"/>
      <c r="I1385" s="12" t="s">
        <v>5327</v>
      </c>
      <c r="J1385" s="12"/>
      <c r="K1385" s="12" t="s">
        <v>5328</v>
      </c>
      <c r="L1385" s="12" t="s">
        <v>222</v>
      </c>
      <c r="M1385" s="12" t="str">
        <f>HYPERLINK("https://ceds.ed.gov/cedselementdetails.aspx?termid=9230")</f>
        <v>https://ceds.ed.gov/cedselementdetails.aspx?termid=9230</v>
      </c>
      <c r="N1385" s="12" t="str">
        <f>HYPERLINK("https://ceds.ed.gov/elementComment.aspx?elementName=Reconstituted Status &amp;elementID=9230", "Click here to submit comment")</f>
        <v>Click here to submit comment</v>
      </c>
    </row>
    <row r="1386" spans="1:14" ht="45" x14ac:dyDescent="0.25">
      <c r="A1386" s="12" t="s">
        <v>5329</v>
      </c>
      <c r="B1386" s="12" t="s">
        <v>5330</v>
      </c>
      <c r="C1386" s="12" t="s">
        <v>12</v>
      </c>
      <c r="D1386" s="12" t="s">
        <v>5331</v>
      </c>
      <c r="E1386" s="12"/>
      <c r="F1386" s="12" t="s">
        <v>73</v>
      </c>
      <c r="G1386" s="12"/>
      <c r="H1386" s="12"/>
      <c r="I1386" s="12" t="s">
        <v>5332</v>
      </c>
      <c r="J1386" s="12"/>
      <c r="K1386" s="12" t="s">
        <v>5333</v>
      </c>
      <c r="L1386" s="12"/>
      <c r="M1386" s="12" t="str">
        <f>HYPERLINK("https://ceds.ed.gov/cedselementdetails.aspx?termid=10453")</f>
        <v>https://ceds.ed.gov/cedselementdetails.aspx?termid=10453</v>
      </c>
      <c r="N1386" s="12" t="str">
        <f>HYPERLINK("https://ceds.ed.gov/elementComment.aspx?elementName=Referral Date &amp;elementID=10453", "Click here to submit comment")</f>
        <v>Click here to submit comment</v>
      </c>
    </row>
    <row r="1387" spans="1:14" ht="135" x14ac:dyDescent="0.25">
      <c r="A1387" s="12" t="s">
        <v>5334</v>
      </c>
      <c r="B1387" s="12" t="s">
        <v>5335</v>
      </c>
      <c r="C1387" s="13" t="s">
        <v>7096</v>
      </c>
      <c r="D1387" s="12" t="s">
        <v>5331</v>
      </c>
      <c r="E1387" s="12"/>
      <c r="F1387" s="12"/>
      <c r="G1387" s="12"/>
      <c r="H1387" s="12"/>
      <c r="I1387" s="12" t="s">
        <v>5336</v>
      </c>
      <c r="J1387" s="12"/>
      <c r="K1387" s="12" t="s">
        <v>5337</v>
      </c>
      <c r="L1387" s="12"/>
      <c r="M1387" s="12" t="str">
        <f>HYPERLINK("https://ceds.ed.gov/cedselementdetails.aspx?termid=10454")</f>
        <v>https://ceds.ed.gov/cedselementdetails.aspx?termid=10454</v>
      </c>
      <c r="N1387" s="12" t="str">
        <f>HYPERLINK("https://ceds.ed.gov/elementComment.aspx?elementName=Referral Outcome &amp;elementID=10454", "Click here to submit comment")</f>
        <v>Click here to submit comment</v>
      </c>
    </row>
    <row r="1388" spans="1:14" ht="45" x14ac:dyDescent="0.25">
      <c r="A1388" s="12" t="s">
        <v>5338</v>
      </c>
      <c r="B1388" s="12" t="s">
        <v>5339</v>
      </c>
      <c r="C1388" s="12" t="s">
        <v>6364</v>
      </c>
      <c r="D1388" s="12" t="s">
        <v>2567</v>
      </c>
      <c r="E1388" s="12"/>
      <c r="F1388" s="12"/>
      <c r="G1388" s="12"/>
      <c r="H1388" s="12"/>
      <c r="I1388" s="12" t="s">
        <v>5340</v>
      </c>
      <c r="J1388" s="12"/>
      <c r="K1388" s="12" t="s">
        <v>5341</v>
      </c>
      <c r="L1388" s="12" t="s">
        <v>64</v>
      </c>
      <c r="M1388" s="12" t="str">
        <f>HYPERLINK("https://ceds.ed.gov/cedselementdetails.aspx?termid=9850")</f>
        <v>https://ceds.ed.gov/cedselementdetails.aspx?termid=9850</v>
      </c>
      <c r="N1388" s="12" t="str">
        <f>HYPERLINK("https://ceds.ed.gov/elementComment.aspx?elementName=Referral Policy &amp;elementID=9850", "Click here to submit comment")</f>
        <v>Click here to submit comment</v>
      </c>
    </row>
    <row r="1389" spans="1:14" ht="45" x14ac:dyDescent="0.25">
      <c r="A1389" s="12" t="s">
        <v>5342</v>
      </c>
      <c r="B1389" s="12" t="s">
        <v>5343</v>
      </c>
      <c r="C1389" s="12" t="s">
        <v>12</v>
      </c>
      <c r="D1389" s="12" t="s">
        <v>5331</v>
      </c>
      <c r="E1389" s="12"/>
      <c r="F1389" s="12" t="s">
        <v>327</v>
      </c>
      <c r="G1389" s="12"/>
      <c r="H1389" s="12"/>
      <c r="I1389" s="12" t="s">
        <v>5344</v>
      </c>
      <c r="J1389" s="12"/>
      <c r="K1389" s="12" t="s">
        <v>5345</v>
      </c>
      <c r="L1389" s="12"/>
      <c r="M1389" s="12" t="str">
        <f>HYPERLINK("https://ceds.ed.gov/cedselementdetails.aspx?termid=10455")</f>
        <v>https://ceds.ed.gov/cedselementdetails.aspx?termid=10455</v>
      </c>
      <c r="N1389" s="12" t="str">
        <f>HYPERLINK("https://ceds.ed.gov/elementComment.aspx?elementName=Referral Reason &amp;elementID=10455", "Click here to submit comment")</f>
        <v>Click here to submit comment</v>
      </c>
    </row>
    <row r="1390" spans="1:14" ht="45" x14ac:dyDescent="0.25">
      <c r="A1390" s="12" t="s">
        <v>5346</v>
      </c>
      <c r="B1390" s="12" t="s">
        <v>5347</v>
      </c>
      <c r="C1390" s="12" t="s">
        <v>12</v>
      </c>
      <c r="D1390" s="12" t="s">
        <v>5331</v>
      </c>
      <c r="E1390" s="12"/>
      <c r="F1390" s="12" t="s">
        <v>99</v>
      </c>
      <c r="G1390" s="12"/>
      <c r="H1390" s="12"/>
      <c r="I1390" s="12" t="s">
        <v>5348</v>
      </c>
      <c r="J1390" s="12"/>
      <c r="K1390" s="12" t="s">
        <v>5349</v>
      </c>
      <c r="L1390" s="12"/>
      <c r="M1390" s="12" t="str">
        <f>HYPERLINK("https://ceds.ed.gov/cedselementdetails.aspx?termid=10456")</f>
        <v>https://ceds.ed.gov/cedselementdetails.aspx?termid=10456</v>
      </c>
      <c r="N1390" s="12" t="str">
        <f>HYPERLINK("https://ceds.ed.gov/elementComment.aspx?elementName=Referral Source &amp;elementID=10456", "Click here to submit comment")</f>
        <v>Click here to submit comment</v>
      </c>
    </row>
    <row r="1391" spans="1:14" ht="45" x14ac:dyDescent="0.25">
      <c r="A1391" s="12" t="s">
        <v>5350</v>
      </c>
      <c r="B1391" s="12" t="s">
        <v>5351</v>
      </c>
      <c r="C1391" s="12" t="s">
        <v>12</v>
      </c>
      <c r="D1391" s="12" t="s">
        <v>5331</v>
      </c>
      <c r="E1391" s="12"/>
      <c r="F1391" s="12" t="s">
        <v>99</v>
      </c>
      <c r="G1391" s="12"/>
      <c r="H1391" s="12"/>
      <c r="I1391" s="12" t="s">
        <v>5352</v>
      </c>
      <c r="J1391" s="12"/>
      <c r="K1391" s="12" t="s">
        <v>5353</v>
      </c>
      <c r="L1391" s="12"/>
      <c r="M1391" s="12" t="str">
        <f>HYPERLINK("https://ceds.ed.gov/cedselementdetails.aspx?termid=10457")</f>
        <v>https://ceds.ed.gov/cedselementdetails.aspx?termid=10457</v>
      </c>
      <c r="N1391" s="12" t="str">
        <f>HYPERLINK("https://ceds.ed.gov/elementComment.aspx?elementName=Referral Type Received &amp;elementID=10457", "Click here to submit comment")</f>
        <v>Click here to submit comment</v>
      </c>
    </row>
    <row r="1392" spans="1:14" ht="45" x14ac:dyDescent="0.25">
      <c r="A1392" s="12" t="s">
        <v>5354</v>
      </c>
      <c r="B1392" s="12" t="s">
        <v>5355</v>
      </c>
      <c r="C1392" s="12" t="s">
        <v>12</v>
      </c>
      <c r="D1392" s="12" t="s">
        <v>5331</v>
      </c>
      <c r="E1392" s="12"/>
      <c r="F1392" s="12" t="s">
        <v>99</v>
      </c>
      <c r="G1392" s="12"/>
      <c r="H1392" s="12"/>
      <c r="I1392" s="12" t="s">
        <v>5356</v>
      </c>
      <c r="J1392" s="12"/>
      <c r="K1392" s="12" t="s">
        <v>5357</v>
      </c>
      <c r="L1392" s="12"/>
      <c r="M1392" s="12" t="str">
        <f>HYPERLINK("https://ceds.ed.gov/cedselementdetails.aspx?termid=10458")</f>
        <v>https://ceds.ed.gov/cedselementdetails.aspx?termid=10458</v>
      </c>
      <c r="N1392" s="12" t="str">
        <f>HYPERLINK("https://ceds.ed.gov/elementComment.aspx?elementName=Referred To &amp;elementID=10458", "Click here to submit comment")</f>
        <v>Click here to submit comment</v>
      </c>
    </row>
    <row r="1393" spans="1:14" ht="90" x14ac:dyDescent="0.25">
      <c r="A1393" s="12" t="s">
        <v>5358</v>
      </c>
      <c r="B1393" s="12" t="s">
        <v>5359</v>
      </c>
      <c r="C1393" s="13" t="s">
        <v>7097</v>
      </c>
      <c r="D1393" s="12" t="s">
        <v>1568</v>
      </c>
      <c r="E1393" s="12"/>
      <c r="F1393" s="12"/>
      <c r="G1393" s="12"/>
      <c r="H1393" s="12"/>
      <c r="I1393" s="12" t="s">
        <v>5360</v>
      </c>
      <c r="J1393" s="12"/>
      <c r="K1393" s="12" t="s">
        <v>5361</v>
      </c>
      <c r="L1393" s="12"/>
      <c r="M1393" s="12" t="str">
        <f>HYPERLINK("https://ceds.ed.gov/cedselementdetails.aspx?termid=10601")</f>
        <v>https://ceds.ed.gov/cedselementdetails.aspx?termid=10601</v>
      </c>
      <c r="N1393" s="12" t="str">
        <f>HYPERLINK("https://ceds.ed.gov/elementComment.aspx?elementName=Reimbursement Type &amp;elementID=10601", "Click here to submit comment")</f>
        <v>Click here to submit comment</v>
      </c>
    </row>
    <row r="1394" spans="1:14" ht="105" x14ac:dyDescent="0.25">
      <c r="A1394" s="12" t="s">
        <v>5362</v>
      </c>
      <c r="B1394" s="12" t="s">
        <v>5363</v>
      </c>
      <c r="C1394" s="12" t="s">
        <v>12</v>
      </c>
      <c r="D1394" s="12" t="s">
        <v>6482</v>
      </c>
      <c r="E1394" s="12"/>
      <c r="F1394" s="12" t="s">
        <v>99</v>
      </c>
      <c r="G1394" s="12"/>
      <c r="H1394" s="12"/>
      <c r="I1394" s="12" t="s">
        <v>5364</v>
      </c>
      <c r="J1394" s="12"/>
      <c r="K1394" s="12" t="s">
        <v>5365</v>
      </c>
      <c r="L1394" s="12"/>
      <c r="M1394" s="12" t="str">
        <f>HYPERLINK("https://ceds.ed.gov/cedselementdetails.aspx?termid=9231")</f>
        <v>https://ceds.ed.gov/cedselementdetails.aspx?termid=9231</v>
      </c>
      <c r="N1394" s="12" t="str">
        <f>HYPERLINK("https://ceds.ed.gov/elementComment.aspx?elementName=Related Learning Standards &amp;elementID=9231", "Click here to submit comment")</f>
        <v>Click here to submit comment</v>
      </c>
    </row>
    <row r="1395" spans="1:14" ht="75" x14ac:dyDescent="0.25">
      <c r="A1395" s="12" t="s">
        <v>5366</v>
      </c>
      <c r="B1395" s="12" t="s">
        <v>5367</v>
      </c>
      <c r="C1395" s="12" t="s">
        <v>6364</v>
      </c>
      <c r="D1395" s="12" t="s">
        <v>6508</v>
      </c>
      <c r="E1395" s="12"/>
      <c r="F1395" s="12"/>
      <c r="G1395" s="12"/>
      <c r="H1395" s="12"/>
      <c r="I1395" s="12" t="s">
        <v>5368</v>
      </c>
      <c r="J1395" s="12"/>
      <c r="K1395" s="12" t="s">
        <v>5369</v>
      </c>
      <c r="L1395" s="12"/>
      <c r="M1395" s="12" t="str">
        <f>HYPERLINK("https://ceds.ed.gov/cedselementdetails.aspx?termid=9503")</f>
        <v>https://ceds.ed.gov/cedselementdetails.aspx?termid=9503</v>
      </c>
      <c r="N1395" s="12" t="str">
        <f>HYPERLINK("https://ceds.ed.gov/elementComment.aspx?elementName=Related to Zero Tolerance Policy &amp;elementID=9503", "Click here to submit comment")</f>
        <v>Click here to submit comment</v>
      </c>
    </row>
    <row r="1396" spans="1:14" ht="105" x14ac:dyDescent="0.25">
      <c r="A1396" s="18" t="s">
        <v>5370</v>
      </c>
      <c r="B1396" s="18" t="s">
        <v>5371</v>
      </c>
      <c r="C1396" s="18" t="s">
        <v>12</v>
      </c>
      <c r="D1396" s="18" t="s">
        <v>3001</v>
      </c>
      <c r="E1396" s="18"/>
      <c r="F1396" s="18" t="s">
        <v>142</v>
      </c>
      <c r="G1396" s="18"/>
      <c r="H1396" s="12" t="s">
        <v>143</v>
      </c>
      <c r="I1396" s="18" t="s">
        <v>5372</v>
      </c>
      <c r="J1396" s="18"/>
      <c r="K1396" s="18" t="s">
        <v>5373</v>
      </c>
      <c r="L1396" s="18"/>
      <c r="M1396" s="18" t="str">
        <f>HYPERLINK("https://ceds.ed.gov/cedselementdetails.aspx?termid=9498")</f>
        <v>https://ceds.ed.gov/cedselementdetails.aspx?termid=9498</v>
      </c>
      <c r="N1396" s="18" t="str">
        <f>HYPERLINK("https://ceds.ed.gov/elementComment.aspx?elementName=Reporter Identifier &amp;elementID=9498", "Click here to submit comment")</f>
        <v>Click here to submit comment</v>
      </c>
    </row>
    <row r="1397" spans="1:14" x14ac:dyDescent="0.25">
      <c r="A1397" s="18"/>
      <c r="B1397" s="18"/>
      <c r="C1397" s="18"/>
      <c r="D1397" s="18"/>
      <c r="E1397" s="18"/>
      <c r="F1397" s="18"/>
      <c r="G1397" s="18"/>
      <c r="H1397" s="12"/>
      <c r="I1397" s="18"/>
      <c r="J1397" s="18"/>
      <c r="K1397" s="18"/>
      <c r="L1397" s="18"/>
      <c r="M1397" s="18"/>
      <c r="N1397" s="18"/>
    </row>
    <row r="1398" spans="1:14" ht="90" x14ac:dyDescent="0.25">
      <c r="A1398" s="18"/>
      <c r="B1398" s="18"/>
      <c r="C1398" s="18"/>
      <c r="D1398" s="18"/>
      <c r="E1398" s="18"/>
      <c r="F1398" s="18"/>
      <c r="G1398" s="18"/>
      <c r="H1398" s="12" t="s">
        <v>144</v>
      </c>
      <c r="I1398" s="18"/>
      <c r="J1398" s="18"/>
      <c r="K1398" s="18"/>
      <c r="L1398" s="18"/>
      <c r="M1398" s="18"/>
      <c r="N1398" s="18"/>
    </row>
    <row r="1399" spans="1:14" ht="345" x14ac:dyDescent="0.25">
      <c r="A1399" s="12" t="s">
        <v>5374</v>
      </c>
      <c r="B1399" s="12" t="s">
        <v>5375</v>
      </c>
      <c r="C1399" s="13" t="s">
        <v>6958</v>
      </c>
      <c r="D1399" s="12" t="s">
        <v>2567</v>
      </c>
      <c r="E1399" s="12"/>
      <c r="F1399" s="12"/>
      <c r="G1399" s="12"/>
      <c r="H1399" s="12"/>
      <c r="I1399" s="12" t="s">
        <v>5376</v>
      </c>
      <c r="J1399" s="12"/>
      <c r="K1399" s="12" t="s">
        <v>5377</v>
      </c>
      <c r="L1399" s="12" t="s">
        <v>1759</v>
      </c>
      <c r="M1399" s="12" t="str">
        <f>HYPERLINK("https://ceds.ed.gov/cedselementdetails.aspx?termid=9307")</f>
        <v>https://ceds.ed.gov/cedselementdetails.aspx?termid=9307</v>
      </c>
      <c r="N1399" s="12" t="str">
        <f>HYPERLINK("https://ceds.ed.gov/elementComment.aspx?elementName=Required Immunization &amp;elementID=9307", "Click here to submit comment")</f>
        <v>Click here to submit comment</v>
      </c>
    </row>
    <row r="1400" spans="1:14" ht="75" x14ac:dyDescent="0.25">
      <c r="A1400" s="12" t="s">
        <v>5378</v>
      </c>
      <c r="B1400" s="12" t="s">
        <v>5379</v>
      </c>
      <c r="C1400" s="12" t="s">
        <v>12</v>
      </c>
      <c r="D1400" s="12" t="s">
        <v>236</v>
      </c>
      <c r="E1400" s="12"/>
      <c r="F1400" s="12" t="s">
        <v>1554</v>
      </c>
      <c r="G1400" s="12"/>
      <c r="H1400" s="12" t="s">
        <v>369</v>
      </c>
      <c r="I1400" s="12" t="s">
        <v>5380</v>
      </c>
      <c r="J1400" s="12"/>
      <c r="K1400" s="12" t="s">
        <v>5381</v>
      </c>
      <c r="L1400" s="12" t="s">
        <v>1593</v>
      </c>
      <c r="M1400" s="12" t="str">
        <f>HYPERLINK("https://ceds.ed.gov/cedselementdetails.aspx?termid=9726")</f>
        <v>https://ceds.ed.gov/cedselementdetails.aspx?termid=9726</v>
      </c>
      <c r="N1400" s="12" t="str">
        <f>HYPERLINK("https://ceds.ed.gov/elementComment.aspx?elementName=Required Student Fees &amp;elementID=9726", "Click here to submit comment")</f>
        <v>Click here to submit comment</v>
      </c>
    </row>
    <row r="1401" spans="1:14" ht="45" x14ac:dyDescent="0.25">
      <c r="A1401" s="12" t="s">
        <v>5382</v>
      </c>
      <c r="B1401" s="12" t="s">
        <v>5383</v>
      </c>
      <c r="C1401" s="12" t="s">
        <v>12</v>
      </c>
      <c r="D1401" s="12" t="s">
        <v>1635</v>
      </c>
      <c r="E1401" s="12"/>
      <c r="F1401" s="12" t="s">
        <v>2613</v>
      </c>
      <c r="G1401" s="12"/>
      <c r="H1401" s="12"/>
      <c r="I1401" s="12" t="s">
        <v>5384</v>
      </c>
      <c r="J1401" s="12"/>
      <c r="K1401" s="12" t="s">
        <v>5385</v>
      </c>
      <c r="L1401" s="12" t="s">
        <v>205</v>
      </c>
      <c r="M1401" s="12" t="str">
        <f>HYPERLINK("https://ceds.ed.gov/cedselementdetails.aspx?termid=9803")</f>
        <v>https://ceds.ed.gov/cedselementdetails.aspx?termid=9803</v>
      </c>
      <c r="N1401" s="12" t="str">
        <f>HYPERLINK("https://ceds.ed.gov/elementComment.aspx?elementName=Required Training Clock Hours &amp;elementID=9803", "Click here to submit comment")</f>
        <v>Click here to submit comment</v>
      </c>
    </row>
    <row r="1402" spans="1:14" ht="105" x14ac:dyDescent="0.25">
      <c r="A1402" s="18" t="s">
        <v>5386</v>
      </c>
      <c r="B1402" s="18" t="s">
        <v>5387</v>
      </c>
      <c r="C1402" s="18" t="s">
        <v>12</v>
      </c>
      <c r="D1402" s="18" t="s">
        <v>2394</v>
      </c>
      <c r="E1402" s="18"/>
      <c r="F1402" s="18" t="s">
        <v>142</v>
      </c>
      <c r="G1402" s="18"/>
      <c r="H1402" s="12" t="s">
        <v>143</v>
      </c>
      <c r="I1402" s="18" t="s">
        <v>5388</v>
      </c>
      <c r="J1402" s="18"/>
      <c r="K1402" s="18" t="s">
        <v>5389</v>
      </c>
      <c r="L1402" s="18" t="s">
        <v>222</v>
      </c>
      <c r="M1402" s="18" t="str">
        <f>HYPERLINK("https://ceds.ed.gov/cedselementdetails.aspx?termid=9639")</f>
        <v>https://ceds.ed.gov/cedselementdetails.aspx?termid=9639</v>
      </c>
      <c r="N1402" s="18" t="str">
        <f>HYPERLINK("https://ceds.ed.gov/elementComment.aspx?elementName=Responsible District Identifier &amp;elementID=9639", "Click here to submit comment")</f>
        <v>Click here to submit comment</v>
      </c>
    </row>
    <row r="1403" spans="1:14" x14ac:dyDescent="0.25">
      <c r="A1403" s="18"/>
      <c r="B1403" s="18"/>
      <c r="C1403" s="18"/>
      <c r="D1403" s="18"/>
      <c r="E1403" s="18"/>
      <c r="F1403" s="18"/>
      <c r="G1403" s="18"/>
      <c r="H1403" s="12"/>
      <c r="I1403" s="18"/>
      <c r="J1403" s="18"/>
      <c r="K1403" s="18"/>
      <c r="L1403" s="18"/>
      <c r="M1403" s="18"/>
      <c r="N1403" s="18"/>
    </row>
    <row r="1404" spans="1:14" ht="90" x14ac:dyDescent="0.25">
      <c r="A1404" s="18"/>
      <c r="B1404" s="18"/>
      <c r="C1404" s="18"/>
      <c r="D1404" s="18"/>
      <c r="E1404" s="18"/>
      <c r="F1404" s="18"/>
      <c r="G1404" s="18"/>
      <c r="H1404" s="12" t="s">
        <v>144</v>
      </c>
      <c r="I1404" s="18"/>
      <c r="J1404" s="18"/>
      <c r="K1404" s="18"/>
      <c r="L1404" s="18"/>
      <c r="M1404" s="18"/>
      <c r="N1404" s="18"/>
    </row>
    <row r="1405" spans="1:14" ht="120" x14ac:dyDescent="0.25">
      <c r="A1405" s="12" t="s">
        <v>5390</v>
      </c>
      <c r="B1405" s="12" t="s">
        <v>5391</v>
      </c>
      <c r="C1405" s="13" t="s">
        <v>7098</v>
      </c>
      <c r="D1405" s="12" t="s">
        <v>6530</v>
      </c>
      <c r="E1405" s="12"/>
      <c r="F1405" s="12"/>
      <c r="G1405" s="12"/>
      <c r="H1405" s="12"/>
      <c r="I1405" s="12" t="s">
        <v>5392</v>
      </c>
      <c r="J1405" s="12"/>
      <c r="K1405" s="12" t="s">
        <v>5393</v>
      </c>
      <c r="L1405" s="12" t="s">
        <v>222</v>
      </c>
      <c r="M1405" s="12" t="str">
        <f>HYPERLINK("https://ceds.ed.gov/cedselementdetails.aspx?termid=9587")</f>
        <v>https://ceds.ed.gov/cedselementdetails.aspx?termid=9587</v>
      </c>
      <c r="N1405" s="12" t="str">
        <f>HYPERLINK("https://ceds.ed.gov/elementComment.aspx?elementName=Responsible District Type &amp;elementID=9587", "Click here to submit comment")</f>
        <v>Click here to submit comment</v>
      </c>
    </row>
    <row r="1406" spans="1:14" ht="60" x14ac:dyDescent="0.25">
      <c r="A1406" s="18" t="s">
        <v>5394</v>
      </c>
      <c r="B1406" s="18" t="s">
        <v>5395</v>
      </c>
      <c r="C1406" s="18" t="s">
        <v>12</v>
      </c>
      <c r="D1406" s="18" t="s">
        <v>6651</v>
      </c>
      <c r="E1406" s="18"/>
      <c r="F1406" s="18" t="s">
        <v>142</v>
      </c>
      <c r="G1406" s="18"/>
      <c r="H1406" s="12" t="s">
        <v>5396</v>
      </c>
      <c r="I1406" s="18" t="s">
        <v>5397</v>
      </c>
      <c r="J1406" s="18"/>
      <c r="K1406" s="18" t="s">
        <v>5398</v>
      </c>
      <c r="L1406" s="18"/>
      <c r="M1406" s="18" t="str">
        <f>HYPERLINK("https://ceds.ed.gov/cedselementdetails.aspx?termid=10438")</f>
        <v>https://ceds.ed.gov/cedselementdetails.aspx?termid=10438</v>
      </c>
      <c r="N1406" s="18" t="str">
        <f>HYPERLINK("https://ceds.ed.gov/elementComment.aspx?elementName=Responsible Organization Identifier &amp;elementID=10438", "Click here to submit comment")</f>
        <v>Click here to submit comment</v>
      </c>
    </row>
    <row r="1407" spans="1:14" x14ac:dyDescent="0.25">
      <c r="A1407" s="18"/>
      <c r="B1407" s="18"/>
      <c r="C1407" s="18"/>
      <c r="D1407" s="18"/>
      <c r="E1407" s="18"/>
      <c r="F1407" s="18"/>
      <c r="G1407" s="18"/>
      <c r="H1407" s="12"/>
      <c r="I1407" s="18"/>
      <c r="J1407" s="18"/>
      <c r="K1407" s="18"/>
      <c r="L1407" s="18"/>
      <c r="M1407" s="18"/>
      <c r="N1407" s="18"/>
    </row>
    <row r="1408" spans="1:14" ht="105" x14ac:dyDescent="0.25">
      <c r="A1408" s="18"/>
      <c r="B1408" s="18"/>
      <c r="C1408" s="18"/>
      <c r="D1408" s="18"/>
      <c r="E1408" s="18"/>
      <c r="F1408" s="18"/>
      <c r="G1408" s="18"/>
      <c r="H1408" s="12" t="s">
        <v>143</v>
      </c>
      <c r="I1408" s="18"/>
      <c r="J1408" s="18"/>
      <c r="K1408" s="18"/>
      <c r="L1408" s="18"/>
      <c r="M1408" s="18"/>
      <c r="N1408" s="18"/>
    </row>
    <row r="1409" spans="1:14" x14ac:dyDescent="0.25">
      <c r="A1409" s="18"/>
      <c r="B1409" s="18"/>
      <c r="C1409" s="18"/>
      <c r="D1409" s="18"/>
      <c r="E1409" s="18"/>
      <c r="F1409" s="18"/>
      <c r="G1409" s="18"/>
      <c r="H1409" s="12"/>
      <c r="I1409" s="18"/>
      <c r="J1409" s="18"/>
      <c r="K1409" s="18"/>
      <c r="L1409" s="18"/>
      <c r="M1409" s="18"/>
      <c r="N1409" s="18"/>
    </row>
    <row r="1410" spans="1:14" ht="90" x14ac:dyDescent="0.25">
      <c r="A1410" s="18"/>
      <c r="B1410" s="18"/>
      <c r="C1410" s="18"/>
      <c r="D1410" s="18"/>
      <c r="E1410" s="18"/>
      <c r="F1410" s="18"/>
      <c r="G1410" s="18"/>
      <c r="H1410" s="12" t="s">
        <v>144</v>
      </c>
      <c r="I1410" s="18"/>
      <c r="J1410" s="18"/>
      <c r="K1410" s="18"/>
      <c r="L1410" s="18"/>
      <c r="M1410" s="18"/>
      <c r="N1410" s="18"/>
    </row>
    <row r="1411" spans="1:14" ht="60" x14ac:dyDescent="0.25">
      <c r="A1411" s="12" t="s">
        <v>5399</v>
      </c>
      <c r="B1411" s="12" t="s">
        <v>5400</v>
      </c>
      <c r="C1411" s="12" t="s">
        <v>12</v>
      </c>
      <c r="D1411" s="12"/>
      <c r="E1411" s="12" t="s">
        <v>5401</v>
      </c>
      <c r="F1411" s="12" t="s">
        <v>99</v>
      </c>
      <c r="G1411" s="12"/>
      <c r="H1411" s="12" t="s">
        <v>5402</v>
      </c>
      <c r="I1411" s="12" t="s">
        <v>5403</v>
      </c>
      <c r="J1411" s="12"/>
      <c r="K1411" s="12" t="s">
        <v>5404</v>
      </c>
      <c r="L1411" s="12" t="s">
        <v>6464</v>
      </c>
      <c r="M1411" s="12" t="str">
        <f>HYPERLINK("https://ceds.ed.gov/cedselementdetails.aspx?termid=9624")</f>
        <v>https://ceds.ed.gov/cedselementdetails.aspx?termid=9624</v>
      </c>
      <c r="N1411" s="12" t="str">
        <f>HYPERLINK("https://ceds.ed.gov/elementComment.aspx?elementName=Responsible Organization Name &amp;elementID=9624", "Click here to submit comment")</f>
        <v>Click here to submit comment</v>
      </c>
    </row>
    <row r="1412" spans="1:14" ht="120" x14ac:dyDescent="0.25">
      <c r="A1412" s="12" t="s">
        <v>5405</v>
      </c>
      <c r="B1412" s="12" t="s">
        <v>5406</v>
      </c>
      <c r="C1412" s="13" t="s">
        <v>7098</v>
      </c>
      <c r="D1412" s="12" t="s">
        <v>6651</v>
      </c>
      <c r="E1412" s="12"/>
      <c r="F1412" s="12"/>
      <c r="G1412" s="12"/>
      <c r="H1412" s="12" t="s">
        <v>5396</v>
      </c>
      <c r="I1412" s="12" t="s">
        <v>5407</v>
      </c>
      <c r="J1412" s="12"/>
      <c r="K1412" s="12" t="s">
        <v>5408</v>
      </c>
      <c r="L1412" s="12"/>
      <c r="M1412" s="12" t="str">
        <f>HYPERLINK("https://ceds.ed.gov/cedselementdetails.aspx?termid=10439")</f>
        <v>https://ceds.ed.gov/cedselementdetails.aspx?termid=10439</v>
      </c>
      <c r="N1412" s="12" t="str">
        <f>HYPERLINK("https://ceds.ed.gov/elementComment.aspx?elementName=Responsible Organization Type &amp;elementID=10439", "Click here to submit comment")</f>
        <v>Click here to submit comment</v>
      </c>
    </row>
    <row r="1413" spans="1:14" ht="105" x14ac:dyDescent="0.25">
      <c r="A1413" s="18" t="s">
        <v>5409</v>
      </c>
      <c r="B1413" s="18" t="s">
        <v>5410</v>
      </c>
      <c r="C1413" s="18" t="s">
        <v>12</v>
      </c>
      <c r="D1413" s="18" t="s">
        <v>2394</v>
      </c>
      <c r="E1413" s="18"/>
      <c r="F1413" s="18" t="s">
        <v>142</v>
      </c>
      <c r="G1413" s="18"/>
      <c r="H1413" s="12" t="s">
        <v>143</v>
      </c>
      <c r="I1413" s="18" t="s">
        <v>5411</v>
      </c>
      <c r="J1413" s="18"/>
      <c r="K1413" s="18" t="s">
        <v>5412</v>
      </c>
      <c r="L1413" s="18" t="s">
        <v>222</v>
      </c>
      <c r="M1413" s="18" t="str">
        <f>HYPERLINK("https://ceds.ed.gov/cedselementdetails.aspx?termid=9640")</f>
        <v>https://ceds.ed.gov/cedselementdetails.aspx?termid=9640</v>
      </c>
      <c r="N1413" s="18" t="str">
        <f>HYPERLINK("https://ceds.ed.gov/elementComment.aspx?elementName=Responsible School Identifier &amp;elementID=9640", "Click here to submit comment")</f>
        <v>Click here to submit comment</v>
      </c>
    </row>
    <row r="1414" spans="1:14" x14ac:dyDescent="0.25">
      <c r="A1414" s="18"/>
      <c r="B1414" s="18"/>
      <c r="C1414" s="18"/>
      <c r="D1414" s="18"/>
      <c r="E1414" s="18"/>
      <c r="F1414" s="18"/>
      <c r="G1414" s="18"/>
      <c r="H1414" s="12"/>
      <c r="I1414" s="18"/>
      <c r="J1414" s="18"/>
      <c r="K1414" s="18"/>
      <c r="L1414" s="18"/>
      <c r="M1414" s="18"/>
      <c r="N1414" s="18"/>
    </row>
    <row r="1415" spans="1:14" ht="90" x14ac:dyDescent="0.25">
      <c r="A1415" s="18"/>
      <c r="B1415" s="18"/>
      <c r="C1415" s="18"/>
      <c r="D1415" s="18"/>
      <c r="E1415" s="18"/>
      <c r="F1415" s="18"/>
      <c r="G1415" s="18"/>
      <c r="H1415" s="12" t="s">
        <v>144</v>
      </c>
      <c r="I1415" s="18"/>
      <c r="J1415" s="18"/>
      <c r="K1415" s="18"/>
      <c r="L1415" s="18"/>
      <c r="M1415" s="18"/>
      <c r="N1415" s="18"/>
    </row>
    <row r="1416" spans="1:14" ht="120" x14ac:dyDescent="0.25">
      <c r="A1416" s="12" t="s">
        <v>5413</v>
      </c>
      <c r="B1416" s="12" t="s">
        <v>5414</v>
      </c>
      <c r="C1416" s="13" t="s">
        <v>7098</v>
      </c>
      <c r="D1416" s="12" t="s">
        <v>6530</v>
      </c>
      <c r="E1416" s="12"/>
      <c r="F1416" s="12"/>
      <c r="G1416" s="12"/>
      <c r="H1416" s="12"/>
      <c r="I1416" s="12" t="s">
        <v>5415</v>
      </c>
      <c r="J1416" s="12"/>
      <c r="K1416" s="12" t="s">
        <v>5416</v>
      </c>
      <c r="L1416" s="12" t="s">
        <v>222</v>
      </c>
      <c r="M1416" s="12" t="str">
        <f>HYPERLINK("https://ceds.ed.gov/cedselementdetails.aspx?termid=9588")</f>
        <v>https://ceds.ed.gov/cedselementdetails.aspx?termid=9588</v>
      </c>
      <c r="N1416" s="12" t="str">
        <f>HYPERLINK("https://ceds.ed.gov/elementComment.aspx?elementName=Responsible School Type &amp;elementID=9588", "Click here to submit comment")</f>
        <v>Click here to submit comment</v>
      </c>
    </row>
    <row r="1417" spans="1:14" ht="165" x14ac:dyDescent="0.25">
      <c r="A1417" s="12" t="s">
        <v>5417</v>
      </c>
      <c r="B1417" s="12" t="s">
        <v>5418</v>
      </c>
      <c r="C1417" s="13" t="s">
        <v>7099</v>
      </c>
      <c r="D1417" s="12" t="s">
        <v>1931</v>
      </c>
      <c r="E1417" s="12"/>
      <c r="F1417" s="12"/>
      <c r="G1417" s="12"/>
      <c r="H1417" s="12"/>
      <c r="I1417" s="12" t="s">
        <v>5419</v>
      </c>
      <c r="J1417" s="12"/>
      <c r="K1417" s="12" t="s">
        <v>5420</v>
      </c>
      <c r="L1417" s="12" t="s">
        <v>222</v>
      </c>
      <c r="M1417" s="12" t="str">
        <f>HYPERLINK("https://ceds.ed.gov/cedselementdetails.aspx?termid=9232")</f>
        <v>https://ceds.ed.gov/cedselementdetails.aspx?termid=9232</v>
      </c>
      <c r="N1417" s="12" t="str">
        <f>HYPERLINK("https://ceds.ed.gov/elementComment.aspx?elementName=Restructuring Action &amp;elementID=9232", "Click here to submit comment")</f>
        <v>Click here to submit comment</v>
      </c>
    </row>
    <row r="1418" spans="1:14" ht="60" x14ac:dyDescent="0.25">
      <c r="A1418" s="12" t="s">
        <v>5421</v>
      </c>
      <c r="B1418" s="12" t="s">
        <v>5422</v>
      </c>
      <c r="C1418" s="12" t="s">
        <v>12</v>
      </c>
      <c r="D1418" s="12" t="s">
        <v>236</v>
      </c>
      <c r="E1418" s="12"/>
      <c r="F1418" s="12" t="s">
        <v>1554</v>
      </c>
      <c r="G1418" s="12"/>
      <c r="H1418" s="12" t="s">
        <v>369</v>
      </c>
      <c r="I1418" s="12" t="s">
        <v>5423</v>
      </c>
      <c r="J1418" s="12"/>
      <c r="K1418" s="12" t="s">
        <v>5424</v>
      </c>
      <c r="L1418" s="12" t="s">
        <v>1593</v>
      </c>
      <c r="M1418" s="12" t="str">
        <f>HYPERLINK("https://ceds.ed.gov/cedselementdetails.aspx?termid=9728")</f>
        <v>https://ceds.ed.gov/cedselementdetails.aspx?termid=9728</v>
      </c>
      <c r="N1418" s="12" t="str">
        <f>HYPERLINK("https://ceds.ed.gov/elementComment.aspx?elementName=Room Charges &amp;elementID=9728", "Click here to submit comment")</f>
        <v>Click here to submit comment</v>
      </c>
    </row>
    <row r="1419" spans="1:14" ht="60" x14ac:dyDescent="0.25">
      <c r="A1419" s="12" t="s">
        <v>5425</v>
      </c>
      <c r="B1419" s="12" t="s">
        <v>5426</v>
      </c>
      <c r="C1419" s="12" t="s">
        <v>12</v>
      </c>
      <c r="D1419" s="12" t="s">
        <v>6652</v>
      </c>
      <c r="E1419" s="12"/>
      <c r="F1419" s="12" t="s">
        <v>92</v>
      </c>
      <c r="G1419" s="12"/>
      <c r="H1419" s="12"/>
      <c r="I1419" s="12" t="s">
        <v>5427</v>
      </c>
      <c r="J1419" s="12"/>
      <c r="K1419" s="12" t="s">
        <v>5428</v>
      </c>
      <c r="L1419" s="12"/>
      <c r="M1419" s="12" t="str">
        <f>HYPERLINK("https://ceds.ed.gov/cedselementdetails.aspx?termid=10441")</f>
        <v>https://ceds.ed.gov/cedselementdetails.aspx?termid=10441</v>
      </c>
      <c r="N1419" s="12" t="str">
        <f>HYPERLINK("https://ceds.ed.gov/elementComment.aspx?elementName=Rubric Criterion Category &amp;elementID=10441", "Click here to submit comment")</f>
        <v>Click here to submit comment</v>
      </c>
    </row>
    <row r="1420" spans="1:14" ht="60" x14ac:dyDescent="0.25">
      <c r="A1420" s="12" t="s">
        <v>5429</v>
      </c>
      <c r="B1420" s="12" t="s">
        <v>5430</v>
      </c>
      <c r="C1420" s="12" t="s">
        <v>12</v>
      </c>
      <c r="D1420" s="12" t="s">
        <v>6652</v>
      </c>
      <c r="E1420" s="12"/>
      <c r="F1420" s="12" t="s">
        <v>327</v>
      </c>
      <c r="G1420" s="12"/>
      <c r="H1420" s="12"/>
      <c r="I1420" s="12" t="s">
        <v>5431</v>
      </c>
      <c r="J1420" s="12"/>
      <c r="K1420" s="12" t="s">
        <v>5432</v>
      </c>
      <c r="L1420" s="12"/>
      <c r="M1420" s="12" t="str">
        <f>HYPERLINK("https://ceds.ed.gov/cedselementdetails.aspx?termid=10442")</f>
        <v>https://ceds.ed.gov/cedselementdetails.aspx?termid=10442</v>
      </c>
      <c r="N1420" s="12" t="str">
        <f>HYPERLINK("https://ceds.ed.gov/elementComment.aspx?elementName=Rubric Criterion Description &amp;elementID=10442", "Click here to submit comment")</f>
        <v>Click here to submit comment</v>
      </c>
    </row>
    <row r="1421" spans="1:14" ht="60" x14ac:dyDescent="0.25">
      <c r="A1421" s="12" t="s">
        <v>5433</v>
      </c>
      <c r="B1421" s="12" t="s">
        <v>5434</v>
      </c>
      <c r="C1421" s="12" t="s">
        <v>12</v>
      </c>
      <c r="D1421" s="12" t="s">
        <v>6652</v>
      </c>
      <c r="E1421" s="12"/>
      <c r="F1421" s="12" t="s">
        <v>327</v>
      </c>
      <c r="G1421" s="12"/>
      <c r="H1421" s="12"/>
      <c r="I1421" s="12" t="s">
        <v>5435</v>
      </c>
      <c r="J1421" s="12"/>
      <c r="K1421" s="12" t="s">
        <v>5436</v>
      </c>
      <c r="L1421" s="12"/>
      <c r="M1421" s="12" t="str">
        <f>HYPERLINK("https://ceds.ed.gov/cedselementdetails.aspx?termid=10443")</f>
        <v>https://ceds.ed.gov/cedselementdetails.aspx?termid=10443</v>
      </c>
      <c r="N1421" s="12" t="str">
        <f>HYPERLINK("https://ceds.ed.gov/elementComment.aspx?elementName=Rubric Criterion Level Description &amp;elementID=10443", "Click here to submit comment")</f>
        <v>Click here to submit comment</v>
      </c>
    </row>
    <row r="1422" spans="1:14" ht="75" x14ac:dyDescent="0.25">
      <c r="A1422" s="12" t="s">
        <v>5437</v>
      </c>
      <c r="B1422" s="12" t="s">
        <v>5438</v>
      </c>
      <c r="C1422" s="12" t="s">
        <v>12</v>
      </c>
      <c r="D1422" s="12" t="s">
        <v>6652</v>
      </c>
      <c r="E1422" s="12"/>
      <c r="F1422" s="12" t="s">
        <v>327</v>
      </c>
      <c r="G1422" s="12"/>
      <c r="H1422" s="12"/>
      <c r="I1422" s="12" t="s">
        <v>5439</v>
      </c>
      <c r="J1422" s="12"/>
      <c r="K1422" s="12" t="s">
        <v>5440</v>
      </c>
      <c r="L1422" s="12"/>
      <c r="M1422" s="12" t="str">
        <f>HYPERLINK("https://ceds.ed.gov/cedselementdetails.aspx?termid=10444")</f>
        <v>https://ceds.ed.gov/cedselementdetails.aspx?termid=10444</v>
      </c>
      <c r="N1422" s="12" t="str">
        <f>HYPERLINK("https://ceds.ed.gov/elementComment.aspx?elementName=Rubric Criterion Level Feedback &amp;elementID=10444", "Click here to submit comment")</f>
        <v>Click here to submit comment</v>
      </c>
    </row>
    <row r="1423" spans="1:14" ht="60" x14ac:dyDescent="0.25">
      <c r="A1423" s="12" t="s">
        <v>5441</v>
      </c>
      <c r="B1423" s="12" t="s">
        <v>5442</v>
      </c>
      <c r="C1423" s="12" t="s">
        <v>12</v>
      </c>
      <c r="D1423" s="12" t="s">
        <v>6652</v>
      </c>
      <c r="E1423" s="12"/>
      <c r="F1423" s="12" t="s">
        <v>157</v>
      </c>
      <c r="G1423" s="12"/>
      <c r="H1423" s="12"/>
      <c r="I1423" s="12" t="s">
        <v>5443</v>
      </c>
      <c r="J1423" s="12"/>
      <c r="K1423" s="12" t="s">
        <v>5444</v>
      </c>
      <c r="L1423" s="12"/>
      <c r="M1423" s="12" t="str">
        <f>HYPERLINK("https://ceds.ed.gov/cedselementdetails.aspx?termid=10445")</f>
        <v>https://ceds.ed.gov/cedselementdetails.aspx?termid=10445</v>
      </c>
      <c r="N1423" s="12" t="str">
        <f>HYPERLINK("https://ceds.ed.gov/elementComment.aspx?elementName=Rubric Criterion Level Position &amp;elementID=10445", "Click here to submit comment")</f>
        <v>Click here to submit comment</v>
      </c>
    </row>
    <row r="1424" spans="1:14" ht="60" x14ac:dyDescent="0.25">
      <c r="A1424" s="12" t="s">
        <v>5445</v>
      </c>
      <c r="B1424" s="12" t="s">
        <v>5446</v>
      </c>
      <c r="C1424" s="12" t="s">
        <v>12</v>
      </c>
      <c r="D1424" s="12" t="s">
        <v>6652</v>
      </c>
      <c r="E1424" s="12"/>
      <c r="F1424" s="12" t="s">
        <v>99</v>
      </c>
      <c r="G1424" s="12"/>
      <c r="H1424" s="12"/>
      <c r="I1424" s="12" t="s">
        <v>5447</v>
      </c>
      <c r="J1424" s="12"/>
      <c r="K1424" s="12" t="s">
        <v>5448</v>
      </c>
      <c r="L1424" s="12"/>
      <c r="M1424" s="12" t="str">
        <f>HYPERLINK("https://ceds.ed.gov/cedselementdetails.aspx?termid=10446")</f>
        <v>https://ceds.ed.gov/cedselementdetails.aspx?termid=10446</v>
      </c>
      <c r="N1424" s="12" t="str">
        <f>HYPERLINK("https://ceds.ed.gov/elementComment.aspx?elementName=Rubric Criterion Level Quality Label &amp;elementID=10446", "Click here to submit comment")</f>
        <v>Click here to submit comment</v>
      </c>
    </row>
    <row r="1425" spans="1:14" ht="60" x14ac:dyDescent="0.25">
      <c r="A1425" s="12" t="s">
        <v>5449</v>
      </c>
      <c r="B1425" s="12" t="s">
        <v>5450</v>
      </c>
      <c r="C1425" s="12" t="s">
        <v>12</v>
      </c>
      <c r="D1425" s="12" t="s">
        <v>6652</v>
      </c>
      <c r="E1425" s="12"/>
      <c r="F1425" s="12" t="s">
        <v>157</v>
      </c>
      <c r="G1425" s="12"/>
      <c r="H1425" s="12"/>
      <c r="I1425" s="12" t="s">
        <v>5451</v>
      </c>
      <c r="J1425" s="12"/>
      <c r="K1425" s="12" t="s">
        <v>5452</v>
      </c>
      <c r="L1425" s="12"/>
      <c r="M1425" s="12" t="str">
        <f>HYPERLINK("https://ceds.ed.gov/cedselementdetails.aspx?termid=10447")</f>
        <v>https://ceds.ed.gov/cedselementdetails.aspx?termid=10447</v>
      </c>
      <c r="N1425" s="12" t="str">
        <f>HYPERLINK("https://ceds.ed.gov/elementComment.aspx?elementName=Rubric Criterion Level Score &amp;elementID=10447", "Click here to submit comment")</f>
        <v>Click here to submit comment</v>
      </c>
    </row>
    <row r="1426" spans="1:14" ht="60" x14ac:dyDescent="0.25">
      <c r="A1426" s="12" t="s">
        <v>5453</v>
      </c>
      <c r="B1426" s="12" t="s">
        <v>5454</v>
      </c>
      <c r="C1426" s="12" t="s">
        <v>12</v>
      </c>
      <c r="D1426" s="12" t="s">
        <v>6652</v>
      </c>
      <c r="E1426" s="12"/>
      <c r="F1426" s="12" t="s">
        <v>157</v>
      </c>
      <c r="G1426" s="12"/>
      <c r="H1426" s="12"/>
      <c r="I1426" s="12" t="s">
        <v>5455</v>
      </c>
      <c r="J1426" s="12"/>
      <c r="K1426" s="12" t="s">
        <v>5456</v>
      </c>
      <c r="L1426" s="12"/>
      <c r="M1426" s="12" t="str">
        <f>HYPERLINK("https://ceds.ed.gov/cedselementdetails.aspx?termid=10448")</f>
        <v>https://ceds.ed.gov/cedselementdetails.aspx?termid=10448</v>
      </c>
      <c r="N1426" s="12" t="str">
        <f>HYPERLINK("https://ceds.ed.gov/elementComment.aspx?elementName=Rubric Criterion Position &amp;elementID=10448", "Click here to submit comment")</f>
        <v>Click here to submit comment</v>
      </c>
    </row>
    <row r="1427" spans="1:14" ht="60" x14ac:dyDescent="0.25">
      <c r="A1427" s="12" t="s">
        <v>5457</v>
      </c>
      <c r="B1427" s="12" t="s">
        <v>5458</v>
      </c>
      <c r="C1427" s="12" t="s">
        <v>12</v>
      </c>
      <c r="D1427" s="12" t="s">
        <v>6652</v>
      </c>
      <c r="E1427" s="12"/>
      <c r="F1427" s="12" t="s">
        <v>99</v>
      </c>
      <c r="G1427" s="12"/>
      <c r="H1427" s="12"/>
      <c r="I1427" s="12" t="s">
        <v>5459</v>
      </c>
      <c r="J1427" s="12"/>
      <c r="K1427" s="12" t="s">
        <v>5460</v>
      </c>
      <c r="L1427" s="12"/>
      <c r="M1427" s="12" t="str">
        <f>HYPERLINK("https://ceds.ed.gov/cedselementdetails.aspx?termid=10449")</f>
        <v>https://ceds.ed.gov/cedselementdetails.aspx?termid=10449</v>
      </c>
      <c r="N1427" s="12" t="str">
        <f>HYPERLINK("https://ceds.ed.gov/elementComment.aspx?elementName=Rubric Criterion Title &amp;elementID=10449", "Click here to submit comment")</f>
        <v>Click here to submit comment</v>
      </c>
    </row>
    <row r="1428" spans="1:14" ht="60" x14ac:dyDescent="0.25">
      <c r="A1428" s="12" t="s">
        <v>5461</v>
      </c>
      <c r="B1428" s="12" t="s">
        <v>5462</v>
      </c>
      <c r="C1428" s="12" t="s">
        <v>12</v>
      </c>
      <c r="D1428" s="12" t="s">
        <v>6652</v>
      </c>
      <c r="E1428" s="12"/>
      <c r="F1428" s="12" t="s">
        <v>157</v>
      </c>
      <c r="G1428" s="12"/>
      <c r="H1428" s="12"/>
      <c r="I1428" s="12" t="s">
        <v>5463</v>
      </c>
      <c r="J1428" s="12"/>
      <c r="K1428" s="12" t="s">
        <v>5464</v>
      </c>
      <c r="L1428" s="12"/>
      <c r="M1428" s="12" t="str">
        <f>HYPERLINK("https://ceds.ed.gov/cedselementdetails.aspx?termid=10450")</f>
        <v>https://ceds.ed.gov/cedselementdetails.aspx?termid=10450</v>
      </c>
      <c r="N1428" s="12" t="str">
        <f>HYPERLINK("https://ceds.ed.gov/elementComment.aspx?elementName=Rubric Criterion Weight &amp;elementID=10450", "Click here to submit comment")</f>
        <v>Click here to submit comment</v>
      </c>
    </row>
    <row r="1429" spans="1:14" ht="60" x14ac:dyDescent="0.25">
      <c r="A1429" s="12" t="s">
        <v>5465</v>
      </c>
      <c r="B1429" s="12" t="s">
        <v>5466</v>
      </c>
      <c r="C1429" s="12" t="s">
        <v>12</v>
      </c>
      <c r="D1429" s="12" t="s">
        <v>6652</v>
      </c>
      <c r="E1429" s="12"/>
      <c r="F1429" s="12" t="s">
        <v>327</v>
      </c>
      <c r="G1429" s="12"/>
      <c r="H1429" s="12"/>
      <c r="I1429" s="12" t="s">
        <v>5467</v>
      </c>
      <c r="J1429" s="12"/>
      <c r="K1429" s="12" t="s">
        <v>5468</v>
      </c>
      <c r="L1429" s="12"/>
      <c r="M1429" s="12" t="str">
        <f>HYPERLINK("https://ceds.ed.gov/cedselementdetails.aspx?termid=10451")</f>
        <v>https://ceds.ed.gov/cedselementdetails.aspx?termid=10451</v>
      </c>
      <c r="N1429" s="12" t="str">
        <f>HYPERLINK("https://ceds.ed.gov/elementComment.aspx?elementName=Rubric Description &amp;elementID=10451", "Click here to submit comment")</f>
        <v>Click here to submit comment</v>
      </c>
    </row>
    <row r="1430" spans="1:14" ht="105" x14ac:dyDescent="0.25">
      <c r="A1430" s="18" t="s">
        <v>5469</v>
      </c>
      <c r="B1430" s="18" t="s">
        <v>5470</v>
      </c>
      <c r="C1430" s="18" t="s">
        <v>12</v>
      </c>
      <c r="D1430" s="18" t="s">
        <v>6652</v>
      </c>
      <c r="E1430" s="18"/>
      <c r="F1430" s="18" t="s">
        <v>142</v>
      </c>
      <c r="G1430" s="18"/>
      <c r="H1430" s="12" t="s">
        <v>143</v>
      </c>
      <c r="I1430" s="18" t="s">
        <v>5471</v>
      </c>
      <c r="J1430" s="18"/>
      <c r="K1430" s="18" t="s">
        <v>5472</v>
      </c>
      <c r="L1430" s="18" t="s">
        <v>6409</v>
      </c>
      <c r="M1430" s="18" t="str">
        <f>HYPERLINK("https://ceds.ed.gov/cedselementdetails.aspx?termid=9412")</f>
        <v>https://ceds.ed.gov/cedselementdetails.aspx?termid=9412</v>
      </c>
      <c r="N1430" s="18" t="str">
        <f>HYPERLINK("https://ceds.ed.gov/elementComment.aspx?elementName=Rubric Identifier &amp;elementID=9412", "Click here to submit comment")</f>
        <v>Click here to submit comment</v>
      </c>
    </row>
    <row r="1431" spans="1:14" x14ac:dyDescent="0.25">
      <c r="A1431" s="18"/>
      <c r="B1431" s="18"/>
      <c r="C1431" s="18"/>
      <c r="D1431" s="18"/>
      <c r="E1431" s="18"/>
      <c r="F1431" s="18"/>
      <c r="G1431" s="18"/>
      <c r="H1431" s="12"/>
      <c r="I1431" s="18"/>
      <c r="J1431" s="18"/>
      <c r="K1431" s="18"/>
      <c r="L1431" s="18"/>
      <c r="M1431" s="18"/>
      <c r="N1431" s="18"/>
    </row>
    <row r="1432" spans="1:14" ht="90" x14ac:dyDescent="0.25">
      <c r="A1432" s="18"/>
      <c r="B1432" s="18"/>
      <c r="C1432" s="18"/>
      <c r="D1432" s="18"/>
      <c r="E1432" s="18"/>
      <c r="F1432" s="18"/>
      <c r="G1432" s="18"/>
      <c r="H1432" s="12" t="s">
        <v>144</v>
      </c>
      <c r="I1432" s="18"/>
      <c r="J1432" s="18"/>
      <c r="K1432" s="18"/>
      <c r="L1432" s="18"/>
      <c r="M1432" s="18"/>
      <c r="N1432" s="18"/>
    </row>
    <row r="1433" spans="1:14" ht="60" x14ac:dyDescent="0.25">
      <c r="A1433" s="12" t="s">
        <v>5473</v>
      </c>
      <c r="B1433" s="12" t="s">
        <v>5474</v>
      </c>
      <c r="C1433" s="12" t="s">
        <v>12</v>
      </c>
      <c r="D1433" s="12" t="s">
        <v>6652</v>
      </c>
      <c r="E1433" s="12"/>
      <c r="F1433" s="12" t="s">
        <v>92</v>
      </c>
      <c r="G1433" s="12"/>
      <c r="H1433" s="12"/>
      <c r="I1433" s="12" t="s">
        <v>5475</v>
      </c>
      <c r="J1433" s="12"/>
      <c r="K1433" s="12" t="s">
        <v>5476</v>
      </c>
      <c r="L1433" s="12" t="s">
        <v>6409</v>
      </c>
      <c r="M1433" s="12" t="str">
        <f>HYPERLINK("https://ceds.ed.gov/cedselementdetails.aspx?termid=9411")</f>
        <v>https://ceds.ed.gov/cedselementdetails.aspx?termid=9411</v>
      </c>
      <c r="N1433" s="12" t="str">
        <f>HYPERLINK("https://ceds.ed.gov/elementComment.aspx?elementName=Rubric Title &amp;elementID=9411", "Click here to submit comment")</f>
        <v>Click here to submit comment</v>
      </c>
    </row>
    <row r="1434" spans="1:14" ht="60" x14ac:dyDescent="0.25">
      <c r="A1434" s="12" t="s">
        <v>5477</v>
      </c>
      <c r="B1434" s="12" t="s">
        <v>5478</v>
      </c>
      <c r="C1434" s="12" t="s">
        <v>12</v>
      </c>
      <c r="D1434" s="12" t="s">
        <v>6652</v>
      </c>
      <c r="E1434" s="12"/>
      <c r="F1434" s="12" t="s">
        <v>68</v>
      </c>
      <c r="G1434" s="12"/>
      <c r="H1434" s="12"/>
      <c r="I1434" s="12" t="s">
        <v>5479</v>
      </c>
      <c r="J1434" s="12"/>
      <c r="K1434" s="12" t="s">
        <v>5480</v>
      </c>
      <c r="L1434" s="12" t="s">
        <v>6409</v>
      </c>
      <c r="M1434" s="12" t="str">
        <f>HYPERLINK("https://ceds.ed.gov/cedselementdetails.aspx?termid=9413")</f>
        <v>https://ceds.ed.gov/cedselementdetails.aspx?termid=9413</v>
      </c>
      <c r="N1434" s="12" t="str">
        <f>HYPERLINK("https://ceds.ed.gov/elementComment.aspx?elementName=Rubric URL Reference &amp;elementID=9413", "Click here to submit comment")</f>
        <v>Click here to submit comment</v>
      </c>
    </row>
    <row r="1435" spans="1:14" ht="105" x14ac:dyDescent="0.25">
      <c r="A1435" s="12" t="s">
        <v>5481</v>
      </c>
      <c r="B1435" s="12" t="s">
        <v>5482</v>
      </c>
      <c r="C1435" s="13" t="s">
        <v>6747</v>
      </c>
      <c r="D1435" s="12" t="s">
        <v>1563</v>
      </c>
      <c r="E1435" s="12"/>
      <c r="F1435" s="12"/>
      <c r="G1435" s="12"/>
      <c r="H1435" s="12"/>
      <c r="I1435" s="12" t="s">
        <v>5483</v>
      </c>
      <c r="J1435" s="12" t="s">
        <v>5484</v>
      </c>
      <c r="K1435" s="12" t="s">
        <v>5485</v>
      </c>
      <c r="L1435" s="12" t="s">
        <v>222</v>
      </c>
      <c r="M1435" s="12" t="str">
        <f>HYPERLINK("https://ceds.ed.gov/cedselementdetails.aspx?termid=9552")</f>
        <v>https://ceds.ed.gov/cedselementdetails.aspx?termid=9552</v>
      </c>
      <c r="N1435" s="12" t="str">
        <f>HYPERLINK("https://ceds.ed.gov/elementComment.aspx?elementName=Rural Education Achievement Program Alternative Funding Status &amp;elementID=9552", "Click here to submit comment")</f>
        <v>Click here to submit comment</v>
      </c>
    </row>
    <row r="1436" spans="1:14" ht="90" x14ac:dyDescent="0.25">
      <c r="A1436" s="12" t="s">
        <v>5486</v>
      </c>
      <c r="B1436" s="12" t="s">
        <v>5487</v>
      </c>
      <c r="C1436" s="12" t="s">
        <v>6364</v>
      </c>
      <c r="D1436" s="12" t="s">
        <v>2389</v>
      </c>
      <c r="E1436" s="12"/>
      <c r="F1436" s="12"/>
      <c r="G1436" s="12"/>
      <c r="H1436" s="12"/>
      <c r="I1436" s="12" t="s">
        <v>5488</v>
      </c>
      <c r="J1436" s="12"/>
      <c r="K1436" s="12" t="s">
        <v>5489</v>
      </c>
      <c r="L1436" s="12"/>
      <c r="M1436" s="12" t="str">
        <f>HYPERLINK("https://ceds.ed.gov/cedselementdetails.aspx?termid=9761")</f>
        <v>https://ceds.ed.gov/cedselementdetails.aspx?termid=9761</v>
      </c>
      <c r="N1436" s="12" t="str">
        <f>HYPERLINK("https://ceds.ed.gov/elementComment.aspx?elementName=Rural Residency Status &amp;elementID=9761", "Click here to submit comment")</f>
        <v>Click here to submit comment</v>
      </c>
    </row>
    <row r="1437" spans="1:14" ht="60" x14ac:dyDescent="0.25">
      <c r="A1437" s="12" t="s">
        <v>5490</v>
      </c>
      <c r="B1437" s="12" t="s">
        <v>5491</v>
      </c>
      <c r="C1437" s="12" t="s">
        <v>12</v>
      </c>
      <c r="D1437" s="12" t="s">
        <v>5492</v>
      </c>
      <c r="E1437" s="12"/>
      <c r="F1437" s="12" t="s">
        <v>99</v>
      </c>
      <c r="G1437" s="12"/>
      <c r="H1437" s="12"/>
      <c r="I1437" s="12" t="s">
        <v>5493</v>
      </c>
      <c r="J1437" s="12"/>
      <c r="K1437" s="12" t="s">
        <v>5494</v>
      </c>
      <c r="L1437" s="12" t="s">
        <v>211</v>
      </c>
      <c r="M1437" s="12" t="str">
        <f>HYPERLINK("https://ceds.ed.gov/cedselementdetails.aspx?termid=9468")</f>
        <v>https://ceds.ed.gov/cedselementdetails.aspx?termid=9468</v>
      </c>
      <c r="N1437" s="12" t="str">
        <f>HYPERLINK("https://ceds.ed.gov/elementComment.aspx?elementName=Safe and Drug Free Baseline &amp;elementID=9468", "Click here to submit comment")</f>
        <v>Click here to submit comment</v>
      </c>
    </row>
    <row r="1438" spans="1:14" ht="45" x14ac:dyDescent="0.25">
      <c r="A1438" s="12" t="s">
        <v>5495</v>
      </c>
      <c r="B1438" s="12" t="s">
        <v>5496</v>
      </c>
      <c r="C1438" s="12" t="s">
        <v>12</v>
      </c>
      <c r="D1438" s="12" t="s">
        <v>5492</v>
      </c>
      <c r="E1438" s="12"/>
      <c r="F1438" s="12" t="s">
        <v>1201</v>
      </c>
      <c r="G1438" s="12"/>
      <c r="H1438" s="12"/>
      <c r="I1438" s="12" t="s">
        <v>5497</v>
      </c>
      <c r="J1438" s="12"/>
      <c r="K1438" s="12" t="s">
        <v>5498</v>
      </c>
      <c r="L1438" s="12" t="s">
        <v>211</v>
      </c>
      <c r="M1438" s="12" t="str">
        <f>HYPERLINK("https://ceds.ed.gov/cedselementdetails.aspx?termid=9469")</f>
        <v>https://ceds.ed.gov/cedselementdetails.aspx?termid=9469</v>
      </c>
      <c r="N1438" s="12" t="str">
        <f>HYPERLINK("https://ceds.ed.gov/elementComment.aspx?elementName=Safe and Drug Free Baseline Year &amp;elementID=9469", "Click here to submit comment")</f>
        <v>Click here to submit comment</v>
      </c>
    </row>
    <row r="1439" spans="1:14" ht="60" x14ac:dyDescent="0.25">
      <c r="A1439" s="12" t="s">
        <v>5499</v>
      </c>
      <c r="B1439" s="12" t="s">
        <v>5500</v>
      </c>
      <c r="C1439" s="12" t="s">
        <v>12</v>
      </c>
      <c r="D1439" s="12" t="s">
        <v>5492</v>
      </c>
      <c r="E1439" s="12"/>
      <c r="F1439" s="12" t="s">
        <v>99</v>
      </c>
      <c r="G1439" s="12"/>
      <c r="H1439" s="12"/>
      <c r="I1439" s="12" t="s">
        <v>5501</v>
      </c>
      <c r="J1439" s="12"/>
      <c r="K1439" s="12" t="s">
        <v>5502</v>
      </c>
      <c r="L1439" s="12" t="s">
        <v>211</v>
      </c>
      <c r="M1439" s="12" t="str">
        <f>HYPERLINK("https://ceds.ed.gov/cedselementdetails.aspx?termid=9463")</f>
        <v>https://ceds.ed.gov/cedselementdetails.aspx?termid=9463</v>
      </c>
      <c r="N1439" s="12" t="str">
        <f>HYPERLINK("https://ceds.ed.gov/elementComment.aspx?elementName=Safe and Drug Free Collection Frequency &amp;elementID=9463", "Click here to submit comment")</f>
        <v>Click here to submit comment</v>
      </c>
    </row>
    <row r="1440" spans="1:14" ht="60" x14ac:dyDescent="0.25">
      <c r="A1440" s="12" t="s">
        <v>5503</v>
      </c>
      <c r="B1440" s="12" t="s">
        <v>5504</v>
      </c>
      <c r="C1440" s="12" t="s">
        <v>12</v>
      </c>
      <c r="D1440" s="12" t="s">
        <v>5492</v>
      </c>
      <c r="E1440" s="12"/>
      <c r="F1440" s="12" t="s">
        <v>99</v>
      </c>
      <c r="G1440" s="12"/>
      <c r="H1440" s="12"/>
      <c r="I1440" s="12" t="s">
        <v>5505</v>
      </c>
      <c r="J1440" s="12"/>
      <c r="K1440" s="12" t="s">
        <v>5506</v>
      </c>
      <c r="L1440" s="12" t="s">
        <v>211</v>
      </c>
      <c r="M1440" s="12" t="str">
        <f>HYPERLINK("https://ceds.ed.gov/cedselementdetails.aspx?termid=9461")</f>
        <v>https://ceds.ed.gov/cedselementdetails.aspx?termid=9461</v>
      </c>
      <c r="N1440" s="12" t="str">
        <f>HYPERLINK("https://ceds.ed.gov/elementComment.aspx?elementName=Safe and Drug Free Indicator Name &amp;elementID=9461", "Click here to submit comment")</f>
        <v>Click here to submit comment</v>
      </c>
    </row>
    <row r="1441" spans="1:14" ht="75" x14ac:dyDescent="0.25">
      <c r="A1441" s="12" t="s">
        <v>5507</v>
      </c>
      <c r="B1441" s="12" t="s">
        <v>5508</v>
      </c>
      <c r="C1441" s="12" t="s">
        <v>12</v>
      </c>
      <c r="D1441" s="12" t="s">
        <v>5492</v>
      </c>
      <c r="E1441" s="12"/>
      <c r="F1441" s="12" t="s">
        <v>794</v>
      </c>
      <c r="G1441" s="12"/>
      <c r="H1441" s="12"/>
      <c r="I1441" s="12" t="s">
        <v>5509</v>
      </c>
      <c r="J1441" s="12"/>
      <c r="K1441" s="12" t="s">
        <v>5510</v>
      </c>
      <c r="L1441" s="12" t="s">
        <v>211</v>
      </c>
      <c r="M1441" s="12" t="str">
        <f>HYPERLINK("https://ceds.ed.gov/cedselementdetails.aspx?termid=9462")</f>
        <v>https://ceds.ed.gov/cedselementdetails.aspx?termid=9462</v>
      </c>
      <c r="N1441" s="12" t="str">
        <f>HYPERLINK("https://ceds.ed.gov/elementComment.aspx?elementName=Safe and Drug Free Instrument &amp;elementID=9462", "Click here to submit comment")</f>
        <v>Click here to submit comment</v>
      </c>
    </row>
    <row r="1442" spans="1:14" ht="60" x14ac:dyDescent="0.25">
      <c r="A1442" s="12" t="s">
        <v>5511</v>
      </c>
      <c r="B1442" s="12" t="s">
        <v>5512</v>
      </c>
      <c r="C1442" s="12" t="s">
        <v>12</v>
      </c>
      <c r="D1442" s="12" t="s">
        <v>5492</v>
      </c>
      <c r="E1442" s="12"/>
      <c r="F1442" s="12" t="s">
        <v>1201</v>
      </c>
      <c r="G1442" s="12"/>
      <c r="H1442" s="12"/>
      <c r="I1442" s="12" t="s">
        <v>5513</v>
      </c>
      <c r="J1442" s="12"/>
      <c r="K1442" s="12" t="s">
        <v>5514</v>
      </c>
      <c r="L1442" s="12" t="s">
        <v>211</v>
      </c>
      <c r="M1442" s="12" t="str">
        <f>HYPERLINK("https://ceds.ed.gov/cedselementdetails.aspx?termid=9466")</f>
        <v>https://ceds.ed.gov/cedselementdetails.aspx?termid=9466</v>
      </c>
      <c r="N1442" s="12" t="str">
        <f>HYPERLINK("https://ceds.ed.gov/elementComment.aspx?elementName=Safe and Drug Free Performance &amp;elementID=9466", "Click here to submit comment")</f>
        <v>Click here to submit comment</v>
      </c>
    </row>
    <row r="1443" spans="1:14" ht="60" x14ac:dyDescent="0.25">
      <c r="A1443" s="12" t="s">
        <v>5515</v>
      </c>
      <c r="B1443" s="12" t="s">
        <v>5516</v>
      </c>
      <c r="C1443" s="12" t="s">
        <v>12</v>
      </c>
      <c r="D1443" s="12" t="s">
        <v>5492</v>
      </c>
      <c r="E1443" s="12"/>
      <c r="F1443" s="12" t="s">
        <v>1201</v>
      </c>
      <c r="G1443" s="12"/>
      <c r="H1443" s="12"/>
      <c r="I1443" s="12" t="s">
        <v>5517</v>
      </c>
      <c r="J1443" s="12"/>
      <c r="K1443" s="12" t="s">
        <v>5518</v>
      </c>
      <c r="L1443" s="12" t="s">
        <v>211</v>
      </c>
      <c r="M1443" s="12" t="str">
        <f>HYPERLINK("https://ceds.ed.gov/cedselementdetails.aspx?termid=9465")</f>
        <v>https://ceds.ed.gov/cedselementdetails.aspx?termid=9465</v>
      </c>
      <c r="N1443" s="12" t="str">
        <f>HYPERLINK("https://ceds.ed.gov/elementComment.aspx?elementName=Safe and Drug Free Target &amp;elementID=9465", "Click here to submit comment")</f>
        <v>Click here to submit comment</v>
      </c>
    </row>
    <row r="1444" spans="1:14" ht="60" x14ac:dyDescent="0.25">
      <c r="A1444" s="12" t="s">
        <v>5519</v>
      </c>
      <c r="B1444" s="12" t="s">
        <v>5520</v>
      </c>
      <c r="C1444" s="12" t="s">
        <v>12</v>
      </c>
      <c r="D1444" s="12" t="s">
        <v>5492</v>
      </c>
      <c r="E1444" s="12"/>
      <c r="F1444" s="12" t="s">
        <v>1201</v>
      </c>
      <c r="G1444" s="12"/>
      <c r="H1444" s="12"/>
      <c r="I1444" s="12" t="s">
        <v>5521</v>
      </c>
      <c r="J1444" s="12"/>
      <c r="K1444" s="12" t="s">
        <v>5522</v>
      </c>
      <c r="L1444" s="12" t="s">
        <v>211</v>
      </c>
      <c r="M1444" s="12" t="str">
        <f>HYPERLINK("https://ceds.ed.gov/cedselementdetails.aspx?termid=9464")</f>
        <v>https://ceds.ed.gov/cedselementdetails.aspx?termid=9464</v>
      </c>
      <c r="N1444" s="12" t="str">
        <f>HYPERLINK("https://ceds.ed.gov/elementComment.aspx?elementName=Safe and Drug Free Year Most Recent Collection &amp;elementID=9464", "Click here to submit comment")</f>
        <v>Click here to submit comment</v>
      </c>
    </row>
    <row r="1445" spans="1:14" ht="45" x14ac:dyDescent="0.25">
      <c r="A1445" s="12" t="s">
        <v>5523</v>
      </c>
      <c r="B1445" s="12" t="s">
        <v>5524</v>
      </c>
      <c r="C1445" s="12" t="s">
        <v>6364</v>
      </c>
      <c r="D1445" s="12" t="s">
        <v>1904</v>
      </c>
      <c r="E1445" s="12"/>
      <c r="F1445" s="12"/>
      <c r="G1445" s="12"/>
      <c r="H1445" s="12"/>
      <c r="I1445" s="12" t="s">
        <v>5525</v>
      </c>
      <c r="J1445" s="12"/>
      <c r="K1445" s="12" t="s">
        <v>5526</v>
      </c>
      <c r="L1445" s="12" t="s">
        <v>1907</v>
      </c>
      <c r="M1445" s="12" t="str">
        <f>HYPERLINK("https://ceds.ed.gov/cedselementdetails.aspx?termid=9234")</f>
        <v>https://ceds.ed.gov/cedselementdetails.aspx?termid=9234</v>
      </c>
      <c r="N1445" s="12" t="str">
        <f>HYPERLINK("https://ceds.ed.gov/elementComment.aspx?elementName=Salary For Teaching Assignment Only Indicator &amp;elementID=9234", "Click here to submit comment")</f>
        <v>Click here to submit comment</v>
      </c>
    </row>
    <row r="1446" spans="1:14" ht="240" x14ac:dyDescent="0.25">
      <c r="A1446" s="12" t="s">
        <v>5527</v>
      </c>
      <c r="B1446" s="12" t="s">
        <v>5528</v>
      </c>
      <c r="C1446" s="13" t="s">
        <v>7100</v>
      </c>
      <c r="D1446" s="12" t="s">
        <v>5529</v>
      </c>
      <c r="E1446" s="12"/>
      <c r="F1446" s="12"/>
      <c r="G1446" s="12"/>
      <c r="H1446" s="12"/>
      <c r="I1446" s="12" t="s">
        <v>5530</v>
      </c>
      <c r="J1446" s="12"/>
      <c r="K1446" s="12" t="s">
        <v>5531</v>
      </c>
      <c r="L1446" s="12"/>
      <c r="M1446" s="12" t="str">
        <f>HYPERLINK("https://ceds.ed.gov/cedselementdetails.aspx?termid=10602")</f>
        <v>https://ceds.ed.gov/cedselementdetails.aspx?termid=10602</v>
      </c>
      <c r="N1446" s="12" t="str">
        <f>HYPERLINK("https://ceds.ed.gov/elementComment.aspx?elementName=Scheduled Well Child Screening &amp;elementID=10602", "Click here to submit comment")</f>
        <v>Click here to submit comment</v>
      </c>
    </row>
    <row r="1447" spans="1:14" ht="105" x14ac:dyDescent="0.25">
      <c r="A1447" s="12" t="s">
        <v>5532</v>
      </c>
      <c r="B1447" s="12" t="s">
        <v>5533</v>
      </c>
      <c r="C1447" s="12" t="s">
        <v>6364</v>
      </c>
      <c r="D1447" s="12" t="s">
        <v>5534</v>
      </c>
      <c r="E1447" s="12"/>
      <c r="F1447" s="12"/>
      <c r="G1447" s="12"/>
      <c r="H1447" s="12"/>
      <c r="I1447" s="12" t="s">
        <v>5535</v>
      </c>
      <c r="J1447" s="12"/>
      <c r="K1447" s="12" t="s">
        <v>5536</v>
      </c>
      <c r="L1447" s="12" t="s">
        <v>222</v>
      </c>
      <c r="M1447" s="12" t="str">
        <f>HYPERLINK("https://ceds.ed.gov/cedselementdetails.aspx?termid=9235")</f>
        <v>https://ceds.ed.gov/cedselementdetails.aspx?termid=9235</v>
      </c>
      <c r="N1447" s="12" t="str">
        <f>HYPERLINK("https://ceds.ed.gov/elementComment.aspx?elementName=School Choice Applied for Transfer Status &amp;elementID=9235", "Click here to submit comment")</f>
        <v>Click here to submit comment</v>
      </c>
    </row>
    <row r="1448" spans="1:14" ht="165" x14ac:dyDescent="0.25">
      <c r="A1448" s="12" t="s">
        <v>5537</v>
      </c>
      <c r="B1448" s="12" t="s">
        <v>5538</v>
      </c>
      <c r="C1448" s="12" t="s">
        <v>6364</v>
      </c>
      <c r="D1448" s="12" t="s">
        <v>5534</v>
      </c>
      <c r="E1448" s="12"/>
      <c r="F1448" s="12"/>
      <c r="G1448" s="12"/>
      <c r="H1448" s="12" t="s">
        <v>5539</v>
      </c>
      <c r="I1448" s="12" t="s">
        <v>5540</v>
      </c>
      <c r="J1448" s="12"/>
      <c r="K1448" s="12" t="s">
        <v>5541</v>
      </c>
      <c r="L1448" s="12" t="s">
        <v>222</v>
      </c>
      <c r="M1448" s="12" t="str">
        <f>HYPERLINK("https://ceds.ed.gov/cedselementdetails.aspx?termid=9236")</f>
        <v>https://ceds.ed.gov/cedselementdetails.aspx?termid=9236</v>
      </c>
      <c r="N1448" s="12" t="str">
        <f>HYPERLINK("https://ceds.ed.gov/elementComment.aspx?elementName=School Choice Eligible for Transfer Status &amp;elementID=9236", "Click here to submit comment")</f>
        <v>Click here to submit comment</v>
      </c>
    </row>
    <row r="1449" spans="1:14" ht="75" x14ac:dyDescent="0.25">
      <c r="A1449" s="12" t="s">
        <v>5542</v>
      </c>
      <c r="B1449" s="12" t="s">
        <v>5543</v>
      </c>
      <c r="C1449" s="12" t="s">
        <v>6364</v>
      </c>
      <c r="D1449" s="12" t="s">
        <v>5534</v>
      </c>
      <c r="E1449" s="12"/>
      <c r="F1449" s="12"/>
      <c r="G1449" s="12"/>
      <c r="H1449" s="12"/>
      <c r="I1449" s="12" t="s">
        <v>5544</v>
      </c>
      <c r="J1449" s="12"/>
      <c r="K1449" s="12" t="s">
        <v>5545</v>
      </c>
      <c r="L1449" s="12" t="s">
        <v>6369</v>
      </c>
      <c r="M1449" s="12" t="str">
        <f>HYPERLINK("https://ceds.ed.gov/cedselementdetails.aspx?termid=9237")</f>
        <v>https://ceds.ed.gov/cedselementdetails.aspx?termid=9237</v>
      </c>
      <c r="N1449" s="12" t="str">
        <f>HYPERLINK("https://ceds.ed.gov/elementComment.aspx?elementName=School Choice Transfer Status &amp;elementID=9237", "Click here to submit comment")</f>
        <v>Click here to submit comment</v>
      </c>
    </row>
    <row r="1450" spans="1:14" ht="120" x14ac:dyDescent="0.25">
      <c r="A1450" s="12" t="s">
        <v>5546</v>
      </c>
      <c r="B1450" s="12" t="s">
        <v>5547</v>
      </c>
      <c r="C1450" s="14" t="s">
        <v>5548</v>
      </c>
      <c r="D1450" s="12" t="s">
        <v>6653</v>
      </c>
      <c r="E1450" s="12"/>
      <c r="F1450" s="12" t="s">
        <v>5549</v>
      </c>
      <c r="G1450" s="12"/>
      <c r="H1450" s="12" t="s">
        <v>5550</v>
      </c>
      <c r="I1450" s="12" t="s">
        <v>5551</v>
      </c>
      <c r="J1450" s="12" t="s">
        <v>5552</v>
      </c>
      <c r="K1450" s="12" t="s">
        <v>5553</v>
      </c>
      <c r="L1450" s="12"/>
      <c r="M1450" s="12" t="str">
        <f>HYPERLINK("https://ceds.ed.gov/cedselementdetails.aspx?termid=10490")</f>
        <v>https://ceds.ed.gov/cedselementdetails.aspx?termid=10490</v>
      </c>
      <c r="N1450" s="12" t="str">
        <f>HYPERLINK("https://ceds.ed.gov/elementComment.aspx?elementName=School Courses for the Exchange of Data Course Code &amp;elementID=10490", "Click here to submit comment")</f>
        <v>Click here to submit comment</v>
      </c>
    </row>
    <row r="1451" spans="1:14" ht="105" x14ac:dyDescent="0.25">
      <c r="A1451" s="12" t="s">
        <v>5554</v>
      </c>
      <c r="B1451" s="12" t="s">
        <v>5555</v>
      </c>
      <c r="C1451" s="13" t="s">
        <v>7101</v>
      </c>
      <c r="D1451" s="12" t="s">
        <v>6653</v>
      </c>
      <c r="E1451" s="12"/>
      <c r="F1451" s="12" t="s">
        <v>5556</v>
      </c>
      <c r="G1451" s="12"/>
      <c r="H1451" s="12"/>
      <c r="I1451" s="12" t="s">
        <v>5557</v>
      </c>
      <c r="J1451" s="12" t="s">
        <v>5558</v>
      </c>
      <c r="K1451" s="12" t="s">
        <v>5559</v>
      </c>
      <c r="L1451" s="12"/>
      <c r="M1451" s="12" t="str">
        <f>HYPERLINK("https://ceds.ed.gov/cedselementdetails.aspx?termid=10488")</f>
        <v>https://ceds.ed.gov/cedselementdetails.aspx?termid=10488</v>
      </c>
      <c r="N1451" s="12" t="str">
        <f>HYPERLINK("https://ceds.ed.gov/elementComment.aspx?elementName=School Courses for the Exchange of Data Course Level &amp;elementID=10488", "Click here to submit comment")</f>
        <v>Click here to submit comment</v>
      </c>
    </row>
    <row r="1452" spans="1:14" ht="409.5" x14ac:dyDescent="0.25">
      <c r="A1452" s="12" t="s">
        <v>5560</v>
      </c>
      <c r="B1452" s="12" t="s">
        <v>5561</v>
      </c>
      <c r="C1452" s="13" t="s">
        <v>7102</v>
      </c>
      <c r="D1452" s="12" t="s">
        <v>6654</v>
      </c>
      <c r="E1452" s="12"/>
      <c r="F1452" s="12" t="s">
        <v>5562</v>
      </c>
      <c r="G1452" s="12"/>
      <c r="H1452" s="12" t="s">
        <v>5563</v>
      </c>
      <c r="I1452" s="12" t="s">
        <v>5564</v>
      </c>
      <c r="J1452" s="12" t="s">
        <v>5565</v>
      </c>
      <c r="K1452" s="12" t="s">
        <v>5566</v>
      </c>
      <c r="L1452" s="12"/>
      <c r="M1452" s="12" t="str">
        <f>HYPERLINK("https://ceds.ed.gov/cedselementdetails.aspx?termid=10491")</f>
        <v>https://ceds.ed.gov/cedselementdetails.aspx?termid=10491</v>
      </c>
      <c r="N1452" s="12" t="str">
        <f>HYPERLINK("https://ceds.ed.gov/elementComment.aspx?elementName=School Courses for the Exchange of Data Course Subject Area &amp;elementID=10491", "Click here to submit comment")</f>
        <v>Click here to submit comment</v>
      </c>
    </row>
    <row r="1453" spans="1:14" ht="105" x14ac:dyDescent="0.25">
      <c r="A1453" s="12" t="s">
        <v>5567</v>
      </c>
      <c r="B1453" s="12" t="s">
        <v>5568</v>
      </c>
      <c r="C1453" s="12" t="s">
        <v>12</v>
      </c>
      <c r="D1453" s="12" t="s">
        <v>6655</v>
      </c>
      <c r="E1453" s="12"/>
      <c r="F1453" s="12" t="s">
        <v>5569</v>
      </c>
      <c r="G1453" s="12"/>
      <c r="H1453" s="12" t="s">
        <v>5570</v>
      </c>
      <c r="I1453" s="12" t="s">
        <v>5571</v>
      </c>
      <c r="J1453" s="12" t="s">
        <v>5572</v>
      </c>
      <c r="K1453" s="12" t="s">
        <v>5573</v>
      </c>
      <c r="L1453" s="12"/>
      <c r="M1453" s="12" t="str">
        <f>HYPERLINK("https://ceds.ed.gov/cedselementdetails.aspx?termid=10452")</f>
        <v>https://ceds.ed.gov/cedselementdetails.aspx?termid=10452</v>
      </c>
      <c r="N1453" s="12" t="str">
        <f>HYPERLINK("https://ceds.ed.gov/elementComment.aspx?elementName=School Courses for the Exchange of Data Grade Span &amp;elementID=10452", "Click here to submit comment")</f>
        <v>Click here to submit comment</v>
      </c>
    </row>
    <row r="1454" spans="1:14" ht="210" x14ac:dyDescent="0.25">
      <c r="A1454" s="12" t="s">
        <v>5574</v>
      </c>
      <c r="B1454" s="12" t="s">
        <v>5575</v>
      </c>
      <c r="C1454" s="12" t="s">
        <v>12</v>
      </c>
      <c r="D1454" s="12" t="s">
        <v>6554</v>
      </c>
      <c r="E1454" s="12"/>
      <c r="F1454" s="12" t="s">
        <v>2143</v>
      </c>
      <c r="G1454" s="12"/>
      <c r="H1454" s="12" t="s">
        <v>5576</v>
      </c>
      <c r="I1454" s="12" t="s">
        <v>5577</v>
      </c>
      <c r="J1454" s="12" t="s">
        <v>5578</v>
      </c>
      <c r="K1454" s="12" t="s">
        <v>5579</v>
      </c>
      <c r="L1454" s="12" t="s">
        <v>6429</v>
      </c>
      <c r="M1454" s="12" t="str">
        <f>HYPERLINK("https://ceds.ed.gov/cedselementdetails.aspx?termid=9250")</f>
        <v>https://ceds.ed.gov/cedselementdetails.aspx?termid=9250</v>
      </c>
      <c r="N1454" s="12" t="str">
        <f>HYPERLINK("https://ceds.ed.gov/elementComment.aspx?elementName=School Courses for the Exchange of Data Sequence of Course &amp;elementID=9250", "Click here to submit comment")</f>
        <v>Click here to submit comment</v>
      </c>
    </row>
    <row r="1455" spans="1:14" ht="270" x14ac:dyDescent="0.25">
      <c r="A1455" s="12" t="s">
        <v>5580</v>
      </c>
      <c r="B1455" s="12" t="s">
        <v>275</v>
      </c>
      <c r="C1455" s="13" t="s">
        <v>7103</v>
      </c>
      <c r="D1455" s="12" t="s">
        <v>6656</v>
      </c>
      <c r="E1455" s="12"/>
      <c r="F1455" s="12"/>
      <c r="G1455" s="12"/>
      <c r="H1455" s="12"/>
      <c r="I1455" s="12" t="s">
        <v>5581</v>
      </c>
      <c r="J1455" s="12"/>
      <c r="K1455" s="12" t="s">
        <v>5582</v>
      </c>
      <c r="L1455" s="12" t="s">
        <v>6657</v>
      </c>
      <c r="M1455" s="12" t="str">
        <f>HYPERLINK("https://ceds.ed.gov/cedselementdetails.aspx?termid=9161")</f>
        <v>https://ceds.ed.gov/cedselementdetails.aspx?termid=9161</v>
      </c>
      <c r="N1455" s="12" t="str">
        <f>HYPERLINK("https://ceds.ed.gov/elementComment.aspx?elementName=School Identification System &amp;elementID=9161", "Click here to submit comment")</f>
        <v>Click here to submit comment</v>
      </c>
    </row>
    <row r="1456" spans="1:14" ht="105" x14ac:dyDescent="0.25">
      <c r="A1456" s="18" t="s">
        <v>5583</v>
      </c>
      <c r="B1456" s="18" t="s">
        <v>279</v>
      </c>
      <c r="C1456" s="18" t="s">
        <v>12</v>
      </c>
      <c r="D1456" s="18" t="s">
        <v>6656</v>
      </c>
      <c r="E1456" s="18"/>
      <c r="F1456" s="18" t="s">
        <v>142</v>
      </c>
      <c r="G1456" s="18"/>
      <c r="H1456" s="12" t="s">
        <v>143</v>
      </c>
      <c r="I1456" s="18" t="s">
        <v>5584</v>
      </c>
      <c r="J1456" s="18"/>
      <c r="K1456" s="18" t="s">
        <v>5585</v>
      </c>
      <c r="L1456" s="18" t="s">
        <v>6657</v>
      </c>
      <c r="M1456" s="18" t="str">
        <f>HYPERLINK("https://ceds.ed.gov/cedselementdetails.aspx?termid=9155")</f>
        <v>https://ceds.ed.gov/cedselementdetails.aspx?termid=9155</v>
      </c>
      <c r="N1456" s="18" t="str">
        <f>HYPERLINK("https://ceds.ed.gov/elementComment.aspx?elementName=School Identifier &amp;elementID=9155", "Click here to submit comment")</f>
        <v>Click here to submit comment</v>
      </c>
    </row>
    <row r="1457" spans="1:14" x14ac:dyDescent="0.25">
      <c r="A1457" s="18"/>
      <c r="B1457" s="18"/>
      <c r="C1457" s="18"/>
      <c r="D1457" s="18"/>
      <c r="E1457" s="18"/>
      <c r="F1457" s="18"/>
      <c r="G1457" s="18"/>
      <c r="H1457" s="12"/>
      <c r="I1457" s="18"/>
      <c r="J1457" s="18"/>
      <c r="K1457" s="18"/>
      <c r="L1457" s="18"/>
      <c r="M1457" s="18"/>
      <c r="N1457" s="18"/>
    </row>
    <row r="1458" spans="1:14" ht="90" x14ac:dyDescent="0.25">
      <c r="A1458" s="18"/>
      <c r="B1458" s="18"/>
      <c r="C1458" s="18"/>
      <c r="D1458" s="18"/>
      <c r="E1458" s="18"/>
      <c r="F1458" s="18"/>
      <c r="G1458" s="18"/>
      <c r="H1458" s="12" t="s">
        <v>144</v>
      </c>
      <c r="I1458" s="18"/>
      <c r="J1458" s="18"/>
      <c r="K1458" s="18"/>
      <c r="L1458" s="18"/>
      <c r="M1458" s="18"/>
      <c r="N1458" s="18"/>
    </row>
    <row r="1459" spans="1:14" ht="60" x14ac:dyDescent="0.25">
      <c r="A1459" s="12" t="s">
        <v>5586</v>
      </c>
      <c r="B1459" s="12" t="s">
        <v>5587</v>
      </c>
      <c r="C1459" s="12" t="s">
        <v>12</v>
      </c>
      <c r="D1459" s="12" t="s">
        <v>6541</v>
      </c>
      <c r="E1459" s="12"/>
      <c r="F1459" s="12" t="s">
        <v>1554</v>
      </c>
      <c r="G1459" s="12"/>
      <c r="H1459" s="12"/>
      <c r="I1459" s="12" t="s">
        <v>5588</v>
      </c>
      <c r="J1459" s="12"/>
      <c r="K1459" s="12" t="s">
        <v>5589</v>
      </c>
      <c r="L1459" s="12" t="s">
        <v>211</v>
      </c>
      <c r="M1459" s="12" t="str">
        <f>HYPERLINK("https://ceds.ed.gov/cedselementdetails.aspx?termid=9471")</f>
        <v>https://ceds.ed.gov/cedselementdetails.aspx?termid=9471</v>
      </c>
      <c r="N1459" s="12" t="str">
        <f>HYPERLINK("https://ceds.ed.gov/elementComment.aspx?elementName=School Improvement Allocation &amp;elementID=9471", "Click here to submit comment")</f>
        <v>Click here to submit comment</v>
      </c>
    </row>
    <row r="1460" spans="1:14" ht="45" x14ac:dyDescent="0.25">
      <c r="A1460" s="12" t="s">
        <v>5590</v>
      </c>
      <c r="B1460" s="12" t="s">
        <v>5591</v>
      </c>
      <c r="C1460" s="12" t="s">
        <v>12</v>
      </c>
      <c r="D1460" s="12" t="s">
        <v>1931</v>
      </c>
      <c r="E1460" s="12"/>
      <c r="F1460" s="12" t="s">
        <v>73</v>
      </c>
      <c r="G1460" s="12"/>
      <c r="H1460" s="12"/>
      <c r="I1460" s="12" t="s">
        <v>5592</v>
      </c>
      <c r="J1460" s="12"/>
      <c r="K1460" s="12" t="s">
        <v>5593</v>
      </c>
      <c r="L1460" s="12" t="s">
        <v>211</v>
      </c>
      <c r="M1460" s="12" t="str">
        <f>HYPERLINK("https://ceds.ed.gov/cedselementdetails.aspx?termid=9472")</f>
        <v>https://ceds.ed.gov/cedselementdetails.aspx?termid=9472</v>
      </c>
      <c r="N1460" s="12" t="str">
        <f>HYPERLINK("https://ceds.ed.gov/elementComment.aspx?elementName=School Improvement Exit Date &amp;elementID=9472", "Click here to submit comment")</f>
        <v>Click here to submit comment</v>
      </c>
    </row>
    <row r="1461" spans="1:14" ht="45" x14ac:dyDescent="0.25">
      <c r="A1461" s="12" t="s">
        <v>5594</v>
      </c>
      <c r="B1461" s="12" t="s">
        <v>5595</v>
      </c>
      <c r="C1461" s="12" t="s">
        <v>6364</v>
      </c>
      <c r="D1461" s="12" t="s">
        <v>1931</v>
      </c>
      <c r="E1461" s="12"/>
      <c r="F1461" s="12"/>
      <c r="G1461" s="12"/>
      <c r="H1461" s="12"/>
      <c r="I1461" s="12" t="s">
        <v>5596</v>
      </c>
      <c r="J1461" s="12"/>
      <c r="K1461" s="12" t="s">
        <v>5597</v>
      </c>
      <c r="L1461" s="12" t="s">
        <v>222</v>
      </c>
      <c r="M1461" s="12" t="str">
        <f>HYPERLINK("https://ceds.ed.gov/cedselementdetails.aspx?termid=9238")</f>
        <v>https://ceds.ed.gov/cedselementdetails.aspx?termid=9238</v>
      </c>
      <c r="N1461" s="12" t="str">
        <f>HYPERLINK("https://ceds.ed.gov/elementComment.aspx?elementName=School Improvement Funds Status &amp;elementID=9238", "Click here to submit comment")</f>
        <v>Click here to submit comment</v>
      </c>
    </row>
    <row r="1462" spans="1:14" ht="90" x14ac:dyDescent="0.25">
      <c r="A1462" s="12" t="s">
        <v>5598</v>
      </c>
      <c r="B1462" s="12" t="s">
        <v>5599</v>
      </c>
      <c r="C1462" s="13" t="s">
        <v>7104</v>
      </c>
      <c r="D1462" s="12" t="s">
        <v>1888</v>
      </c>
      <c r="E1462" s="12"/>
      <c r="F1462" s="12"/>
      <c r="G1462" s="12"/>
      <c r="H1462" s="12"/>
      <c r="I1462" s="12" t="s">
        <v>5600</v>
      </c>
      <c r="J1462" s="12"/>
      <c r="K1462" s="12" t="s">
        <v>5601</v>
      </c>
      <c r="L1462" s="12" t="s">
        <v>222</v>
      </c>
      <c r="M1462" s="12" t="str">
        <f>HYPERLINK("https://ceds.ed.gov/cedselementdetails.aspx?termid=9239")</f>
        <v>https://ceds.ed.gov/cedselementdetails.aspx?termid=9239</v>
      </c>
      <c r="N1462" s="12" t="str">
        <f>HYPERLINK("https://ceds.ed.gov/elementComment.aspx?elementName=School Improvement Grant Intervention Type &amp;elementID=9239", "Click here to submit comment")</f>
        <v>Click here to submit comment</v>
      </c>
    </row>
    <row r="1463" spans="1:14" ht="105" x14ac:dyDescent="0.25">
      <c r="A1463" s="12" t="s">
        <v>5602</v>
      </c>
      <c r="B1463" s="12" t="s">
        <v>5603</v>
      </c>
      <c r="C1463" s="12" t="s">
        <v>12</v>
      </c>
      <c r="D1463" s="12" t="s">
        <v>6541</v>
      </c>
      <c r="E1463" s="12"/>
      <c r="F1463" s="12" t="s">
        <v>789</v>
      </c>
      <c r="G1463" s="12"/>
      <c r="H1463" s="12"/>
      <c r="I1463" s="12" t="s">
        <v>5604</v>
      </c>
      <c r="J1463" s="12"/>
      <c r="K1463" s="12" t="s">
        <v>5605</v>
      </c>
      <c r="L1463" s="12" t="s">
        <v>211</v>
      </c>
      <c r="M1463" s="12" t="str">
        <f>HYPERLINK("https://ceds.ed.gov/cedselementdetails.aspx?termid=9470")</f>
        <v>https://ceds.ed.gov/cedselementdetails.aspx?termid=9470</v>
      </c>
      <c r="N1463" s="12" t="str">
        <f>HYPERLINK("https://ceds.ed.gov/elementComment.aspx?elementName=School Improvement Reserved Funds Percentage &amp;elementID=9470", "Click here to submit comment")</f>
        <v>Click here to submit comment</v>
      </c>
    </row>
    <row r="1464" spans="1:14" ht="105" x14ac:dyDescent="0.25">
      <c r="A1464" s="12" t="s">
        <v>5606</v>
      </c>
      <c r="B1464" s="12" t="s">
        <v>5607</v>
      </c>
      <c r="C1464" s="13" t="s">
        <v>7105</v>
      </c>
      <c r="D1464" s="12" t="s">
        <v>225</v>
      </c>
      <c r="E1464" s="12"/>
      <c r="F1464" s="12"/>
      <c r="G1464" s="12"/>
      <c r="H1464" s="12"/>
      <c r="I1464" s="12" t="s">
        <v>5608</v>
      </c>
      <c r="J1464" s="12"/>
      <c r="K1464" s="12" t="s">
        <v>5609</v>
      </c>
      <c r="L1464" s="12" t="s">
        <v>222</v>
      </c>
      <c r="M1464" s="12" t="str">
        <f>HYPERLINK("https://ceds.ed.gov/cedselementdetails.aspx?termid=9240")</f>
        <v>https://ceds.ed.gov/cedselementdetails.aspx?termid=9240</v>
      </c>
      <c r="N1464" s="12" t="str">
        <f>HYPERLINK("https://ceds.ed.gov/elementComment.aspx?elementName=School Improvement Status &amp;elementID=9240", "Click here to submit comment")</f>
        <v>Click here to submit comment</v>
      </c>
    </row>
    <row r="1465" spans="1:14" ht="225" x14ac:dyDescent="0.25">
      <c r="A1465" s="12" t="s">
        <v>5610</v>
      </c>
      <c r="B1465" s="12" t="s">
        <v>5611</v>
      </c>
      <c r="C1465" s="13" t="s">
        <v>7106</v>
      </c>
      <c r="D1465" s="12" t="s">
        <v>225</v>
      </c>
      <c r="E1465" s="12"/>
      <c r="F1465" s="12"/>
      <c r="G1465" s="12"/>
      <c r="H1465" s="12"/>
      <c r="I1465" s="12" t="s">
        <v>5612</v>
      </c>
      <c r="J1465" s="12"/>
      <c r="K1465" s="12" t="s">
        <v>5613</v>
      </c>
      <c r="L1465" s="12"/>
      <c r="M1465" s="12" t="str">
        <f>HYPERLINK("https://ceds.ed.gov/cedselementdetails.aspx?termid=9241")</f>
        <v>https://ceds.ed.gov/cedselementdetails.aspx?termid=9241</v>
      </c>
      <c r="N1465" s="12" t="str">
        <f>HYPERLINK("https://ceds.ed.gov/elementComment.aspx?elementName=School Level &amp;elementID=9241", "Click here to submit comment")</f>
        <v>Click here to submit comment</v>
      </c>
    </row>
    <row r="1466" spans="1:14" ht="135" x14ac:dyDescent="0.25">
      <c r="A1466" s="12" t="s">
        <v>5614</v>
      </c>
      <c r="B1466" s="12" t="s">
        <v>5615</v>
      </c>
      <c r="C1466" s="13" t="s">
        <v>7107</v>
      </c>
      <c r="D1466" s="12" t="s">
        <v>225</v>
      </c>
      <c r="E1466" s="12"/>
      <c r="F1466" s="12"/>
      <c r="G1466" s="12"/>
      <c r="H1466" s="12"/>
      <c r="I1466" s="12" t="s">
        <v>5616</v>
      </c>
      <c r="J1466" s="12"/>
      <c r="K1466" s="12" t="s">
        <v>5617</v>
      </c>
      <c r="L1466" s="12" t="s">
        <v>222</v>
      </c>
      <c r="M1466" s="12" t="str">
        <f>HYPERLINK("https://ceds.ed.gov/cedselementdetails.aspx?termid=9524")</f>
        <v>https://ceds.ed.gov/cedselementdetails.aspx?termid=9524</v>
      </c>
      <c r="N1466" s="12" t="str">
        <f>HYPERLINK("https://ceds.ed.gov/elementComment.aspx?elementName=School Operational Status &amp;elementID=9524", "Click here to submit comment")</f>
        <v>Click here to submit comment</v>
      </c>
    </row>
    <row r="1467" spans="1:14" ht="105" x14ac:dyDescent="0.25">
      <c r="A1467" s="12" t="s">
        <v>5618</v>
      </c>
      <c r="B1467" s="12" t="s">
        <v>5619</v>
      </c>
      <c r="C1467" s="13" t="s">
        <v>7108</v>
      </c>
      <c r="D1467" s="12" t="s">
        <v>225</v>
      </c>
      <c r="E1467" s="12" t="s">
        <v>98</v>
      </c>
      <c r="F1467" s="12"/>
      <c r="G1467" s="12"/>
      <c r="H1467" s="12"/>
      <c r="I1467" s="12" t="s">
        <v>5620</v>
      </c>
      <c r="J1467" s="12"/>
      <c r="K1467" s="12" t="s">
        <v>5621</v>
      </c>
      <c r="L1467" s="12" t="s">
        <v>6369</v>
      </c>
      <c r="M1467" s="12" t="str">
        <f>HYPERLINK("https://ceds.ed.gov/cedselementdetails.aspx?termid=9242")</f>
        <v>https://ceds.ed.gov/cedselementdetails.aspx?termid=9242</v>
      </c>
      <c r="N1467" s="12" t="str">
        <f>HYPERLINK("https://ceds.ed.gov/elementComment.aspx?elementName=School Type &amp;elementID=9242", "Click here to submit comment")</f>
        <v>Click here to submit comment</v>
      </c>
    </row>
    <row r="1468" spans="1:14" ht="135" x14ac:dyDescent="0.25">
      <c r="A1468" s="12" t="s">
        <v>5622</v>
      </c>
      <c r="B1468" s="12" t="s">
        <v>5623</v>
      </c>
      <c r="C1468" s="12" t="s">
        <v>12</v>
      </c>
      <c r="D1468" s="12" t="s">
        <v>6658</v>
      </c>
      <c r="E1468" s="12"/>
      <c r="F1468" s="12" t="s">
        <v>1861</v>
      </c>
      <c r="G1468" s="12"/>
      <c r="H1468" s="12" t="s">
        <v>5624</v>
      </c>
      <c r="I1468" s="12" t="s">
        <v>5625</v>
      </c>
      <c r="J1468" s="12"/>
      <c r="K1468" s="12" t="s">
        <v>5626</v>
      </c>
      <c r="L1468" s="12" t="s">
        <v>1907</v>
      </c>
      <c r="M1468" s="12" t="str">
        <f>HYPERLINK("https://ceds.ed.gov/cedselementdetails.aspx?termid=9243")</f>
        <v>https://ceds.ed.gov/cedselementdetails.aspx?termid=9243</v>
      </c>
      <c r="N1468" s="12" t="str">
        <f>HYPERLINK("https://ceds.ed.gov/elementComment.aspx?elementName=School Year &amp;elementID=9243", "Click here to submit comment")</f>
        <v>Click here to submit comment</v>
      </c>
    </row>
    <row r="1469" spans="1:14" ht="105" x14ac:dyDescent="0.25">
      <c r="A1469" s="12" t="s">
        <v>5627</v>
      </c>
      <c r="B1469" s="12" t="s">
        <v>5628</v>
      </c>
      <c r="C1469" s="12" t="s">
        <v>12</v>
      </c>
      <c r="D1469" s="12" t="s">
        <v>2250</v>
      </c>
      <c r="E1469" s="12"/>
      <c r="F1469" s="12" t="s">
        <v>317</v>
      </c>
      <c r="G1469" s="12"/>
      <c r="H1469" s="12"/>
      <c r="I1469" s="12" t="s">
        <v>5629</v>
      </c>
      <c r="J1469" s="12"/>
      <c r="K1469" s="12" t="s">
        <v>5630</v>
      </c>
      <c r="L1469" s="12" t="s">
        <v>222</v>
      </c>
      <c r="M1469" s="12" t="str">
        <f>HYPERLINK("https://ceds.ed.gov/cedselementdetails.aspx?termid=9244")</f>
        <v>https://ceds.ed.gov/cedselementdetails.aspx?termid=9244</v>
      </c>
      <c r="N1469" s="12" t="str">
        <f>HYPERLINK("https://ceds.ed.gov/elementComment.aspx?elementName=School Year Minutes &amp;elementID=9244", "Click here to submit comment")</f>
        <v>Click here to submit comment</v>
      </c>
    </row>
    <row r="1470" spans="1:14" ht="150" x14ac:dyDescent="0.25">
      <c r="A1470" s="12" t="s">
        <v>5631</v>
      </c>
      <c r="B1470" s="12" t="s">
        <v>5632</v>
      </c>
      <c r="C1470" s="13" t="s">
        <v>7109</v>
      </c>
      <c r="D1470" s="12" t="s">
        <v>3001</v>
      </c>
      <c r="E1470" s="12"/>
      <c r="F1470" s="12"/>
      <c r="G1470" s="12"/>
      <c r="H1470" s="12"/>
      <c r="I1470" s="12" t="s">
        <v>5633</v>
      </c>
      <c r="J1470" s="12"/>
      <c r="K1470" s="12" t="s">
        <v>5634</v>
      </c>
      <c r="L1470" s="12"/>
      <c r="M1470" s="12" t="str">
        <f>HYPERLINK("https://ceds.ed.gov/cedselementdetails.aspx?termid=9620")</f>
        <v>https://ceds.ed.gov/cedselementdetails.aspx?termid=9620</v>
      </c>
      <c r="N1470" s="12" t="str">
        <f>HYPERLINK("https://ceds.ed.gov/elementComment.aspx?elementName=Secondary Incident Behavior &amp;elementID=9620", "Click here to submit comment")</f>
        <v>Click here to submit comment</v>
      </c>
    </row>
    <row r="1471" spans="1:14" ht="105" x14ac:dyDescent="0.25">
      <c r="A1471" s="12" t="s">
        <v>5635</v>
      </c>
      <c r="B1471" s="12" t="s">
        <v>5636</v>
      </c>
      <c r="C1471" s="12" t="s">
        <v>6364</v>
      </c>
      <c r="D1471" s="12" t="s">
        <v>6430</v>
      </c>
      <c r="E1471" s="12"/>
      <c r="F1471" s="12"/>
      <c r="G1471" s="12"/>
      <c r="H1471" s="12"/>
      <c r="I1471" s="12" t="s">
        <v>5637</v>
      </c>
      <c r="J1471" s="12"/>
      <c r="K1471" s="12" t="s">
        <v>5638</v>
      </c>
      <c r="L1471" s="12" t="s">
        <v>6568</v>
      </c>
      <c r="M1471" s="12" t="str">
        <f>HYPERLINK("https://ceds.ed.gov/cedselementdetails.aspx?termid=9249")</f>
        <v>https://ceds.ed.gov/cedselementdetails.aspx?termid=9249</v>
      </c>
      <c r="N1471" s="12" t="str">
        <f>HYPERLINK("https://ceds.ed.gov/elementComment.aspx?elementName=Section 504 Status &amp;elementID=9249", "Click here to submit comment")</f>
        <v>Click here to submit comment</v>
      </c>
    </row>
    <row r="1472" spans="1:14" ht="45" x14ac:dyDescent="0.25">
      <c r="A1472" s="12" t="s">
        <v>5639</v>
      </c>
      <c r="B1472" s="12" t="s">
        <v>5640</v>
      </c>
      <c r="C1472" s="12" t="s">
        <v>6364</v>
      </c>
      <c r="D1472" s="12" t="s">
        <v>2479</v>
      </c>
      <c r="E1472" s="12"/>
      <c r="F1472" s="12"/>
      <c r="G1472" s="12"/>
      <c r="H1472" s="12"/>
      <c r="I1472" s="12" t="s">
        <v>5641</v>
      </c>
      <c r="J1472" s="12"/>
      <c r="K1472" s="12" t="s">
        <v>5642</v>
      </c>
      <c r="L1472" s="12" t="s">
        <v>6453</v>
      </c>
      <c r="M1472" s="12" t="str">
        <f>HYPERLINK("https://ceds.ed.gov/cedselementdetails.aspx?termid=9821")</f>
        <v>https://ceds.ed.gov/cedselementdetails.aspx?termid=9821</v>
      </c>
      <c r="N1472" s="12" t="str">
        <f>HYPERLINK("https://ceds.ed.gov/elementComment.aspx?elementName=Serves Children with Special Needs &amp;elementID=9821", "Click here to submit comment")</f>
        <v>Click here to submit comment</v>
      </c>
    </row>
    <row r="1473" spans="1:14" ht="45" x14ac:dyDescent="0.25">
      <c r="A1473" s="12" t="s">
        <v>5643</v>
      </c>
      <c r="B1473" s="12" t="s">
        <v>5644</v>
      </c>
      <c r="C1473" s="12" t="s">
        <v>12</v>
      </c>
      <c r="D1473" s="12" t="s">
        <v>2449</v>
      </c>
      <c r="E1473" s="12"/>
      <c r="F1473" s="12" t="s">
        <v>73</v>
      </c>
      <c r="G1473" s="12"/>
      <c r="H1473" s="12"/>
      <c r="I1473" s="12" t="s">
        <v>5645</v>
      </c>
      <c r="J1473" s="12"/>
      <c r="K1473" s="12" t="s">
        <v>5646</v>
      </c>
      <c r="L1473" s="12"/>
      <c r="M1473" s="12" t="str">
        <f>HYPERLINK("https://ceds.ed.gov/cedselementdetails.aspx?termid=10616")</f>
        <v>https://ceds.ed.gov/cedselementdetails.aspx?termid=10616</v>
      </c>
      <c r="N1473" s="12" t="str">
        <f>HYPERLINK("https://ceds.ed.gov/elementComment.aspx?elementName=Service Date &amp;elementID=10616", "Click here to submit comment")</f>
        <v>Click here to submit comment</v>
      </c>
    </row>
    <row r="1474" spans="1:14" ht="60" x14ac:dyDescent="0.25">
      <c r="A1474" s="12" t="s">
        <v>5647</v>
      </c>
      <c r="B1474" s="12" t="s">
        <v>5648</v>
      </c>
      <c r="C1474" s="12" t="s">
        <v>12</v>
      </c>
      <c r="D1474" s="12" t="s">
        <v>2449</v>
      </c>
      <c r="E1474" s="12"/>
      <c r="F1474" s="12" t="s">
        <v>73</v>
      </c>
      <c r="G1474" s="12"/>
      <c r="H1474" s="12"/>
      <c r="I1474" s="12" t="s">
        <v>5649</v>
      </c>
      <c r="J1474" s="12"/>
      <c r="K1474" s="12" t="s">
        <v>5650</v>
      </c>
      <c r="L1474" s="12"/>
      <c r="M1474" s="12" t="str">
        <f>HYPERLINK("https://ceds.ed.gov/cedselementdetails.aspx?termid=9326")</f>
        <v>https://ceds.ed.gov/cedselementdetails.aspx?termid=9326</v>
      </c>
      <c r="N1474" s="12" t="str">
        <f>HYPERLINK("https://ceds.ed.gov/elementComment.aspx?elementName=Service Entry Date &amp;elementID=9326", "Click here to submit comment")</f>
        <v>Click here to submit comment</v>
      </c>
    </row>
    <row r="1475" spans="1:14" ht="60" x14ac:dyDescent="0.25">
      <c r="A1475" s="12" t="s">
        <v>5651</v>
      </c>
      <c r="B1475" s="12" t="s">
        <v>5652</v>
      </c>
      <c r="C1475" s="12" t="s">
        <v>12</v>
      </c>
      <c r="D1475" s="12" t="s">
        <v>2449</v>
      </c>
      <c r="E1475" s="12"/>
      <c r="F1475" s="12" t="s">
        <v>73</v>
      </c>
      <c r="G1475" s="12"/>
      <c r="H1475" s="12"/>
      <c r="I1475" s="12" t="s">
        <v>5653</v>
      </c>
      <c r="J1475" s="12"/>
      <c r="K1475" s="12" t="s">
        <v>5654</v>
      </c>
      <c r="L1475" s="12"/>
      <c r="M1475" s="12" t="str">
        <f>HYPERLINK("https://ceds.ed.gov/cedselementdetails.aspx?termid=9327")</f>
        <v>https://ceds.ed.gov/cedselementdetails.aspx?termid=9327</v>
      </c>
      <c r="N1475" s="12" t="str">
        <f>HYPERLINK("https://ceds.ed.gov/elementComment.aspx?elementName=Service Exit Date &amp;elementID=9327", "Click here to submit comment")</f>
        <v>Click here to submit comment</v>
      </c>
    </row>
    <row r="1476" spans="1:14" ht="105" x14ac:dyDescent="0.25">
      <c r="A1476" s="12" t="s">
        <v>5655</v>
      </c>
      <c r="B1476" s="12" t="s">
        <v>5656</v>
      </c>
      <c r="C1476" s="13" t="s">
        <v>7110</v>
      </c>
      <c r="D1476" s="12" t="s">
        <v>6492</v>
      </c>
      <c r="E1476" s="12"/>
      <c r="F1476" s="12"/>
      <c r="G1476" s="12"/>
      <c r="H1476" s="12"/>
      <c r="I1476" s="12" t="s">
        <v>5657</v>
      </c>
      <c r="J1476" s="12"/>
      <c r="K1476" s="12" t="s">
        <v>5658</v>
      </c>
      <c r="L1476" s="12" t="s">
        <v>6493</v>
      </c>
      <c r="M1476" s="12" t="str">
        <f>HYPERLINK("https://ceds.ed.gov/cedselementdetails.aspx?termid=9352")</f>
        <v>https://ceds.ed.gov/cedselementdetails.aspx?termid=9352</v>
      </c>
      <c r="N1476" s="12" t="str">
        <f>HYPERLINK("https://ceds.ed.gov/elementComment.aspx?elementName=Service Option Variation &amp;elementID=9352", "Click here to submit comment")</f>
        <v>Click here to submit comment</v>
      </c>
    </row>
    <row r="1477" spans="1:14" ht="75" x14ac:dyDescent="0.25">
      <c r="A1477" s="12" t="s">
        <v>5659</v>
      </c>
      <c r="B1477" s="12" t="s">
        <v>5660</v>
      </c>
      <c r="C1477" s="12" t="s">
        <v>12</v>
      </c>
      <c r="D1477" s="12" t="s">
        <v>6659</v>
      </c>
      <c r="E1477" s="12"/>
      <c r="F1477" s="12" t="s">
        <v>68</v>
      </c>
      <c r="G1477" s="12"/>
      <c r="H1477" s="12"/>
      <c r="I1477" s="12" t="s">
        <v>5661</v>
      </c>
      <c r="J1477" s="12"/>
      <c r="K1477" s="12" t="s">
        <v>5662</v>
      </c>
      <c r="L1477" s="12"/>
      <c r="M1477" s="12" t="str">
        <f>HYPERLINK("https://ceds.ed.gov/cedselementdetails.aspx?termid=10603")</f>
        <v>https://ceds.ed.gov/cedselementdetails.aspx?termid=10603</v>
      </c>
      <c r="N1477" s="12" t="str">
        <f>HYPERLINK("https://ceds.ed.gov/elementComment.aspx?elementName=Service Partner Description &amp;elementID=10603", "Click here to submit comment")</f>
        <v>Click here to submit comment</v>
      </c>
    </row>
    <row r="1478" spans="1:14" ht="75" x14ac:dyDescent="0.25">
      <c r="A1478" s="12" t="s">
        <v>5663</v>
      </c>
      <c r="B1478" s="12" t="s">
        <v>5664</v>
      </c>
      <c r="C1478" s="12" t="s">
        <v>12</v>
      </c>
      <c r="D1478" s="12" t="s">
        <v>6659</v>
      </c>
      <c r="E1478" s="12"/>
      <c r="F1478" s="12" t="s">
        <v>794</v>
      </c>
      <c r="G1478" s="12"/>
      <c r="H1478" s="12"/>
      <c r="I1478" s="12" t="s">
        <v>5665</v>
      </c>
      <c r="J1478" s="12"/>
      <c r="K1478" s="12" t="s">
        <v>5666</v>
      </c>
      <c r="L1478" s="12"/>
      <c r="M1478" s="12" t="str">
        <f>HYPERLINK("https://ceds.ed.gov/cedselementdetails.aspx?termid=10606")</f>
        <v>https://ceds.ed.gov/cedselementdetails.aspx?termid=10606</v>
      </c>
      <c r="N1478" s="12" t="str">
        <f>HYPERLINK("https://ceds.ed.gov/elementComment.aspx?elementName=Service Partner Name &amp;elementID=10606", "Click here to submit comment")</f>
        <v>Click here to submit comment</v>
      </c>
    </row>
    <row r="1479" spans="1:14" ht="165" x14ac:dyDescent="0.25">
      <c r="A1479" s="12" t="s">
        <v>5667</v>
      </c>
      <c r="B1479" s="12" t="s">
        <v>5668</v>
      </c>
      <c r="C1479" s="12" t="s">
        <v>6364</v>
      </c>
      <c r="D1479" s="12" t="s">
        <v>6660</v>
      </c>
      <c r="E1479" s="12"/>
      <c r="F1479" s="12"/>
      <c r="G1479" s="12"/>
      <c r="H1479" s="12"/>
      <c r="I1479" s="12" t="s">
        <v>5669</v>
      </c>
      <c r="J1479" s="12"/>
      <c r="K1479" s="12" t="s">
        <v>5670</v>
      </c>
      <c r="L1479" s="12"/>
      <c r="M1479" s="12" t="str">
        <f>HYPERLINK("https://ceds.ed.gov/cedselementdetails.aspx?termid=10240")</f>
        <v>https://ceds.ed.gov/cedselementdetails.aspx?termid=10240</v>
      </c>
      <c r="N1479" s="12" t="str">
        <f>HYPERLINK("https://ceds.ed.gov/elementComment.aspx?elementName=Session Attendance Term Indicator &amp;elementID=10240", "Click here to submit comment")</f>
        <v>Click here to submit comment</v>
      </c>
    </row>
    <row r="1480" spans="1:14" ht="150" x14ac:dyDescent="0.25">
      <c r="A1480" s="12" t="s">
        <v>5671</v>
      </c>
      <c r="B1480" s="12" t="s">
        <v>5672</v>
      </c>
      <c r="C1480" s="12" t="s">
        <v>12</v>
      </c>
      <c r="D1480" s="12" t="s">
        <v>6661</v>
      </c>
      <c r="E1480" s="12"/>
      <c r="F1480" s="12" t="s">
        <v>73</v>
      </c>
      <c r="G1480" s="12"/>
      <c r="H1480" s="12"/>
      <c r="I1480" s="12" t="s">
        <v>5673</v>
      </c>
      <c r="J1480" s="12"/>
      <c r="K1480" s="12" t="s">
        <v>5674</v>
      </c>
      <c r="L1480" s="12" t="s">
        <v>6429</v>
      </c>
      <c r="M1480" s="12" t="str">
        <f>HYPERLINK("https://ceds.ed.gov/cedselementdetails.aspx?termid=9251")</f>
        <v>https://ceds.ed.gov/cedselementdetails.aspx?termid=9251</v>
      </c>
      <c r="N1480" s="12" t="str">
        <f>HYPERLINK("https://ceds.ed.gov/elementComment.aspx?elementName=Session Begin Date &amp;elementID=9251", "Click here to submit comment")</f>
        <v>Click here to submit comment</v>
      </c>
    </row>
    <row r="1481" spans="1:14" ht="165" x14ac:dyDescent="0.25">
      <c r="A1481" s="12" t="s">
        <v>5675</v>
      </c>
      <c r="B1481" s="12" t="s">
        <v>5676</v>
      </c>
      <c r="C1481" s="12" t="s">
        <v>12</v>
      </c>
      <c r="D1481" s="12" t="s">
        <v>6660</v>
      </c>
      <c r="E1481" s="12"/>
      <c r="F1481" s="12" t="s">
        <v>92</v>
      </c>
      <c r="G1481" s="12"/>
      <c r="H1481" s="12"/>
      <c r="I1481" s="12" t="s">
        <v>5677</v>
      </c>
      <c r="J1481" s="12"/>
      <c r="K1481" s="12" t="s">
        <v>5678</v>
      </c>
      <c r="L1481" s="12"/>
      <c r="M1481" s="12" t="str">
        <f>HYPERLINK("https://ceds.ed.gov/cedselementdetails.aspx?termid=10236")</f>
        <v>https://ceds.ed.gov/cedselementdetails.aspx?termid=10236</v>
      </c>
      <c r="N1481" s="12" t="str">
        <f>HYPERLINK("https://ceds.ed.gov/elementComment.aspx?elementName=Session Code &amp;elementID=10236", "Click here to submit comment")</f>
        <v>Click here to submit comment</v>
      </c>
    </row>
    <row r="1482" spans="1:14" ht="165" x14ac:dyDescent="0.25">
      <c r="A1482" s="12" t="s">
        <v>5679</v>
      </c>
      <c r="B1482" s="12" t="s">
        <v>5680</v>
      </c>
      <c r="C1482" s="12" t="s">
        <v>12</v>
      </c>
      <c r="D1482" s="12" t="s">
        <v>6660</v>
      </c>
      <c r="E1482" s="12"/>
      <c r="F1482" s="12" t="s">
        <v>327</v>
      </c>
      <c r="G1482" s="12"/>
      <c r="H1482" s="12"/>
      <c r="I1482" s="12" t="s">
        <v>5681</v>
      </c>
      <c r="J1482" s="12"/>
      <c r="K1482" s="12" t="s">
        <v>5682</v>
      </c>
      <c r="L1482" s="12"/>
      <c r="M1482" s="12" t="str">
        <f>HYPERLINK("https://ceds.ed.gov/cedselementdetails.aspx?termid=10237")</f>
        <v>https://ceds.ed.gov/cedselementdetails.aspx?termid=10237</v>
      </c>
      <c r="N1482" s="12" t="str">
        <f>HYPERLINK("https://ceds.ed.gov/elementComment.aspx?elementName=Session Description &amp;elementID=10237", "Click here to submit comment")</f>
        <v>Click here to submit comment</v>
      </c>
    </row>
    <row r="1483" spans="1:14" ht="165" x14ac:dyDescent="0.25">
      <c r="A1483" s="12" t="s">
        <v>5683</v>
      </c>
      <c r="B1483" s="12" t="s">
        <v>5684</v>
      </c>
      <c r="C1483" s="12" t="s">
        <v>12</v>
      </c>
      <c r="D1483" s="12" t="s">
        <v>6662</v>
      </c>
      <c r="E1483" s="12"/>
      <c r="F1483" s="12" t="s">
        <v>2328</v>
      </c>
      <c r="G1483" s="12"/>
      <c r="H1483" s="12"/>
      <c r="I1483" s="12" t="s">
        <v>5685</v>
      </c>
      <c r="J1483" s="12"/>
      <c r="K1483" s="12" t="s">
        <v>5686</v>
      </c>
      <c r="L1483" s="12" t="s">
        <v>6446</v>
      </c>
      <c r="M1483" s="12" t="str">
        <f>HYPERLINK("https://ceds.ed.gov/cedselementdetails.aspx?termid=9252")</f>
        <v>https://ceds.ed.gov/cedselementdetails.aspx?termid=9252</v>
      </c>
      <c r="N1483" s="12" t="str">
        <f>HYPERLINK("https://ceds.ed.gov/elementComment.aspx?elementName=Session Designator &amp;elementID=9252", "Click here to submit comment")</f>
        <v>Click here to submit comment</v>
      </c>
    </row>
    <row r="1484" spans="1:14" ht="150" x14ac:dyDescent="0.25">
      <c r="A1484" s="12" t="s">
        <v>5687</v>
      </c>
      <c r="B1484" s="12" t="s">
        <v>5688</v>
      </c>
      <c r="C1484" s="12" t="s">
        <v>12</v>
      </c>
      <c r="D1484" s="12" t="s">
        <v>6661</v>
      </c>
      <c r="E1484" s="12"/>
      <c r="F1484" s="12" t="s">
        <v>73</v>
      </c>
      <c r="G1484" s="12"/>
      <c r="H1484" s="12"/>
      <c r="I1484" s="12" t="s">
        <v>5689</v>
      </c>
      <c r="J1484" s="12"/>
      <c r="K1484" s="12" t="s">
        <v>5690</v>
      </c>
      <c r="L1484" s="12" t="s">
        <v>6429</v>
      </c>
      <c r="M1484" s="12" t="str">
        <f>HYPERLINK("https://ceds.ed.gov/cedselementdetails.aspx?termid=9253")</f>
        <v>https://ceds.ed.gov/cedselementdetails.aspx?termid=9253</v>
      </c>
      <c r="N1484" s="12" t="str">
        <f>HYPERLINK("https://ceds.ed.gov/elementComment.aspx?elementName=Session End Date &amp;elementID=9253", "Click here to submit comment")</f>
        <v>Click here to submit comment</v>
      </c>
    </row>
    <row r="1485" spans="1:14" ht="60" x14ac:dyDescent="0.25">
      <c r="A1485" s="12" t="s">
        <v>5691</v>
      </c>
      <c r="B1485" s="12" t="s">
        <v>5692</v>
      </c>
      <c r="C1485" s="12" t="s">
        <v>12</v>
      </c>
      <c r="D1485" s="12" t="s">
        <v>6663</v>
      </c>
      <c r="E1485" s="12"/>
      <c r="F1485" s="12" t="s">
        <v>437</v>
      </c>
      <c r="G1485" s="12"/>
      <c r="H1485" s="12"/>
      <c r="I1485" s="12" t="s">
        <v>5693</v>
      </c>
      <c r="J1485" s="12"/>
      <c r="K1485" s="12" t="s">
        <v>5694</v>
      </c>
      <c r="L1485" s="12" t="s">
        <v>6453</v>
      </c>
      <c r="M1485" s="12" t="str">
        <f>HYPERLINK("https://ceds.ed.gov/cedselementdetails.aspx?termid=9988")</f>
        <v>https://ceds.ed.gov/cedselementdetails.aspx?termid=9988</v>
      </c>
      <c r="N1485" s="12" t="str">
        <f>HYPERLINK("https://ceds.ed.gov/elementComment.aspx?elementName=Session End Time &amp;elementID=9988", "Click here to submit comment")</f>
        <v>Click here to submit comment</v>
      </c>
    </row>
    <row r="1486" spans="1:14" ht="165" x14ac:dyDescent="0.25">
      <c r="A1486" s="12" t="s">
        <v>5695</v>
      </c>
      <c r="B1486" s="12" t="s">
        <v>5696</v>
      </c>
      <c r="C1486" s="12" t="s">
        <v>6364</v>
      </c>
      <c r="D1486" s="12" t="s">
        <v>6660</v>
      </c>
      <c r="E1486" s="12"/>
      <c r="F1486" s="12"/>
      <c r="G1486" s="12"/>
      <c r="H1486" s="12"/>
      <c r="I1486" s="12" t="s">
        <v>5697</v>
      </c>
      <c r="J1486" s="12"/>
      <c r="K1486" s="12" t="s">
        <v>5698</v>
      </c>
      <c r="L1486" s="12"/>
      <c r="M1486" s="12" t="str">
        <f>HYPERLINK("https://ceds.ed.gov/cedselementdetails.aspx?termid=10238")</f>
        <v>https://ceds.ed.gov/cedselementdetails.aspx?termid=10238</v>
      </c>
      <c r="N1486" s="12" t="str">
        <f>HYPERLINK("https://ceds.ed.gov/elementComment.aspx?elementName=Session Marking Term Indicator &amp;elementID=10238", "Click here to submit comment")</f>
        <v>Click here to submit comment</v>
      </c>
    </row>
    <row r="1487" spans="1:14" ht="165" x14ac:dyDescent="0.25">
      <c r="A1487" s="12" t="s">
        <v>5699</v>
      </c>
      <c r="B1487" s="12" t="s">
        <v>5700</v>
      </c>
      <c r="C1487" s="12" t="s">
        <v>6364</v>
      </c>
      <c r="D1487" s="12" t="s">
        <v>6660</v>
      </c>
      <c r="E1487" s="12"/>
      <c r="F1487" s="12"/>
      <c r="G1487" s="12"/>
      <c r="H1487" s="12"/>
      <c r="I1487" s="12" t="s">
        <v>5701</v>
      </c>
      <c r="J1487" s="12"/>
      <c r="K1487" s="12" t="s">
        <v>5702</v>
      </c>
      <c r="L1487" s="12"/>
      <c r="M1487" s="12" t="str">
        <f>HYPERLINK("https://ceds.ed.gov/cedselementdetails.aspx?termid=10239")</f>
        <v>https://ceds.ed.gov/cedselementdetails.aspx?termid=10239</v>
      </c>
      <c r="N1487" s="12" t="str">
        <f>HYPERLINK("https://ceds.ed.gov/elementComment.aspx?elementName=Session Scheduling Term Indicator &amp;elementID=10239", "Click here to submit comment")</f>
        <v>Click here to submit comment</v>
      </c>
    </row>
    <row r="1488" spans="1:14" ht="60" x14ac:dyDescent="0.25">
      <c r="A1488" s="12" t="s">
        <v>5703</v>
      </c>
      <c r="B1488" s="12" t="s">
        <v>5704</v>
      </c>
      <c r="C1488" s="12" t="s">
        <v>12</v>
      </c>
      <c r="D1488" s="12" t="s">
        <v>6663</v>
      </c>
      <c r="E1488" s="12"/>
      <c r="F1488" s="12" t="s">
        <v>437</v>
      </c>
      <c r="G1488" s="12"/>
      <c r="H1488" s="12"/>
      <c r="I1488" s="12" t="s">
        <v>5705</v>
      </c>
      <c r="J1488" s="12"/>
      <c r="K1488" s="12" t="s">
        <v>5706</v>
      </c>
      <c r="L1488" s="12" t="s">
        <v>6453</v>
      </c>
      <c r="M1488" s="12" t="str">
        <f>HYPERLINK("https://ceds.ed.gov/cedselementdetails.aspx?termid=9986")</f>
        <v>https://ceds.ed.gov/cedselementdetails.aspx?termid=9986</v>
      </c>
      <c r="N1488" s="12" t="str">
        <f>HYPERLINK("https://ceds.ed.gov/elementComment.aspx?elementName=Session Start Time &amp;elementID=9986", "Click here to submit comment")</f>
        <v>Click here to submit comment</v>
      </c>
    </row>
    <row r="1489" spans="1:14" ht="180" x14ac:dyDescent="0.25">
      <c r="A1489" s="12" t="s">
        <v>5707</v>
      </c>
      <c r="B1489" s="12" t="s">
        <v>5708</v>
      </c>
      <c r="C1489" s="13" t="s">
        <v>7111</v>
      </c>
      <c r="D1489" s="12" t="s">
        <v>6664</v>
      </c>
      <c r="E1489" s="12"/>
      <c r="F1489" s="12"/>
      <c r="G1489" s="12"/>
      <c r="H1489" s="12"/>
      <c r="I1489" s="12" t="s">
        <v>5709</v>
      </c>
      <c r="J1489" s="12"/>
      <c r="K1489" s="12" t="s">
        <v>5710</v>
      </c>
      <c r="L1489" s="12" t="s">
        <v>6429</v>
      </c>
      <c r="M1489" s="12" t="str">
        <f>HYPERLINK("https://ceds.ed.gov/cedselementdetails.aspx?termid=9254")</f>
        <v>https://ceds.ed.gov/cedselementdetails.aspx?termid=9254</v>
      </c>
      <c r="N1489" s="12" t="str">
        <f>HYPERLINK("https://ceds.ed.gov/elementComment.aspx?elementName=Session Type &amp;elementID=9254", "Click here to submit comment")</f>
        <v>Click here to submit comment</v>
      </c>
    </row>
    <row r="1490" spans="1:14" ht="409.5" x14ac:dyDescent="0.25">
      <c r="A1490" s="12" t="s">
        <v>5711</v>
      </c>
      <c r="B1490" s="12" t="s">
        <v>5712</v>
      </c>
      <c r="C1490" s="13" t="s">
        <v>7112</v>
      </c>
      <c r="D1490" s="12" t="s">
        <v>6665</v>
      </c>
      <c r="E1490" s="12"/>
      <c r="F1490" s="12"/>
      <c r="G1490" s="12"/>
      <c r="H1490" s="12" t="s">
        <v>5713</v>
      </c>
      <c r="I1490" s="12" t="s">
        <v>5714</v>
      </c>
      <c r="J1490" s="12"/>
      <c r="K1490" s="12" t="s">
        <v>5711</v>
      </c>
      <c r="L1490" s="12" t="s">
        <v>6666</v>
      </c>
      <c r="M1490" s="12" t="str">
        <f>HYPERLINK("https://ceds.ed.gov/cedselementdetails.aspx?termid=9255")</f>
        <v>https://ceds.ed.gov/cedselementdetails.aspx?termid=9255</v>
      </c>
      <c r="N1490" s="12" t="str">
        <f>HYPERLINK("https://ceds.ed.gov/elementComment.aspx?elementName=Sex &amp;elementID=9255", "Click here to submit comment")</f>
        <v>Click here to submit comment</v>
      </c>
    </row>
    <row r="1491" spans="1:14" ht="90" x14ac:dyDescent="0.25">
      <c r="A1491" s="12" t="s">
        <v>5715</v>
      </c>
      <c r="B1491" s="12" t="s">
        <v>5716</v>
      </c>
      <c r="C1491" s="12" t="s">
        <v>6364</v>
      </c>
      <c r="D1491" s="12" t="s">
        <v>225</v>
      </c>
      <c r="E1491" s="12"/>
      <c r="F1491" s="12"/>
      <c r="G1491" s="12"/>
      <c r="H1491" s="12"/>
      <c r="I1491" s="12" t="s">
        <v>5717</v>
      </c>
      <c r="J1491" s="12"/>
      <c r="K1491" s="12" t="s">
        <v>5718</v>
      </c>
      <c r="L1491" s="12" t="s">
        <v>222</v>
      </c>
      <c r="M1491" s="12" t="str">
        <f>HYPERLINK("https://ceds.ed.gov/cedselementdetails.aspx?termid=9257")</f>
        <v>https://ceds.ed.gov/cedselementdetails.aspx?termid=9257</v>
      </c>
      <c r="N1491" s="12" t="str">
        <f>HYPERLINK("https://ceds.ed.gov/elementComment.aspx?elementName=Shared Time Indicator &amp;elementID=9257", "Click here to submit comment")</f>
        <v>Click here to submit comment</v>
      </c>
    </row>
    <row r="1492" spans="1:14" ht="240" x14ac:dyDescent="0.25">
      <c r="A1492" s="12" t="s">
        <v>5719</v>
      </c>
      <c r="B1492" s="12" t="s">
        <v>5720</v>
      </c>
      <c r="C1492" s="12" t="s">
        <v>12</v>
      </c>
      <c r="D1492" s="12" t="s">
        <v>6667</v>
      </c>
      <c r="E1492" s="12"/>
      <c r="F1492" s="12" t="s">
        <v>92</v>
      </c>
      <c r="G1492" s="12"/>
      <c r="H1492" s="12" t="s">
        <v>5721</v>
      </c>
      <c r="I1492" s="12" t="s">
        <v>5722</v>
      </c>
      <c r="J1492" s="12"/>
      <c r="K1492" s="12" t="s">
        <v>5723</v>
      </c>
      <c r="L1492" s="12"/>
      <c r="M1492" s="12" t="str">
        <f>HYPERLINK("https://ceds.ed.gov/cedselementdetails.aspx?termid=10459")</f>
        <v>https://ceds.ed.gov/cedselementdetails.aspx?termid=10459</v>
      </c>
      <c r="N1492" s="12" t="str">
        <f>HYPERLINK("https://ceds.ed.gov/elementComment.aspx?elementName=Short Name of Institution &amp;elementID=10459", "Click here to submit comment")</f>
        <v>Click here to submit comment</v>
      </c>
    </row>
    <row r="1493" spans="1:14" ht="60" x14ac:dyDescent="0.25">
      <c r="A1493" s="12" t="s">
        <v>5724</v>
      </c>
      <c r="B1493" s="12" t="s">
        <v>5725</v>
      </c>
      <c r="C1493" s="12" t="s">
        <v>6364</v>
      </c>
      <c r="D1493" s="12" t="s">
        <v>6508</v>
      </c>
      <c r="E1493" s="12"/>
      <c r="F1493" s="12"/>
      <c r="G1493" s="12"/>
      <c r="H1493" s="12"/>
      <c r="I1493" s="12" t="s">
        <v>5726</v>
      </c>
      <c r="J1493" s="12"/>
      <c r="K1493" s="12" t="s">
        <v>5727</v>
      </c>
      <c r="L1493" s="12"/>
      <c r="M1493" s="12" t="str">
        <f>HYPERLINK("https://ceds.ed.gov/cedselementdetails.aspx?termid=9505")</f>
        <v>https://ceds.ed.gov/cedselementdetails.aspx?termid=9505</v>
      </c>
      <c r="N1493" s="12" t="str">
        <f>HYPERLINK("https://ceds.ed.gov/elementComment.aspx?elementName=Shortened Expulsion &amp;elementID=9505", "Click here to submit comment")</f>
        <v>Click here to submit comment</v>
      </c>
    </row>
    <row r="1494" spans="1:14" ht="135" x14ac:dyDescent="0.25">
      <c r="A1494" s="12" t="s">
        <v>5728</v>
      </c>
      <c r="B1494" s="12" t="s">
        <v>5729</v>
      </c>
      <c r="C1494" s="12" t="s">
        <v>6364</v>
      </c>
      <c r="D1494" s="12" t="s">
        <v>6668</v>
      </c>
      <c r="E1494" s="12"/>
      <c r="F1494" s="12"/>
      <c r="G1494" s="12"/>
      <c r="H1494" s="12"/>
      <c r="I1494" s="12" t="s">
        <v>5730</v>
      </c>
      <c r="J1494" s="12"/>
      <c r="K1494" s="12" t="s">
        <v>5731</v>
      </c>
      <c r="L1494" s="12" t="s">
        <v>6460</v>
      </c>
      <c r="M1494" s="12" t="str">
        <f>HYPERLINK("https://ceds.ed.gov/cedselementdetails.aspx?termid=9573")</f>
        <v>https://ceds.ed.gov/cedselementdetails.aspx?termid=9573</v>
      </c>
      <c r="N1494" s="12" t="str">
        <f>HYPERLINK("https://ceds.ed.gov/elementComment.aspx?elementName=Single Parent Or Single Pregnant Woman Status &amp;elementID=9573", "Click here to submit comment")</f>
        <v>Click here to submit comment</v>
      </c>
    </row>
    <row r="1495" spans="1:14" ht="45" x14ac:dyDescent="0.25">
      <c r="A1495" s="12" t="s">
        <v>5732</v>
      </c>
      <c r="B1495" s="12" t="s">
        <v>5733</v>
      </c>
      <c r="C1495" s="12" t="s">
        <v>12</v>
      </c>
      <c r="D1495" s="12" t="s">
        <v>5734</v>
      </c>
      <c r="E1495" s="12"/>
      <c r="F1495" s="12" t="s">
        <v>99</v>
      </c>
      <c r="G1495" s="12"/>
      <c r="H1495" s="12"/>
      <c r="I1495" s="12" t="s">
        <v>5735</v>
      </c>
      <c r="J1495" s="12"/>
      <c r="K1495" s="12" t="s">
        <v>5736</v>
      </c>
      <c r="L1495" s="12" t="s">
        <v>6464</v>
      </c>
      <c r="M1495" s="12" t="str">
        <f>HYPERLINK("https://ceds.ed.gov/cedselementdetails.aspx?termid=9625")</f>
        <v>https://ceds.ed.gov/cedselementdetails.aspx?termid=9625</v>
      </c>
      <c r="N1495" s="12" t="str">
        <f>HYPERLINK("https://ceds.ed.gov/elementComment.aspx?elementName=Site Name &amp;elementID=9625", "Click here to submit comment")</f>
        <v>Click here to submit comment</v>
      </c>
    </row>
    <row r="1496" spans="1:14" ht="45" x14ac:dyDescent="0.25">
      <c r="A1496" s="12" t="s">
        <v>5737</v>
      </c>
      <c r="B1496" s="12" t="s">
        <v>5738</v>
      </c>
      <c r="C1496" s="12" t="s">
        <v>12</v>
      </c>
      <c r="D1496" s="12" t="s">
        <v>2470</v>
      </c>
      <c r="E1496" s="12"/>
      <c r="F1496" s="12" t="s">
        <v>68</v>
      </c>
      <c r="G1496" s="12"/>
      <c r="H1496" s="12"/>
      <c r="I1496" s="12" t="s">
        <v>5739</v>
      </c>
      <c r="J1496" s="12"/>
      <c r="K1496" s="12" t="s">
        <v>5740</v>
      </c>
      <c r="L1496" s="12"/>
      <c r="M1496" s="12" t="str">
        <f>HYPERLINK("https://ceds.ed.gov/cedselementdetails.aspx?termid=10608")</f>
        <v>https://ceds.ed.gov/cedselementdetails.aspx?termid=10608</v>
      </c>
      <c r="N1496" s="12" t="str">
        <f>HYPERLINK("https://ceds.ed.gov/elementComment.aspx?elementName=Site Preference Rank &amp;elementID=10608", "Click here to submit comment")</f>
        <v>Click here to submit comment</v>
      </c>
    </row>
    <row r="1497" spans="1:14" ht="60" x14ac:dyDescent="0.25">
      <c r="A1497" s="12" t="s">
        <v>5741</v>
      </c>
      <c r="B1497" s="12" t="s">
        <v>5742</v>
      </c>
      <c r="C1497" s="12" t="s">
        <v>12</v>
      </c>
      <c r="D1497" s="12" t="s">
        <v>6558</v>
      </c>
      <c r="E1497" s="12"/>
      <c r="F1497" s="12" t="s">
        <v>317</v>
      </c>
      <c r="G1497" s="12"/>
      <c r="H1497" s="12"/>
      <c r="I1497" s="12" t="s">
        <v>5743</v>
      </c>
      <c r="J1497" s="12"/>
      <c r="K1497" s="12" t="s">
        <v>5744</v>
      </c>
      <c r="L1497" s="12" t="s">
        <v>6559</v>
      </c>
      <c r="M1497" s="12" t="str">
        <f>HYPERLINK("https://ceds.ed.gov/cedselementdetails.aspx?termid=9294")</f>
        <v>https://ceds.ed.gov/cedselementdetails.aspx?termid=9294</v>
      </c>
      <c r="N1497" s="12" t="str">
        <f>HYPERLINK("https://ceds.ed.gov/elementComment.aspx?elementName=Size of High School Graduating Class &amp;elementID=9294", "Click here to submit comment")</f>
        <v>Click here to submit comment</v>
      </c>
    </row>
    <row r="1498" spans="1:14" ht="264.75" customHeight="1" x14ac:dyDescent="0.25">
      <c r="A1498" s="18" t="s">
        <v>5745</v>
      </c>
      <c r="B1498" s="18" t="s">
        <v>5746</v>
      </c>
      <c r="C1498" s="18" t="s">
        <v>12</v>
      </c>
      <c r="D1498" s="18" t="s">
        <v>6669</v>
      </c>
      <c r="E1498" s="18"/>
      <c r="F1498" s="18" t="s">
        <v>5747</v>
      </c>
      <c r="G1498" s="18"/>
      <c r="H1498" s="12" t="s">
        <v>5748</v>
      </c>
      <c r="I1498" s="18" t="s">
        <v>5750</v>
      </c>
      <c r="J1498" s="18" t="s">
        <v>5751</v>
      </c>
      <c r="K1498" s="18" t="s">
        <v>5752</v>
      </c>
      <c r="L1498" s="18" t="s">
        <v>6670</v>
      </c>
      <c r="M1498" s="18" t="str">
        <f>HYPERLINK("https://ceds.ed.gov/cedselementdetails.aspx?termid=9259")</f>
        <v>https://ceds.ed.gov/cedselementdetails.aspx?termid=9259</v>
      </c>
      <c r="N1498" s="18" t="str">
        <f>HYPERLINK("https://ceds.ed.gov/elementComment.aspx?elementName=Social Security Number &amp;elementID=9259", "Click here to submit comment")</f>
        <v>Click here to submit comment</v>
      </c>
    </row>
    <row r="1499" spans="1:14" x14ac:dyDescent="0.25">
      <c r="A1499" s="18"/>
      <c r="B1499" s="18"/>
      <c r="C1499" s="18"/>
      <c r="D1499" s="18"/>
      <c r="E1499" s="18"/>
      <c r="F1499" s="18"/>
      <c r="G1499" s="18"/>
      <c r="H1499" s="12"/>
      <c r="I1499" s="18"/>
      <c r="J1499" s="18"/>
      <c r="K1499" s="18"/>
      <c r="L1499" s="18"/>
      <c r="M1499" s="18"/>
      <c r="N1499" s="18"/>
    </row>
    <row r="1500" spans="1:14" ht="180" x14ac:dyDescent="0.25">
      <c r="A1500" s="18"/>
      <c r="B1500" s="18"/>
      <c r="C1500" s="18"/>
      <c r="D1500" s="18"/>
      <c r="E1500" s="18"/>
      <c r="F1500" s="18"/>
      <c r="G1500" s="18"/>
      <c r="H1500" s="12" t="s">
        <v>5749</v>
      </c>
      <c r="I1500" s="18"/>
      <c r="J1500" s="18"/>
      <c r="K1500" s="18"/>
      <c r="L1500" s="18"/>
      <c r="M1500" s="18"/>
      <c r="N1500" s="18"/>
    </row>
    <row r="1501" spans="1:14" ht="60" x14ac:dyDescent="0.25">
      <c r="A1501" s="12" t="s">
        <v>5753</v>
      </c>
      <c r="B1501" s="12" t="s">
        <v>5754</v>
      </c>
      <c r="C1501" s="12" t="s">
        <v>6364</v>
      </c>
      <c r="D1501" s="12" t="s">
        <v>2399</v>
      </c>
      <c r="E1501" s="12"/>
      <c r="F1501" s="12"/>
      <c r="G1501" s="12"/>
      <c r="H1501" s="12"/>
      <c r="I1501" s="12" t="s">
        <v>5755</v>
      </c>
      <c r="J1501" s="12"/>
      <c r="K1501" s="12" t="s">
        <v>5756</v>
      </c>
      <c r="L1501" s="12" t="s">
        <v>250</v>
      </c>
      <c r="M1501" s="12" t="str">
        <f>HYPERLINK("https://ceds.ed.gov/cedselementdetails.aspx?termid=9744")</f>
        <v>https://ceds.ed.gov/cedselementdetails.aspx?termid=9744</v>
      </c>
      <c r="N1501" s="12" t="str">
        <f>HYPERLINK("https://ceds.ed.gov/elementComment.aspx?elementName=Sorority Participation Status &amp;elementID=9744", "Click here to submit comment")</f>
        <v>Click here to submit comment</v>
      </c>
    </row>
    <row r="1502" spans="1:14" ht="180" x14ac:dyDescent="0.25">
      <c r="A1502" s="12" t="s">
        <v>5757</v>
      </c>
      <c r="B1502" s="12" t="s">
        <v>5758</v>
      </c>
      <c r="C1502" s="13" t="s">
        <v>7113</v>
      </c>
      <c r="D1502" s="12" t="s">
        <v>2838</v>
      </c>
      <c r="E1502" s="12"/>
      <c r="F1502" s="12"/>
      <c r="G1502" s="12"/>
      <c r="H1502" s="12"/>
      <c r="I1502" s="12" t="s">
        <v>5759</v>
      </c>
      <c r="J1502" s="12"/>
      <c r="K1502" s="12" t="s">
        <v>5760</v>
      </c>
      <c r="L1502" s="12" t="s">
        <v>6393</v>
      </c>
      <c r="M1502" s="12" t="str">
        <f>HYPERLINK("https://ceds.ed.gov/cedselementdetails.aspx?termid=9332")</f>
        <v>https://ceds.ed.gov/cedselementdetails.aspx?termid=9332</v>
      </c>
      <c r="N1502" s="12" t="str">
        <f>HYPERLINK("https://ceds.ed.gov/elementComment.aspx?elementName=Source of Family Income &amp;elementID=9332", "Click here to submit comment")</f>
        <v>Click here to submit comment</v>
      </c>
    </row>
    <row r="1503" spans="1:14" ht="135" x14ac:dyDescent="0.25">
      <c r="A1503" s="12" t="s">
        <v>5761</v>
      </c>
      <c r="B1503" s="12" t="s">
        <v>5762</v>
      </c>
      <c r="C1503" s="13" t="s">
        <v>7114</v>
      </c>
      <c r="D1503" s="12" t="s">
        <v>2635</v>
      </c>
      <c r="E1503" s="12"/>
      <c r="F1503" s="12"/>
      <c r="G1503" s="12"/>
      <c r="H1503" s="12"/>
      <c r="I1503" s="12" t="s">
        <v>5763</v>
      </c>
      <c r="J1503" s="12"/>
      <c r="K1503" s="12" t="s">
        <v>5764</v>
      </c>
      <c r="L1503" s="12" t="s">
        <v>64</v>
      </c>
      <c r="M1503" s="12" t="str">
        <f>HYPERLINK("https://ceds.ed.gov/cedselementdetails.aspx?termid=9852")</f>
        <v>https://ceds.ed.gov/cedselementdetails.aspx?termid=9852</v>
      </c>
      <c r="N1503" s="12" t="str">
        <f>HYPERLINK("https://ceds.ed.gov/elementComment.aspx?elementName=Special Circumstances Population Served &amp;elementID=9852", "Click here to submit comment")</f>
        <v>Click here to submit comment</v>
      </c>
    </row>
    <row r="1504" spans="1:14" ht="45" x14ac:dyDescent="0.25">
      <c r="A1504" s="12" t="s">
        <v>5765</v>
      </c>
      <c r="B1504" s="12" t="s">
        <v>5766</v>
      </c>
      <c r="C1504" s="13" t="s">
        <v>7115</v>
      </c>
      <c r="D1504" s="12" t="s">
        <v>3651</v>
      </c>
      <c r="E1504" s="12"/>
      <c r="F1504" s="12"/>
      <c r="G1504" s="12"/>
      <c r="H1504" s="12"/>
      <c r="I1504" s="12" t="s">
        <v>5767</v>
      </c>
      <c r="J1504" s="12"/>
      <c r="K1504" s="12" t="s">
        <v>5768</v>
      </c>
      <c r="L1504" s="12" t="s">
        <v>222</v>
      </c>
      <c r="M1504" s="12" t="str">
        <f>HYPERLINK("https://ceds.ed.gov/cedselementdetails.aspx?termid=9556")</f>
        <v>https://ceds.ed.gov/cedselementdetails.aspx?termid=9556</v>
      </c>
      <c r="N1504" s="12" t="str">
        <f>HYPERLINK("https://ceds.ed.gov/elementComment.aspx?elementName=Special Education Age Group Taught &amp;elementID=9556", "Click here to submit comment")</f>
        <v>Click here to submit comment</v>
      </c>
    </row>
    <row r="1505" spans="1:14" ht="409.5" x14ac:dyDescent="0.25">
      <c r="A1505" s="12" t="s">
        <v>5769</v>
      </c>
      <c r="B1505" s="12" t="s">
        <v>5770</v>
      </c>
      <c r="C1505" s="13" t="s">
        <v>7116</v>
      </c>
      <c r="D1505" s="12" t="s">
        <v>6671</v>
      </c>
      <c r="E1505" s="12"/>
      <c r="F1505" s="12"/>
      <c r="G1505" s="12"/>
      <c r="H1505" s="12"/>
      <c r="I1505" s="12" t="s">
        <v>5771</v>
      </c>
      <c r="J1505" s="12"/>
      <c r="K1505" s="12" t="s">
        <v>5772</v>
      </c>
      <c r="L1505" s="12" t="s">
        <v>222</v>
      </c>
      <c r="M1505" s="12" t="str">
        <f>HYPERLINK("https://ceds.ed.gov/cedselementdetails.aspx?termid=9260")</f>
        <v>https://ceds.ed.gov/cedselementdetails.aspx?termid=9260</v>
      </c>
      <c r="N1505" s="12" t="str">
        <f>HYPERLINK("https://ceds.ed.gov/elementComment.aspx?elementName=Special Education Exit Reason &amp;elementID=9260", "Click here to submit comment")</f>
        <v>Click here to submit comment</v>
      </c>
    </row>
    <row r="1506" spans="1:14" ht="90" x14ac:dyDescent="0.25">
      <c r="A1506" s="12" t="s">
        <v>5773</v>
      </c>
      <c r="B1506" s="12" t="s">
        <v>5774</v>
      </c>
      <c r="C1506" s="12" t="s">
        <v>12</v>
      </c>
      <c r="D1506" s="12" t="s">
        <v>6671</v>
      </c>
      <c r="E1506" s="12"/>
      <c r="F1506" s="12" t="s">
        <v>5775</v>
      </c>
      <c r="G1506" s="12"/>
      <c r="H1506" s="12"/>
      <c r="I1506" s="12" t="s">
        <v>5776</v>
      </c>
      <c r="J1506" s="12" t="s">
        <v>5777</v>
      </c>
      <c r="K1506" s="12" t="s">
        <v>5778</v>
      </c>
      <c r="L1506" s="12"/>
      <c r="M1506" s="12" t="str">
        <f>HYPERLINK("https://ceds.ed.gov/cedselementdetails.aspx?termid=10208")</f>
        <v>https://ceds.ed.gov/cedselementdetails.aspx?termid=10208</v>
      </c>
      <c r="N1506" s="12" t="str">
        <f>HYPERLINK("https://ceds.ed.gov/elementComment.aspx?elementName=Special Education Full Time Equivalency &amp;elementID=10208", "Click here to submit comment")</f>
        <v>Click here to submit comment</v>
      </c>
    </row>
    <row r="1507" spans="1:14" ht="60" x14ac:dyDescent="0.25">
      <c r="A1507" s="12" t="s">
        <v>5779</v>
      </c>
      <c r="B1507" s="12" t="s">
        <v>5780</v>
      </c>
      <c r="C1507" s="12" t="s">
        <v>6364</v>
      </c>
      <c r="D1507" s="12" t="s">
        <v>3651</v>
      </c>
      <c r="E1507" s="12"/>
      <c r="F1507" s="12"/>
      <c r="G1507" s="12"/>
      <c r="H1507" s="12"/>
      <c r="I1507" s="12" t="s">
        <v>5781</v>
      </c>
      <c r="J1507" s="12"/>
      <c r="K1507" s="12" t="s">
        <v>5782</v>
      </c>
      <c r="L1507" s="12" t="s">
        <v>222</v>
      </c>
      <c r="M1507" s="12" t="str">
        <f>HYPERLINK("https://ceds.ed.gov/cedselementdetails.aspx?termid=9261")</f>
        <v>https://ceds.ed.gov/cedselementdetails.aspx?termid=9261</v>
      </c>
      <c r="N1507" s="12" t="str">
        <f>HYPERLINK("https://ceds.ed.gov/elementComment.aspx?elementName=Special Education Paraprofessional &amp;elementID=9261", "Click here to submit comment")</f>
        <v>Click here to submit comment</v>
      </c>
    </row>
    <row r="1508" spans="1:14" ht="60" x14ac:dyDescent="0.25">
      <c r="A1508" s="12" t="s">
        <v>5783</v>
      </c>
      <c r="B1508" s="12" t="s">
        <v>5784</v>
      </c>
      <c r="C1508" s="12" t="s">
        <v>6364</v>
      </c>
      <c r="D1508" s="12" t="s">
        <v>3651</v>
      </c>
      <c r="E1508" s="12"/>
      <c r="F1508" s="12"/>
      <c r="G1508" s="12"/>
      <c r="H1508" s="12"/>
      <c r="I1508" s="12" t="s">
        <v>5785</v>
      </c>
      <c r="J1508" s="12"/>
      <c r="K1508" s="12" t="s">
        <v>5786</v>
      </c>
      <c r="L1508" s="12" t="s">
        <v>222</v>
      </c>
      <c r="M1508" s="12" t="str">
        <f>HYPERLINK("https://ceds.ed.gov/cedselementdetails.aspx?termid=9262")</f>
        <v>https://ceds.ed.gov/cedselementdetails.aspx?termid=9262</v>
      </c>
      <c r="N1508" s="12" t="str">
        <f>HYPERLINK("https://ceds.ed.gov/elementComment.aspx?elementName=Special Education Related Services Personnel &amp;elementID=9262", "Click here to submit comment")</f>
        <v>Click here to submit comment</v>
      </c>
    </row>
    <row r="1509" spans="1:14" ht="45" x14ac:dyDescent="0.25">
      <c r="A1509" s="12" t="s">
        <v>5787</v>
      </c>
      <c r="B1509" s="12" t="s">
        <v>5788</v>
      </c>
      <c r="C1509" s="12" t="s">
        <v>12</v>
      </c>
      <c r="D1509" s="12" t="s">
        <v>5789</v>
      </c>
      <c r="E1509" s="12"/>
      <c r="F1509" s="12" t="s">
        <v>73</v>
      </c>
      <c r="G1509" s="12"/>
      <c r="H1509" s="12"/>
      <c r="I1509" s="12" t="s">
        <v>5790</v>
      </c>
      <c r="J1509" s="12"/>
      <c r="K1509" s="12" t="s">
        <v>5791</v>
      </c>
      <c r="L1509" s="12" t="s">
        <v>222</v>
      </c>
      <c r="M1509" s="12" t="str">
        <f>HYPERLINK("https://ceds.ed.gov/cedselementdetails.aspx?termid=9263")</f>
        <v>https://ceds.ed.gov/cedselementdetails.aspx?termid=9263</v>
      </c>
      <c r="N1509" s="12" t="str">
        <f>HYPERLINK("https://ceds.ed.gov/elementComment.aspx?elementName=Special Education Services Exit Date &amp;elementID=9263", "Click here to submit comment")</f>
        <v>Click here to submit comment</v>
      </c>
    </row>
    <row r="1510" spans="1:14" ht="270" x14ac:dyDescent="0.25">
      <c r="A1510" s="12" t="s">
        <v>5792</v>
      </c>
      <c r="B1510" s="12" t="s">
        <v>5793</v>
      </c>
      <c r="C1510" s="13" t="s">
        <v>7117</v>
      </c>
      <c r="D1510" s="12" t="s">
        <v>3651</v>
      </c>
      <c r="E1510" s="12"/>
      <c r="F1510" s="12"/>
      <c r="G1510" s="12"/>
      <c r="H1510" s="12"/>
      <c r="I1510" s="12" t="s">
        <v>5794</v>
      </c>
      <c r="J1510" s="12"/>
      <c r="K1510" s="12" t="s">
        <v>5795</v>
      </c>
      <c r="L1510" s="12" t="s">
        <v>222</v>
      </c>
      <c r="M1510" s="12" t="str">
        <f>HYPERLINK("https://ceds.ed.gov/cedselementdetails.aspx?termid=9549")</f>
        <v>https://ceds.ed.gov/cedselementdetails.aspx?termid=9549</v>
      </c>
      <c r="N1510" s="12" t="str">
        <f>HYPERLINK("https://ceds.ed.gov/elementComment.aspx?elementName=Special Education Staff Category &amp;elementID=9549", "Click here to submit comment")</f>
        <v>Click here to submit comment</v>
      </c>
    </row>
    <row r="1511" spans="1:14" ht="60" x14ac:dyDescent="0.25">
      <c r="A1511" s="12" t="s">
        <v>5796</v>
      </c>
      <c r="B1511" s="12" t="s">
        <v>5797</v>
      </c>
      <c r="C1511" s="12" t="s">
        <v>6364</v>
      </c>
      <c r="D1511" s="12" t="s">
        <v>3651</v>
      </c>
      <c r="E1511" s="12"/>
      <c r="F1511" s="12"/>
      <c r="G1511" s="12"/>
      <c r="H1511" s="12"/>
      <c r="I1511" s="12" t="s">
        <v>5798</v>
      </c>
      <c r="J1511" s="12"/>
      <c r="K1511" s="12" t="s">
        <v>5799</v>
      </c>
      <c r="L1511" s="12" t="s">
        <v>222</v>
      </c>
      <c r="M1511" s="12" t="str">
        <f>HYPERLINK("https://ceds.ed.gov/cedselementdetails.aspx?termid=9264")</f>
        <v>https://ceds.ed.gov/cedselementdetails.aspx?termid=9264</v>
      </c>
      <c r="N1511" s="12" t="str">
        <f>HYPERLINK("https://ceds.ed.gov/elementComment.aspx?elementName=Special Education Teacher &amp;elementID=9264", "Click here to submit comment")</f>
        <v>Click here to submit comment</v>
      </c>
    </row>
    <row r="1512" spans="1:14" ht="75" x14ac:dyDescent="0.25">
      <c r="A1512" s="12" t="s">
        <v>5800</v>
      </c>
      <c r="B1512" s="12" t="s">
        <v>5801</v>
      </c>
      <c r="C1512" s="12" t="s">
        <v>6364</v>
      </c>
      <c r="D1512" s="12" t="s">
        <v>5802</v>
      </c>
      <c r="E1512" s="12"/>
      <c r="F1512" s="12"/>
      <c r="G1512" s="12"/>
      <c r="H1512" s="12"/>
      <c r="I1512" s="12" t="s">
        <v>5803</v>
      </c>
      <c r="J1512" s="12"/>
      <c r="K1512" s="12" t="s">
        <v>5804</v>
      </c>
      <c r="L1512" s="12" t="s">
        <v>64</v>
      </c>
      <c r="M1512" s="12" t="str">
        <f>HYPERLINK("https://ceds.ed.gov/cedselementdetails.aspx?termid=10004")</f>
        <v>https://ceds.ed.gov/cedselementdetails.aspx?termid=10004</v>
      </c>
      <c r="N1512" s="12" t="str">
        <f>HYPERLINK("https://ceds.ed.gov/elementComment.aspx?elementName=Special Needs Policy &amp;elementID=10004", "Click here to submit comment")</f>
        <v>Click here to submit comment</v>
      </c>
    </row>
    <row r="1513" spans="1:14" ht="90" x14ac:dyDescent="0.25">
      <c r="A1513" s="12" t="s">
        <v>5805</v>
      </c>
      <c r="B1513" s="12" t="s">
        <v>5806</v>
      </c>
      <c r="C1513" s="12" t="s">
        <v>12</v>
      </c>
      <c r="D1513" s="12" t="s">
        <v>6636</v>
      </c>
      <c r="E1513" s="12"/>
      <c r="F1513" s="12" t="s">
        <v>99</v>
      </c>
      <c r="G1513" s="12"/>
      <c r="H1513" s="12"/>
      <c r="I1513" s="12" t="s">
        <v>5807</v>
      </c>
      <c r="J1513" s="12"/>
      <c r="K1513" s="12" t="s">
        <v>5808</v>
      </c>
      <c r="L1513" s="12"/>
      <c r="M1513" s="12" t="str">
        <f>HYPERLINK("https://ceds.ed.gov/cedselementdetails.aspx?termid=10461")</f>
        <v>https://ceds.ed.gov/cedselementdetails.aspx?termid=10461</v>
      </c>
      <c r="N1513" s="12" t="str">
        <f>HYPERLINK("https://ceds.ed.gov/elementComment.aspx?elementName=Sponsoring Agency Name &amp;elementID=10461", "Click here to submit comment")</f>
        <v>Click here to submit comment</v>
      </c>
    </row>
    <row r="1514" spans="1:14" ht="45" x14ac:dyDescent="0.25">
      <c r="A1514" s="12" t="s">
        <v>5809</v>
      </c>
      <c r="B1514" s="12" t="s">
        <v>5810</v>
      </c>
      <c r="C1514" s="12" t="s">
        <v>6364</v>
      </c>
      <c r="D1514" s="12" t="s">
        <v>2496</v>
      </c>
      <c r="E1514" s="12"/>
      <c r="F1514" s="12"/>
      <c r="G1514" s="12"/>
      <c r="H1514" s="12"/>
      <c r="I1514" s="12" t="s">
        <v>5811</v>
      </c>
      <c r="J1514" s="12"/>
      <c r="K1514" s="12" t="s">
        <v>5812</v>
      </c>
      <c r="L1514" s="12"/>
      <c r="M1514" s="12" t="str">
        <f>HYPERLINK("https://ceds.ed.gov/cedselementdetails.aspx?termid=10560")</f>
        <v>https://ceds.ed.gov/cedselementdetails.aspx?termid=10560</v>
      </c>
      <c r="N1514" s="12" t="str">
        <f>HYPERLINK("https://ceds.ed.gov/elementComment.aspx?elementName=Staff Approval Indicator &amp;elementID=10560", "Click here to submit comment")</f>
        <v>Click here to submit comment</v>
      </c>
    </row>
    <row r="1515" spans="1:14" ht="225" x14ac:dyDescent="0.25">
      <c r="A1515" s="12" t="s">
        <v>5813</v>
      </c>
      <c r="B1515" s="12" t="s">
        <v>5814</v>
      </c>
      <c r="C1515" s="12" t="s">
        <v>12</v>
      </c>
      <c r="D1515" s="12" t="s">
        <v>6522</v>
      </c>
      <c r="E1515" s="12"/>
      <c r="F1515" s="12" t="s">
        <v>1554</v>
      </c>
      <c r="G1515" s="12"/>
      <c r="H1515" s="12" t="s">
        <v>5815</v>
      </c>
      <c r="I1515" s="12" t="s">
        <v>5816</v>
      </c>
      <c r="J1515" s="12"/>
      <c r="K1515" s="12" t="s">
        <v>5817</v>
      </c>
      <c r="L1515" s="12" t="s">
        <v>1907</v>
      </c>
      <c r="M1515" s="12" t="str">
        <f>HYPERLINK("https://ceds.ed.gov/cedselementdetails.aspx?termid=9032")</f>
        <v>https://ceds.ed.gov/cedselementdetails.aspx?termid=9032</v>
      </c>
      <c r="N1515" s="12" t="str">
        <f>HYPERLINK("https://ceds.ed.gov/elementComment.aspx?elementName=Staff Compensation Base Salary &amp;elementID=9032", "Click here to submit comment")</f>
        <v>Click here to submit comment</v>
      </c>
    </row>
    <row r="1516" spans="1:14" ht="135" x14ac:dyDescent="0.25">
      <c r="A1516" s="12" t="s">
        <v>5818</v>
      </c>
      <c r="B1516" s="12" t="s">
        <v>5819</v>
      </c>
      <c r="C1516" s="12" t="s">
        <v>12</v>
      </c>
      <c r="D1516" s="12" t="s">
        <v>6522</v>
      </c>
      <c r="E1516" s="12"/>
      <c r="F1516" s="12" t="s">
        <v>1554</v>
      </c>
      <c r="G1516" s="12"/>
      <c r="H1516" s="12"/>
      <c r="I1516" s="12" t="s">
        <v>5820</v>
      </c>
      <c r="J1516" s="12"/>
      <c r="K1516" s="12" t="s">
        <v>5821</v>
      </c>
      <c r="L1516" s="12" t="s">
        <v>1907</v>
      </c>
      <c r="M1516" s="12" t="str">
        <f>HYPERLINK("https://ceds.ed.gov/cedselementdetails.aspx?termid=9136")</f>
        <v>https://ceds.ed.gov/cedselementdetails.aspx?termid=9136</v>
      </c>
      <c r="N1516" s="12" t="str">
        <f>HYPERLINK("https://ceds.ed.gov/elementComment.aspx?elementName=Staff Compensation Health Benefits &amp;elementID=9136", "Click here to submit comment")</f>
        <v>Click here to submit comment</v>
      </c>
    </row>
    <row r="1517" spans="1:14" ht="150" x14ac:dyDescent="0.25">
      <c r="A1517" s="12" t="s">
        <v>5822</v>
      </c>
      <c r="B1517" s="12" t="s">
        <v>5823</v>
      </c>
      <c r="C1517" s="12" t="s">
        <v>12</v>
      </c>
      <c r="D1517" s="12" t="s">
        <v>6522</v>
      </c>
      <c r="E1517" s="12"/>
      <c r="F1517" s="12" t="s">
        <v>1554</v>
      </c>
      <c r="G1517" s="12"/>
      <c r="H1517" s="12"/>
      <c r="I1517" s="12" t="s">
        <v>5824</v>
      </c>
      <c r="J1517" s="12"/>
      <c r="K1517" s="12" t="s">
        <v>5825</v>
      </c>
      <c r="L1517" s="12" t="s">
        <v>1907</v>
      </c>
      <c r="M1517" s="12" t="str">
        <f>HYPERLINK("https://ceds.ed.gov/cedselementdetails.aspx?termid=9205")</f>
        <v>https://ceds.ed.gov/cedselementdetails.aspx?termid=9205</v>
      </c>
      <c r="N1517" s="12" t="str">
        <f>HYPERLINK("https://ceds.ed.gov/elementComment.aspx?elementName=Staff Compensation Other Benefits &amp;elementID=9205", "Click here to submit comment")</f>
        <v>Click here to submit comment</v>
      </c>
    </row>
    <row r="1518" spans="1:14" ht="135" x14ac:dyDescent="0.25">
      <c r="A1518" s="12" t="s">
        <v>5826</v>
      </c>
      <c r="B1518" s="12" t="s">
        <v>5827</v>
      </c>
      <c r="C1518" s="12" t="s">
        <v>12</v>
      </c>
      <c r="D1518" s="12" t="s">
        <v>6522</v>
      </c>
      <c r="E1518" s="12"/>
      <c r="F1518" s="12" t="s">
        <v>1554</v>
      </c>
      <c r="G1518" s="12"/>
      <c r="H1518" s="12"/>
      <c r="I1518" s="12" t="s">
        <v>5828</v>
      </c>
      <c r="J1518" s="12"/>
      <c r="K1518" s="12" t="s">
        <v>5829</v>
      </c>
      <c r="L1518" s="12" t="s">
        <v>1907</v>
      </c>
      <c r="M1518" s="12" t="str">
        <f>HYPERLINK("https://ceds.ed.gov/cedselementdetails.aspx?termid=9233")</f>
        <v>https://ceds.ed.gov/cedselementdetails.aspx?termid=9233</v>
      </c>
      <c r="N1518" s="12" t="str">
        <f>HYPERLINK("https://ceds.ed.gov/elementComment.aspx?elementName=Staff Compensation Retirement Benefits &amp;elementID=9233", "Click here to submit comment")</f>
        <v>Click here to submit comment</v>
      </c>
    </row>
    <row r="1519" spans="1:14" ht="165" x14ac:dyDescent="0.25">
      <c r="A1519" s="12" t="s">
        <v>5830</v>
      </c>
      <c r="B1519" s="12" t="s">
        <v>5831</v>
      </c>
      <c r="C1519" s="12" t="s">
        <v>12</v>
      </c>
      <c r="D1519" s="12" t="s">
        <v>6522</v>
      </c>
      <c r="E1519" s="12"/>
      <c r="F1519" s="12" t="s">
        <v>1554</v>
      </c>
      <c r="G1519" s="12"/>
      <c r="H1519" s="12"/>
      <c r="I1519" s="12" t="s">
        <v>5832</v>
      </c>
      <c r="J1519" s="12"/>
      <c r="K1519" s="12" t="s">
        <v>5833</v>
      </c>
      <c r="L1519" s="12" t="s">
        <v>1907</v>
      </c>
      <c r="M1519" s="12" t="str">
        <f>HYPERLINK("https://ceds.ed.gov/cedselementdetails.aspx?termid=9293")</f>
        <v>https://ceds.ed.gov/cedselementdetails.aspx?termid=9293</v>
      </c>
      <c r="N1519" s="12" t="str">
        <f>HYPERLINK("https://ceds.ed.gov/elementComment.aspx?elementName=Staff Compensation Total Benefits &amp;elementID=9293", "Click here to submit comment")</f>
        <v>Click here to submit comment</v>
      </c>
    </row>
    <row r="1520" spans="1:14" ht="60" x14ac:dyDescent="0.25">
      <c r="A1520" s="12" t="s">
        <v>5834</v>
      </c>
      <c r="B1520" s="12" t="s">
        <v>5835</v>
      </c>
      <c r="C1520" s="12" t="s">
        <v>12</v>
      </c>
      <c r="D1520" s="12" t="s">
        <v>6522</v>
      </c>
      <c r="E1520" s="12"/>
      <c r="F1520" s="12" t="s">
        <v>1554</v>
      </c>
      <c r="G1520" s="12"/>
      <c r="H1520" s="12"/>
      <c r="I1520" s="12" t="s">
        <v>5836</v>
      </c>
      <c r="J1520" s="12"/>
      <c r="K1520" s="12" t="s">
        <v>5837</v>
      </c>
      <c r="L1520" s="12" t="s">
        <v>1907</v>
      </c>
      <c r="M1520" s="12" t="str">
        <f>HYPERLINK("https://ceds.ed.gov/cedselementdetails.aspx?termid=9295")</f>
        <v>https://ceds.ed.gov/cedselementdetails.aspx?termid=9295</v>
      </c>
      <c r="N1520" s="12" t="str">
        <f>HYPERLINK("https://ceds.ed.gov/elementComment.aspx?elementName=Staff Compensation Total Salary &amp;elementID=9295", "Click here to submit comment")</f>
        <v>Click here to submit comment</v>
      </c>
    </row>
    <row r="1521" spans="1:14" ht="90" x14ac:dyDescent="0.25">
      <c r="A1521" s="12" t="s">
        <v>5838</v>
      </c>
      <c r="B1521" s="12" t="s">
        <v>5839</v>
      </c>
      <c r="C1521" s="12" t="s">
        <v>12</v>
      </c>
      <c r="D1521" s="12" t="s">
        <v>6516</v>
      </c>
      <c r="E1521" s="12"/>
      <c r="F1521" s="12" t="s">
        <v>73</v>
      </c>
      <c r="G1521" s="12"/>
      <c r="H1521" s="12"/>
      <c r="I1521" s="12" t="s">
        <v>5840</v>
      </c>
      <c r="J1521" s="12"/>
      <c r="K1521" s="12" t="s">
        <v>5841</v>
      </c>
      <c r="L1521" s="12" t="s">
        <v>205</v>
      </c>
      <c r="M1521" s="12" t="str">
        <f>HYPERLINK("https://ceds.ed.gov/cedselementdetails.aspx?termid=9792")</f>
        <v>https://ceds.ed.gov/cedselementdetails.aspx?termid=9792</v>
      </c>
      <c r="N1521" s="12" t="str">
        <f>HYPERLINK("https://ceds.ed.gov/elementComment.aspx?elementName=Staff Education Entry Date &amp;elementID=9792", "Click here to submit comment")</f>
        <v>Click here to submit comment</v>
      </c>
    </row>
    <row r="1522" spans="1:14" ht="90" x14ac:dyDescent="0.25">
      <c r="A1522" s="12" t="s">
        <v>5842</v>
      </c>
      <c r="B1522" s="12" t="s">
        <v>5843</v>
      </c>
      <c r="C1522" s="12" t="s">
        <v>12</v>
      </c>
      <c r="D1522" s="12" t="s">
        <v>6516</v>
      </c>
      <c r="E1522" s="12"/>
      <c r="F1522" s="12" t="s">
        <v>73</v>
      </c>
      <c r="G1522" s="12"/>
      <c r="H1522" s="12"/>
      <c r="I1522" s="12" t="s">
        <v>5844</v>
      </c>
      <c r="J1522" s="12"/>
      <c r="K1522" s="12" t="s">
        <v>5845</v>
      </c>
      <c r="L1522" s="12" t="s">
        <v>205</v>
      </c>
      <c r="M1522" s="12" t="str">
        <f>HYPERLINK("https://ceds.ed.gov/cedselementdetails.aspx?termid=9793")</f>
        <v>https://ceds.ed.gov/cedselementdetails.aspx?termid=9793</v>
      </c>
      <c r="N1522" s="12" t="str">
        <f>HYPERLINK("https://ceds.ed.gov/elementComment.aspx?elementName=Staff Education Withdrawal Date &amp;elementID=9793", "Click here to submit comment")</f>
        <v>Click here to submit comment</v>
      </c>
    </row>
    <row r="1523" spans="1:14" ht="45" x14ac:dyDescent="0.25">
      <c r="A1523" s="12" t="s">
        <v>5846</v>
      </c>
      <c r="B1523" s="12" t="s">
        <v>5847</v>
      </c>
      <c r="C1523" s="12" t="s">
        <v>12</v>
      </c>
      <c r="D1523" s="12" t="s">
        <v>2819</v>
      </c>
      <c r="E1523" s="12"/>
      <c r="F1523" s="12" t="s">
        <v>22</v>
      </c>
      <c r="G1523" s="12"/>
      <c r="H1523" s="12"/>
      <c r="I1523" s="12" t="s">
        <v>5848</v>
      </c>
      <c r="J1523" s="12"/>
      <c r="K1523" s="12" t="s">
        <v>5849</v>
      </c>
      <c r="L1523" s="12"/>
      <c r="M1523" s="12" t="str">
        <f>HYPERLINK("https://ceds.ed.gov/cedselementdetails.aspx?termid=9102")</f>
        <v>https://ceds.ed.gov/cedselementdetails.aspx?termid=9102</v>
      </c>
      <c r="N1523" s="12" t="str">
        <f>HYPERLINK("https://ceds.ed.gov/elementComment.aspx?elementName=Staff Evaluation Outcome &amp;elementID=9102", "Click here to submit comment")</f>
        <v>Click here to submit comment</v>
      </c>
    </row>
    <row r="1524" spans="1:14" ht="60" x14ac:dyDescent="0.25">
      <c r="A1524" s="12" t="s">
        <v>5850</v>
      </c>
      <c r="B1524" s="12" t="s">
        <v>5851</v>
      </c>
      <c r="C1524" s="12" t="s">
        <v>12</v>
      </c>
      <c r="D1524" s="12" t="s">
        <v>2819</v>
      </c>
      <c r="E1524" s="12"/>
      <c r="F1524" s="12" t="s">
        <v>22</v>
      </c>
      <c r="G1524" s="12"/>
      <c r="H1524" s="12"/>
      <c r="I1524" s="12" t="s">
        <v>5852</v>
      </c>
      <c r="J1524" s="12"/>
      <c r="K1524" s="12" t="s">
        <v>5853</v>
      </c>
      <c r="L1524" s="12"/>
      <c r="M1524" s="12" t="str">
        <f>HYPERLINK("https://ceds.ed.gov/cedselementdetails.aspx?termid=9103")</f>
        <v>https://ceds.ed.gov/cedselementdetails.aspx?termid=9103</v>
      </c>
      <c r="N1524" s="12" t="str">
        <f>HYPERLINK("https://ceds.ed.gov/elementComment.aspx?elementName=Staff Evaluation Scale &amp;elementID=9103", "Click here to submit comment")</f>
        <v>Click here to submit comment</v>
      </c>
    </row>
    <row r="1525" spans="1:14" ht="45" x14ac:dyDescent="0.25">
      <c r="A1525" s="12" t="s">
        <v>5854</v>
      </c>
      <c r="B1525" s="12" t="s">
        <v>5855</v>
      </c>
      <c r="C1525" s="12" t="s">
        <v>12</v>
      </c>
      <c r="D1525" s="12" t="s">
        <v>2819</v>
      </c>
      <c r="E1525" s="12"/>
      <c r="F1525" s="12" t="s">
        <v>99</v>
      </c>
      <c r="G1525" s="12"/>
      <c r="H1525" s="12"/>
      <c r="I1525" s="12" t="s">
        <v>5856</v>
      </c>
      <c r="J1525" s="12"/>
      <c r="K1525" s="12" t="s">
        <v>5857</v>
      </c>
      <c r="L1525" s="12"/>
      <c r="M1525" s="12" t="str">
        <f>HYPERLINK("https://ceds.ed.gov/cedselementdetails.aspx?termid=9104")</f>
        <v>https://ceds.ed.gov/cedselementdetails.aspx?termid=9104</v>
      </c>
      <c r="N1525" s="12" t="str">
        <f>HYPERLINK("https://ceds.ed.gov/elementComment.aspx?elementName=Staff Evaluation Score or Rating &amp;elementID=9104", "Click here to submit comment")</f>
        <v>Click here to submit comment</v>
      </c>
    </row>
    <row r="1526" spans="1:14" ht="45" x14ac:dyDescent="0.25">
      <c r="A1526" s="12" t="s">
        <v>5858</v>
      </c>
      <c r="B1526" s="12" t="s">
        <v>5859</v>
      </c>
      <c r="C1526" s="12" t="s">
        <v>12</v>
      </c>
      <c r="D1526" s="12" t="s">
        <v>2819</v>
      </c>
      <c r="E1526" s="12"/>
      <c r="F1526" s="12" t="s">
        <v>99</v>
      </c>
      <c r="G1526" s="12"/>
      <c r="H1526" s="12"/>
      <c r="I1526" s="12" t="s">
        <v>5860</v>
      </c>
      <c r="J1526" s="12"/>
      <c r="K1526" s="12" t="s">
        <v>5861</v>
      </c>
      <c r="L1526" s="12"/>
      <c r="M1526" s="12" t="str">
        <f>HYPERLINK("https://ceds.ed.gov/cedselementdetails.aspx?termid=9105")</f>
        <v>https://ceds.ed.gov/cedselementdetails.aspx?termid=9105</v>
      </c>
      <c r="N1526" s="12" t="str">
        <f>HYPERLINK("https://ceds.ed.gov/elementComment.aspx?elementName=Staff Evaluation System &amp;elementID=9105", "Click here to submit comment")</f>
        <v>Click here to submit comment</v>
      </c>
    </row>
    <row r="1527" spans="1:14" ht="60" x14ac:dyDescent="0.25">
      <c r="A1527" s="12" t="s">
        <v>5862</v>
      </c>
      <c r="B1527" s="12" t="s">
        <v>5863</v>
      </c>
      <c r="C1527" s="12" t="s">
        <v>12</v>
      </c>
      <c r="D1527" s="12" t="s">
        <v>6672</v>
      </c>
      <c r="E1527" s="12"/>
      <c r="F1527" s="12" t="s">
        <v>5864</v>
      </c>
      <c r="G1527" s="12"/>
      <c r="H1527" s="12"/>
      <c r="I1527" s="12" t="s">
        <v>5865</v>
      </c>
      <c r="J1527" s="12" t="s">
        <v>5866</v>
      </c>
      <c r="K1527" s="12" t="s">
        <v>5867</v>
      </c>
      <c r="L1527" s="12" t="s">
        <v>6673</v>
      </c>
      <c r="M1527" s="12" t="str">
        <f>HYPERLINK("https://ceds.ed.gov/cedselementdetails.aspx?termid=9118")</f>
        <v>https://ceds.ed.gov/cedselementdetails.aspx?termid=9118</v>
      </c>
      <c r="N1527" s="12" t="str">
        <f>HYPERLINK("https://ceds.ed.gov/elementComment.aspx?elementName=Staff Full Time Equivalency &amp;elementID=9118", "Click here to submit comment")</f>
        <v>Click here to submit comment</v>
      </c>
    </row>
    <row r="1528" spans="1:14" ht="409.5" x14ac:dyDescent="0.25">
      <c r="A1528" s="12" t="s">
        <v>5868</v>
      </c>
      <c r="B1528" s="12" t="s">
        <v>5869</v>
      </c>
      <c r="C1528" s="13" t="s">
        <v>7118</v>
      </c>
      <c r="D1528" s="12" t="s">
        <v>6674</v>
      </c>
      <c r="E1528" s="12"/>
      <c r="F1528" s="12"/>
      <c r="G1528" s="12"/>
      <c r="H1528" s="12"/>
      <c r="I1528" s="12" t="s">
        <v>5870</v>
      </c>
      <c r="J1528" s="12"/>
      <c r="K1528" s="12" t="s">
        <v>5871</v>
      </c>
      <c r="L1528" s="12" t="s">
        <v>6675</v>
      </c>
      <c r="M1528" s="12" t="str">
        <f>HYPERLINK("https://ceds.ed.gov/cedselementdetails.aspx?termid=9162")</f>
        <v>https://ceds.ed.gov/cedselementdetails.aspx?termid=9162</v>
      </c>
      <c r="N1528" s="12" t="str">
        <f>HYPERLINK("https://ceds.ed.gov/elementComment.aspx?elementName=Staff Member Identification System &amp;elementID=9162", "Click here to submit comment")</f>
        <v>Click here to submit comment</v>
      </c>
    </row>
    <row r="1529" spans="1:14" ht="162.75" customHeight="1" x14ac:dyDescent="0.25">
      <c r="A1529" s="18" t="s">
        <v>5872</v>
      </c>
      <c r="B1529" s="18" t="s">
        <v>5873</v>
      </c>
      <c r="C1529" s="18" t="s">
        <v>12</v>
      </c>
      <c r="D1529" s="18" t="s">
        <v>6674</v>
      </c>
      <c r="E1529" s="18"/>
      <c r="F1529" s="18" t="s">
        <v>142</v>
      </c>
      <c r="G1529" s="18"/>
      <c r="H1529" s="12" t="s">
        <v>143</v>
      </c>
      <c r="I1529" s="18" t="s">
        <v>5874</v>
      </c>
      <c r="J1529" s="18"/>
      <c r="K1529" s="18" t="s">
        <v>5875</v>
      </c>
      <c r="L1529" s="18" t="s">
        <v>6676</v>
      </c>
      <c r="M1529" s="18" t="str">
        <f>HYPERLINK("https://ceds.ed.gov/cedselementdetails.aspx?termid=9156")</f>
        <v>https://ceds.ed.gov/cedselementdetails.aspx?termid=9156</v>
      </c>
      <c r="N1529" s="18" t="str">
        <f>HYPERLINK("https://ceds.ed.gov/elementComment.aspx?elementName=Staff Member Identifier &amp;elementID=9156", "Click here to submit comment")</f>
        <v>Click here to submit comment</v>
      </c>
    </row>
    <row r="1530" spans="1:14" x14ac:dyDescent="0.25">
      <c r="A1530" s="18"/>
      <c r="B1530" s="18"/>
      <c r="C1530" s="18"/>
      <c r="D1530" s="18"/>
      <c r="E1530" s="18"/>
      <c r="F1530" s="18"/>
      <c r="G1530" s="18"/>
      <c r="H1530" s="12"/>
      <c r="I1530" s="18"/>
      <c r="J1530" s="18"/>
      <c r="K1530" s="18"/>
      <c r="L1530" s="18"/>
      <c r="M1530" s="18"/>
      <c r="N1530" s="18"/>
    </row>
    <row r="1531" spans="1:14" ht="90" x14ac:dyDescent="0.25">
      <c r="A1531" s="18"/>
      <c r="B1531" s="18"/>
      <c r="C1531" s="18"/>
      <c r="D1531" s="18"/>
      <c r="E1531" s="18"/>
      <c r="F1531" s="18"/>
      <c r="G1531" s="18"/>
      <c r="H1531" s="12" t="s">
        <v>144</v>
      </c>
      <c r="I1531" s="18"/>
      <c r="J1531" s="18"/>
      <c r="K1531" s="18"/>
      <c r="L1531" s="18"/>
      <c r="M1531" s="18"/>
      <c r="N1531" s="18"/>
    </row>
    <row r="1532" spans="1:14" ht="60" x14ac:dyDescent="0.25">
      <c r="A1532" s="12" t="s">
        <v>5876</v>
      </c>
      <c r="B1532" s="12" t="s">
        <v>5877</v>
      </c>
      <c r="C1532" s="12" t="s">
        <v>12</v>
      </c>
      <c r="D1532" s="12" t="s">
        <v>1635</v>
      </c>
      <c r="E1532" s="12"/>
      <c r="F1532" s="12" t="s">
        <v>73</v>
      </c>
      <c r="G1532" s="12"/>
      <c r="H1532" s="12"/>
      <c r="I1532" s="12" t="s">
        <v>5878</v>
      </c>
      <c r="J1532" s="12"/>
      <c r="K1532" s="12" t="s">
        <v>5879</v>
      </c>
      <c r="L1532" s="12" t="s">
        <v>205</v>
      </c>
      <c r="M1532" s="12" t="str">
        <f>HYPERLINK("https://ceds.ed.gov/cedselementdetails.aspx?termid=10068")</f>
        <v>https://ceds.ed.gov/cedselementdetails.aspx?termid=10068</v>
      </c>
      <c r="N1532" s="12" t="str">
        <f>HYPERLINK("https://ceds.ed.gov/elementComment.aspx?elementName=Staff Professional Development Activity Completion Date &amp;elementID=10068", "Click here to submit comment")</f>
        <v>Click here to submit comment</v>
      </c>
    </row>
    <row r="1533" spans="1:14" ht="60" x14ac:dyDescent="0.25">
      <c r="A1533" s="12" t="s">
        <v>5880</v>
      </c>
      <c r="B1533" s="12" t="s">
        <v>5881</v>
      </c>
      <c r="C1533" s="12" t="s">
        <v>12</v>
      </c>
      <c r="D1533" s="12" t="s">
        <v>1635</v>
      </c>
      <c r="E1533" s="12"/>
      <c r="F1533" s="12" t="s">
        <v>73</v>
      </c>
      <c r="G1533" s="12"/>
      <c r="H1533" s="12"/>
      <c r="I1533" s="12" t="s">
        <v>5882</v>
      </c>
      <c r="J1533" s="12"/>
      <c r="K1533" s="12" t="s">
        <v>5883</v>
      </c>
      <c r="L1533" s="12" t="s">
        <v>205</v>
      </c>
      <c r="M1533" s="12" t="str">
        <f>HYPERLINK("https://ceds.ed.gov/cedselementdetails.aspx?termid=10067")</f>
        <v>https://ceds.ed.gov/cedselementdetails.aspx?termid=10067</v>
      </c>
      <c r="N1533" s="12" t="str">
        <f>HYPERLINK("https://ceds.ed.gov/elementComment.aspx?elementName=Staff Professional Development Activity Start Date &amp;elementID=10067", "Click here to submit comment")</f>
        <v>Click here to submit comment</v>
      </c>
    </row>
    <row r="1534" spans="1:14" ht="120" x14ac:dyDescent="0.25">
      <c r="A1534" s="12" t="s">
        <v>5884</v>
      </c>
      <c r="B1534" s="12" t="s">
        <v>5885</v>
      </c>
      <c r="C1534" s="12" t="s">
        <v>12</v>
      </c>
      <c r="D1534" s="12" t="s">
        <v>6677</v>
      </c>
      <c r="E1534" s="12"/>
      <c r="F1534" s="12" t="s">
        <v>5886</v>
      </c>
      <c r="G1534" s="12"/>
      <c r="H1534" s="12"/>
      <c r="I1534" s="12" t="s">
        <v>5887</v>
      </c>
      <c r="J1534" s="12"/>
      <c r="K1534" s="12" t="s">
        <v>5888</v>
      </c>
      <c r="L1534" s="12" t="s">
        <v>37</v>
      </c>
      <c r="M1534" s="12" t="str">
        <f>HYPERLINK("https://ceds.ed.gov/cedselementdetails.aspx?termid=9707")</f>
        <v>https://ceds.ed.gov/cedselementdetails.aspx?termid=9707</v>
      </c>
      <c r="N1534" s="12" t="str">
        <f>HYPERLINK("https://ceds.ed.gov/elementComment.aspx?elementName=Standard Occupational Classification &amp;elementID=9707", "Click here to submit comment")</f>
        <v>Click here to submit comment</v>
      </c>
    </row>
    <row r="1535" spans="1:14" ht="45" x14ac:dyDescent="0.25">
      <c r="A1535" s="12" t="s">
        <v>5889</v>
      </c>
      <c r="B1535" s="12" t="s">
        <v>5890</v>
      </c>
      <c r="C1535" s="12" t="s">
        <v>12</v>
      </c>
      <c r="D1535" s="12" t="s">
        <v>5891</v>
      </c>
      <c r="E1535" s="12"/>
      <c r="F1535" s="12" t="s">
        <v>157</v>
      </c>
      <c r="G1535" s="12"/>
      <c r="H1535" s="12"/>
      <c r="I1535" s="12" t="s">
        <v>5892</v>
      </c>
      <c r="J1535" s="12"/>
      <c r="K1535" s="12" t="s">
        <v>5893</v>
      </c>
      <c r="L1535" s="12" t="s">
        <v>239</v>
      </c>
      <c r="M1535" s="12" t="str">
        <f>HYPERLINK("https://ceds.ed.gov/cedselementdetails.aspx?termid=9265")</f>
        <v>https://ceds.ed.gov/cedselementdetails.aspx?termid=9265</v>
      </c>
      <c r="N1535" s="12" t="str">
        <f>HYPERLINK("https://ceds.ed.gov/elementComment.aspx?elementName=Standardized Admission Test Score &amp;elementID=9265", "Click here to submit comment")</f>
        <v>Click here to submit comment</v>
      </c>
    </row>
    <row r="1536" spans="1:14" ht="270" x14ac:dyDescent="0.25">
      <c r="A1536" s="12" t="s">
        <v>5894</v>
      </c>
      <c r="B1536" s="12" t="s">
        <v>5895</v>
      </c>
      <c r="C1536" s="13" t="s">
        <v>7119</v>
      </c>
      <c r="D1536" s="12" t="s">
        <v>5891</v>
      </c>
      <c r="E1536" s="12"/>
      <c r="F1536" s="12"/>
      <c r="G1536" s="12"/>
      <c r="H1536" s="12"/>
      <c r="I1536" s="12" t="s">
        <v>5896</v>
      </c>
      <c r="J1536" s="12"/>
      <c r="K1536" s="12" t="s">
        <v>5897</v>
      </c>
      <c r="L1536" s="12" t="s">
        <v>239</v>
      </c>
      <c r="M1536" s="12" t="str">
        <f>HYPERLINK("https://ceds.ed.gov/cedselementdetails.aspx?termid=9266")</f>
        <v>https://ceds.ed.gov/cedselementdetails.aspx?termid=9266</v>
      </c>
      <c r="N1536" s="12" t="str">
        <f>HYPERLINK("https://ceds.ed.gov/elementComment.aspx?elementName=Standardized Admission Test Type &amp;elementID=9266", "Click here to submit comment")</f>
        <v>Click here to submit comment</v>
      </c>
    </row>
    <row r="1537" spans="1:14" ht="409.5" x14ac:dyDescent="0.25">
      <c r="A1537" s="12" t="s">
        <v>5898</v>
      </c>
      <c r="B1537" s="12" t="s">
        <v>5899</v>
      </c>
      <c r="C1537" s="13" t="s">
        <v>7120</v>
      </c>
      <c r="D1537" s="12" t="s">
        <v>6376</v>
      </c>
      <c r="E1537" s="12"/>
      <c r="F1537" s="12"/>
      <c r="G1537" s="12"/>
      <c r="H1537" s="12"/>
      <c r="I1537" s="12" t="s">
        <v>5900</v>
      </c>
      <c r="J1537" s="12"/>
      <c r="K1537" s="12" t="s">
        <v>5901</v>
      </c>
      <c r="L1537" s="12" t="s">
        <v>6678</v>
      </c>
      <c r="M1537" s="12" t="str">
        <f>HYPERLINK("https://ceds.ed.gov/cedselementdetails.aspx?termid=9267")</f>
        <v>https://ceds.ed.gov/cedselementdetails.aspx?termid=9267</v>
      </c>
      <c r="N1537" s="12" t="str">
        <f>HYPERLINK("https://ceds.ed.gov/elementComment.aspx?elementName=State Abbreviation &amp;elementID=9267", "Click here to submit comment")</f>
        <v>Click here to submit comment</v>
      </c>
    </row>
    <row r="1538" spans="1:14" ht="60" x14ac:dyDescent="0.25">
      <c r="A1538" s="12" t="s">
        <v>5902</v>
      </c>
      <c r="B1538" s="12" t="s">
        <v>5903</v>
      </c>
      <c r="C1538" s="13" t="s">
        <v>7121</v>
      </c>
      <c r="D1538" s="12" t="s">
        <v>6679</v>
      </c>
      <c r="E1538" s="12"/>
      <c r="F1538" s="12"/>
      <c r="G1538" s="12"/>
      <c r="H1538" s="12"/>
      <c r="I1538" s="12" t="s">
        <v>5904</v>
      </c>
      <c r="J1538" s="12"/>
      <c r="K1538" s="12" t="s">
        <v>5905</v>
      </c>
      <c r="L1538" s="12"/>
      <c r="M1538" s="12" t="str">
        <f>HYPERLINK("https://ceds.ed.gov/cedselementdetails.aspx?termid=10463")</f>
        <v>https://ceds.ed.gov/cedselementdetails.aspx?termid=10463</v>
      </c>
      <c r="N1538" s="12" t="str">
        <f>HYPERLINK("https://ceds.ed.gov/elementComment.aspx?elementName=State Agency Identification System &amp;elementID=10463", "Click here to submit comment")</f>
        <v>Click here to submit comment</v>
      </c>
    </row>
    <row r="1539" spans="1:14" ht="105" x14ac:dyDescent="0.25">
      <c r="A1539" s="18" t="s">
        <v>5906</v>
      </c>
      <c r="B1539" s="18" t="s">
        <v>5907</v>
      </c>
      <c r="C1539" s="18" t="s">
        <v>12</v>
      </c>
      <c r="D1539" s="18" t="s">
        <v>6679</v>
      </c>
      <c r="E1539" s="18"/>
      <c r="F1539" s="18" t="s">
        <v>142</v>
      </c>
      <c r="G1539" s="18"/>
      <c r="H1539" s="12" t="s">
        <v>143</v>
      </c>
      <c r="I1539" s="18" t="s">
        <v>5908</v>
      </c>
      <c r="J1539" s="18"/>
      <c r="K1539" s="18" t="s">
        <v>5909</v>
      </c>
      <c r="L1539" s="18"/>
      <c r="M1539" s="18" t="str">
        <f>HYPERLINK("https://ceds.ed.gov/cedselementdetails.aspx?termid=10462")</f>
        <v>https://ceds.ed.gov/cedselementdetails.aspx?termid=10462</v>
      </c>
      <c r="N1539" s="18" t="str">
        <f>HYPERLINK("https://ceds.ed.gov/elementComment.aspx?elementName=State Agency Identifier &amp;elementID=10462", "Click here to submit comment")</f>
        <v>Click here to submit comment</v>
      </c>
    </row>
    <row r="1540" spans="1:14" x14ac:dyDescent="0.25">
      <c r="A1540" s="18"/>
      <c r="B1540" s="18"/>
      <c r="C1540" s="18"/>
      <c r="D1540" s="18"/>
      <c r="E1540" s="18"/>
      <c r="F1540" s="18"/>
      <c r="G1540" s="18"/>
      <c r="H1540" s="12"/>
      <c r="I1540" s="18"/>
      <c r="J1540" s="18"/>
      <c r="K1540" s="18"/>
      <c r="L1540" s="18"/>
      <c r="M1540" s="18"/>
      <c r="N1540" s="18"/>
    </row>
    <row r="1541" spans="1:14" ht="90" x14ac:dyDescent="0.25">
      <c r="A1541" s="18"/>
      <c r="B1541" s="18"/>
      <c r="C1541" s="18"/>
      <c r="D1541" s="18"/>
      <c r="E1541" s="18"/>
      <c r="F1541" s="18"/>
      <c r="G1541" s="18"/>
      <c r="H1541" s="12" t="s">
        <v>144</v>
      </c>
      <c r="I1541" s="18"/>
      <c r="J1541" s="18"/>
      <c r="K1541" s="18"/>
      <c r="L1541" s="18"/>
      <c r="M1541" s="18"/>
      <c r="N1541" s="18"/>
    </row>
    <row r="1542" spans="1:14" ht="409.5" x14ac:dyDescent="0.25">
      <c r="A1542" s="12" t="s">
        <v>5910</v>
      </c>
      <c r="B1542" s="12" t="s">
        <v>5911</v>
      </c>
      <c r="C1542" s="13" t="s">
        <v>7122</v>
      </c>
      <c r="D1542" s="12" t="s">
        <v>6680</v>
      </c>
      <c r="E1542" s="12"/>
      <c r="F1542" s="12"/>
      <c r="G1542" s="12"/>
      <c r="H1542" s="12"/>
      <c r="I1542" s="12" t="s">
        <v>5912</v>
      </c>
      <c r="J1542" s="12"/>
      <c r="K1542" s="12" t="s">
        <v>5913</v>
      </c>
      <c r="L1542" s="12" t="s">
        <v>6681</v>
      </c>
      <c r="M1542" s="12" t="str">
        <f>HYPERLINK("https://ceds.ed.gov/cedselementdetails.aspx?termid=9414")</f>
        <v>https://ceds.ed.gov/cedselementdetails.aspx?termid=9414</v>
      </c>
      <c r="N1542" s="12" t="str">
        <f>HYPERLINK("https://ceds.ed.gov/elementComment.aspx?elementName=State ANSI Code &amp;elementID=9414", "Click here to submit comment")</f>
        <v>Click here to submit comment</v>
      </c>
    </row>
    <row r="1543" spans="1:14" ht="60" x14ac:dyDescent="0.25">
      <c r="A1543" s="12" t="s">
        <v>5914</v>
      </c>
      <c r="B1543" s="12" t="s">
        <v>5915</v>
      </c>
      <c r="C1543" s="12" t="s">
        <v>6364</v>
      </c>
      <c r="D1543" s="12" t="s">
        <v>1635</v>
      </c>
      <c r="E1543" s="12"/>
      <c r="F1543" s="12"/>
      <c r="G1543" s="12"/>
      <c r="H1543" s="12"/>
      <c r="I1543" s="12" t="s">
        <v>5916</v>
      </c>
      <c r="J1543" s="12"/>
      <c r="K1543" s="12" t="s">
        <v>5917</v>
      </c>
      <c r="L1543" s="12" t="s">
        <v>205</v>
      </c>
      <c r="M1543" s="12" t="str">
        <f>HYPERLINK("https://ceds.ed.gov/cedselementdetails.aspx?termid=9814")</f>
        <v>https://ceds.ed.gov/cedselementdetails.aspx?termid=9814</v>
      </c>
      <c r="N1543" s="12" t="str">
        <f>HYPERLINK("https://ceds.ed.gov/elementComment.aspx?elementName=State Approved Technical Assistance Provider Status &amp;elementID=9814", "Click here to submit comment")</f>
        <v>Click here to submit comment</v>
      </c>
    </row>
    <row r="1544" spans="1:14" ht="45" x14ac:dyDescent="0.25">
      <c r="A1544" s="12" t="s">
        <v>5918</v>
      </c>
      <c r="B1544" s="12" t="s">
        <v>5919</v>
      </c>
      <c r="C1544" s="12" t="s">
        <v>6364</v>
      </c>
      <c r="D1544" s="12" t="s">
        <v>1635</v>
      </c>
      <c r="E1544" s="12"/>
      <c r="F1544" s="12"/>
      <c r="G1544" s="12"/>
      <c r="H1544" s="12"/>
      <c r="I1544" s="12" t="s">
        <v>5920</v>
      </c>
      <c r="J1544" s="12"/>
      <c r="K1544" s="12" t="s">
        <v>5921</v>
      </c>
      <c r="L1544" s="12" t="s">
        <v>205</v>
      </c>
      <c r="M1544" s="12" t="str">
        <f>HYPERLINK("https://ceds.ed.gov/cedselementdetails.aspx?termid=9813")</f>
        <v>https://ceds.ed.gov/cedselementdetails.aspx?termid=9813</v>
      </c>
      <c r="N1544" s="12" t="str">
        <f>HYPERLINK("https://ceds.ed.gov/elementComment.aspx?elementName=State Approved Trainer Status &amp;elementID=9813", "Click here to submit comment")</f>
        <v>Click here to submit comment</v>
      </c>
    </row>
    <row r="1545" spans="1:14" ht="120" x14ac:dyDescent="0.25">
      <c r="A1545" s="12" t="s">
        <v>5922</v>
      </c>
      <c r="B1545" s="12" t="s">
        <v>5923</v>
      </c>
      <c r="C1545" s="12" t="s">
        <v>12</v>
      </c>
      <c r="D1545" s="12" t="s">
        <v>1563</v>
      </c>
      <c r="E1545" s="12"/>
      <c r="F1545" s="12" t="s">
        <v>789</v>
      </c>
      <c r="G1545" s="12"/>
      <c r="H1545" s="12"/>
      <c r="I1545" s="12" t="s">
        <v>5924</v>
      </c>
      <c r="J1545" s="12"/>
      <c r="K1545" s="12" t="s">
        <v>5925</v>
      </c>
      <c r="L1545" s="12" t="s">
        <v>211</v>
      </c>
      <c r="M1545" s="12" t="str">
        <f>HYPERLINK("https://ceds.ed.gov/cedselementdetails.aspx?termid=9444")</f>
        <v>https://ceds.ed.gov/cedselementdetails.aspx?termid=9444</v>
      </c>
      <c r="N1545" s="12" t="str">
        <f>HYPERLINK("https://ceds.ed.gov/elementComment.aspx?elementName=State Assessment Administration Funding &amp;elementID=9444", "Click here to submit comment")</f>
        <v>Click here to submit comment</v>
      </c>
    </row>
    <row r="1546" spans="1:14" ht="60" x14ac:dyDescent="0.25">
      <c r="A1546" s="12" t="s">
        <v>5926</v>
      </c>
      <c r="B1546" s="12" t="s">
        <v>5927</v>
      </c>
      <c r="C1546" s="12" t="s">
        <v>12</v>
      </c>
      <c r="D1546" s="12" t="s">
        <v>1563</v>
      </c>
      <c r="E1546" s="12"/>
      <c r="F1546" s="12" t="s">
        <v>789</v>
      </c>
      <c r="G1546" s="12"/>
      <c r="H1546" s="12"/>
      <c r="I1546" s="12" t="s">
        <v>5928</v>
      </c>
      <c r="J1546" s="12"/>
      <c r="K1546" s="12" t="s">
        <v>5929</v>
      </c>
      <c r="L1546" s="12" t="s">
        <v>6682</v>
      </c>
      <c r="M1546" s="12" t="str">
        <f>HYPERLINK("https://ceds.ed.gov/cedselementdetails.aspx?termid=9443")</f>
        <v>https://ceds.ed.gov/cedselementdetails.aspx?termid=9443</v>
      </c>
      <c r="N1546" s="12" t="str">
        <f>HYPERLINK("https://ceds.ed.gov/elementComment.aspx?elementName=State Assessment Standards Funding &amp;elementID=9443", "Click here to submit comment")</f>
        <v>Click here to submit comment</v>
      </c>
    </row>
    <row r="1547" spans="1:14" ht="409.5" x14ac:dyDescent="0.25">
      <c r="A1547" s="12" t="s">
        <v>5930</v>
      </c>
      <c r="B1547" s="12" t="s">
        <v>5931</v>
      </c>
      <c r="C1547" s="13" t="s">
        <v>7089</v>
      </c>
      <c r="D1547" s="12" t="s">
        <v>6487</v>
      </c>
      <c r="E1547" s="12"/>
      <c r="F1547" s="12"/>
      <c r="G1547" s="12"/>
      <c r="H1547" s="12"/>
      <c r="I1547" s="12" t="s">
        <v>5932</v>
      </c>
      <c r="J1547" s="12"/>
      <c r="K1547" s="12" t="s">
        <v>5933</v>
      </c>
      <c r="L1547" s="12" t="s">
        <v>205</v>
      </c>
      <c r="M1547" s="12" t="str">
        <f>HYPERLINK("https://ceds.ed.gov/cedselementdetails.aspx?termid=9804")</f>
        <v>https://ceds.ed.gov/cedselementdetails.aspx?termid=9804</v>
      </c>
      <c r="N1547" s="12" t="str">
        <f>HYPERLINK("https://ceds.ed.gov/elementComment.aspx?elementName=State Issuing Professional Credential or License &amp;elementID=9804", "Click here to submit comment")</f>
        <v>Click here to submit comment</v>
      </c>
    </row>
    <row r="1548" spans="1:14" ht="45" x14ac:dyDescent="0.25">
      <c r="A1548" s="12" t="s">
        <v>5934</v>
      </c>
      <c r="B1548" s="12" t="s">
        <v>5935</v>
      </c>
      <c r="C1548" s="12" t="s">
        <v>12</v>
      </c>
      <c r="D1548" s="12" t="s">
        <v>1899</v>
      </c>
      <c r="E1548" s="12"/>
      <c r="F1548" s="12" t="s">
        <v>317</v>
      </c>
      <c r="G1548" s="12"/>
      <c r="H1548" s="12"/>
      <c r="I1548" s="12" t="s">
        <v>5936</v>
      </c>
      <c r="J1548" s="12"/>
      <c r="K1548" s="12" t="s">
        <v>5937</v>
      </c>
      <c r="L1548" s="12" t="s">
        <v>64</v>
      </c>
      <c r="M1548" s="12" t="str">
        <f>HYPERLINK("https://ceds.ed.gov/cedselementdetails.aspx?termid=9865")</f>
        <v>https://ceds.ed.gov/cedselementdetails.aspx?termid=9865</v>
      </c>
      <c r="N1548" s="12" t="str">
        <f>HYPERLINK("https://ceds.ed.gov/elementComment.aspx?elementName=State Licensed Facility Capacity &amp;elementID=9865", "Click here to submit comment")</f>
        <v>Click here to submit comment</v>
      </c>
    </row>
    <row r="1549" spans="1:14" ht="409.5" x14ac:dyDescent="0.25">
      <c r="A1549" s="12" t="s">
        <v>5938</v>
      </c>
      <c r="B1549" s="12" t="s">
        <v>5939</v>
      </c>
      <c r="C1549" s="13" t="s">
        <v>7089</v>
      </c>
      <c r="D1549" s="12" t="s">
        <v>1801</v>
      </c>
      <c r="E1549" s="12"/>
      <c r="F1549" s="12"/>
      <c r="G1549" s="12"/>
      <c r="H1549" s="12"/>
      <c r="I1549" s="12" t="s">
        <v>5940</v>
      </c>
      <c r="J1549" s="12"/>
      <c r="K1549" s="12" t="s">
        <v>5941</v>
      </c>
      <c r="L1549" s="12" t="s">
        <v>1578</v>
      </c>
      <c r="M1549" s="12" t="str">
        <f>HYPERLINK("https://ceds.ed.gov/cedselementdetails.aspx?termid=9417")</f>
        <v>https://ceds.ed.gov/cedselementdetails.aspx?termid=9417</v>
      </c>
      <c r="N1549" s="12" t="str">
        <f>HYPERLINK("https://ceds.ed.gov/elementComment.aspx?elementName=State of Birth Abbreviation &amp;elementID=9417", "Click here to submit comment")</f>
        <v>Click here to submit comment</v>
      </c>
    </row>
    <row r="1550" spans="1:14" ht="409.5" x14ac:dyDescent="0.25">
      <c r="A1550" s="12" t="s">
        <v>5942</v>
      </c>
      <c r="B1550" s="12" t="s">
        <v>5943</v>
      </c>
      <c r="C1550" s="13" t="s">
        <v>7089</v>
      </c>
      <c r="D1550" s="12" t="s">
        <v>5944</v>
      </c>
      <c r="E1550" s="12"/>
      <c r="F1550" s="12"/>
      <c r="G1550" s="12"/>
      <c r="H1550" s="12"/>
      <c r="I1550" s="12" t="s">
        <v>5945</v>
      </c>
      <c r="J1550" s="12"/>
      <c r="K1550" s="12" t="s">
        <v>5946</v>
      </c>
      <c r="L1550" s="12" t="s">
        <v>6380</v>
      </c>
      <c r="M1550" s="12" t="str">
        <f>HYPERLINK("https://ceds.ed.gov/cedselementdetails.aspx?termid=9268")</f>
        <v>https://ceds.ed.gov/cedselementdetails.aspx?termid=9268</v>
      </c>
      <c r="N1550" s="12" t="str">
        <f>HYPERLINK("https://ceds.ed.gov/elementComment.aspx?elementName=State of Residence &amp;elementID=9268", "Click here to submit comment")</f>
        <v>Click here to submit comment</v>
      </c>
    </row>
    <row r="1551" spans="1:14" ht="105" x14ac:dyDescent="0.25">
      <c r="A1551" s="12" t="s">
        <v>5947</v>
      </c>
      <c r="B1551" s="12" t="s">
        <v>5948</v>
      </c>
      <c r="C1551" s="13" t="s">
        <v>7123</v>
      </c>
      <c r="D1551" s="12" t="s">
        <v>67</v>
      </c>
      <c r="E1551" s="12"/>
      <c r="F1551" s="12"/>
      <c r="G1551" s="12"/>
      <c r="H1551" s="12"/>
      <c r="I1551" s="12" t="s">
        <v>5949</v>
      </c>
      <c r="J1551" s="12"/>
      <c r="K1551" s="12" t="s">
        <v>5950</v>
      </c>
      <c r="L1551" s="12" t="s">
        <v>222</v>
      </c>
      <c r="M1551" s="12" t="str">
        <f>HYPERLINK("https://ceds.ed.gov/cedselementdetails.aspx?termid=9578")</f>
        <v>https://ceds.ed.gov/cedselementdetails.aspx?termid=9578</v>
      </c>
      <c r="N1551" s="12" t="str">
        <f>HYPERLINK("https://ceds.ed.gov/elementComment.aspx?elementName=State Poverty Designation &amp;elementID=9578", "Click here to submit comment")</f>
        <v>Click here to submit comment</v>
      </c>
    </row>
    <row r="1552" spans="1:14" ht="45" x14ac:dyDescent="0.25">
      <c r="A1552" s="12" t="s">
        <v>5951</v>
      </c>
      <c r="B1552" s="12" t="s">
        <v>5952</v>
      </c>
      <c r="C1552" s="12" t="s">
        <v>6364</v>
      </c>
      <c r="D1552" s="12" t="s">
        <v>2237</v>
      </c>
      <c r="E1552" s="12"/>
      <c r="F1552" s="12"/>
      <c r="G1552" s="12"/>
      <c r="H1552" s="12"/>
      <c r="I1552" s="12" t="s">
        <v>5953</v>
      </c>
      <c r="J1552" s="12"/>
      <c r="K1552" s="12" t="s">
        <v>5954</v>
      </c>
      <c r="L1552" s="12" t="s">
        <v>211</v>
      </c>
      <c r="M1552" s="12" t="str">
        <f>HYPERLINK("https://ceds.ed.gov/cedselementdetails.aspx?termid=9435")</f>
        <v>https://ceds.ed.gov/cedselementdetails.aspx?termid=9435</v>
      </c>
      <c r="N1552" s="12" t="str">
        <f>HYPERLINK("https://ceds.ed.gov/elementComment.aspx?elementName=State Transferability of Funds &amp;elementID=9435", "Click here to submit comment")</f>
        <v>Click here to submit comment</v>
      </c>
    </row>
    <row r="1553" spans="1:14" ht="90" x14ac:dyDescent="0.25">
      <c r="A1553" s="12" t="s">
        <v>5955</v>
      </c>
      <c r="B1553" s="12" t="s">
        <v>5956</v>
      </c>
      <c r="C1553" s="12" t="s">
        <v>12</v>
      </c>
      <c r="D1553" s="12" t="s">
        <v>6683</v>
      </c>
      <c r="E1553" s="12"/>
      <c r="F1553" s="12" t="s">
        <v>73</v>
      </c>
      <c r="G1553" s="12"/>
      <c r="H1553" s="12"/>
      <c r="I1553" s="12" t="s">
        <v>5957</v>
      </c>
      <c r="J1553" s="12"/>
      <c r="K1553" s="12" t="s">
        <v>5958</v>
      </c>
      <c r="L1553" s="12"/>
      <c r="M1553" s="12" t="str">
        <f>HYPERLINK("https://ceds.ed.gov/cedselementdetails.aspx?termid=10193")</f>
        <v>https://ceds.ed.gov/cedselementdetails.aspx?termid=10193</v>
      </c>
      <c r="N1553" s="12" t="str">
        <f>HYPERLINK("https://ceds.ed.gov/elementComment.aspx?elementName=Status End Date &amp;elementID=10193", "Click here to submit comment")</f>
        <v>Click here to submit comment</v>
      </c>
    </row>
    <row r="1554" spans="1:14" ht="90" x14ac:dyDescent="0.25">
      <c r="A1554" s="12" t="s">
        <v>5959</v>
      </c>
      <c r="B1554" s="12" t="s">
        <v>5960</v>
      </c>
      <c r="C1554" s="12" t="s">
        <v>12</v>
      </c>
      <c r="D1554" s="12" t="s">
        <v>6683</v>
      </c>
      <c r="E1554" s="12"/>
      <c r="F1554" s="12" t="s">
        <v>73</v>
      </c>
      <c r="G1554" s="12"/>
      <c r="H1554" s="12"/>
      <c r="I1554" s="12" t="s">
        <v>5961</v>
      </c>
      <c r="J1554" s="12"/>
      <c r="K1554" s="12" t="s">
        <v>5962</v>
      </c>
      <c r="L1554" s="12"/>
      <c r="M1554" s="12" t="str">
        <f>HYPERLINK("https://ceds.ed.gov/cedselementdetails.aspx?termid=10192")</f>
        <v>https://ceds.ed.gov/cedselementdetails.aspx?termid=10192</v>
      </c>
      <c r="N1554" s="12" t="str">
        <f>HYPERLINK("https://ceds.ed.gov/elementComment.aspx?elementName=Status Start Date &amp;elementID=10192", "Click here to submit comment")</f>
        <v>Click here to submit comment</v>
      </c>
    </row>
    <row r="1555" spans="1:14" ht="120" x14ac:dyDescent="0.25">
      <c r="A1555" s="12" t="s">
        <v>5963</v>
      </c>
      <c r="B1555" s="12" t="s">
        <v>5964</v>
      </c>
      <c r="C1555" s="12" t="s">
        <v>12</v>
      </c>
      <c r="D1555" s="12" t="s">
        <v>7</v>
      </c>
      <c r="E1555" s="12"/>
      <c r="F1555" s="12" t="s">
        <v>5965</v>
      </c>
      <c r="G1555" s="12"/>
      <c r="H1555" s="12"/>
      <c r="I1555" s="12" t="s">
        <v>5966</v>
      </c>
      <c r="J1555" s="12"/>
      <c r="K1555" s="12" t="s">
        <v>5967</v>
      </c>
      <c r="L1555" s="12" t="s">
        <v>222</v>
      </c>
      <c r="M1555" s="12" t="str">
        <f>HYPERLINK("https://ceds.ed.gov/cedselementdetails.aspx?termid=9271")</f>
        <v>https://ceds.ed.gov/cedselementdetails.aspx?termid=9271</v>
      </c>
      <c r="N1555" s="12" t="str">
        <f>HYPERLINK("https://ceds.ed.gov/elementComment.aspx?elementName=Student Attendance Rate &amp;elementID=9271", "Click here to submit comment")</f>
        <v>Click here to submit comment</v>
      </c>
    </row>
    <row r="1556" spans="1:14" ht="405" x14ac:dyDescent="0.25">
      <c r="A1556" s="12" t="s">
        <v>5968</v>
      </c>
      <c r="B1556" s="12" t="s">
        <v>5969</v>
      </c>
      <c r="C1556" s="12" t="s">
        <v>12</v>
      </c>
      <c r="D1556" s="12" t="s">
        <v>6684</v>
      </c>
      <c r="E1556" s="12"/>
      <c r="F1556" s="12" t="s">
        <v>1950</v>
      </c>
      <c r="G1556" s="12"/>
      <c r="H1556" s="12"/>
      <c r="I1556" s="12" t="s">
        <v>5970</v>
      </c>
      <c r="J1556" s="12"/>
      <c r="K1556" s="12" t="s">
        <v>5971</v>
      </c>
      <c r="L1556" s="12" t="s">
        <v>6369</v>
      </c>
      <c r="M1556" s="12" t="str">
        <f>HYPERLINK("https://ceds.ed.gov/cedselementdetails.aspx?termid=9124")</f>
        <v>https://ceds.ed.gov/cedselementdetails.aspx?termid=9124</v>
      </c>
      <c r="N1556" s="12" t="str">
        <f>HYPERLINK("https://ceds.ed.gov/elementComment.aspx?elementName=Student Course Section Grade Earned &amp;elementID=9124", "Click here to submit comment")</f>
        <v>Click here to submit comment</v>
      </c>
    </row>
    <row r="1557" spans="1:14" ht="180" x14ac:dyDescent="0.25">
      <c r="A1557" s="12" t="s">
        <v>5972</v>
      </c>
      <c r="B1557" s="12" t="s">
        <v>5973</v>
      </c>
      <c r="C1557" s="12" t="s">
        <v>12</v>
      </c>
      <c r="D1557" s="12" t="s">
        <v>6685</v>
      </c>
      <c r="E1557" s="12"/>
      <c r="F1557" s="12" t="s">
        <v>68</v>
      </c>
      <c r="G1557" s="12"/>
      <c r="H1557" s="12"/>
      <c r="I1557" s="12" t="s">
        <v>5974</v>
      </c>
      <c r="J1557" s="12"/>
      <c r="K1557" s="12" t="s">
        <v>5975</v>
      </c>
      <c r="L1557" s="12"/>
      <c r="M1557" s="12" t="str">
        <f>HYPERLINK("https://ceds.ed.gov/cedselementdetails.aspx?termid=10552")</f>
        <v>https://ceds.ed.gov/cedselementdetails.aspx?termid=10552</v>
      </c>
      <c r="N1557" s="12" t="str">
        <f>HYPERLINK("https://ceds.ed.gov/elementComment.aspx?elementName=Student Course Section Grade Narrative &amp;elementID=10552", "Click here to submit comment")</f>
        <v>Click here to submit comment</v>
      </c>
    </row>
    <row r="1558" spans="1:14" ht="210" x14ac:dyDescent="0.25">
      <c r="A1558" s="12" t="s">
        <v>5976</v>
      </c>
      <c r="B1558" s="12" t="s">
        <v>5977</v>
      </c>
      <c r="C1558" s="12" t="s">
        <v>6364</v>
      </c>
      <c r="D1558" s="12" t="s">
        <v>6597</v>
      </c>
      <c r="E1558" s="12"/>
      <c r="F1558" s="12"/>
      <c r="G1558" s="12"/>
      <c r="H1558" s="12"/>
      <c r="I1558" s="12" t="s">
        <v>5978</v>
      </c>
      <c r="J1558" s="12"/>
      <c r="K1558" s="12" t="s">
        <v>5979</v>
      </c>
      <c r="L1558" s="12"/>
      <c r="M1558" s="12" t="str">
        <f>HYPERLINK("https://ceds.ed.gov/cedselementdetails.aspx?termid=10191")</f>
        <v>https://ceds.ed.gov/cedselementdetails.aspx?termid=10191</v>
      </c>
      <c r="N1558" s="12" t="str">
        <f>HYPERLINK("https://ceds.ed.gov/elementComment.aspx?elementName=Student Course Section Mark Final Indicator &amp;elementID=10191", "Click here to submit comment")</f>
        <v>Click here to submit comment</v>
      </c>
    </row>
    <row r="1559" spans="1:14" ht="409.5" x14ac:dyDescent="0.25">
      <c r="A1559" s="12" t="s">
        <v>5980</v>
      </c>
      <c r="B1559" s="12" t="s">
        <v>5981</v>
      </c>
      <c r="C1559" s="13" t="s">
        <v>7124</v>
      </c>
      <c r="D1559" s="12" t="s">
        <v>6686</v>
      </c>
      <c r="E1559" s="12"/>
      <c r="F1559" s="12"/>
      <c r="G1559" s="12"/>
      <c r="H1559" s="12"/>
      <c r="I1559" s="12" t="s">
        <v>5982</v>
      </c>
      <c r="J1559" s="12"/>
      <c r="K1559" s="12" t="s">
        <v>5983</v>
      </c>
      <c r="L1559" s="12" t="s">
        <v>6687</v>
      </c>
      <c r="M1559" s="12" t="str">
        <f>HYPERLINK("https://ceds.ed.gov/cedselementdetails.aspx?termid=9163")</f>
        <v>https://ceds.ed.gov/cedselementdetails.aspx?termid=9163</v>
      </c>
      <c r="N1559" s="12" t="str">
        <f>HYPERLINK("https://ceds.ed.gov/elementComment.aspx?elementName=Student Identification System &amp;elementID=9163", "Click here to submit comment")</f>
        <v>Click here to submit comment</v>
      </c>
    </row>
    <row r="1560" spans="1:14" ht="150" customHeight="1" x14ac:dyDescent="0.25">
      <c r="A1560" s="18" t="s">
        <v>5984</v>
      </c>
      <c r="B1560" s="18" t="s">
        <v>5985</v>
      </c>
      <c r="C1560" s="18" t="s">
        <v>12</v>
      </c>
      <c r="D1560" s="18" t="s">
        <v>6686</v>
      </c>
      <c r="E1560" s="18"/>
      <c r="F1560" s="18" t="s">
        <v>142</v>
      </c>
      <c r="G1560" s="18"/>
      <c r="H1560" s="12" t="s">
        <v>143</v>
      </c>
      <c r="I1560" s="18" t="s">
        <v>5986</v>
      </c>
      <c r="J1560" s="18"/>
      <c r="K1560" s="18" t="s">
        <v>5987</v>
      </c>
      <c r="L1560" s="18" t="s">
        <v>6687</v>
      </c>
      <c r="M1560" s="18" t="str">
        <f>HYPERLINK("https://ceds.ed.gov/cedselementdetails.aspx?termid=9157")</f>
        <v>https://ceds.ed.gov/cedselementdetails.aspx?termid=9157</v>
      </c>
      <c r="N1560" s="18" t="str">
        <f>HYPERLINK("https://ceds.ed.gov/elementComment.aspx?elementName=Student Identifier &amp;elementID=9157", "Click here to submit comment")</f>
        <v>Click here to submit comment</v>
      </c>
    </row>
    <row r="1561" spans="1:14" x14ac:dyDescent="0.25">
      <c r="A1561" s="18"/>
      <c r="B1561" s="18"/>
      <c r="C1561" s="18"/>
      <c r="D1561" s="18"/>
      <c r="E1561" s="18"/>
      <c r="F1561" s="18"/>
      <c r="G1561" s="18"/>
      <c r="H1561" s="12"/>
      <c r="I1561" s="18"/>
      <c r="J1561" s="18"/>
      <c r="K1561" s="18"/>
      <c r="L1561" s="18"/>
      <c r="M1561" s="18"/>
      <c r="N1561" s="18"/>
    </row>
    <row r="1562" spans="1:14" ht="90" x14ac:dyDescent="0.25">
      <c r="A1562" s="18"/>
      <c r="B1562" s="18"/>
      <c r="C1562" s="18"/>
      <c r="D1562" s="18"/>
      <c r="E1562" s="18"/>
      <c r="F1562" s="18"/>
      <c r="G1562" s="18"/>
      <c r="H1562" s="12" t="s">
        <v>144</v>
      </c>
      <c r="I1562" s="18"/>
      <c r="J1562" s="18"/>
      <c r="K1562" s="18"/>
      <c r="L1562" s="18"/>
      <c r="M1562" s="18"/>
      <c r="N1562" s="18"/>
    </row>
    <row r="1563" spans="1:14" ht="90" x14ac:dyDescent="0.25">
      <c r="A1563" s="12" t="s">
        <v>5988</v>
      </c>
      <c r="B1563" s="12" t="s">
        <v>5989</v>
      </c>
      <c r="C1563" s="13" t="s">
        <v>7125</v>
      </c>
      <c r="D1563" s="12" t="s">
        <v>1856</v>
      </c>
      <c r="E1563" s="12"/>
      <c r="F1563" s="12"/>
      <c r="G1563" s="12"/>
      <c r="H1563" s="12"/>
      <c r="I1563" s="12" t="s">
        <v>5990</v>
      </c>
      <c r="J1563" s="12"/>
      <c r="K1563" s="12" t="s">
        <v>5991</v>
      </c>
      <c r="L1563" s="12" t="s">
        <v>6380</v>
      </c>
      <c r="M1563" s="12" t="str">
        <f>HYPERLINK("https://ceds.ed.gov/cedselementdetails.aspx?termid=9272")</f>
        <v>https://ceds.ed.gov/cedselementdetails.aspx?termid=9272</v>
      </c>
      <c r="N1563" s="12" t="str">
        <f>HYPERLINK("https://ceds.ed.gov/elementComment.aspx?elementName=Student Level &amp;elementID=9272", "Click here to submit comment")</f>
        <v>Click here to submit comment</v>
      </c>
    </row>
    <row r="1564" spans="1:14" ht="409.5" x14ac:dyDescent="0.25">
      <c r="A1564" s="12" t="s">
        <v>5992</v>
      </c>
      <c r="B1564" s="12" t="s">
        <v>5993</v>
      </c>
      <c r="C1564" s="13" t="s">
        <v>7126</v>
      </c>
      <c r="D1564" s="12" t="s">
        <v>6688</v>
      </c>
      <c r="E1564" s="12"/>
      <c r="F1564" s="12"/>
      <c r="G1564" s="12"/>
      <c r="H1564" s="12"/>
      <c r="I1564" s="12" t="s">
        <v>5994</v>
      </c>
      <c r="J1564" s="12"/>
      <c r="K1564" s="12" t="s">
        <v>5995</v>
      </c>
      <c r="L1564" s="12"/>
      <c r="M1564" s="12" t="str">
        <f>HYPERLINK("https://ceds.ed.gov/cedselementdetails.aspx?termid=9273")</f>
        <v>https://ceds.ed.gov/cedselementdetails.aspx?termid=9273</v>
      </c>
      <c r="N1564" s="12" t="str">
        <f>HYPERLINK("https://ceds.ed.gov/elementComment.aspx?elementName=Student Support Service Type &amp;elementID=9273", "Click here to submit comment")</f>
        <v>Click here to submit comment</v>
      </c>
    </row>
    <row r="1565" spans="1:14" ht="75" x14ac:dyDescent="0.25">
      <c r="A1565" s="12" t="s">
        <v>5996</v>
      </c>
      <c r="B1565" s="12" t="s">
        <v>5997</v>
      </c>
      <c r="C1565" s="13" t="s">
        <v>6747</v>
      </c>
      <c r="D1565" s="12" t="s">
        <v>351</v>
      </c>
      <c r="E1565" s="12"/>
      <c r="F1565" s="12"/>
      <c r="G1565" s="12"/>
      <c r="H1565" s="12"/>
      <c r="I1565" s="12" t="s">
        <v>5998</v>
      </c>
      <c r="J1565" s="12"/>
      <c r="K1565" s="12" t="s">
        <v>5999</v>
      </c>
      <c r="L1565" s="12" t="s">
        <v>354</v>
      </c>
      <c r="M1565" s="12" t="str">
        <f>HYPERLINK("https://ceds.ed.gov/cedselementdetails.aspx?termid=9754")</f>
        <v>https://ceds.ed.gov/cedselementdetails.aspx?termid=9754</v>
      </c>
      <c r="N1565" s="12" t="str">
        <f>HYPERLINK("https://ceds.ed.gov/elementComment.aspx?elementName=Supervised Clinical Experience &amp;elementID=9754", "Click here to submit comment")</f>
        <v>Click here to submit comment</v>
      </c>
    </row>
    <row r="1566" spans="1:14" ht="60" x14ac:dyDescent="0.25">
      <c r="A1566" s="12" t="s">
        <v>6000</v>
      </c>
      <c r="B1566" s="12" t="s">
        <v>6001</v>
      </c>
      <c r="C1566" s="12" t="s">
        <v>12</v>
      </c>
      <c r="D1566" s="12" t="s">
        <v>351</v>
      </c>
      <c r="E1566" s="12"/>
      <c r="F1566" s="12" t="s">
        <v>317</v>
      </c>
      <c r="G1566" s="12"/>
      <c r="H1566" s="12"/>
      <c r="I1566" s="12" t="s">
        <v>6002</v>
      </c>
      <c r="J1566" s="12"/>
      <c r="K1566" s="12" t="s">
        <v>6003</v>
      </c>
      <c r="L1566" s="12" t="s">
        <v>354</v>
      </c>
      <c r="M1566" s="12" t="str">
        <f>HYPERLINK("https://ceds.ed.gov/cedselementdetails.aspx?termid=9755")</f>
        <v>https://ceds.ed.gov/cedselementdetails.aspx?termid=9755</v>
      </c>
      <c r="N1566" s="12" t="str">
        <f>HYPERLINK("https://ceds.ed.gov/elementComment.aspx?elementName=Supervised Clinical Experience Clock Hours &amp;elementID=9755", "Click here to submit comment")</f>
        <v>Click here to submit comment</v>
      </c>
    </row>
    <row r="1567" spans="1:14" ht="60" x14ac:dyDescent="0.25">
      <c r="A1567" s="12" t="s">
        <v>6004</v>
      </c>
      <c r="B1567" s="12" t="s">
        <v>6005</v>
      </c>
      <c r="C1567" s="12" t="s">
        <v>12</v>
      </c>
      <c r="D1567" s="12" t="s">
        <v>6541</v>
      </c>
      <c r="E1567" s="12"/>
      <c r="F1567" s="12" t="s">
        <v>1554</v>
      </c>
      <c r="G1567" s="12"/>
      <c r="H1567" s="12"/>
      <c r="I1567" s="12" t="s">
        <v>6006</v>
      </c>
      <c r="J1567" s="12" t="s">
        <v>6007</v>
      </c>
      <c r="K1567" s="12" t="s">
        <v>6008</v>
      </c>
      <c r="L1567" s="12" t="s">
        <v>222</v>
      </c>
      <c r="M1567" s="12" t="str">
        <f>HYPERLINK("https://ceds.ed.gov/cedselementdetails.aspx?termid=9566")</f>
        <v>https://ceds.ed.gov/cedselementdetails.aspx?termid=9566</v>
      </c>
      <c r="N1567" s="12" t="str">
        <f>HYPERLINK("https://ceds.ed.gov/elementComment.aspx?elementName=Supplemental Education Services Public School Choice Twenty Percent Obligation &amp;elementID=9566", "Click here to submit comment")</f>
        <v>Click here to submit comment</v>
      </c>
    </row>
    <row r="1568" spans="1:14" ht="75" x14ac:dyDescent="0.25">
      <c r="A1568" s="12" t="s">
        <v>6009</v>
      </c>
      <c r="B1568" s="12" t="s">
        <v>6010</v>
      </c>
      <c r="C1568" s="12" t="s">
        <v>12</v>
      </c>
      <c r="D1568" s="12" t="s">
        <v>6541</v>
      </c>
      <c r="E1568" s="12"/>
      <c r="F1568" s="12" t="s">
        <v>1554</v>
      </c>
      <c r="G1568" s="12"/>
      <c r="H1568" s="12"/>
      <c r="I1568" s="12" t="s">
        <v>6011</v>
      </c>
      <c r="J1568" s="12" t="s">
        <v>6012</v>
      </c>
      <c r="K1568" s="12" t="s">
        <v>6013</v>
      </c>
      <c r="L1568" s="12" t="s">
        <v>222</v>
      </c>
      <c r="M1568" s="12" t="str">
        <f>HYPERLINK("https://ceds.ed.gov/cedselementdetails.aspx?termid=9559")</f>
        <v>https://ceds.ed.gov/cedselementdetails.aspx?termid=9559</v>
      </c>
      <c r="N1568" s="12" t="str">
        <f>HYPERLINK("https://ceds.ed.gov/elementComment.aspx?elementName=Supplemental Educational Services Funds Spent &amp;elementID=9559", "Click here to submit comment")</f>
        <v>Click here to submit comment</v>
      </c>
    </row>
    <row r="1569" spans="1:14" ht="60" x14ac:dyDescent="0.25">
      <c r="A1569" s="12" t="s">
        <v>6014</v>
      </c>
      <c r="B1569" s="12" t="s">
        <v>6015</v>
      </c>
      <c r="C1569" s="12" t="s">
        <v>12</v>
      </c>
      <c r="D1569" s="12" t="s">
        <v>6541</v>
      </c>
      <c r="E1569" s="12"/>
      <c r="F1569" s="12" t="s">
        <v>1554</v>
      </c>
      <c r="G1569" s="12"/>
      <c r="H1569" s="12"/>
      <c r="I1569" s="12" t="s">
        <v>6016</v>
      </c>
      <c r="J1569" s="12" t="s">
        <v>6017</v>
      </c>
      <c r="K1569" s="12" t="s">
        <v>6018</v>
      </c>
      <c r="L1569" s="12" t="s">
        <v>222</v>
      </c>
      <c r="M1569" s="12" t="str">
        <f>HYPERLINK("https://ceds.ed.gov/cedselementdetails.aspx?termid=9567")</f>
        <v>https://ceds.ed.gov/cedselementdetails.aspx?termid=9567</v>
      </c>
      <c r="N1569" s="12" t="str">
        <f>HYPERLINK("https://ceds.ed.gov/elementComment.aspx?elementName=Supplemental Educational Services Per Pupil Expenditure &amp;elementID=9567", "Click here to submit comment")</f>
        <v>Click here to submit comment</v>
      </c>
    </row>
    <row r="1570" spans="1:14" x14ac:dyDescent="0.25">
      <c r="A1570" s="18" t="s">
        <v>6019</v>
      </c>
      <c r="B1570" s="18" t="s">
        <v>6020</v>
      </c>
      <c r="C1570" s="18" t="s">
        <v>12</v>
      </c>
      <c r="D1570" s="18" t="s">
        <v>351</v>
      </c>
      <c r="E1570" s="18"/>
      <c r="F1570" s="18" t="s">
        <v>92</v>
      </c>
      <c r="G1570" s="18"/>
      <c r="H1570" s="12" t="s">
        <v>6021</v>
      </c>
      <c r="I1570" s="18" t="s">
        <v>6028</v>
      </c>
      <c r="J1570" s="18"/>
      <c r="K1570" s="18" t="s">
        <v>6029</v>
      </c>
      <c r="L1570" s="18" t="s">
        <v>354</v>
      </c>
      <c r="M1570" s="18" t="str">
        <f>HYPERLINK("https://ceds.ed.gov/cedselementdetails.aspx?termid=9757")</f>
        <v>https://ceds.ed.gov/cedselementdetails.aspx?termid=9757</v>
      </c>
      <c r="N1570" s="18" t="str">
        <f>HYPERLINK("https://ceds.ed.gov/elementComment.aspx?elementName=Teacher Education Credential Exam Score Type &amp;elementID=9757", "Click here to submit comment")</f>
        <v>Click here to submit comment</v>
      </c>
    </row>
    <row r="1571" spans="1:14" x14ac:dyDescent="0.25">
      <c r="A1571" s="18"/>
      <c r="B1571" s="18"/>
      <c r="C1571" s="18"/>
      <c r="D1571" s="18"/>
      <c r="E1571" s="18"/>
      <c r="F1571" s="18"/>
      <c r="G1571" s="18"/>
      <c r="H1571" s="12" t="s">
        <v>6022</v>
      </c>
      <c r="I1571" s="18"/>
      <c r="J1571" s="18"/>
      <c r="K1571" s="18"/>
      <c r="L1571" s="18"/>
      <c r="M1571" s="18"/>
      <c r="N1571" s="18"/>
    </row>
    <row r="1572" spans="1:14" x14ac:dyDescent="0.25">
      <c r="A1572" s="18"/>
      <c r="B1572" s="18"/>
      <c r="C1572" s="18"/>
      <c r="D1572" s="18"/>
      <c r="E1572" s="18"/>
      <c r="F1572" s="18"/>
      <c r="G1572" s="18"/>
      <c r="H1572" s="12" t="s">
        <v>6023</v>
      </c>
      <c r="I1572" s="18"/>
      <c r="J1572" s="18"/>
      <c r="K1572" s="18"/>
      <c r="L1572" s="18"/>
      <c r="M1572" s="18"/>
      <c r="N1572" s="18"/>
    </row>
    <row r="1573" spans="1:14" x14ac:dyDescent="0.25">
      <c r="A1573" s="18"/>
      <c r="B1573" s="18"/>
      <c r="C1573" s="18"/>
      <c r="D1573" s="18"/>
      <c r="E1573" s="18"/>
      <c r="F1573" s="18"/>
      <c r="G1573" s="18"/>
      <c r="H1573" s="12" t="s">
        <v>6024</v>
      </c>
      <c r="I1573" s="18"/>
      <c r="J1573" s="18"/>
      <c r="K1573" s="18"/>
      <c r="L1573" s="18"/>
      <c r="M1573" s="18"/>
      <c r="N1573" s="18"/>
    </row>
    <row r="1574" spans="1:14" x14ac:dyDescent="0.25">
      <c r="A1574" s="18"/>
      <c r="B1574" s="18"/>
      <c r="C1574" s="18"/>
      <c r="D1574" s="18"/>
      <c r="E1574" s="18"/>
      <c r="F1574" s="18"/>
      <c r="G1574" s="18"/>
      <c r="H1574" s="12"/>
      <c r="I1574" s="18"/>
      <c r="J1574" s="18"/>
      <c r="K1574" s="18"/>
      <c r="L1574" s="18"/>
      <c r="M1574" s="18"/>
      <c r="N1574" s="18"/>
    </row>
    <row r="1575" spans="1:14" x14ac:dyDescent="0.25">
      <c r="A1575" s="18"/>
      <c r="B1575" s="18"/>
      <c r="C1575" s="18"/>
      <c r="D1575" s="18"/>
      <c r="E1575" s="18"/>
      <c r="F1575" s="18"/>
      <c r="G1575" s="18"/>
      <c r="H1575" s="12" t="s">
        <v>6025</v>
      </c>
      <c r="I1575" s="18"/>
      <c r="J1575" s="18"/>
      <c r="K1575" s="18"/>
      <c r="L1575" s="18"/>
      <c r="M1575" s="18"/>
      <c r="N1575" s="18"/>
    </row>
    <row r="1576" spans="1:14" ht="45" x14ac:dyDescent="0.25">
      <c r="A1576" s="18"/>
      <c r="B1576" s="18"/>
      <c r="C1576" s="18"/>
      <c r="D1576" s="18"/>
      <c r="E1576" s="18"/>
      <c r="F1576" s="18"/>
      <c r="G1576" s="18"/>
      <c r="H1576" s="12" t="s">
        <v>6026</v>
      </c>
      <c r="I1576" s="18"/>
      <c r="J1576" s="18"/>
      <c r="K1576" s="18"/>
      <c r="L1576" s="18"/>
      <c r="M1576" s="18"/>
      <c r="N1576" s="18"/>
    </row>
    <row r="1577" spans="1:14" x14ac:dyDescent="0.25">
      <c r="A1577" s="18"/>
      <c r="B1577" s="18"/>
      <c r="C1577" s="18"/>
      <c r="D1577" s="18"/>
      <c r="E1577" s="18"/>
      <c r="F1577" s="18"/>
      <c r="G1577" s="18"/>
      <c r="H1577" s="12"/>
      <c r="I1577" s="18"/>
      <c r="J1577" s="18"/>
      <c r="K1577" s="18"/>
      <c r="L1577" s="18"/>
      <c r="M1577" s="18"/>
      <c r="N1577" s="18"/>
    </row>
    <row r="1578" spans="1:14" ht="30" x14ac:dyDescent="0.25">
      <c r="A1578" s="18"/>
      <c r="B1578" s="18"/>
      <c r="C1578" s="18"/>
      <c r="D1578" s="18"/>
      <c r="E1578" s="18"/>
      <c r="F1578" s="18"/>
      <c r="G1578" s="18"/>
      <c r="H1578" s="12" t="s">
        <v>6027</v>
      </c>
      <c r="I1578" s="18"/>
      <c r="J1578" s="18"/>
      <c r="K1578" s="18"/>
      <c r="L1578" s="18"/>
      <c r="M1578" s="18"/>
      <c r="N1578" s="18"/>
    </row>
    <row r="1579" spans="1:14" ht="90" x14ac:dyDescent="0.25">
      <c r="A1579" s="12" t="s">
        <v>6030</v>
      </c>
      <c r="B1579" s="12" t="s">
        <v>6031</v>
      </c>
      <c r="C1579" s="13" t="s">
        <v>7127</v>
      </c>
      <c r="D1579" s="12" t="s">
        <v>351</v>
      </c>
      <c r="E1579" s="12"/>
      <c r="F1579" s="12"/>
      <c r="G1579" s="12"/>
      <c r="H1579" s="12"/>
      <c r="I1579" s="12" t="s">
        <v>6032</v>
      </c>
      <c r="J1579" s="12"/>
      <c r="K1579" s="12" t="s">
        <v>6033</v>
      </c>
      <c r="L1579" s="12" t="s">
        <v>354</v>
      </c>
      <c r="M1579" s="12" t="str">
        <f>HYPERLINK("https://ceds.ed.gov/cedselementdetails.aspx?termid=9756")</f>
        <v>https://ceds.ed.gov/cedselementdetails.aspx?termid=9756</v>
      </c>
      <c r="N1579" s="12" t="str">
        <f>HYPERLINK("https://ceds.ed.gov/elementComment.aspx?elementName=Teacher Education Credential Exam Type &amp;elementID=9756", "Click here to submit comment")</f>
        <v>Click here to submit comment</v>
      </c>
    </row>
    <row r="1580" spans="1:14" ht="165" x14ac:dyDescent="0.25">
      <c r="A1580" s="12" t="s">
        <v>6034</v>
      </c>
      <c r="B1580" s="12" t="s">
        <v>6035</v>
      </c>
      <c r="C1580" s="13" t="s">
        <v>7128</v>
      </c>
      <c r="D1580" s="12" t="s">
        <v>351</v>
      </c>
      <c r="E1580" s="12"/>
      <c r="F1580" s="12"/>
      <c r="G1580" s="12"/>
      <c r="H1580" s="12"/>
      <c r="I1580" s="12" t="s">
        <v>6036</v>
      </c>
      <c r="J1580" s="12"/>
      <c r="K1580" s="12" t="s">
        <v>6037</v>
      </c>
      <c r="L1580" s="12" t="s">
        <v>354</v>
      </c>
      <c r="M1580" s="12" t="str">
        <f>HYPERLINK("https://ceds.ed.gov/cedselementdetails.aspx?termid=9748")</f>
        <v>https://ceds.ed.gov/cedselementdetails.aspx?termid=9748</v>
      </c>
      <c r="N1580" s="12" t="str">
        <f>HYPERLINK("https://ceds.ed.gov/elementComment.aspx?elementName=Teacher Education Test Company &amp;elementID=9748", "Click here to submit comment")</f>
        <v>Click here to submit comment</v>
      </c>
    </row>
    <row r="1581" spans="1:14" ht="105" x14ac:dyDescent="0.25">
      <c r="A1581" s="12" t="s">
        <v>6038</v>
      </c>
      <c r="B1581" s="12" t="s">
        <v>6039</v>
      </c>
      <c r="C1581" s="12" t="s">
        <v>6364</v>
      </c>
      <c r="D1581" s="12" t="s">
        <v>6689</v>
      </c>
      <c r="E1581" s="12"/>
      <c r="F1581" s="12"/>
      <c r="G1581" s="12"/>
      <c r="H1581" s="12" t="s">
        <v>6040</v>
      </c>
      <c r="I1581" s="12" t="s">
        <v>6041</v>
      </c>
      <c r="J1581" s="12"/>
      <c r="K1581" s="12" t="s">
        <v>6042</v>
      </c>
      <c r="L1581" s="12" t="s">
        <v>6043</v>
      </c>
      <c r="M1581" s="12" t="str">
        <f>HYPERLINK("https://ceds.ed.gov/cedselementdetails.aspx?termid=9649")</f>
        <v>https://ceds.ed.gov/cedselementdetails.aspx?termid=9649</v>
      </c>
      <c r="N1581" s="12" t="str">
        <f>HYPERLINK("https://ceds.ed.gov/elementComment.aspx?elementName=Teacher of Record &amp;elementID=9649", "Click here to submit comment")</f>
        <v>Click here to submit comment</v>
      </c>
    </row>
    <row r="1582" spans="1:14" ht="120" x14ac:dyDescent="0.25">
      <c r="A1582" s="12" t="s">
        <v>6044</v>
      </c>
      <c r="B1582" s="12" t="s">
        <v>6045</v>
      </c>
      <c r="C1582" s="13" t="s">
        <v>6747</v>
      </c>
      <c r="D1582" s="12" t="s">
        <v>351</v>
      </c>
      <c r="E1582" s="12"/>
      <c r="F1582" s="12"/>
      <c r="G1582" s="12"/>
      <c r="H1582" s="12"/>
      <c r="I1582" s="12" t="s">
        <v>6046</v>
      </c>
      <c r="J1582" s="12"/>
      <c r="K1582" s="12" t="s">
        <v>6047</v>
      </c>
      <c r="L1582" s="12" t="s">
        <v>354</v>
      </c>
      <c r="M1582" s="12" t="str">
        <f>HYPERLINK("https://ceds.ed.gov/cedselementdetails.aspx?termid=9750")</f>
        <v>https://ceds.ed.gov/cedselementdetails.aspx?termid=9750</v>
      </c>
      <c r="N1582" s="12" t="str">
        <f>HYPERLINK("https://ceds.ed.gov/elementComment.aspx?elementName=Teacher Preparation Program Completer Status &amp;elementID=9750", "Click here to submit comment")</f>
        <v>Click here to submit comment</v>
      </c>
    </row>
    <row r="1583" spans="1:14" ht="60" x14ac:dyDescent="0.25">
      <c r="A1583" s="12" t="s">
        <v>6048</v>
      </c>
      <c r="B1583" s="12" t="s">
        <v>6049</v>
      </c>
      <c r="C1583" s="13" t="s">
        <v>7129</v>
      </c>
      <c r="D1583" s="12" t="s">
        <v>351</v>
      </c>
      <c r="E1583" s="12"/>
      <c r="F1583" s="12"/>
      <c r="G1583" s="12"/>
      <c r="H1583" s="12"/>
      <c r="I1583" s="12" t="s">
        <v>6050</v>
      </c>
      <c r="J1583" s="12"/>
      <c r="K1583" s="12" t="s">
        <v>6051</v>
      </c>
      <c r="L1583" s="12" t="s">
        <v>354</v>
      </c>
      <c r="M1583" s="12" t="str">
        <f>HYPERLINK("https://ceds.ed.gov/cedselementdetails.aspx?termid=9749")</f>
        <v>https://ceds.ed.gov/cedselementdetails.aspx?termid=9749</v>
      </c>
      <c r="N1583" s="12" t="str">
        <f>HYPERLINK("https://ceds.ed.gov/elementComment.aspx?elementName=Teacher Preparation Program Enrollment Status &amp;elementID=9749", "Click here to submit comment")</f>
        <v>Click here to submit comment</v>
      </c>
    </row>
    <row r="1584" spans="1:14" ht="105" x14ac:dyDescent="0.25">
      <c r="A1584" s="12" t="s">
        <v>6052</v>
      </c>
      <c r="B1584" s="12" t="s">
        <v>6053</v>
      </c>
      <c r="C1584" s="12" t="s">
        <v>6364</v>
      </c>
      <c r="D1584" s="12" t="s">
        <v>6054</v>
      </c>
      <c r="E1584" s="12"/>
      <c r="F1584" s="12"/>
      <c r="G1584" s="12"/>
      <c r="H1584" s="12" t="s">
        <v>6055</v>
      </c>
      <c r="I1584" s="12" t="s">
        <v>6056</v>
      </c>
      <c r="J1584" s="12"/>
      <c r="K1584" s="12" t="s">
        <v>6057</v>
      </c>
      <c r="L1584" s="12"/>
      <c r="M1584" s="12" t="str">
        <f>HYPERLINK("https://ceds.ed.gov/cedselementdetails.aspx?termid=9973")</f>
        <v>https://ceds.ed.gov/cedselementdetails.aspx?termid=9973</v>
      </c>
      <c r="N1584" s="12" t="str">
        <f>HYPERLINK("https://ceds.ed.gov/elementComment.aspx?elementName=Teacher Student Data Link Exclusion Flag &amp;elementID=9973", "Click here to submit comment")</f>
        <v>Click here to submit comment</v>
      </c>
    </row>
    <row r="1585" spans="1:14" ht="105" x14ac:dyDescent="0.25">
      <c r="A1585" s="12" t="s">
        <v>6058</v>
      </c>
      <c r="B1585" s="12" t="s">
        <v>6059</v>
      </c>
      <c r="C1585" s="12" t="s">
        <v>12</v>
      </c>
      <c r="D1585" s="12" t="s">
        <v>6689</v>
      </c>
      <c r="E1585" s="12"/>
      <c r="F1585" s="12" t="s">
        <v>789</v>
      </c>
      <c r="G1585" s="12"/>
      <c r="H1585" s="12"/>
      <c r="I1585" s="12" t="s">
        <v>6060</v>
      </c>
      <c r="J1585" s="12"/>
      <c r="K1585" s="12" t="s">
        <v>6061</v>
      </c>
      <c r="L1585" s="12" t="s">
        <v>6043</v>
      </c>
      <c r="M1585" s="12" t="str">
        <f>HYPERLINK("https://ceds.ed.gov/cedselementdetails.aspx?termid=9651")</f>
        <v>https://ceds.ed.gov/cedselementdetails.aspx?termid=9651</v>
      </c>
      <c r="N1585" s="12" t="str">
        <f>HYPERLINK("https://ceds.ed.gov/elementComment.aspx?elementName=Teaching Assignment Contribution Percentage &amp;elementID=9651", "Click here to submit comment")</f>
        <v>Click here to submit comment</v>
      </c>
    </row>
    <row r="1586" spans="1:14" ht="45" x14ac:dyDescent="0.25">
      <c r="A1586" s="12" t="s">
        <v>6062</v>
      </c>
      <c r="B1586" s="12" t="s">
        <v>6063</v>
      </c>
      <c r="C1586" s="12" t="s">
        <v>12</v>
      </c>
      <c r="D1586" s="12" t="s">
        <v>3651</v>
      </c>
      <c r="E1586" s="12"/>
      <c r="F1586" s="12" t="s">
        <v>73</v>
      </c>
      <c r="G1586" s="12"/>
      <c r="H1586" s="12"/>
      <c r="I1586" s="12" t="s">
        <v>6064</v>
      </c>
      <c r="J1586" s="12"/>
      <c r="K1586" s="12" t="s">
        <v>6065</v>
      </c>
      <c r="L1586" s="12" t="s">
        <v>6043</v>
      </c>
      <c r="M1586" s="12" t="str">
        <f>HYPERLINK("https://ceds.ed.gov/cedselementdetails.aspx?termid=9648")</f>
        <v>https://ceds.ed.gov/cedselementdetails.aspx?termid=9648</v>
      </c>
      <c r="N1586" s="12" t="str">
        <f>HYPERLINK("https://ceds.ed.gov/elementComment.aspx?elementName=Teaching Assignment End Date &amp;elementID=9648", "Click here to submit comment")</f>
        <v>Click here to submit comment</v>
      </c>
    </row>
    <row r="1587" spans="1:14" ht="105" x14ac:dyDescent="0.25">
      <c r="A1587" s="12" t="s">
        <v>6066</v>
      </c>
      <c r="B1587" s="12" t="s">
        <v>6067</v>
      </c>
      <c r="C1587" s="13" t="s">
        <v>7130</v>
      </c>
      <c r="D1587" s="12" t="s">
        <v>6689</v>
      </c>
      <c r="E1587" s="12"/>
      <c r="F1587" s="12"/>
      <c r="G1587" s="12"/>
      <c r="H1587" s="12"/>
      <c r="I1587" s="12" t="s">
        <v>6068</v>
      </c>
      <c r="J1587" s="12"/>
      <c r="K1587" s="12" t="s">
        <v>6069</v>
      </c>
      <c r="L1587" s="12" t="s">
        <v>6043</v>
      </c>
      <c r="M1587" s="12" t="str">
        <f>HYPERLINK("https://ceds.ed.gov/cedselementdetails.aspx?termid=9650")</f>
        <v>https://ceds.ed.gov/cedselementdetails.aspx?termid=9650</v>
      </c>
      <c r="N1587" s="12" t="str">
        <f>HYPERLINK("https://ceds.ed.gov/elementComment.aspx?elementName=Teaching Assignment Role &amp;elementID=9650", "Click here to submit comment")</f>
        <v>Click here to submit comment</v>
      </c>
    </row>
    <row r="1588" spans="1:14" ht="45" x14ac:dyDescent="0.25">
      <c r="A1588" s="12" t="s">
        <v>6070</v>
      </c>
      <c r="B1588" s="12" t="s">
        <v>6071</v>
      </c>
      <c r="C1588" s="12" t="s">
        <v>12</v>
      </c>
      <c r="D1588" s="12" t="s">
        <v>3651</v>
      </c>
      <c r="E1588" s="12"/>
      <c r="F1588" s="12" t="s">
        <v>73</v>
      </c>
      <c r="G1588" s="12"/>
      <c r="H1588" s="12"/>
      <c r="I1588" s="12" t="s">
        <v>6072</v>
      </c>
      <c r="J1588" s="12"/>
      <c r="K1588" s="12" t="s">
        <v>6073</v>
      </c>
      <c r="L1588" s="12" t="s">
        <v>6043</v>
      </c>
      <c r="M1588" s="12" t="str">
        <f>HYPERLINK("https://ceds.ed.gov/cedselementdetails.aspx?termid=9647")</f>
        <v>https://ceds.ed.gov/cedselementdetails.aspx?termid=9647</v>
      </c>
      <c r="N1588" s="12" t="str">
        <f>HYPERLINK("https://ceds.ed.gov/elementComment.aspx?elementName=Teaching Assignment Start Date &amp;elementID=9647", "Click here to submit comment")</f>
        <v>Click here to submit comment</v>
      </c>
    </row>
    <row r="1589" spans="1:14" ht="240" x14ac:dyDescent="0.25">
      <c r="A1589" s="12" t="s">
        <v>6074</v>
      </c>
      <c r="B1589" s="12" t="s">
        <v>6075</v>
      </c>
      <c r="C1589" s="13" t="s">
        <v>7131</v>
      </c>
      <c r="D1589" s="12" t="s">
        <v>6690</v>
      </c>
      <c r="E1589" s="12"/>
      <c r="F1589" s="12"/>
      <c r="G1589" s="12"/>
      <c r="H1589" s="12"/>
      <c r="I1589" s="12" t="s">
        <v>6076</v>
      </c>
      <c r="J1589" s="12"/>
      <c r="K1589" s="12" t="s">
        <v>6077</v>
      </c>
      <c r="L1589" s="12" t="s">
        <v>354</v>
      </c>
      <c r="M1589" s="12" t="str">
        <f>HYPERLINK("https://ceds.ed.gov/cedselementdetails.aspx?termid=9277")</f>
        <v>https://ceds.ed.gov/cedselementdetails.aspx?termid=9277</v>
      </c>
      <c r="N1589" s="12" t="str">
        <f>HYPERLINK("https://ceds.ed.gov/elementComment.aspx?elementName=Teaching Credential Basis &amp;elementID=9277", "Click here to submit comment")</f>
        <v>Click here to submit comment</v>
      </c>
    </row>
    <row r="1590" spans="1:14" ht="225" x14ac:dyDescent="0.25">
      <c r="A1590" s="12" t="s">
        <v>6078</v>
      </c>
      <c r="B1590" s="12" t="s">
        <v>6079</v>
      </c>
      <c r="C1590" s="13" t="s">
        <v>7132</v>
      </c>
      <c r="D1590" s="12" t="s">
        <v>6691</v>
      </c>
      <c r="E1590" s="12"/>
      <c r="F1590" s="12"/>
      <c r="G1590" s="12"/>
      <c r="H1590" s="12"/>
      <c r="I1590" s="12" t="s">
        <v>6080</v>
      </c>
      <c r="J1590" s="12"/>
      <c r="K1590" s="12" t="s">
        <v>6081</v>
      </c>
      <c r="L1590" s="12" t="s">
        <v>354</v>
      </c>
      <c r="M1590" s="12" t="str">
        <f>HYPERLINK("https://ceds.ed.gov/cedselementdetails.aspx?termid=9278")</f>
        <v>https://ceds.ed.gov/cedselementdetails.aspx?termid=9278</v>
      </c>
      <c r="N1590" s="12" t="str">
        <f>HYPERLINK("https://ceds.ed.gov/elementComment.aspx?elementName=Teaching Credential Type &amp;elementID=9278", "Click here to submit comment")</f>
        <v>Click here to submit comment</v>
      </c>
    </row>
    <row r="1591" spans="1:14" ht="135" x14ac:dyDescent="0.25">
      <c r="A1591" s="12" t="s">
        <v>6082</v>
      </c>
      <c r="B1591" s="12" t="s">
        <v>6083</v>
      </c>
      <c r="C1591" s="12" t="s">
        <v>6364</v>
      </c>
      <c r="D1591" s="12" t="s">
        <v>6692</v>
      </c>
      <c r="E1591" s="12"/>
      <c r="F1591" s="12"/>
      <c r="G1591" s="12"/>
      <c r="H1591" s="12"/>
      <c r="I1591" s="12" t="s">
        <v>6084</v>
      </c>
      <c r="J1591" s="12"/>
      <c r="K1591" s="12" t="s">
        <v>6085</v>
      </c>
      <c r="L1591" s="12"/>
      <c r="M1591" s="12" t="str">
        <f>HYPERLINK("https://ceds.ed.gov/cedselementdetails.aspx?termid=10465")</f>
        <v>https://ceds.ed.gov/cedselementdetails.aspx?termid=10465</v>
      </c>
      <c r="N1591" s="12" t="str">
        <f>HYPERLINK("https://ceds.ed.gov/elementComment.aspx?elementName=Technical Assistance Approved Indicator &amp;elementID=10465", "Click here to submit comment")</f>
        <v>Click here to submit comment</v>
      </c>
    </row>
    <row r="1592" spans="1:14" ht="135" x14ac:dyDescent="0.25">
      <c r="A1592" s="12" t="s">
        <v>6086</v>
      </c>
      <c r="B1592" s="12" t="s">
        <v>6087</v>
      </c>
      <c r="C1592" s="13" t="s">
        <v>7071</v>
      </c>
      <c r="D1592" s="12" t="s">
        <v>6692</v>
      </c>
      <c r="E1592" s="12"/>
      <c r="F1592" s="12"/>
      <c r="G1592" s="12"/>
      <c r="H1592" s="12"/>
      <c r="I1592" s="12" t="s">
        <v>6088</v>
      </c>
      <c r="J1592" s="12"/>
      <c r="K1592" s="12" t="s">
        <v>6089</v>
      </c>
      <c r="L1592" s="12"/>
      <c r="M1592" s="12" t="str">
        <f>HYPERLINK("https://ceds.ed.gov/cedselementdetails.aspx?termid=10466")</f>
        <v>https://ceds.ed.gov/cedselementdetails.aspx?termid=10466</v>
      </c>
      <c r="N1592" s="12" t="str">
        <f>HYPERLINK("https://ceds.ed.gov/elementComment.aspx?elementName=Technical Assistance Delivery Type &amp;elementID=10466", "Click here to submit comment")</f>
        <v>Click here to submit comment</v>
      </c>
    </row>
    <row r="1593" spans="1:14" ht="375" x14ac:dyDescent="0.25">
      <c r="A1593" s="12" t="s">
        <v>6090</v>
      </c>
      <c r="B1593" s="12" t="s">
        <v>6091</v>
      </c>
      <c r="C1593" s="13" t="s">
        <v>7133</v>
      </c>
      <c r="D1593" s="12" t="s">
        <v>6692</v>
      </c>
      <c r="E1593" s="12" t="s">
        <v>98</v>
      </c>
      <c r="F1593" s="12"/>
      <c r="G1593" s="12"/>
      <c r="H1593" s="12"/>
      <c r="I1593" s="12" t="s">
        <v>6092</v>
      </c>
      <c r="J1593" s="12"/>
      <c r="K1593" s="12" t="s">
        <v>6093</v>
      </c>
      <c r="L1593" s="12"/>
      <c r="M1593" s="12" t="str">
        <f>HYPERLINK("https://ceds.ed.gov/cedselementdetails.aspx?termid=10467")</f>
        <v>https://ceds.ed.gov/cedselementdetails.aspx?termid=10467</v>
      </c>
      <c r="N1593" s="12" t="str">
        <f>HYPERLINK("https://ceds.ed.gov/elementComment.aspx?elementName=Technical Assistance Type &amp;elementID=10467", "Click here to submit comment")</f>
        <v>Click here to submit comment</v>
      </c>
    </row>
    <row r="1594" spans="1:14" ht="75" x14ac:dyDescent="0.25">
      <c r="A1594" s="12" t="s">
        <v>6094</v>
      </c>
      <c r="B1594" s="12" t="s">
        <v>6095</v>
      </c>
      <c r="C1594" s="13" t="s">
        <v>7134</v>
      </c>
      <c r="D1594" s="12" t="s">
        <v>28</v>
      </c>
      <c r="E1594" s="12"/>
      <c r="F1594" s="12"/>
      <c r="G1594" s="12"/>
      <c r="H1594" s="12"/>
      <c r="I1594" s="12" t="s">
        <v>6096</v>
      </c>
      <c r="J1594" s="12"/>
      <c r="K1594" s="12" t="s">
        <v>6097</v>
      </c>
      <c r="L1594" s="12" t="s">
        <v>222</v>
      </c>
      <c r="M1594" s="12" t="str">
        <f>HYPERLINK("https://ceds.ed.gov/cedselementdetails.aspx?termid=9558")</f>
        <v>https://ceds.ed.gov/cedselementdetails.aspx?termid=9558</v>
      </c>
      <c r="N1594" s="12" t="str">
        <f>HYPERLINK("https://ceds.ed.gov/elementComment.aspx?elementName=Technology Literacy Status in 8th Grade &amp;elementID=9558", "Click here to submit comment")</f>
        <v>Click here to submit comment</v>
      </c>
    </row>
    <row r="1595" spans="1:14" ht="60" x14ac:dyDescent="0.25">
      <c r="A1595" s="12" t="s">
        <v>6098</v>
      </c>
      <c r="B1595" s="12" t="s">
        <v>6099</v>
      </c>
      <c r="C1595" s="12" t="s">
        <v>6364</v>
      </c>
      <c r="D1595" s="12" t="s">
        <v>2819</v>
      </c>
      <c r="E1595" s="12"/>
      <c r="F1595" s="12"/>
      <c r="G1595" s="12"/>
      <c r="H1595" s="12"/>
      <c r="I1595" s="12" t="s">
        <v>6100</v>
      </c>
      <c r="J1595" s="12"/>
      <c r="K1595" s="12" t="s">
        <v>6101</v>
      </c>
      <c r="L1595" s="12" t="s">
        <v>222</v>
      </c>
      <c r="M1595" s="12" t="str">
        <f>HYPERLINK("https://ceds.ed.gov/cedselementdetails.aspx?termid=9537")</f>
        <v>https://ceds.ed.gov/cedselementdetails.aspx?termid=9537</v>
      </c>
      <c r="N1595" s="12" t="str">
        <f>HYPERLINK("https://ceds.ed.gov/elementComment.aspx?elementName=Technology Skills Standards Met &amp;elementID=9537", "Click here to submit comment")</f>
        <v>Click here to submit comment</v>
      </c>
    </row>
    <row r="1596" spans="1:14" ht="409.5" x14ac:dyDescent="0.25">
      <c r="A1596" s="12" t="s">
        <v>6102</v>
      </c>
      <c r="B1596" s="12" t="s">
        <v>6103</v>
      </c>
      <c r="C1596" s="12" t="s">
        <v>12</v>
      </c>
      <c r="D1596" s="12" t="s">
        <v>6693</v>
      </c>
      <c r="E1596" s="12"/>
      <c r="F1596" s="12" t="s">
        <v>6104</v>
      </c>
      <c r="G1596" s="12"/>
      <c r="H1596" s="12"/>
      <c r="I1596" s="12" t="s">
        <v>6105</v>
      </c>
      <c r="J1596" s="12"/>
      <c r="K1596" s="12" t="s">
        <v>6106</v>
      </c>
      <c r="L1596" s="12" t="s">
        <v>6369</v>
      </c>
      <c r="M1596" s="12" t="str">
        <f>HYPERLINK("https://ceds.ed.gov/cedselementdetails.aspx?termid=9279")</f>
        <v>https://ceds.ed.gov/cedselementdetails.aspx?termid=9279</v>
      </c>
      <c r="N1596" s="12" t="str">
        <f>HYPERLINK("https://ceds.ed.gov/elementComment.aspx?elementName=Telephone Number &amp;elementID=9279", "Click here to submit comment")</f>
        <v>Click here to submit comment</v>
      </c>
    </row>
    <row r="1597" spans="1:14" ht="409.5" x14ac:dyDescent="0.25">
      <c r="A1597" s="12" t="s">
        <v>6107</v>
      </c>
      <c r="B1597" s="12" t="s">
        <v>6108</v>
      </c>
      <c r="C1597" s="13" t="s">
        <v>7135</v>
      </c>
      <c r="D1597" s="12" t="s">
        <v>6694</v>
      </c>
      <c r="E1597" s="12"/>
      <c r="F1597" s="12" t="s">
        <v>1950</v>
      </c>
      <c r="G1597" s="12"/>
      <c r="H1597" s="12"/>
      <c r="I1597" s="12" t="s">
        <v>6109</v>
      </c>
      <c r="J1597" s="12"/>
      <c r="K1597" s="12" t="s">
        <v>6110</v>
      </c>
      <c r="L1597" s="12" t="s">
        <v>6369</v>
      </c>
      <c r="M1597" s="12" t="str">
        <f>HYPERLINK("https://ceds.ed.gov/cedselementdetails.aspx?termid=9280")</f>
        <v>https://ceds.ed.gov/cedselementdetails.aspx?termid=9280</v>
      </c>
      <c r="N1597" s="12" t="str">
        <f>HYPERLINK("https://ceds.ed.gov/elementComment.aspx?elementName=Telephone Number Type &amp;elementID=9280", "Click here to submit comment")</f>
        <v>Click here to submit comment</v>
      </c>
    </row>
    <row r="1598" spans="1:14" ht="45" x14ac:dyDescent="0.25">
      <c r="A1598" s="12" t="s">
        <v>6111</v>
      </c>
      <c r="B1598" s="12" t="s">
        <v>6112</v>
      </c>
      <c r="C1598" s="12" t="s">
        <v>6364</v>
      </c>
      <c r="D1598" s="12" t="s">
        <v>1708</v>
      </c>
      <c r="E1598" s="12"/>
      <c r="F1598" s="12"/>
      <c r="G1598" s="12"/>
      <c r="H1598" s="12"/>
      <c r="I1598" s="12" t="s">
        <v>6113</v>
      </c>
      <c r="J1598" s="12"/>
      <c r="K1598" s="12" t="s">
        <v>6114</v>
      </c>
      <c r="L1598" s="12" t="s">
        <v>37</v>
      </c>
      <c r="M1598" s="12" t="str">
        <f>HYPERLINK("https://ceds.ed.gov/cedselementdetails.aspx?termid=9715")</f>
        <v>https://ceds.ed.gov/cedselementdetails.aspx?termid=9715</v>
      </c>
      <c r="N1598" s="12" t="str">
        <f>HYPERLINK("https://ceds.ed.gov/elementComment.aspx?elementName=Tenure System &amp;elementID=9715", "Click here to submit comment")</f>
        <v>Click here to submit comment</v>
      </c>
    </row>
    <row r="1599" spans="1:14" ht="45" x14ac:dyDescent="0.25">
      <c r="A1599" s="12" t="s">
        <v>6115</v>
      </c>
      <c r="B1599" s="12" t="s">
        <v>6116</v>
      </c>
      <c r="C1599" s="12" t="s">
        <v>6364</v>
      </c>
      <c r="D1599" s="12" t="s">
        <v>1563</v>
      </c>
      <c r="E1599" s="12"/>
      <c r="F1599" s="12"/>
      <c r="G1599" s="12"/>
      <c r="H1599" s="12"/>
      <c r="I1599" s="12" t="s">
        <v>6117</v>
      </c>
      <c r="J1599" s="12"/>
      <c r="K1599" s="12" t="s">
        <v>6118</v>
      </c>
      <c r="L1599" s="12" t="s">
        <v>211</v>
      </c>
      <c r="M1599" s="12" t="str">
        <f>HYPERLINK("https://ceds.ed.gov/cedselementdetails.aspx?termid=9473")</f>
        <v>https://ceds.ed.gov/cedselementdetails.aspx?termid=9473</v>
      </c>
      <c r="N1599" s="12" t="str">
        <f>HYPERLINK("https://ceds.ed.gov/elementComment.aspx?elementName=Terminated Title III Programs Due to Failure &amp;elementID=9473", "Click here to submit comment")</f>
        <v>Click here to submit comment</v>
      </c>
    </row>
    <row r="1600" spans="1:14" ht="45" x14ac:dyDescent="0.25">
      <c r="A1600" s="12" t="s">
        <v>6119</v>
      </c>
      <c r="B1600" s="12" t="s">
        <v>6120</v>
      </c>
      <c r="C1600" s="12" t="s">
        <v>12</v>
      </c>
      <c r="D1600" s="12" t="s">
        <v>2410</v>
      </c>
      <c r="E1600" s="12"/>
      <c r="F1600" s="12" t="s">
        <v>327</v>
      </c>
      <c r="G1600" s="12"/>
      <c r="H1600" s="12"/>
      <c r="I1600" s="12" t="s">
        <v>6121</v>
      </c>
      <c r="J1600" s="12"/>
      <c r="K1600" s="12" t="s">
        <v>6122</v>
      </c>
      <c r="L1600" s="12"/>
      <c r="M1600" s="12" t="str">
        <f>HYPERLINK("https://ceds.ed.gov/cedselementdetails.aspx?termid=10468")</f>
        <v>https://ceds.ed.gov/cedselementdetails.aspx?termid=10468</v>
      </c>
      <c r="N1600" s="12" t="str">
        <f>HYPERLINK("https://ceds.ed.gov/elementComment.aspx?elementName=Thesis or Dissertation Title &amp;elementID=10468", "Click here to submit comment")</f>
        <v>Click here to submit comment</v>
      </c>
    </row>
    <row r="1601" spans="1:14" ht="105" x14ac:dyDescent="0.25">
      <c r="A1601" s="18" t="s">
        <v>6123</v>
      </c>
      <c r="B1601" s="18" t="s">
        <v>6124</v>
      </c>
      <c r="C1601" s="18" t="s">
        <v>12</v>
      </c>
      <c r="D1601" s="18" t="s">
        <v>6454</v>
      </c>
      <c r="E1601" s="18"/>
      <c r="F1601" s="18" t="s">
        <v>142</v>
      </c>
      <c r="G1601" s="18"/>
      <c r="H1601" s="12" t="s">
        <v>143</v>
      </c>
      <c r="I1601" s="18" t="s">
        <v>6125</v>
      </c>
      <c r="J1601" s="18"/>
      <c r="K1601" s="18" t="s">
        <v>6126</v>
      </c>
      <c r="L1601" s="18"/>
      <c r="M1601" s="18" t="str">
        <f>HYPERLINK("https://ceds.ed.gov/cedselementdetails.aspx?termid=9514")</f>
        <v>https://ceds.ed.gov/cedselementdetails.aspx?termid=9514</v>
      </c>
      <c r="N1601" s="18" t="str">
        <f>HYPERLINK("https://ceds.ed.gov/elementComment.aspx?elementName=Timetable Day Identifier &amp;elementID=9514", "Click here to submit comment")</f>
        <v>Click here to submit comment</v>
      </c>
    </row>
    <row r="1602" spans="1:14" x14ac:dyDescent="0.25">
      <c r="A1602" s="18"/>
      <c r="B1602" s="18"/>
      <c r="C1602" s="18"/>
      <c r="D1602" s="18"/>
      <c r="E1602" s="18"/>
      <c r="F1602" s="18"/>
      <c r="G1602" s="18"/>
      <c r="H1602" s="12"/>
      <c r="I1602" s="18"/>
      <c r="J1602" s="18"/>
      <c r="K1602" s="18"/>
      <c r="L1602" s="18"/>
      <c r="M1602" s="18"/>
      <c r="N1602" s="18"/>
    </row>
    <row r="1603" spans="1:14" ht="90" x14ac:dyDescent="0.25">
      <c r="A1603" s="18"/>
      <c r="B1603" s="18"/>
      <c r="C1603" s="18"/>
      <c r="D1603" s="18"/>
      <c r="E1603" s="18"/>
      <c r="F1603" s="18"/>
      <c r="G1603" s="18"/>
      <c r="H1603" s="12" t="s">
        <v>144</v>
      </c>
      <c r="I1603" s="18"/>
      <c r="J1603" s="18"/>
      <c r="K1603" s="18"/>
      <c r="L1603" s="18"/>
      <c r="M1603" s="18"/>
      <c r="N1603" s="18"/>
    </row>
    <row r="1604" spans="1:14" ht="120" x14ac:dyDescent="0.25">
      <c r="A1604" s="12" t="s">
        <v>6127</v>
      </c>
      <c r="B1604" s="12" t="s">
        <v>6128</v>
      </c>
      <c r="C1604" s="13" t="s">
        <v>7136</v>
      </c>
      <c r="D1604" s="12" t="s">
        <v>5534</v>
      </c>
      <c r="E1604" s="12"/>
      <c r="F1604" s="12"/>
      <c r="G1604" s="12"/>
      <c r="H1604" s="12"/>
      <c r="I1604" s="12" t="s">
        <v>6129</v>
      </c>
      <c r="J1604" s="12"/>
      <c r="K1604" s="12" t="s">
        <v>6130</v>
      </c>
      <c r="L1604" s="12" t="s">
        <v>6369</v>
      </c>
      <c r="M1604" s="12" t="str">
        <f>HYPERLINK("https://ceds.ed.gov/cedselementdetails.aspx?termid=9281")</f>
        <v>https://ceds.ed.gov/cedselementdetails.aspx?termid=9281</v>
      </c>
      <c r="N1604" s="12" t="str">
        <f>HYPERLINK("https://ceds.ed.gov/elementComment.aspx?elementName=Title I Indicator &amp;elementID=9281", "Click here to submit comment")</f>
        <v>Click here to submit comment</v>
      </c>
    </row>
    <row r="1605" spans="1:14" ht="135" x14ac:dyDescent="0.25">
      <c r="A1605" s="12" t="s">
        <v>6131</v>
      </c>
      <c r="B1605" s="12" t="s">
        <v>6132</v>
      </c>
      <c r="C1605" s="13" t="s">
        <v>7137</v>
      </c>
      <c r="D1605" s="12" t="s">
        <v>3665</v>
      </c>
      <c r="E1605" s="12"/>
      <c r="F1605" s="12"/>
      <c r="G1605" s="12"/>
      <c r="H1605" s="12"/>
      <c r="I1605" s="12" t="s">
        <v>6133</v>
      </c>
      <c r="J1605" s="12"/>
      <c r="K1605" s="12" t="s">
        <v>6134</v>
      </c>
      <c r="L1605" s="12" t="s">
        <v>222</v>
      </c>
      <c r="M1605" s="12" t="str">
        <f>HYPERLINK("https://ceds.ed.gov/cedselementdetails.aspx?termid=9282")</f>
        <v>https://ceds.ed.gov/cedselementdetails.aspx?termid=9282</v>
      </c>
      <c r="N1605" s="12" t="str">
        <f>HYPERLINK("https://ceds.ed.gov/elementComment.aspx?elementName=Title I Instructional Services &amp;elementID=9282", "Click here to submit comment")</f>
        <v>Click here to submit comment</v>
      </c>
    </row>
    <row r="1606" spans="1:14" ht="150" x14ac:dyDescent="0.25">
      <c r="A1606" s="12" t="s">
        <v>6135</v>
      </c>
      <c r="B1606" s="12" t="s">
        <v>6136</v>
      </c>
      <c r="C1606" s="13" t="s">
        <v>7138</v>
      </c>
      <c r="D1606" s="12" t="s">
        <v>3651</v>
      </c>
      <c r="E1606" s="12"/>
      <c r="F1606" s="12"/>
      <c r="G1606" s="12"/>
      <c r="H1606" s="12"/>
      <c r="I1606" s="12" t="s">
        <v>6137</v>
      </c>
      <c r="J1606" s="12"/>
      <c r="K1606" s="12" t="s">
        <v>6138</v>
      </c>
      <c r="L1606" s="12" t="s">
        <v>222</v>
      </c>
      <c r="M1606" s="12" t="str">
        <f>HYPERLINK("https://ceds.ed.gov/cedselementdetails.aspx?termid=9283")</f>
        <v>https://ceds.ed.gov/cedselementdetails.aspx?termid=9283</v>
      </c>
      <c r="N1606" s="12" t="str">
        <f>HYPERLINK("https://ceds.ed.gov/elementComment.aspx?elementName=Title I Program Staff Category &amp;elementID=9283", "Click here to submit comment")</f>
        <v>Click here to submit comment</v>
      </c>
    </row>
    <row r="1607" spans="1:14" ht="135" x14ac:dyDescent="0.25">
      <c r="A1607" s="12" t="s">
        <v>6139</v>
      </c>
      <c r="B1607" s="12" t="s">
        <v>6140</v>
      </c>
      <c r="C1607" s="13" t="s">
        <v>7139</v>
      </c>
      <c r="D1607" s="12" t="s">
        <v>6695</v>
      </c>
      <c r="E1607" s="12"/>
      <c r="F1607" s="12"/>
      <c r="G1607" s="12"/>
      <c r="H1607" s="12"/>
      <c r="I1607" s="12" t="s">
        <v>6141</v>
      </c>
      <c r="J1607" s="12"/>
      <c r="K1607" s="12" t="s">
        <v>6142</v>
      </c>
      <c r="L1607" s="12" t="s">
        <v>222</v>
      </c>
      <c r="M1607" s="12" t="str">
        <f>HYPERLINK("https://ceds.ed.gov/cedselementdetails.aspx?termid=9284")</f>
        <v>https://ceds.ed.gov/cedselementdetails.aspx?termid=9284</v>
      </c>
      <c r="N1607" s="12" t="str">
        <f>HYPERLINK("https://ceds.ed.gov/elementComment.aspx?elementName=Title I Program Type &amp;elementID=9284", "Click here to submit comment")</f>
        <v>Click here to submit comment</v>
      </c>
    </row>
    <row r="1608" spans="1:14" ht="195" x14ac:dyDescent="0.25">
      <c r="A1608" s="12" t="s">
        <v>6143</v>
      </c>
      <c r="B1608" s="12" t="s">
        <v>6144</v>
      </c>
      <c r="C1608" s="13" t="s">
        <v>7140</v>
      </c>
      <c r="D1608" s="12" t="s">
        <v>67</v>
      </c>
      <c r="E1608" s="12"/>
      <c r="F1608" s="12"/>
      <c r="G1608" s="12"/>
      <c r="H1608" s="12"/>
      <c r="I1608" s="12" t="s">
        <v>6145</v>
      </c>
      <c r="J1608" s="12"/>
      <c r="K1608" s="12" t="s">
        <v>6146</v>
      </c>
      <c r="L1608" s="12" t="s">
        <v>222</v>
      </c>
      <c r="M1608" s="12" t="str">
        <f>HYPERLINK("https://ceds.ed.gov/cedselementdetails.aspx?termid=9285")</f>
        <v>https://ceds.ed.gov/cedselementdetails.aspx?termid=9285</v>
      </c>
      <c r="N1608" s="12" t="str">
        <f>HYPERLINK("https://ceds.ed.gov/elementComment.aspx?elementName=Title I School Status &amp;elementID=9285", "Click here to submit comment")</f>
        <v>Click here to submit comment</v>
      </c>
    </row>
    <row r="1609" spans="1:14" ht="90" x14ac:dyDescent="0.25">
      <c r="A1609" s="12" t="s">
        <v>6147</v>
      </c>
      <c r="B1609" s="12" t="s">
        <v>6148</v>
      </c>
      <c r="C1609" s="12" t="s">
        <v>6364</v>
      </c>
      <c r="D1609" s="12" t="s">
        <v>5534</v>
      </c>
      <c r="E1609" s="12"/>
      <c r="F1609" s="12"/>
      <c r="G1609" s="12"/>
      <c r="H1609" s="12"/>
      <c r="I1609" s="12" t="s">
        <v>6149</v>
      </c>
      <c r="J1609" s="12"/>
      <c r="K1609" s="12" t="s">
        <v>6150</v>
      </c>
      <c r="L1609" s="12" t="s">
        <v>222</v>
      </c>
      <c r="M1609" s="12" t="str">
        <f>HYPERLINK("https://ceds.ed.gov/cedselementdetails.aspx?termid=9286")</f>
        <v>https://ceds.ed.gov/cedselementdetails.aspx?termid=9286</v>
      </c>
      <c r="N1609" s="12" t="str">
        <f>HYPERLINK("https://ceds.ed.gov/elementComment.aspx?elementName=Title I School Supplemental Services Applied Status &amp;elementID=9286", "Click here to submit comment")</f>
        <v>Click here to submit comment</v>
      </c>
    </row>
    <row r="1610" spans="1:14" ht="75" x14ac:dyDescent="0.25">
      <c r="A1610" s="12" t="s">
        <v>6151</v>
      </c>
      <c r="B1610" s="12" t="s">
        <v>6152</v>
      </c>
      <c r="C1610" s="12" t="s">
        <v>6364</v>
      </c>
      <c r="D1610" s="12" t="s">
        <v>5534</v>
      </c>
      <c r="E1610" s="12"/>
      <c r="F1610" s="12"/>
      <c r="G1610" s="12"/>
      <c r="H1610" s="12"/>
      <c r="I1610" s="12" t="s">
        <v>6153</v>
      </c>
      <c r="J1610" s="12"/>
      <c r="K1610" s="12" t="s">
        <v>6154</v>
      </c>
      <c r="L1610" s="12" t="s">
        <v>222</v>
      </c>
      <c r="M1610" s="12" t="str">
        <f>HYPERLINK("https://ceds.ed.gov/cedselementdetails.aspx?termid=9287")</f>
        <v>https://ceds.ed.gov/cedselementdetails.aspx?termid=9287</v>
      </c>
      <c r="N1610" s="12" t="str">
        <f>HYPERLINK("https://ceds.ed.gov/elementComment.aspx?elementName=Title I School Supplemental Services Eligible Status &amp;elementID=9287", "Click here to submit comment")</f>
        <v>Click here to submit comment</v>
      </c>
    </row>
    <row r="1611" spans="1:14" ht="75" x14ac:dyDescent="0.25">
      <c r="A1611" s="12" t="s">
        <v>6155</v>
      </c>
      <c r="B1611" s="12" t="s">
        <v>6156</v>
      </c>
      <c r="C1611" s="12" t="s">
        <v>6364</v>
      </c>
      <c r="D1611" s="12" t="s">
        <v>5534</v>
      </c>
      <c r="E1611" s="12"/>
      <c r="F1611" s="12"/>
      <c r="G1611" s="12"/>
      <c r="H1611" s="12"/>
      <c r="I1611" s="12" t="s">
        <v>6157</v>
      </c>
      <c r="J1611" s="12"/>
      <c r="K1611" s="12" t="s">
        <v>6158</v>
      </c>
      <c r="L1611" s="12" t="s">
        <v>222</v>
      </c>
      <c r="M1611" s="12" t="str">
        <f>HYPERLINK("https://ceds.ed.gov/cedselementdetails.aspx?termid=9288")</f>
        <v>https://ceds.ed.gov/cedselementdetails.aspx?termid=9288</v>
      </c>
      <c r="N1611" s="12" t="str">
        <f>HYPERLINK("https://ceds.ed.gov/elementComment.aspx?elementName=Title I School Supplemental Services Received Status &amp;elementID=9288", "Click here to submit comment")</f>
        <v>Click here to submit comment</v>
      </c>
    </row>
    <row r="1612" spans="1:14" ht="60" x14ac:dyDescent="0.25">
      <c r="A1612" s="12" t="s">
        <v>6159</v>
      </c>
      <c r="B1612" s="12" t="s">
        <v>6160</v>
      </c>
      <c r="C1612" s="12" t="s">
        <v>6364</v>
      </c>
      <c r="D1612" s="12" t="s">
        <v>5534</v>
      </c>
      <c r="E1612" s="12"/>
      <c r="F1612" s="12"/>
      <c r="G1612" s="12"/>
      <c r="H1612" s="12"/>
      <c r="I1612" s="12" t="s">
        <v>6161</v>
      </c>
      <c r="J1612" s="12"/>
      <c r="K1612" s="12" t="s">
        <v>6162</v>
      </c>
      <c r="L1612" s="12" t="s">
        <v>222</v>
      </c>
      <c r="M1612" s="12" t="str">
        <f>HYPERLINK("https://ceds.ed.gov/cedselementdetails.aspx?termid=9541")</f>
        <v>https://ceds.ed.gov/cedselementdetails.aspx?termid=9541</v>
      </c>
      <c r="N1612" s="12" t="str">
        <f>HYPERLINK("https://ceds.ed.gov/elementComment.aspx?elementName=Title I Schoolwide Program Participation &amp;elementID=9541", "Click here to submit comment")</f>
        <v>Click here to submit comment</v>
      </c>
    </row>
    <row r="1613" spans="1:14" ht="90" x14ac:dyDescent="0.25">
      <c r="A1613" s="12" t="s">
        <v>6163</v>
      </c>
      <c r="B1613" s="12" t="s">
        <v>6164</v>
      </c>
      <c r="C1613" s="13" t="s">
        <v>7141</v>
      </c>
      <c r="D1613" s="12" t="s">
        <v>3665</v>
      </c>
      <c r="E1613" s="12"/>
      <c r="F1613" s="12"/>
      <c r="G1613" s="12"/>
      <c r="H1613" s="12"/>
      <c r="I1613" s="12" t="s">
        <v>6165</v>
      </c>
      <c r="J1613" s="12"/>
      <c r="K1613" s="12" t="s">
        <v>6166</v>
      </c>
      <c r="L1613" s="12" t="s">
        <v>222</v>
      </c>
      <c r="M1613" s="12" t="str">
        <f>HYPERLINK("https://ceds.ed.gov/cedselementdetails.aspx?termid=9289")</f>
        <v>https://ceds.ed.gov/cedselementdetails.aspx?termid=9289</v>
      </c>
      <c r="N1613" s="12" t="str">
        <f>HYPERLINK("https://ceds.ed.gov/elementComment.aspx?elementName=Title I Support Services &amp;elementID=9289", "Click here to submit comment")</f>
        <v>Click here to submit comment</v>
      </c>
    </row>
    <row r="1614" spans="1:14" ht="75" x14ac:dyDescent="0.25">
      <c r="A1614" s="12" t="s">
        <v>6167</v>
      </c>
      <c r="B1614" s="12" t="s">
        <v>6168</v>
      </c>
      <c r="C1614" s="12" t="s">
        <v>6364</v>
      </c>
      <c r="D1614" s="12" t="s">
        <v>5534</v>
      </c>
      <c r="E1614" s="12"/>
      <c r="F1614" s="12"/>
      <c r="G1614" s="12"/>
      <c r="H1614" s="12"/>
      <c r="I1614" s="12" t="s">
        <v>6169</v>
      </c>
      <c r="J1614" s="12"/>
      <c r="K1614" s="12" t="s">
        <v>6170</v>
      </c>
      <c r="L1614" s="12" t="s">
        <v>222</v>
      </c>
      <c r="M1614" s="12" t="str">
        <f>HYPERLINK("https://ceds.ed.gov/cedselementdetails.aspx?termid=9542")</f>
        <v>https://ceds.ed.gov/cedselementdetails.aspx?termid=9542</v>
      </c>
      <c r="N1614" s="12" t="str">
        <f>HYPERLINK("https://ceds.ed.gov/elementComment.aspx?elementName=Title I Targeted Assistance Participation &amp;elementID=9542", "Click here to submit comment")</f>
        <v>Click here to submit comment</v>
      </c>
    </row>
    <row r="1615" spans="1:14" ht="60" x14ac:dyDescent="0.25">
      <c r="A1615" s="12" t="s">
        <v>6171</v>
      </c>
      <c r="B1615" s="12" t="s">
        <v>6172</v>
      </c>
      <c r="C1615" s="12" t="s">
        <v>6364</v>
      </c>
      <c r="D1615" s="12" t="s">
        <v>1904</v>
      </c>
      <c r="E1615" s="12"/>
      <c r="F1615" s="12"/>
      <c r="G1615" s="12"/>
      <c r="H1615" s="12"/>
      <c r="I1615" s="12" t="s">
        <v>6173</v>
      </c>
      <c r="J1615" s="12"/>
      <c r="K1615" s="12" t="s">
        <v>6174</v>
      </c>
      <c r="L1615" s="12"/>
      <c r="M1615" s="12" t="str">
        <f>HYPERLINK("https://ceds.ed.gov/cedselementdetails.aspx?termid=9543")</f>
        <v>https://ceds.ed.gov/cedselementdetails.aspx?termid=9543</v>
      </c>
      <c r="N1615" s="12" t="str">
        <f>HYPERLINK("https://ceds.ed.gov/elementComment.aspx?elementName=Title I Targeted Assistance Staff Funded &amp;elementID=9543", "Click here to submit comment")</f>
        <v>Click here to submit comment</v>
      </c>
    </row>
    <row r="1616" spans="1:14" ht="60" x14ac:dyDescent="0.25">
      <c r="A1616" s="12" t="s">
        <v>6175</v>
      </c>
      <c r="B1616" s="12" t="s">
        <v>6176</v>
      </c>
      <c r="C1616" s="13" t="s">
        <v>7142</v>
      </c>
      <c r="D1616" s="12" t="s">
        <v>4287</v>
      </c>
      <c r="E1616" s="12"/>
      <c r="F1616" s="12"/>
      <c r="G1616" s="12"/>
      <c r="H1616" s="12"/>
      <c r="I1616" s="12" t="s">
        <v>6177</v>
      </c>
      <c r="J1616" s="12"/>
      <c r="K1616" s="12" t="s">
        <v>6178</v>
      </c>
      <c r="L1616" s="12" t="s">
        <v>222</v>
      </c>
      <c r="M1616" s="12" t="str">
        <f>HYPERLINK("https://ceds.ed.gov/cedselementdetails.aspx?termid=9527")</f>
        <v>https://ceds.ed.gov/cedselementdetails.aspx?termid=9527</v>
      </c>
      <c r="N1616" s="12" t="str">
        <f>HYPERLINK("https://ceds.ed.gov/elementComment.aspx?elementName=Title III Accountability Progress Status &amp;elementID=9527", "Click here to submit comment")</f>
        <v>Click here to submit comment</v>
      </c>
    </row>
    <row r="1617" spans="1:14" ht="90" x14ac:dyDescent="0.25">
      <c r="A1617" s="12" t="s">
        <v>6179</v>
      </c>
      <c r="B1617" s="12" t="s">
        <v>6180</v>
      </c>
      <c r="C1617" s="12" t="s">
        <v>6364</v>
      </c>
      <c r="D1617" s="12" t="s">
        <v>3010</v>
      </c>
      <c r="E1617" s="12"/>
      <c r="F1617" s="12"/>
      <c r="G1617" s="12"/>
      <c r="H1617" s="12"/>
      <c r="I1617" s="12" t="s">
        <v>6181</v>
      </c>
      <c r="J1617" s="12"/>
      <c r="K1617" s="12" t="s">
        <v>6182</v>
      </c>
      <c r="L1617" s="12" t="s">
        <v>222</v>
      </c>
      <c r="M1617" s="12" t="str">
        <f>HYPERLINK("https://ceds.ed.gov/cedselementdetails.aspx?termid=9290")</f>
        <v>https://ceds.ed.gov/cedselementdetails.aspx?termid=9290</v>
      </c>
      <c r="N1617" s="12" t="str">
        <f>HYPERLINK("https://ceds.ed.gov/elementComment.aspx?elementName=Title III Immigrant Participation Status &amp;elementID=9290", "Click here to submit comment")</f>
        <v>Click here to submit comment</v>
      </c>
    </row>
    <row r="1618" spans="1:14" ht="120" x14ac:dyDescent="0.25">
      <c r="A1618" s="12" t="s">
        <v>6183</v>
      </c>
      <c r="B1618" s="12" t="s">
        <v>6184</v>
      </c>
      <c r="C1618" s="12" t="s">
        <v>6364</v>
      </c>
      <c r="D1618" s="12" t="s">
        <v>3010</v>
      </c>
      <c r="E1618" s="12"/>
      <c r="F1618" s="12"/>
      <c r="G1618" s="12"/>
      <c r="H1618" s="12"/>
      <c r="I1618" s="12" t="s">
        <v>6185</v>
      </c>
      <c r="J1618" s="12"/>
      <c r="K1618" s="12" t="s">
        <v>6186</v>
      </c>
      <c r="L1618" s="12" t="s">
        <v>6369</v>
      </c>
      <c r="M1618" s="12" t="str">
        <f>HYPERLINK("https://ceds.ed.gov/cedselementdetails.aspx?termid=9291")</f>
        <v>https://ceds.ed.gov/cedselementdetails.aspx?termid=9291</v>
      </c>
      <c r="N1618" s="12" t="str">
        <f>HYPERLINK("https://ceds.ed.gov/elementComment.aspx?elementName=Title III Immigrant Status &amp;elementID=9291", "Click here to submit comment")</f>
        <v>Click here to submit comment</v>
      </c>
    </row>
    <row r="1619" spans="1:14" ht="270" x14ac:dyDescent="0.25">
      <c r="A1619" s="12" t="s">
        <v>6187</v>
      </c>
      <c r="B1619" s="12" t="s">
        <v>6188</v>
      </c>
      <c r="C1619" s="13" t="s">
        <v>7143</v>
      </c>
      <c r="D1619" s="12" t="s">
        <v>6695</v>
      </c>
      <c r="E1619" s="12"/>
      <c r="F1619" s="12"/>
      <c r="G1619" s="12"/>
      <c r="H1619" s="12"/>
      <c r="I1619" s="12" t="s">
        <v>6189</v>
      </c>
      <c r="J1619" s="12"/>
      <c r="K1619" s="12" t="s">
        <v>6190</v>
      </c>
      <c r="L1619" s="12" t="s">
        <v>211</v>
      </c>
      <c r="M1619" s="12" t="str">
        <f>HYPERLINK("https://ceds.ed.gov/cedselementdetails.aspx?termid=9437")</f>
        <v>https://ceds.ed.gov/cedselementdetails.aspx?termid=9437</v>
      </c>
      <c r="N1619" s="12" t="str">
        <f>HYPERLINK("https://ceds.ed.gov/elementComment.aspx?elementName=Title III Language Instruction Program Type &amp;elementID=9437", "Click here to submit comment")</f>
        <v>Click here to submit comment</v>
      </c>
    </row>
    <row r="1620" spans="1:14" ht="75" x14ac:dyDescent="0.25">
      <c r="A1620" s="12" t="s">
        <v>6191</v>
      </c>
      <c r="B1620" s="12" t="s">
        <v>6192</v>
      </c>
      <c r="C1620" s="12" t="s">
        <v>6364</v>
      </c>
      <c r="D1620" s="12" t="s">
        <v>4287</v>
      </c>
      <c r="E1620" s="12"/>
      <c r="F1620" s="12"/>
      <c r="G1620" s="12"/>
      <c r="H1620" s="12"/>
      <c r="I1620" s="12" t="s">
        <v>6193</v>
      </c>
      <c r="J1620" s="12" t="s">
        <v>6194</v>
      </c>
      <c r="K1620" s="12" t="s">
        <v>6195</v>
      </c>
      <c r="L1620" s="12" t="s">
        <v>222</v>
      </c>
      <c r="M1620" s="12" t="str">
        <f>HYPERLINK("https://ceds.ed.gov/cedselementdetails.aspx?termid=9557")</f>
        <v>https://ceds.ed.gov/cedselementdetails.aspx?termid=9557</v>
      </c>
      <c r="N1620" s="12" t="str">
        <f>HYPERLINK("https://ceds.ed.gov/elementComment.aspx?elementName=Title III Limited English Proficient Participation Status &amp;elementID=9557", "Click here to submit comment")</f>
        <v>Click here to submit comment</v>
      </c>
    </row>
    <row r="1621" spans="1:14" ht="150" x14ac:dyDescent="0.25">
      <c r="A1621" s="12" t="s">
        <v>6196</v>
      </c>
      <c r="B1621" s="12" t="s">
        <v>6197</v>
      </c>
      <c r="C1621" s="13" t="s">
        <v>7144</v>
      </c>
      <c r="D1621" s="12" t="s">
        <v>55</v>
      </c>
      <c r="E1621" s="12"/>
      <c r="F1621" s="12"/>
      <c r="G1621" s="12"/>
      <c r="H1621" s="12"/>
      <c r="I1621" s="12" t="s">
        <v>6198</v>
      </c>
      <c r="J1621" s="12"/>
      <c r="K1621" s="12" t="s">
        <v>6199</v>
      </c>
      <c r="L1621" s="12" t="s">
        <v>211</v>
      </c>
      <c r="M1621" s="12" t="str">
        <f>HYPERLINK("https://ceds.ed.gov/cedselementdetails.aspx?termid=9478")</f>
        <v>https://ceds.ed.gov/cedselementdetails.aspx?termid=9478</v>
      </c>
      <c r="N1621" s="12" t="str">
        <f>HYPERLINK("https://ceds.ed.gov/elementComment.aspx?elementName=Title III Professional Development Type &amp;elementID=9478", "Click here to submit comment")</f>
        <v>Click here to submit comment</v>
      </c>
    </row>
    <row r="1622" spans="1:14" ht="210" x14ac:dyDescent="0.25">
      <c r="A1622" s="12" t="s">
        <v>6200</v>
      </c>
      <c r="B1622" s="12" t="s">
        <v>6201</v>
      </c>
      <c r="C1622" s="12" t="s">
        <v>6364</v>
      </c>
      <c r="D1622" s="12" t="s">
        <v>2399</v>
      </c>
      <c r="E1622" s="12"/>
      <c r="F1622" s="12"/>
      <c r="G1622" s="12"/>
      <c r="H1622" s="12"/>
      <c r="I1622" s="12" t="s">
        <v>6202</v>
      </c>
      <c r="J1622" s="12"/>
      <c r="K1622" s="12" t="s">
        <v>6203</v>
      </c>
      <c r="L1622" s="12" t="s">
        <v>6380</v>
      </c>
      <c r="M1622" s="12" t="str">
        <f>HYPERLINK("https://ceds.ed.gov/cedselementdetails.aspx?termid=9292")</f>
        <v>https://ceds.ed.gov/cedselementdetails.aspx?termid=9292</v>
      </c>
      <c r="N1622" s="12" t="str">
        <f>HYPERLINK("https://ceds.ed.gov/elementComment.aspx?elementName=Title IV Participant and Recipient &amp;elementID=9292", "Click here to submit comment")</f>
        <v>Click here to submit comment</v>
      </c>
    </row>
    <row r="1623" spans="1:14" ht="90" x14ac:dyDescent="0.25">
      <c r="A1623" s="12" t="s">
        <v>6204</v>
      </c>
      <c r="B1623" s="12" t="s">
        <v>6205</v>
      </c>
      <c r="C1623" s="12" t="s">
        <v>12</v>
      </c>
      <c r="D1623" s="12" t="s">
        <v>2444</v>
      </c>
      <c r="E1623" s="12"/>
      <c r="F1623" s="12" t="s">
        <v>2613</v>
      </c>
      <c r="G1623" s="12"/>
      <c r="H1623" s="12"/>
      <c r="I1623" s="12" t="s">
        <v>6206</v>
      </c>
      <c r="J1623" s="12"/>
      <c r="K1623" s="12" t="s">
        <v>6207</v>
      </c>
      <c r="L1623" s="12" t="s">
        <v>205</v>
      </c>
      <c r="M1623" s="12" t="str">
        <f>HYPERLINK("https://ceds.ed.gov/cedselementdetails.aspx?termid=9787")</f>
        <v>https://ceds.ed.gov/cedselementdetails.aspx?termid=9787</v>
      </c>
      <c r="N1623" s="12" t="str">
        <f>HYPERLINK("https://ceds.ed.gov/elementComment.aspx?elementName=Total Approved Early Childhood Credits Earned &amp;elementID=9787", "Click here to submit comment")</f>
        <v>Click here to submit comment</v>
      </c>
    </row>
    <row r="1624" spans="1:14" ht="135" x14ac:dyDescent="0.25">
      <c r="A1624" s="12" t="s">
        <v>6208</v>
      </c>
      <c r="B1624" s="12" t="s">
        <v>6209</v>
      </c>
      <c r="C1624" s="12" t="s">
        <v>12</v>
      </c>
      <c r="D1624" s="12" t="s">
        <v>6514</v>
      </c>
      <c r="E1624" s="12"/>
      <c r="F1624" s="12" t="s">
        <v>794</v>
      </c>
      <c r="G1624" s="12"/>
      <c r="H1624" s="12"/>
      <c r="I1624" s="12" t="s">
        <v>6210</v>
      </c>
      <c r="J1624" s="12"/>
      <c r="K1624" s="12" t="s">
        <v>6211</v>
      </c>
      <c r="L1624" s="12"/>
      <c r="M1624" s="12" t="str">
        <f>HYPERLINK("https://ceds.ed.gov/cedselementdetails.aspx?termid=10609")</f>
        <v>https://ceds.ed.gov/cedselementdetails.aspx?termid=10609</v>
      </c>
      <c r="N1624" s="12" t="str">
        <f>HYPERLINK("https://ceds.ed.gov/elementComment.aspx?elementName=Training and Technical Assistance Level &amp;elementID=10609", "Click here to submit comment")</f>
        <v>Click here to submit comment</v>
      </c>
    </row>
    <row r="1625" spans="1:14" ht="60" x14ac:dyDescent="0.25">
      <c r="A1625" s="12" t="s">
        <v>6212</v>
      </c>
      <c r="B1625" s="12" t="s">
        <v>6213</v>
      </c>
      <c r="C1625" s="12" t="s">
        <v>6544</v>
      </c>
      <c r="D1625" s="12" t="s">
        <v>2757</v>
      </c>
      <c r="E1625" s="12"/>
      <c r="F1625" s="12"/>
      <c r="G1625" s="12"/>
      <c r="H1625" s="12"/>
      <c r="I1625" s="12" t="s">
        <v>6214</v>
      </c>
      <c r="J1625" s="12"/>
      <c r="K1625" s="12" t="s">
        <v>6215</v>
      </c>
      <c r="L1625" s="12" t="s">
        <v>2308</v>
      </c>
      <c r="M1625" s="12" t="str">
        <f>HYPERLINK("https://ceds.ed.gov/cedselementdetails.aspx?termid=10610")</f>
        <v>https://ceds.ed.gov/cedselementdetails.aspx?termid=10610</v>
      </c>
      <c r="N1625" s="12" t="str">
        <f>HYPERLINK("https://ceds.ed.gov/elementComment.aspx?elementName=Transfer-out Indicator &amp;elementID=10610", "Click here to submit comment")</f>
        <v>Click here to submit comment</v>
      </c>
    </row>
    <row r="1626" spans="1:14" ht="75" x14ac:dyDescent="0.25">
      <c r="A1626" s="12" t="s">
        <v>6216</v>
      </c>
      <c r="B1626" s="12" t="s">
        <v>6217</v>
      </c>
      <c r="C1626" s="13" t="s">
        <v>7145</v>
      </c>
      <c r="D1626" s="12" t="s">
        <v>1856</v>
      </c>
      <c r="E1626" s="12"/>
      <c r="F1626" s="12"/>
      <c r="G1626" s="12"/>
      <c r="H1626" s="12"/>
      <c r="I1626" s="12" t="s">
        <v>6218</v>
      </c>
      <c r="J1626" s="12"/>
      <c r="K1626" s="12" t="s">
        <v>6219</v>
      </c>
      <c r="L1626" s="12" t="s">
        <v>6380</v>
      </c>
      <c r="M1626" s="12" t="str">
        <f>HYPERLINK("https://ceds.ed.gov/cedselementdetails.aspx?termid=9296")</f>
        <v>https://ceds.ed.gov/cedselementdetails.aspx?termid=9296</v>
      </c>
      <c r="N1626" s="12" t="str">
        <f>HYPERLINK("https://ceds.ed.gov/elementComment.aspx?elementName=Transfer-ready &amp;elementID=9296", "Click here to submit comment")</f>
        <v>Click here to submit comment</v>
      </c>
    </row>
    <row r="1627" spans="1:14" ht="60" x14ac:dyDescent="0.25">
      <c r="A1627" s="12" t="s">
        <v>6220</v>
      </c>
      <c r="B1627" s="12" t="s">
        <v>6221</v>
      </c>
      <c r="C1627" s="12" t="s">
        <v>12</v>
      </c>
      <c r="D1627" s="12" t="s">
        <v>2232</v>
      </c>
      <c r="E1627" s="12"/>
      <c r="F1627" s="12" t="s">
        <v>73</v>
      </c>
      <c r="G1627" s="12"/>
      <c r="H1627" s="12"/>
      <c r="I1627" s="12" t="s">
        <v>6222</v>
      </c>
      <c r="J1627" s="12"/>
      <c r="K1627" s="12" t="s">
        <v>6223</v>
      </c>
      <c r="L1627" s="12"/>
      <c r="M1627" s="12" t="str">
        <f>HYPERLINK("https://ceds.ed.gov/cedselementdetails.aspx?termid=10333")</f>
        <v>https://ceds.ed.gov/cedselementdetails.aspx?termid=10333</v>
      </c>
      <c r="N1627" s="12" t="str">
        <f>HYPERLINK("https://ceds.ed.gov/elementComment.aspx?elementName=Transition Conference Date &amp;elementID=10333", "Click here to submit comment")</f>
        <v>Click here to submit comment</v>
      </c>
    </row>
    <row r="1628" spans="1:14" ht="60" x14ac:dyDescent="0.25">
      <c r="A1628" s="12" t="s">
        <v>6224</v>
      </c>
      <c r="B1628" s="12" t="s">
        <v>6225</v>
      </c>
      <c r="C1628" s="12" t="s">
        <v>12</v>
      </c>
      <c r="D1628" s="12" t="s">
        <v>2232</v>
      </c>
      <c r="E1628" s="12"/>
      <c r="F1628" s="12" t="s">
        <v>73</v>
      </c>
      <c r="G1628" s="12"/>
      <c r="H1628" s="12"/>
      <c r="I1628" s="12" t="s">
        <v>6226</v>
      </c>
      <c r="J1628" s="12"/>
      <c r="K1628" s="12" t="s">
        <v>6227</v>
      </c>
      <c r="L1628" s="12"/>
      <c r="M1628" s="12" t="str">
        <f>HYPERLINK("https://ceds.ed.gov/cedselementdetails.aspx?termid=10334")</f>
        <v>https://ceds.ed.gov/cedselementdetails.aspx?termid=10334</v>
      </c>
      <c r="N1628" s="12" t="str">
        <f>HYPERLINK("https://ceds.ed.gov/elementComment.aspx?elementName=Transition Conference Decline Date &amp;elementID=10334", "Click here to submit comment")</f>
        <v>Click here to submit comment</v>
      </c>
    </row>
    <row r="1629" spans="1:14" ht="409.5" x14ac:dyDescent="0.25">
      <c r="A1629" s="18" t="s">
        <v>6228</v>
      </c>
      <c r="B1629" s="18" t="s">
        <v>6229</v>
      </c>
      <c r="C1629" s="13" t="s">
        <v>7158</v>
      </c>
      <c r="D1629" s="18" t="s">
        <v>1801</v>
      </c>
      <c r="E1629" s="18" t="s">
        <v>1498</v>
      </c>
      <c r="F1629" s="18"/>
      <c r="G1629" s="18"/>
      <c r="H1629" s="18"/>
      <c r="I1629" s="18" t="s">
        <v>6230</v>
      </c>
      <c r="J1629" s="18"/>
      <c r="K1629" s="18" t="s">
        <v>6231</v>
      </c>
      <c r="L1629" s="18"/>
      <c r="M1629" s="18" t="str">
        <f>HYPERLINK("https://ceds.ed.gov/cedselementdetails.aspx?termid=10638")</f>
        <v>https://ceds.ed.gov/cedselementdetails.aspx?termid=10638</v>
      </c>
      <c r="N1629" s="18" t="str">
        <f>HYPERLINK("https://ceds.ed.gov/elementComment.aspx?elementName=Tribal Affiliation &amp;elementID=10638", "Click here to submit comment")</f>
        <v>Click here to submit comment</v>
      </c>
    </row>
    <row r="1630" spans="1:14" ht="409.5" x14ac:dyDescent="0.25">
      <c r="A1630" s="19"/>
      <c r="B1630" s="19"/>
      <c r="C1630" s="13" t="s">
        <v>7159</v>
      </c>
      <c r="D1630" s="19"/>
      <c r="E1630" s="19"/>
      <c r="F1630" s="19"/>
      <c r="G1630" s="19"/>
      <c r="H1630" s="19"/>
      <c r="I1630" s="19"/>
      <c r="J1630" s="19"/>
      <c r="K1630" s="19"/>
      <c r="L1630" s="19"/>
      <c r="M1630" s="19"/>
      <c r="N1630" s="19"/>
    </row>
    <row r="1631" spans="1:14" ht="409.5" x14ac:dyDescent="0.25">
      <c r="A1631" s="19"/>
      <c r="B1631" s="19"/>
      <c r="C1631" s="13" t="s">
        <v>7160</v>
      </c>
      <c r="D1631" s="19"/>
      <c r="E1631" s="19"/>
      <c r="F1631" s="19"/>
      <c r="G1631" s="19"/>
      <c r="H1631" s="19"/>
      <c r="I1631" s="19"/>
      <c r="J1631" s="19"/>
      <c r="K1631" s="19"/>
      <c r="L1631" s="19"/>
      <c r="M1631" s="19"/>
      <c r="N1631" s="19"/>
    </row>
    <row r="1632" spans="1:14" ht="409.5" x14ac:dyDescent="0.25">
      <c r="A1632" s="19"/>
      <c r="B1632" s="19"/>
      <c r="C1632" s="13" t="s">
        <v>7161</v>
      </c>
      <c r="D1632" s="19"/>
      <c r="E1632" s="19"/>
      <c r="F1632" s="19"/>
      <c r="G1632" s="19"/>
      <c r="H1632" s="19"/>
      <c r="I1632" s="19"/>
      <c r="J1632" s="19"/>
      <c r="K1632" s="19"/>
      <c r="L1632" s="19"/>
      <c r="M1632" s="19"/>
      <c r="N1632" s="19"/>
    </row>
    <row r="1633" spans="1:14" ht="409.5" x14ac:dyDescent="0.25">
      <c r="A1633" s="19"/>
      <c r="B1633" s="19"/>
      <c r="C1633" s="13" t="s">
        <v>7162</v>
      </c>
      <c r="D1633" s="19"/>
      <c r="E1633" s="19"/>
      <c r="F1633" s="19"/>
      <c r="G1633" s="19"/>
      <c r="H1633" s="19"/>
      <c r="I1633" s="19"/>
      <c r="J1633" s="19"/>
      <c r="K1633" s="19"/>
      <c r="L1633" s="19"/>
      <c r="M1633" s="19"/>
      <c r="N1633" s="19"/>
    </row>
    <row r="1634" spans="1:14" ht="409.5" x14ac:dyDescent="0.25">
      <c r="A1634" s="19"/>
      <c r="B1634" s="19"/>
      <c r="C1634" s="13" t="s">
        <v>7163</v>
      </c>
      <c r="D1634" s="19"/>
      <c r="E1634" s="19"/>
      <c r="F1634" s="19"/>
      <c r="G1634" s="19"/>
      <c r="H1634" s="19"/>
      <c r="I1634" s="19"/>
      <c r="J1634" s="19"/>
      <c r="K1634" s="19"/>
      <c r="L1634" s="19"/>
      <c r="M1634" s="19"/>
      <c r="N1634" s="19"/>
    </row>
    <row r="1635" spans="1:14" ht="409.5" x14ac:dyDescent="0.25">
      <c r="A1635" s="19"/>
      <c r="B1635" s="19"/>
      <c r="C1635" s="13" t="s">
        <v>7164</v>
      </c>
      <c r="D1635" s="19"/>
      <c r="E1635" s="19"/>
      <c r="F1635" s="19"/>
      <c r="G1635" s="19"/>
      <c r="H1635" s="19"/>
      <c r="I1635" s="19"/>
      <c r="J1635" s="19"/>
      <c r="K1635" s="19"/>
      <c r="L1635" s="19"/>
      <c r="M1635" s="19"/>
      <c r="N1635" s="19"/>
    </row>
    <row r="1636" spans="1:14" ht="409.5" x14ac:dyDescent="0.25">
      <c r="A1636" s="19"/>
      <c r="B1636" s="19"/>
      <c r="C1636" s="13" t="s">
        <v>7165</v>
      </c>
      <c r="D1636" s="19"/>
      <c r="E1636" s="19"/>
      <c r="F1636" s="19"/>
      <c r="G1636" s="19"/>
      <c r="H1636" s="19"/>
      <c r="I1636" s="19"/>
      <c r="J1636" s="19"/>
      <c r="K1636" s="19"/>
      <c r="L1636" s="19"/>
      <c r="M1636" s="19"/>
      <c r="N1636" s="19"/>
    </row>
    <row r="1637" spans="1:14" ht="409.5" x14ac:dyDescent="0.25">
      <c r="A1637" s="19"/>
      <c r="B1637" s="19"/>
      <c r="C1637" s="13" t="s">
        <v>7166</v>
      </c>
      <c r="D1637" s="19"/>
      <c r="E1637" s="19"/>
      <c r="F1637" s="19"/>
      <c r="G1637" s="19"/>
      <c r="H1637" s="19"/>
      <c r="I1637" s="19"/>
      <c r="J1637" s="19"/>
      <c r="K1637" s="19"/>
      <c r="L1637" s="19"/>
      <c r="M1637" s="19"/>
      <c r="N1637" s="19"/>
    </row>
    <row r="1638" spans="1:14" ht="409.5" x14ac:dyDescent="0.25">
      <c r="A1638" s="19"/>
      <c r="B1638" s="19"/>
      <c r="C1638" s="13" t="s">
        <v>7167</v>
      </c>
      <c r="D1638" s="19"/>
      <c r="E1638" s="19"/>
      <c r="F1638" s="19"/>
      <c r="G1638" s="19"/>
      <c r="H1638" s="19"/>
      <c r="I1638" s="19"/>
      <c r="J1638" s="19"/>
      <c r="K1638" s="19"/>
      <c r="L1638" s="19"/>
      <c r="M1638" s="19"/>
      <c r="N1638" s="19"/>
    </row>
    <row r="1639" spans="1:14" ht="409.5" x14ac:dyDescent="0.25">
      <c r="A1639" s="19"/>
      <c r="B1639" s="19"/>
      <c r="C1639" s="13" t="s">
        <v>7168</v>
      </c>
      <c r="D1639" s="19"/>
      <c r="E1639" s="19"/>
      <c r="F1639" s="19"/>
      <c r="G1639" s="19"/>
      <c r="H1639" s="19"/>
      <c r="I1639" s="19"/>
      <c r="J1639" s="19"/>
      <c r="K1639" s="19"/>
      <c r="L1639" s="19"/>
      <c r="M1639" s="19"/>
      <c r="N1639" s="19"/>
    </row>
    <row r="1640" spans="1:14" ht="90" x14ac:dyDescent="0.25">
      <c r="A1640" s="12" t="s">
        <v>6232</v>
      </c>
      <c r="B1640" s="12" t="s">
        <v>6233</v>
      </c>
      <c r="C1640" s="13" t="s">
        <v>7146</v>
      </c>
      <c r="D1640" s="12" t="s">
        <v>6234</v>
      </c>
      <c r="E1640" s="12"/>
      <c r="F1640" s="12"/>
      <c r="G1640" s="12"/>
      <c r="H1640" s="12"/>
      <c r="I1640" s="12" t="s">
        <v>6235</v>
      </c>
      <c r="J1640" s="12"/>
      <c r="K1640" s="12" t="s">
        <v>6236</v>
      </c>
      <c r="L1640" s="12"/>
      <c r="M1640" s="12" t="str">
        <f>HYPERLINK("https://ceds.ed.gov/cedselementdetails.aspx?termid=10611")</f>
        <v>https://ceds.ed.gov/cedselementdetails.aspx?termid=10611</v>
      </c>
      <c r="N1640" s="12" t="str">
        <f>HYPERLINK("https://ceds.ed.gov/elementComment.aspx?elementName=Trimester When Prenatal Care Began &amp;elementID=10611", "Click here to submit comment")</f>
        <v>Click here to submit comment</v>
      </c>
    </row>
    <row r="1641" spans="1:14" ht="45" x14ac:dyDescent="0.25">
      <c r="A1641" s="12" t="s">
        <v>6237</v>
      </c>
      <c r="B1641" s="12" t="s">
        <v>6238</v>
      </c>
      <c r="C1641" s="12" t="s">
        <v>6364</v>
      </c>
      <c r="D1641" s="12" t="s">
        <v>2394</v>
      </c>
      <c r="E1641" s="12"/>
      <c r="F1641" s="12"/>
      <c r="G1641" s="12"/>
      <c r="H1641" s="12"/>
      <c r="I1641" s="12" t="s">
        <v>6239</v>
      </c>
      <c r="J1641" s="12"/>
      <c r="K1641" s="12" t="s">
        <v>6240</v>
      </c>
      <c r="L1641" s="12" t="s">
        <v>222</v>
      </c>
      <c r="M1641" s="12" t="str">
        <f>HYPERLINK("https://ceds.ed.gov/cedselementdetails.aspx?termid=9561")</f>
        <v>https://ceds.ed.gov/cedselementdetails.aspx?termid=9561</v>
      </c>
      <c r="N1641" s="12" t="str">
        <f>HYPERLINK("https://ceds.ed.gov/elementComment.aspx?elementName=Truant Status &amp;elementID=9561", "Click here to submit comment")</f>
        <v>Click here to submit comment</v>
      </c>
    </row>
    <row r="1642" spans="1:14" ht="90" x14ac:dyDescent="0.25">
      <c r="A1642" s="12" t="s">
        <v>6241</v>
      </c>
      <c r="B1642" s="12" t="s">
        <v>6242</v>
      </c>
      <c r="C1642" s="12" t="s">
        <v>12</v>
      </c>
      <c r="D1642" s="12" t="s">
        <v>236</v>
      </c>
      <c r="E1642" s="12"/>
      <c r="F1642" s="12" t="s">
        <v>1554</v>
      </c>
      <c r="G1642" s="12"/>
      <c r="H1642" s="12" t="s">
        <v>6243</v>
      </c>
      <c r="I1642" s="12" t="s">
        <v>6244</v>
      </c>
      <c r="J1642" s="12"/>
      <c r="K1642" s="12" t="s">
        <v>6245</v>
      </c>
      <c r="L1642" s="12" t="s">
        <v>1593</v>
      </c>
      <c r="M1642" s="12" t="str">
        <f>HYPERLINK("https://ceds.ed.gov/cedselementdetails.aspx?termid=9723")</f>
        <v>https://ceds.ed.gov/cedselementdetails.aspx?termid=9723</v>
      </c>
      <c r="N1642" s="12" t="str">
        <f>HYPERLINK("https://ceds.ed.gov/elementComment.aspx?elementName=Tuition - Published &amp;elementID=9723", "Click here to submit comment")</f>
        <v>Click here to submit comment</v>
      </c>
    </row>
    <row r="1643" spans="1:14" ht="225" x14ac:dyDescent="0.25">
      <c r="A1643" s="12" t="s">
        <v>6246</v>
      </c>
      <c r="B1643" s="12" t="s">
        <v>6247</v>
      </c>
      <c r="C1643" s="12" t="s">
        <v>6364</v>
      </c>
      <c r="D1643" s="12" t="s">
        <v>6696</v>
      </c>
      <c r="E1643" s="12"/>
      <c r="F1643" s="12"/>
      <c r="G1643" s="12"/>
      <c r="H1643" s="12" t="s">
        <v>6248</v>
      </c>
      <c r="I1643" s="12" t="s">
        <v>6249</v>
      </c>
      <c r="J1643" s="12"/>
      <c r="K1643" s="12" t="s">
        <v>6250</v>
      </c>
      <c r="L1643" s="12"/>
      <c r="M1643" s="12" t="str">
        <f>HYPERLINK("https://ceds.ed.gov/cedselementdetails.aspx?termid=10554")</f>
        <v>https://ceds.ed.gov/cedselementdetails.aspx?termid=10554</v>
      </c>
      <c r="N1643" s="12" t="str">
        <f>HYPERLINK("https://ceds.ed.gov/elementComment.aspx?elementName=Tuition Funded &amp;elementID=10554", "Click here to submit comment")</f>
        <v>Click here to submit comment</v>
      </c>
    </row>
    <row r="1644" spans="1:14" ht="90" x14ac:dyDescent="0.25">
      <c r="A1644" s="12" t="s">
        <v>6251</v>
      </c>
      <c r="B1644" s="12" t="s">
        <v>6252</v>
      </c>
      <c r="C1644" s="13" t="s">
        <v>7147</v>
      </c>
      <c r="D1644" s="12" t="s">
        <v>1630</v>
      </c>
      <c r="E1644" s="12"/>
      <c r="F1644" s="12"/>
      <c r="G1644" s="12"/>
      <c r="H1644" s="12"/>
      <c r="I1644" s="12" t="s">
        <v>6253</v>
      </c>
      <c r="J1644" s="12"/>
      <c r="K1644" s="12" t="s">
        <v>6254</v>
      </c>
      <c r="L1644" s="12" t="s">
        <v>239</v>
      </c>
      <c r="M1644" s="12" t="str">
        <f>HYPERLINK("https://ceds.ed.gov/cedselementdetails.aspx?termid=9297")</f>
        <v>https://ceds.ed.gov/cedselementdetails.aspx?termid=9297</v>
      </c>
      <c r="N1644" s="12" t="str">
        <f>HYPERLINK("https://ceds.ed.gov/elementComment.aspx?elementName=Tuition Residency Type &amp;elementID=9297", "Click here to submit comment")</f>
        <v>Click here to submit comment</v>
      </c>
    </row>
    <row r="1645" spans="1:14" ht="90" x14ac:dyDescent="0.25">
      <c r="A1645" s="12" t="s">
        <v>6255</v>
      </c>
      <c r="B1645" s="12" t="s">
        <v>6256</v>
      </c>
      <c r="C1645" s="13" t="s">
        <v>7148</v>
      </c>
      <c r="D1645" s="12" t="s">
        <v>236</v>
      </c>
      <c r="E1645" s="12"/>
      <c r="F1645" s="12"/>
      <c r="G1645" s="12"/>
      <c r="H1645" s="12" t="s">
        <v>369</v>
      </c>
      <c r="I1645" s="12" t="s">
        <v>6257</v>
      </c>
      <c r="J1645" s="12"/>
      <c r="K1645" s="12" t="s">
        <v>6258</v>
      </c>
      <c r="L1645" s="12" t="s">
        <v>1593</v>
      </c>
      <c r="M1645" s="12" t="str">
        <f>HYPERLINK("https://ceds.ed.gov/cedselementdetails.aspx?termid=9725")</f>
        <v>https://ceds.ed.gov/cedselementdetails.aspx?termid=9725</v>
      </c>
      <c r="N1645" s="12" t="str">
        <f>HYPERLINK("https://ceds.ed.gov/elementComment.aspx?elementName=Tuition Unit &amp;elementID=9725", "Click here to submit comment")</f>
        <v>Click here to submit comment</v>
      </c>
    </row>
    <row r="1646" spans="1:14" ht="195" x14ac:dyDescent="0.25">
      <c r="A1646" s="12" t="s">
        <v>6259</v>
      </c>
      <c r="B1646" s="12" t="s">
        <v>6260</v>
      </c>
      <c r="C1646" s="13" t="s">
        <v>7149</v>
      </c>
      <c r="D1646" s="12" t="s">
        <v>6541</v>
      </c>
      <c r="E1646" s="12"/>
      <c r="F1646" s="12"/>
      <c r="G1646" s="12"/>
      <c r="H1646" s="12"/>
      <c r="I1646" s="12" t="s">
        <v>6261</v>
      </c>
      <c r="J1646" s="12" t="s">
        <v>6262</v>
      </c>
      <c r="K1646" s="12" t="s">
        <v>6263</v>
      </c>
      <c r="L1646" s="12" t="s">
        <v>211</v>
      </c>
      <c r="M1646" s="12" t="str">
        <f>HYPERLINK("https://ceds.ed.gov/cedselementdetails.aspx?termid=9477")</f>
        <v>https://ceds.ed.gov/cedselementdetails.aspx?termid=9477</v>
      </c>
      <c r="N1646" s="12" t="str">
        <f>HYPERLINK("https://ceds.ed.gov/elementComment.aspx?elementName=Type of Use of the Rural Low-Income Schools Program &amp;elementID=9477", "Click here to submit comment")</f>
        <v>Click here to submit comment</v>
      </c>
    </row>
    <row r="1647" spans="1:14" ht="45" x14ac:dyDescent="0.25">
      <c r="A1647" s="12" t="s">
        <v>6264</v>
      </c>
      <c r="B1647" s="12" t="s">
        <v>6265</v>
      </c>
      <c r="C1647" s="12" t="s">
        <v>12</v>
      </c>
      <c r="D1647" s="12" t="s">
        <v>2496</v>
      </c>
      <c r="E1647" s="12"/>
      <c r="F1647" s="12" t="s">
        <v>327</v>
      </c>
      <c r="G1647" s="12"/>
      <c r="H1647" s="12"/>
      <c r="I1647" s="12" t="s">
        <v>6266</v>
      </c>
      <c r="J1647" s="12"/>
      <c r="K1647" s="12" t="s">
        <v>6267</v>
      </c>
      <c r="L1647" s="12"/>
      <c r="M1647" s="12" t="str">
        <f>HYPERLINK("https://ceds.ed.gov/cedselementdetails.aspx?termid=10469")</f>
        <v>https://ceds.ed.gov/cedselementdetails.aspx?termid=10469</v>
      </c>
      <c r="N1647" s="12" t="str">
        <f>HYPERLINK("https://ceds.ed.gov/elementComment.aspx?elementName=Union Membership Name &amp;elementID=10469", "Click here to submit comment")</f>
        <v>Click here to submit comment</v>
      </c>
    </row>
    <row r="1648" spans="1:14" ht="45" x14ac:dyDescent="0.25">
      <c r="A1648" s="12" t="s">
        <v>6268</v>
      </c>
      <c r="B1648" s="12" t="s">
        <v>6269</v>
      </c>
      <c r="C1648" s="12" t="s">
        <v>6364</v>
      </c>
      <c r="D1648" s="12" t="s">
        <v>2496</v>
      </c>
      <c r="E1648" s="12"/>
      <c r="F1648" s="12"/>
      <c r="G1648" s="12"/>
      <c r="H1648" s="12"/>
      <c r="I1648" s="12" t="s">
        <v>6270</v>
      </c>
      <c r="J1648" s="12"/>
      <c r="K1648" s="12" t="s">
        <v>6271</v>
      </c>
      <c r="L1648" s="12" t="s">
        <v>205</v>
      </c>
      <c r="M1648" s="12" t="str">
        <f>HYPERLINK("https://ceds.ed.gov/cedselementdetails.aspx?termid=9798")</f>
        <v>https://ceds.ed.gov/cedselementdetails.aspx?termid=9798</v>
      </c>
      <c r="N1648" s="12" t="str">
        <f>HYPERLINK("https://ceds.ed.gov/elementComment.aspx?elementName=Union Membership Status &amp;elementID=9798", "Click here to submit comment")</f>
        <v>Click here to submit comment</v>
      </c>
    </row>
    <row r="1649" spans="1:14" ht="105" x14ac:dyDescent="0.25">
      <c r="A1649" s="12" t="s">
        <v>6272</v>
      </c>
      <c r="B1649" s="12" t="s">
        <v>6273</v>
      </c>
      <c r="C1649" s="13" t="s">
        <v>7150</v>
      </c>
      <c r="D1649" s="12" t="s">
        <v>6697</v>
      </c>
      <c r="E1649" s="12"/>
      <c r="F1649" s="12"/>
      <c r="G1649" s="12"/>
      <c r="H1649" s="12" t="s">
        <v>5713</v>
      </c>
      <c r="I1649" s="12" t="s">
        <v>6274</v>
      </c>
      <c r="J1649" s="12"/>
      <c r="K1649" s="12" t="s">
        <v>6275</v>
      </c>
      <c r="L1649" s="12" t="s">
        <v>6698</v>
      </c>
      <c r="M1649" s="12" t="str">
        <f>HYPERLINK("https://ceds.ed.gov/cedselementdetails.aspx?termid=9299")</f>
        <v>https://ceds.ed.gov/cedselementdetails.aspx?termid=9299</v>
      </c>
      <c r="N1649" s="12" t="str">
        <f>HYPERLINK("https://ceds.ed.gov/elementComment.aspx?elementName=United States Citizenship Status &amp;elementID=9299", "Click here to submit comment")</f>
        <v>Click here to submit comment</v>
      </c>
    </row>
    <row r="1650" spans="1:14" ht="345" x14ac:dyDescent="0.25">
      <c r="A1650" s="12" t="s">
        <v>6276</v>
      </c>
      <c r="B1650" s="12" t="s">
        <v>6277</v>
      </c>
      <c r="C1650" s="13" t="s">
        <v>7151</v>
      </c>
      <c r="D1650" s="12" t="s">
        <v>2237</v>
      </c>
      <c r="E1650" s="12"/>
      <c r="F1650" s="12"/>
      <c r="G1650" s="12"/>
      <c r="H1650" s="12"/>
      <c r="I1650" s="12" t="s">
        <v>6278</v>
      </c>
      <c r="J1650" s="12"/>
      <c r="K1650" s="12" t="s">
        <v>6279</v>
      </c>
      <c r="L1650" s="12" t="s">
        <v>211</v>
      </c>
      <c r="M1650" s="12" t="str">
        <f>HYPERLINK("https://ceds.ed.gov/cedselementdetails.aspx?termid=9449")</f>
        <v>https://ceds.ed.gov/cedselementdetails.aspx?termid=9449</v>
      </c>
      <c r="N1650" s="12" t="str">
        <f>HYPERLINK("https://ceds.ed.gov/elementComment.aspx?elementName=Uses of Funds for Purposes other than Standards and Assessment Development &amp;elementID=9449", "Click here to submit comment")</f>
        <v>Click here to submit comment</v>
      </c>
    </row>
    <row r="1651" spans="1:14" ht="165" x14ac:dyDescent="0.25">
      <c r="A1651" s="12" t="s">
        <v>6280</v>
      </c>
      <c r="B1651" s="12" t="s">
        <v>6281</v>
      </c>
      <c r="C1651" s="12" t="s">
        <v>6364</v>
      </c>
      <c r="D1651" s="12" t="s">
        <v>6699</v>
      </c>
      <c r="E1651" s="12"/>
      <c r="F1651" s="12"/>
      <c r="G1651" s="12"/>
      <c r="H1651" s="12"/>
      <c r="I1651" s="12" t="s">
        <v>6282</v>
      </c>
      <c r="J1651" s="12"/>
      <c r="K1651" s="12" t="s">
        <v>6283</v>
      </c>
      <c r="L1651" s="12"/>
      <c r="M1651" s="12" t="str">
        <f>HYPERLINK("https://ceds.ed.gov/cedselementdetails.aspx?termid=10167")</f>
        <v>https://ceds.ed.gov/cedselementdetails.aspx?termid=10167</v>
      </c>
      <c r="N1651" s="12" t="str">
        <f>HYPERLINK("https://ceds.ed.gov/elementComment.aspx?elementName=Virtual Indicator &amp;elementID=10167", "Click here to submit comment")</f>
        <v>Click here to submit comment</v>
      </c>
    </row>
    <row r="1652" spans="1:14" ht="150" x14ac:dyDescent="0.25">
      <c r="A1652" s="12" t="s">
        <v>6284</v>
      </c>
      <c r="B1652" s="12" t="s">
        <v>6285</v>
      </c>
      <c r="C1652" s="13" t="s">
        <v>7152</v>
      </c>
      <c r="D1652" s="12" t="s">
        <v>1630</v>
      </c>
      <c r="E1652" s="12"/>
      <c r="F1652" s="12"/>
      <c r="G1652" s="12"/>
      <c r="H1652" s="12"/>
      <c r="I1652" s="12" t="s">
        <v>6286</v>
      </c>
      <c r="J1652" s="12"/>
      <c r="K1652" s="12" t="s">
        <v>6287</v>
      </c>
      <c r="L1652" s="12" t="s">
        <v>239</v>
      </c>
      <c r="M1652" s="12" t="str">
        <f>HYPERLINK("https://ceds.ed.gov/cedselementdetails.aspx?termid=9196")</f>
        <v>https://ceds.ed.gov/cedselementdetails.aspx?termid=9196</v>
      </c>
      <c r="N1652" s="12" t="str">
        <f>HYPERLINK("https://ceds.ed.gov/elementComment.aspx?elementName=Visa Type &amp;elementID=9196", "Click here to submit comment")</f>
        <v>Click here to submit comment</v>
      </c>
    </row>
    <row r="1653" spans="1:14" ht="75" x14ac:dyDescent="0.25">
      <c r="A1653" s="12" t="s">
        <v>6288</v>
      </c>
      <c r="B1653" s="12" t="s">
        <v>6289</v>
      </c>
      <c r="C1653" s="12" t="s">
        <v>12</v>
      </c>
      <c r="D1653" s="12" t="s">
        <v>6700</v>
      </c>
      <c r="E1653" s="12"/>
      <c r="F1653" s="12" t="s">
        <v>73</v>
      </c>
      <c r="G1653" s="12"/>
      <c r="H1653" s="12"/>
      <c r="I1653" s="12" t="s">
        <v>6290</v>
      </c>
      <c r="J1653" s="12"/>
      <c r="K1653" s="12" t="s">
        <v>6291</v>
      </c>
      <c r="L1653" s="12"/>
      <c r="M1653" s="12" t="str">
        <f>HYPERLINK("https://ceds.ed.gov/cedselementdetails.aspx?termid=9680")</f>
        <v>https://ceds.ed.gov/cedselementdetails.aspx?termid=9680</v>
      </c>
      <c r="N1653" s="12" t="str">
        <f>HYPERLINK("https://ceds.ed.gov/elementComment.aspx?elementName=Vision Screening Date &amp;elementID=9680", "Click here to submit comment")</f>
        <v>Click here to submit comment</v>
      </c>
    </row>
    <row r="1654" spans="1:14" ht="75" x14ac:dyDescent="0.25">
      <c r="A1654" s="12" t="s">
        <v>6292</v>
      </c>
      <c r="B1654" s="12" t="s">
        <v>6293</v>
      </c>
      <c r="C1654" s="13" t="s">
        <v>6944</v>
      </c>
      <c r="D1654" s="12" t="s">
        <v>6700</v>
      </c>
      <c r="E1654" s="12"/>
      <c r="F1654" s="12"/>
      <c r="G1654" s="12"/>
      <c r="H1654" s="12"/>
      <c r="I1654" s="12" t="s">
        <v>6294</v>
      </c>
      <c r="J1654" s="12"/>
      <c r="K1654" s="12" t="s">
        <v>6295</v>
      </c>
      <c r="L1654" s="12" t="s">
        <v>1759</v>
      </c>
      <c r="M1654" s="12" t="str">
        <f>HYPERLINK("https://ceds.ed.gov/cedselementdetails.aspx?termid=9308")</f>
        <v>https://ceds.ed.gov/cedselementdetails.aspx?termid=9308</v>
      </c>
      <c r="N1654" s="12" t="str">
        <f>HYPERLINK("https://ceds.ed.gov/elementComment.aspx?elementName=Vision Screening Status &amp;elementID=9308", "Click here to submit comment")</f>
        <v>Click here to submit comment</v>
      </c>
    </row>
    <row r="1655" spans="1:14" ht="135" x14ac:dyDescent="0.25">
      <c r="A1655" s="12" t="s">
        <v>6296</v>
      </c>
      <c r="B1655" s="12" t="s">
        <v>6297</v>
      </c>
      <c r="C1655" s="13" t="s">
        <v>7153</v>
      </c>
      <c r="D1655" s="12" t="s">
        <v>2496</v>
      </c>
      <c r="E1655" s="12"/>
      <c r="F1655" s="12"/>
      <c r="G1655" s="12"/>
      <c r="H1655" s="12"/>
      <c r="I1655" s="12" t="s">
        <v>6298</v>
      </c>
      <c r="J1655" s="12"/>
      <c r="K1655" s="12" t="s">
        <v>6299</v>
      </c>
      <c r="L1655" s="12" t="s">
        <v>205</v>
      </c>
      <c r="M1655" s="12" t="str">
        <f>HYPERLINK("https://ceds.ed.gov/cedselementdetails.aspx?termid=9797")</f>
        <v>https://ceds.ed.gov/cedselementdetails.aspx?termid=9797</v>
      </c>
      <c r="N1655" s="12" t="str">
        <f>HYPERLINK("https://ceds.ed.gov/elementComment.aspx?elementName=Wage Collection Code &amp;elementID=9797", "Click here to submit comment")</f>
        <v>Click here to submit comment</v>
      </c>
    </row>
    <row r="1656" spans="1:14" ht="60" x14ac:dyDescent="0.25">
      <c r="A1656" s="12" t="s">
        <v>6300</v>
      </c>
      <c r="B1656" s="12" t="s">
        <v>6301</v>
      </c>
      <c r="C1656" s="13" t="s">
        <v>7154</v>
      </c>
      <c r="D1656" s="12" t="s">
        <v>2496</v>
      </c>
      <c r="E1656" s="12"/>
      <c r="F1656" s="12"/>
      <c r="G1656" s="12"/>
      <c r="H1656" s="12"/>
      <c r="I1656" s="12" t="s">
        <v>6302</v>
      </c>
      <c r="J1656" s="12"/>
      <c r="K1656" s="12" t="s">
        <v>6303</v>
      </c>
      <c r="L1656" s="12" t="s">
        <v>205</v>
      </c>
      <c r="M1656" s="12" t="str">
        <f>HYPERLINK("https://ceds.ed.gov/cedselementdetails.aspx?termid=9818")</f>
        <v>https://ceds.ed.gov/cedselementdetails.aspx?termid=9818</v>
      </c>
      <c r="N1656" s="12" t="str">
        <f>HYPERLINK("https://ceds.ed.gov/elementComment.aspx?elementName=Wage Verification Code &amp;elementID=9818", "Click here to submit comment")</f>
        <v>Click here to submit comment</v>
      </c>
    </row>
    <row r="1657" spans="1:14" ht="60" x14ac:dyDescent="0.25">
      <c r="A1657" s="12" t="s">
        <v>6304</v>
      </c>
      <c r="B1657" s="12" t="s">
        <v>6305</v>
      </c>
      <c r="C1657" s="12" t="s">
        <v>6364</v>
      </c>
      <c r="D1657" s="12" t="s">
        <v>246</v>
      </c>
      <c r="E1657" s="12"/>
      <c r="F1657" s="12"/>
      <c r="G1657" s="12"/>
      <c r="H1657" s="12" t="s">
        <v>2991</v>
      </c>
      <c r="I1657" s="12" t="s">
        <v>6306</v>
      </c>
      <c r="J1657" s="12"/>
      <c r="K1657" s="12" t="s">
        <v>6307</v>
      </c>
      <c r="L1657" s="12" t="s">
        <v>250</v>
      </c>
      <c r="M1657" s="12" t="str">
        <f>HYPERLINK("https://ceds.ed.gov/cedselementdetails.aspx?termid=9738")</f>
        <v>https://ceds.ed.gov/cedselementdetails.aspx?termid=9738</v>
      </c>
      <c r="N1657" s="12" t="str">
        <f>HYPERLINK("https://ceds.ed.gov/elementComment.aspx?elementName=Wait Listed Student &amp;elementID=9738", "Click here to submit comment")</f>
        <v>Click here to submit comment</v>
      </c>
    </row>
    <row r="1658" spans="1:14" ht="285" x14ac:dyDescent="0.25">
      <c r="A1658" s="12" t="s">
        <v>6308</v>
      </c>
      <c r="B1658" s="12" t="s">
        <v>6309</v>
      </c>
      <c r="C1658" s="13" t="s">
        <v>7155</v>
      </c>
      <c r="D1658" s="12" t="s">
        <v>3001</v>
      </c>
      <c r="E1658" s="12"/>
      <c r="F1658" s="12"/>
      <c r="G1658" s="12"/>
      <c r="H1658" s="12" t="s">
        <v>6310</v>
      </c>
      <c r="I1658" s="12" t="s">
        <v>6311</v>
      </c>
      <c r="J1658" s="12"/>
      <c r="K1658" s="12" t="s">
        <v>6312</v>
      </c>
      <c r="L1658" s="12"/>
      <c r="M1658" s="12" t="str">
        <f>HYPERLINK("https://ceds.ed.gov/cedselementdetails.aspx?termid=10178")</f>
        <v>https://ceds.ed.gov/cedselementdetails.aspx?termid=10178</v>
      </c>
      <c r="N1658" s="12" t="str">
        <f>HYPERLINK("https://ceds.ed.gov/elementComment.aspx?elementName=Weapon Type &amp;elementID=10178", "Click here to submit comment")</f>
        <v>Click here to submit comment</v>
      </c>
    </row>
    <row r="1659" spans="1:14" ht="240" x14ac:dyDescent="0.25">
      <c r="A1659" s="12" t="s">
        <v>6313</v>
      </c>
      <c r="B1659" s="12" t="s">
        <v>6314</v>
      </c>
      <c r="C1659" s="12" t="s">
        <v>12</v>
      </c>
      <c r="D1659" s="12" t="s">
        <v>6701</v>
      </c>
      <c r="E1659" s="12"/>
      <c r="F1659" s="12" t="s">
        <v>68</v>
      </c>
      <c r="G1659" s="12"/>
      <c r="H1659" s="12"/>
      <c r="I1659" s="12" t="s">
        <v>6315</v>
      </c>
      <c r="J1659" s="12"/>
      <c r="K1659" s="12" t="s">
        <v>6316</v>
      </c>
      <c r="L1659" s="12" t="s">
        <v>222</v>
      </c>
      <c r="M1659" s="12" t="str">
        <f>HYPERLINK("https://ceds.ed.gov/cedselementdetails.aspx?termid=9300")</f>
        <v>https://ceds.ed.gov/cedselementdetails.aspx?termid=9300</v>
      </c>
      <c r="N1659" s="12" t="str">
        <f>HYPERLINK("https://ceds.ed.gov/elementComment.aspx?elementName=Web Site Address &amp;elementID=9300", "Click here to submit comment")</f>
        <v>Click here to submit comment</v>
      </c>
    </row>
    <row r="1660" spans="1:14" ht="45" x14ac:dyDescent="0.25">
      <c r="A1660" s="12" t="s">
        <v>6317</v>
      </c>
      <c r="B1660" s="12" t="s">
        <v>6318</v>
      </c>
      <c r="C1660" s="12" t="s">
        <v>12</v>
      </c>
      <c r="D1660" s="12" t="s">
        <v>2496</v>
      </c>
      <c r="E1660" s="12"/>
      <c r="F1660" s="12" t="s">
        <v>620</v>
      </c>
      <c r="G1660" s="12"/>
      <c r="H1660" s="12"/>
      <c r="I1660" s="12" t="s">
        <v>6319</v>
      </c>
      <c r="J1660" s="12"/>
      <c r="K1660" s="12" t="s">
        <v>6320</v>
      </c>
      <c r="L1660" s="12"/>
      <c r="M1660" s="12" t="str">
        <f>HYPERLINK("https://ceds.ed.gov/cedselementdetails.aspx?termid=10470")</f>
        <v>https://ceds.ed.gov/cedselementdetails.aspx?termid=10470</v>
      </c>
      <c r="N1660" s="12" t="str">
        <f>HYPERLINK("https://ceds.ed.gov/elementComment.aspx?elementName=Weeks Employed Per Year &amp;elementID=10470", "Click here to submit comment")</f>
        <v>Click here to submit comment</v>
      </c>
    </row>
    <row r="1661" spans="1:14" ht="45" x14ac:dyDescent="0.25">
      <c r="A1661" s="12" t="s">
        <v>6321</v>
      </c>
      <c r="B1661" s="12" t="s">
        <v>6322</v>
      </c>
      <c r="C1661" s="12" t="s">
        <v>12</v>
      </c>
      <c r="D1661" s="12" t="s">
        <v>6234</v>
      </c>
      <c r="E1661" s="12"/>
      <c r="F1661" s="12" t="s">
        <v>317</v>
      </c>
      <c r="G1661" s="12"/>
      <c r="H1661" s="12"/>
      <c r="I1661" s="12" t="s">
        <v>6323</v>
      </c>
      <c r="J1661" s="12"/>
      <c r="K1661" s="12" t="s">
        <v>6324</v>
      </c>
      <c r="L1661" s="12" t="s">
        <v>1759</v>
      </c>
      <c r="M1661" s="12" t="str">
        <f>HYPERLINK("https://ceds.ed.gov/cedselementdetails.aspx?termid=9313")</f>
        <v>https://ceds.ed.gov/cedselementdetails.aspx?termid=9313</v>
      </c>
      <c r="N1661" s="12" t="str">
        <f>HYPERLINK("https://ceds.ed.gov/elementComment.aspx?elementName=Weeks of Gestation &amp;elementID=9313", "Click here to submit comment")</f>
        <v>Click here to submit comment</v>
      </c>
    </row>
    <row r="1662" spans="1:14" ht="45" x14ac:dyDescent="0.25">
      <c r="A1662" s="12" t="s">
        <v>6325</v>
      </c>
      <c r="B1662" s="12" t="s">
        <v>6326</v>
      </c>
      <c r="C1662" s="12" t="s">
        <v>12</v>
      </c>
      <c r="D1662" s="12" t="s">
        <v>6234</v>
      </c>
      <c r="E1662" s="12"/>
      <c r="F1662" s="12" t="s">
        <v>327</v>
      </c>
      <c r="G1662" s="12"/>
      <c r="H1662" s="12"/>
      <c r="I1662" s="12" t="s">
        <v>6327</v>
      </c>
      <c r="J1662" s="12"/>
      <c r="K1662" s="12" t="s">
        <v>6328</v>
      </c>
      <c r="L1662" s="12" t="s">
        <v>1759</v>
      </c>
      <c r="M1662" s="12" t="str">
        <f>HYPERLINK("https://ceds.ed.gov/cedselementdetails.aspx?termid=9312")</f>
        <v>https://ceds.ed.gov/cedselementdetails.aspx?termid=9312</v>
      </c>
      <c r="N1662" s="12" t="str">
        <f>HYPERLINK("https://ceds.ed.gov/elementComment.aspx?elementName=Weight at Birth &amp;elementID=9312", "Click here to submit comment")</f>
        <v>Click here to submit comment</v>
      </c>
    </row>
    <row r="1663" spans="1:14" ht="45" x14ac:dyDescent="0.25">
      <c r="A1663" s="12" t="s">
        <v>6329</v>
      </c>
      <c r="B1663" s="12" t="s">
        <v>6330</v>
      </c>
      <c r="C1663" s="12" t="s">
        <v>12</v>
      </c>
      <c r="D1663" s="12" t="s">
        <v>5529</v>
      </c>
      <c r="E1663" s="12"/>
      <c r="F1663" s="12" t="s">
        <v>73</v>
      </c>
      <c r="G1663" s="12"/>
      <c r="H1663" s="12"/>
      <c r="I1663" s="12" t="s">
        <v>6331</v>
      </c>
      <c r="J1663" s="12"/>
      <c r="K1663" s="12" t="s">
        <v>6332</v>
      </c>
      <c r="L1663" s="12"/>
      <c r="M1663" s="12" t="str">
        <f>HYPERLINK("https://ceds.ed.gov/cedselementdetails.aspx?termid=10612")</f>
        <v>https://ceds.ed.gov/cedselementdetails.aspx?termid=10612</v>
      </c>
      <c r="N1663" s="12" t="str">
        <f>HYPERLINK("https://ceds.ed.gov/elementComment.aspx?elementName=Well Child Screening Received Date &amp;elementID=10612", "Click here to submit comment")</f>
        <v>Click here to submit comment</v>
      </c>
    </row>
    <row r="1664" spans="1:14" ht="145.5" customHeight="1" x14ac:dyDescent="0.25">
      <c r="A1664" s="18" t="s">
        <v>6333</v>
      </c>
      <c r="B1664" s="18" t="s">
        <v>6334</v>
      </c>
      <c r="C1664" s="20" t="s">
        <v>6749</v>
      </c>
      <c r="D1664" s="18" t="s">
        <v>6389</v>
      </c>
      <c r="E1664" s="18"/>
      <c r="F1664" s="18"/>
      <c r="G1664" s="18"/>
      <c r="H1664" s="12" t="s">
        <v>361</v>
      </c>
      <c r="I1664" s="18" t="s">
        <v>6335</v>
      </c>
      <c r="J1664" s="18"/>
      <c r="K1664" s="18" t="s">
        <v>6333</v>
      </c>
      <c r="L1664" s="18" t="s">
        <v>6390</v>
      </c>
      <c r="M1664" s="18" t="str">
        <f>HYPERLINK("https://ceds.ed.gov/cedselementdetails.aspx?termid=9659")</f>
        <v>https://ceds.ed.gov/cedselementdetails.aspx?termid=9659</v>
      </c>
      <c r="N1664" s="18" t="str">
        <f>HYPERLINK("https://ceds.ed.gov/elementComment.aspx?elementName=White &amp;elementID=9659", "Click here to submit comment")</f>
        <v>Click here to submit comment</v>
      </c>
    </row>
    <row r="1665" spans="1:14" x14ac:dyDescent="0.25">
      <c r="A1665" s="18"/>
      <c r="B1665" s="18"/>
      <c r="C1665" s="18"/>
      <c r="D1665" s="18"/>
      <c r="E1665" s="18"/>
      <c r="F1665" s="18"/>
      <c r="G1665" s="18"/>
      <c r="H1665" s="12"/>
      <c r="I1665" s="18"/>
      <c r="J1665" s="18"/>
      <c r="K1665" s="18"/>
      <c r="L1665" s="18"/>
      <c r="M1665" s="18"/>
      <c r="N1665" s="18"/>
    </row>
    <row r="1666" spans="1:14" x14ac:dyDescent="0.25">
      <c r="A1666" s="18"/>
      <c r="B1666" s="18"/>
      <c r="C1666" s="18"/>
      <c r="D1666" s="18"/>
      <c r="E1666" s="18"/>
      <c r="F1666" s="18"/>
      <c r="G1666" s="18"/>
      <c r="H1666" s="12" t="s">
        <v>362</v>
      </c>
      <c r="I1666" s="18"/>
      <c r="J1666" s="18"/>
      <c r="K1666" s="18"/>
      <c r="L1666" s="18"/>
      <c r="M1666" s="18"/>
      <c r="N1666" s="18"/>
    </row>
    <row r="1667" spans="1:14" ht="30" x14ac:dyDescent="0.25">
      <c r="A1667" s="18"/>
      <c r="B1667" s="18"/>
      <c r="C1667" s="18"/>
      <c r="D1667" s="18"/>
      <c r="E1667" s="18"/>
      <c r="F1667" s="18"/>
      <c r="G1667" s="18"/>
      <c r="H1667" s="12" t="s">
        <v>363</v>
      </c>
      <c r="I1667" s="18"/>
      <c r="J1667" s="18"/>
      <c r="K1667" s="18"/>
      <c r="L1667" s="18"/>
      <c r="M1667" s="18"/>
      <c r="N1667" s="18"/>
    </row>
    <row r="1668" spans="1:14" x14ac:dyDescent="0.25">
      <c r="A1668" s="18"/>
      <c r="B1668" s="18"/>
      <c r="C1668" s="18"/>
      <c r="D1668" s="18"/>
      <c r="E1668" s="18"/>
      <c r="F1668" s="18"/>
      <c r="G1668" s="18"/>
      <c r="H1668" s="12" t="s">
        <v>364</v>
      </c>
      <c r="I1668" s="18"/>
      <c r="J1668" s="18"/>
      <c r="K1668" s="18"/>
      <c r="L1668" s="18"/>
      <c r="M1668" s="18"/>
      <c r="N1668" s="18"/>
    </row>
    <row r="1669" spans="1:14" ht="255" x14ac:dyDescent="0.25">
      <c r="A1669" s="12" t="s">
        <v>6336</v>
      </c>
      <c r="B1669" s="12" t="s">
        <v>6337</v>
      </c>
      <c r="C1669" s="13" t="s">
        <v>7156</v>
      </c>
      <c r="D1669" s="12" t="s">
        <v>6702</v>
      </c>
      <c r="E1669" s="12"/>
      <c r="F1669" s="12"/>
      <c r="G1669" s="12"/>
      <c r="H1669" s="12"/>
      <c r="I1669" s="12" t="s">
        <v>6338</v>
      </c>
      <c r="J1669" s="12"/>
      <c r="K1669" s="12" t="s">
        <v>6339</v>
      </c>
      <c r="L1669" s="12"/>
      <c r="M1669" s="12" t="str">
        <f>HYPERLINK("https://ceds.ed.gov/cedselementdetails.aspx?termid=10471")</f>
        <v>https://ceds.ed.gov/cedselementdetails.aspx?termid=10471</v>
      </c>
      <c r="N1669" s="12" t="str">
        <f>HYPERLINK("https://ceds.ed.gov/elementComment.aspx?elementName=Work-based Learning Opportunity Type &amp;elementID=10471", "Click here to submit comment")</f>
        <v>Click here to submit comment</v>
      </c>
    </row>
    <row r="1670" spans="1:14" ht="409.5" x14ac:dyDescent="0.25">
      <c r="A1670" s="12" t="s">
        <v>6340</v>
      </c>
      <c r="B1670" s="12" t="s">
        <v>6341</v>
      </c>
      <c r="C1670" s="13" t="s">
        <v>7157</v>
      </c>
      <c r="D1670" s="12" t="s">
        <v>6342</v>
      </c>
      <c r="E1670" s="12"/>
      <c r="F1670" s="12"/>
      <c r="G1670" s="12"/>
      <c r="H1670" s="12" t="s">
        <v>6343</v>
      </c>
      <c r="I1670" s="12" t="s">
        <v>6344</v>
      </c>
      <c r="J1670" s="12"/>
      <c r="K1670" s="12" t="s">
        <v>6345</v>
      </c>
      <c r="L1670" s="12"/>
      <c r="M1670" s="12" t="str">
        <f>HYPERLINK("https://ceds.ed.gov/cedselementdetails.aspx?termid=10000")</f>
        <v>https://ceds.ed.gov/cedselementdetails.aspx?termid=10000</v>
      </c>
      <c r="N1670" s="12" t="str">
        <f>HYPERLINK("https://ceds.ed.gov/elementComment.aspx?elementName=Workforce Program Participation &amp;elementID=10000", "Click here to submit comment")</f>
        <v>Click here to submit comment</v>
      </c>
    </row>
    <row r="1671" spans="1:14" ht="180" x14ac:dyDescent="0.25">
      <c r="A1671" s="12" t="s">
        <v>6346</v>
      </c>
      <c r="B1671" s="12" t="s">
        <v>6347</v>
      </c>
      <c r="C1671" s="12" t="s">
        <v>12</v>
      </c>
      <c r="D1671" s="12" t="s">
        <v>6342</v>
      </c>
      <c r="E1671" s="12"/>
      <c r="F1671" s="12" t="s">
        <v>73</v>
      </c>
      <c r="G1671" s="12"/>
      <c r="H1671" s="12" t="s">
        <v>6348</v>
      </c>
      <c r="I1671" s="12" t="s">
        <v>6349</v>
      </c>
      <c r="J1671" s="12"/>
      <c r="K1671" s="12" t="s">
        <v>6350</v>
      </c>
      <c r="L1671" s="12"/>
      <c r="M1671" s="12" t="str">
        <f>HYPERLINK("https://ceds.ed.gov/cedselementdetails.aspx?termid=10002")</f>
        <v>https://ceds.ed.gov/cedselementdetails.aspx?termid=10002</v>
      </c>
      <c r="N1671" s="12" t="str">
        <f>HYPERLINK("https://ceds.ed.gov/elementComment.aspx?elementName=Workforce Program Participation End Date &amp;elementID=10002", "Click here to submit comment")</f>
        <v>Click here to submit comment</v>
      </c>
    </row>
    <row r="1672" spans="1:14" ht="180" x14ac:dyDescent="0.25">
      <c r="A1672" s="12" t="s">
        <v>6351</v>
      </c>
      <c r="B1672" s="12" t="s">
        <v>6352</v>
      </c>
      <c r="C1672" s="12" t="s">
        <v>12</v>
      </c>
      <c r="D1672" s="12" t="s">
        <v>6342</v>
      </c>
      <c r="E1672" s="12"/>
      <c r="F1672" s="12" t="s">
        <v>73</v>
      </c>
      <c r="G1672" s="12"/>
      <c r="H1672" s="12" t="s">
        <v>6348</v>
      </c>
      <c r="I1672" s="12" t="s">
        <v>6353</v>
      </c>
      <c r="J1672" s="12"/>
      <c r="K1672" s="12" t="s">
        <v>6354</v>
      </c>
      <c r="L1672" s="12"/>
      <c r="M1672" s="12" t="str">
        <f>HYPERLINK("https://ceds.ed.gov/cedselementdetails.aspx?termid=10001")</f>
        <v>https://ceds.ed.gov/cedselementdetails.aspx?termid=10001</v>
      </c>
      <c r="N1672" s="12" t="str">
        <f>HYPERLINK("https://ceds.ed.gov/elementComment.aspx?elementName=Workforce Program Participation Start Date &amp;elementID=10001", "Click here to submit comment")</f>
        <v>Click here to submit comment</v>
      </c>
    </row>
    <row r="1673" spans="1:14" ht="60" x14ac:dyDescent="0.25">
      <c r="A1673" s="12" t="s">
        <v>6355</v>
      </c>
      <c r="B1673" s="12" t="s">
        <v>6356</v>
      </c>
      <c r="C1673" s="12" t="s">
        <v>12</v>
      </c>
      <c r="D1673" s="12" t="s">
        <v>6357</v>
      </c>
      <c r="E1673" s="12"/>
      <c r="F1673" s="12" t="s">
        <v>2613</v>
      </c>
      <c r="G1673" s="12"/>
      <c r="H1673" s="12"/>
      <c r="I1673" s="12" t="s">
        <v>6358</v>
      </c>
      <c r="J1673" s="12"/>
      <c r="K1673" s="12" t="s">
        <v>6359</v>
      </c>
      <c r="L1673" s="12"/>
      <c r="M1673" s="12" t="str">
        <f>HYPERLINK("https://ceds.ed.gov/cedselementdetails.aspx?termid=9774")</f>
        <v>https://ceds.ed.gov/cedselementdetails.aspx?termid=9774</v>
      </c>
      <c r="N1673" s="12" t="str">
        <f>HYPERLINK("https://ceds.ed.gov/elementComment.aspx?elementName=Years of Prior Adult Education Teaching Experience &amp;elementID=9774", "Click here to submit comment")</f>
        <v>Click here to submit comment</v>
      </c>
    </row>
    <row r="1674" spans="1:14" ht="45" x14ac:dyDescent="0.25">
      <c r="A1674" s="12" t="s">
        <v>6360</v>
      </c>
      <c r="B1674" s="12" t="s">
        <v>6361</v>
      </c>
      <c r="C1674" s="12" t="s">
        <v>12</v>
      </c>
      <c r="D1674" s="12" t="s">
        <v>3219</v>
      </c>
      <c r="E1674" s="12"/>
      <c r="F1674" s="12" t="s">
        <v>1554</v>
      </c>
      <c r="G1674" s="12"/>
      <c r="H1674" s="12"/>
      <c r="I1674" s="12" t="s">
        <v>6362</v>
      </c>
      <c r="J1674" s="12"/>
      <c r="K1674" s="12" t="s">
        <v>6363</v>
      </c>
      <c r="L1674" s="12" t="s">
        <v>1907</v>
      </c>
      <c r="M1674" s="12" t="str">
        <f>HYPERLINK("https://ceds.ed.gov/cedselementdetails.aspx?termid=9302")</f>
        <v>https://ceds.ed.gov/cedselementdetails.aspx?termid=9302</v>
      </c>
      <c r="N1674" s="12" t="str">
        <f>HYPERLINK("https://ceds.ed.gov/elementComment.aspx?elementName=Years of Prior Teaching Experience &amp;elementID=9302", "Click here to submit comment")</f>
        <v>Click here to submit comment</v>
      </c>
    </row>
  </sheetData>
  <autoFilter ref="A1:N1674"/>
  <mergeCells count="1079">
    <mergeCell ref="N1664:N1668"/>
    <mergeCell ref="G1664:G1668"/>
    <mergeCell ref="I1664:I1668"/>
    <mergeCell ref="J1664:J1668"/>
    <mergeCell ref="K1664:K1668"/>
    <mergeCell ref="L1664:L1668"/>
    <mergeCell ref="M1664:M1668"/>
    <mergeCell ref="K1629:K1639"/>
    <mergeCell ref="L1629:L1639"/>
    <mergeCell ref="M1629:M1639"/>
    <mergeCell ref="N1629:N1639"/>
    <mergeCell ref="A1664:A1668"/>
    <mergeCell ref="B1664:B1668"/>
    <mergeCell ref="C1664:C1668"/>
    <mergeCell ref="D1664:D1668"/>
    <mergeCell ref="E1664:E1668"/>
    <mergeCell ref="F1664:F1668"/>
    <mergeCell ref="N1601:N1603"/>
    <mergeCell ref="A1629:A1639"/>
    <mergeCell ref="B1629:B1639"/>
    <mergeCell ref="D1629:D1639"/>
    <mergeCell ref="E1629:E1639"/>
    <mergeCell ref="F1629:F1639"/>
    <mergeCell ref="G1629:G1639"/>
    <mergeCell ref="H1629:H1639"/>
    <mergeCell ref="I1629:I1639"/>
    <mergeCell ref="J1629:J1639"/>
    <mergeCell ref="G1601:G1603"/>
    <mergeCell ref="I1601:I1603"/>
    <mergeCell ref="J1601:J1603"/>
    <mergeCell ref="K1601:K1603"/>
    <mergeCell ref="L1601:L1603"/>
    <mergeCell ref="M1601:M1603"/>
    <mergeCell ref="K1570:K1578"/>
    <mergeCell ref="L1570:L1578"/>
    <mergeCell ref="M1570:M1578"/>
    <mergeCell ref="N1570:N1578"/>
    <mergeCell ref="A1601:A1603"/>
    <mergeCell ref="B1601:B1603"/>
    <mergeCell ref="C1601:C1603"/>
    <mergeCell ref="D1601:D1603"/>
    <mergeCell ref="E1601:E1603"/>
    <mergeCell ref="F1601:F1603"/>
    <mergeCell ref="N1560:N1562"/>
    <mergeCell ref="A1570:A1578"/>
    <mergeCell ref="B1570:B1578"/>
    <mergeCell ref="C1570:C1578"/>
    <mergeCell ref="D1570:D1578"/>
    <mergeCell ref="E1570:E1578"/>
    <mergeCell ref="F1570:F1578"/>
    <mergeCell ref="G1570:G1578"/>
    <mergeCell ref="I1570:I1578"/>
    <mergeCell ref="J1570:J1578"/>
    <mergeCell ref="G1560:G1562"/>
    <mergeCell ref="I1560:I1562"/>
    <mergeCell ref="J1560:J1562"/>
    <mergeCell ref="K1560:K1562"/>
    <mergeCell ref="L1560:L1562"/>
    <mergeCell ref="M1560:M1562"/>
    <mergeCell ref="K1539:K1541"/>
    <mergeCell ref="L1539:L1541"/>
    <mergeCell ref="M1539:M1541"/>
    <mergeCell ref="N1539:N1541"/>
    <mergeCell ref="A1560:A1562"/>
    <mergeCell ref="B1560:B1562"/>
    <mergeCell ref="C1560:C1562"/>
    <mergeCell ref="D1560:D1562"/>
    <mergeCell ref="E1560:E1562"/>
    <mergeCell ref="F1560:F1562"/>
    <mergeCell ref="N1529:N1531"/>
    <mergeCell ref="A1539:A1541"/>
    <mergeCell ref="B1539:B1541"/>
    <mergeCell ref="C1539:C1541"/>
    <mergeCell ref="D1539:D1541"/>
    <mergeCell ref="E1539:E1541"/>
    <mergeCell ref="F1539:F1541"/>
    <mergeCell ref="G1539:G1541"/>
    <mergeCell ref="I1539:I1541"/>
    <mergeCell ref="J1539:J1541"/>
    <mergeCell ref="G1529:G1531"/>
    <mergeCell ref="I1529:I1531"/>
    <mergeCell ref="J1529:J1531"/>
    <mergeCell ref="K1529:K1531"/>
    <mergeCell ref="L1529:L1531"/>
    <mergeCell ref="M1529:M1531"/>
    <mergeCell ref="K1498:K1500"/>
    <mergeCell ref="L1498:L1500"/>
    <mergeCell ref="M1498:M1500"/>
    <mergeCell ref="N1498:N1500"/>
    <mergeCell ref="A1529:A1531"/>
    <mergeCell ref="B1529:B1531"/>
    <mergeCell ref="C1529:C1531"/>
    <mergeCell ref="D1529:D1531"/>
    <mergeCell ref="E1529:E1531"/>
    <mergeCell ref="F1529:F1531"/>
    <mergeCell ref="N1456:N1458"/>
    <mergeCell ref="A1498:A1500"/>
    <mergeCell ref="B1498:B1500"/>
    <mergeCell ref="C1498:C1500"/>
    <mergeCell ref="D1498:D1500"/>
    <mergeCell ref="E1498:E1500"/>
    <mergeCell ref="F1498:F1500"/>
    <mergeCell ref="G1498:G1500"/>
    <mergeCell ref="I1498:I1500"/>
    <mergeCell ref="J1498:J1500"/>
    <mergeCell ref="G1456:G1458"/>
    <mergeCell ref="I1456:I1458"/>
    <mergeCell ref="J1456:J1458"/>
    <mergeCell ref="K1456:K1458"/>
    <mergeCell ref="L1456:L1458"/>
    <mergeCell ref="M1456:M1458"/>
    <mergeCell ref="K1430:K1432"/>
    <mergeCell ref="L1430:L1432"/>
    <mergeCell ref="M1430:M1432"/>
    <mergeCell ref="N1430:N1432"/>
    <mergeCell ref="A1456:A1458"/>
    <mergeCell ref="B1456:B1458"/>
    <mergeCell ref="C1456:C1458"/>
    <mergeCell ref="D1456:D1458"/>
    <mergeCell ref="E1456:E1458"/>
    <mergeCell ref="F1456:F1458"/>
    <mergeCell ref="N1413:N1415"/>
    <mergeCell ref="A1430:A1432"/>
    <mergeCell ref="B1430:B1432"/>
    <mergeCell ref="C1430:C1432"/>
    <mergeCell ref="D1430:D1432"/>
    <mergeCell ref="E1430:E1432"/>
    <mergeCell ref="F1430:F1432"/>
    <mergeCell ref="G1430:G1432"/>
    <mergeCell ref="I1430:I1432"/>
    <mergeCell ref="J1430:J1432"/>
    <mergeCell ref="G1413:G1415"/>
    <mergeCell ref="I1413:I1415"/>
    <mergeCell ref="J1413:J1415"/>
    <mergeCell ref="K1413:K1415"/>
    <mergeCell ref="L1413:L1415"/>
    <mergeCell ref="M1413:M1415"/>
    <mergeCell ref="K1406:K1410"/>
    <mergeCell ref="L1406:L1410"/>
    <mergeCell ref="M1406:M1410"/>
    <mergeCell ref="N1406:N1410"/>
    <mergeCell ref="A1413:A1415"/>
    <mergeCell ref="B1413:B1415"/>
    <mergeCell ref="C1413:C1415"/>
    <mergeCell ref="D1413:D1415"/>
    <mergeCell ref="E1413:E1415"/>
    <mergeCell ref="F1413:F1415"/>
    <mergeCell ref="N1402:N1404"/>
    <mergeCell ref="A1406:A1410"/>
    <mergeCell ref="B1406:B1410"/>
    <mergeCell ref="C1406:C1410"/>
    <mergeCell ref="D1406:D1410"/>
    <mergeCell ref="E1406:E1410"/>
    <mergeCell ref="F1406:F1410"/>
    <mergeCell ref="G1406:G1410"/>
    <mergeCell ref="I1406:I1410"/>
    <mergeCell ref="J1406:J1410"/>
    <mergeCell ref="G1402:G1404"/>
    <mergeCell ref="I1402:I1404"/>
    <mergeCell ref="J1402:J1404"/>
    <mergeCell ref="K1402:K1404"/>
    <mergeCell ref="L1402:L1404"/>
    <mergeCell ref="M1402:M1404"/>
    <mergeCell ref="K1396:K1398"/>
    <mergeCell ref="L1396:L1398"/>
    <mergeCell ref="M1396:M1398"/>
    <mergeCell ref="N1396:N1398"/>
    <mergeCell ref="A1402:A1404"/>
    <mergeCell ref="B1402:B1404"/>
    <mergeCell ref="C1402:C1404"/>
    <mergeCell ref="D1402:D1404"/>
    <mergeCell ref="E1402:E1404"/>
    <mergeCell ref="F1402:F1404"/>
    <mergeCell ref="N1339:N1341"/>
    <mergeCell ref="A1396:A1398"/>
    <mergeCell ref="B1396:B1398"/>
    <mergeCell ref="C1396:C1398"/>
    <mergeCell ref="D1396:D1398"/>
    <mergeCell ref="E1396:E1398"/>
    <mergeCell ref="F1396:F1398"/>
    <mergeCell ref="G1396:G1398"/>
    <mergeCell ref="I1396:I1398"/>
    <mergeCell ref="J1396:J1398"/>
    <mergeCell ref="G1339:G1341"/>
    <mergeCell ref="I1339:I1341"/>
    <mergeCell ref="J1339:J1341"/>
    <mergeCell ref="K1339:K1341"/>
    <mergeCell ref="L1339:L1341"/>
    <mergeCell ref="M1339:M1341"/>
    <mergeCell ref="K1322:K1324"/>
    <mergeCell ref="L1322:L1324"/>
    <mergeCell ref="M1322:M1324"/>
    <mergeCell ref="N1322:N1324"/>
    <mergeCell ref="A1339:A1341"/>
    <mergeCell ref="B1339:B1341"/>
    <mergeCell ref="C1339:C1341"/>
    <mergeCell ref="D1339:D1341"/>
    <mergeCell ref="E1339:E1341"/>
    <mergeCell ref="F1339:F1341"/>
    <mergeCell ref="N1310:N1312"/>
    <mergeCell ref="A1322:A1324"/>
    <mergeCell ref="B1322:B1324"/>
    <mergeCell ref="C1322:C1324"/>
    <mergeCell ref="D1322:D1324"/>
    <mergeCell ref="E1322:E1324"/>
    <mergeCell ref="F1322:F1324"/>
    <mergeCell ref="G1322:G1324"/>
    <mergeCell ref="I1322:I1324"/>
    <mergeCell ref="J1322:J1324"/>
    <mergeCell ref="G1310:G1312"/>
    <mergeCell ref="I1310:I1312"/>
    <mergeCell ref="J1310:J1312"/>
    <mergeCell ref="K1310:K1312"/>
    <mergeCell ref="L1310:L1312"/>
    <mergeCell ref="M1310:M1312"/>
    <mergeCell ref="K1254:K1256"/>
    <mergeCell ref="L1254:L1256"/>
    <mergeCell ref="M1254:M1256"/>
    <mergeCell ref="N1254:N1256"/>
    <mergeCell ref="A1310:A1312"/>
    <mergeCell ref="B1310:B1312"/>
    <mergeCell ref="C1310:C1312"/>
    <mergeCell ref="D1310:D1312"/>
    <mergeCell ref="E1310:E1312"/>
    <mergeCell ref="F1310:F1312"/>
    <mergeCell ref="N1226:N1228"/>
    <mergeCell ref="A1254:A1256"/>
    <mergeCell ref="B1254:B1256"/>
    <mergeCell ref="C1254:C1256"/>
    <mergeCell ref="D1254:D1256"/>
    <mergeCell ref="E1254:E1256"/>
    <mergeCell ref="F1254:F1256"/>
    <mergeCell ref="G1254:G1256"/>
    <mergeCell ref="I1254:I1256"/>
    <mergeCell ref="J1254:J1256"/>
    <mergeCell ref="G1226:G1228"/>
    <mergeCell ref="I1226:I1228"/>
    <mergeCell ref="J1226:J1228"/>
    <mergeCell ref="K1226:K1228"/>
    <mergeCell ref="L1226:L1228"/>
    <mergeCell ref="M1226:M1228"/>
    <mergeCell ref="K1217:K1219"/>
    <mergeCell ref="L1217:L1219"/>
    <mergeCell ref="M1217:M1219"/>
    <mergeCell ref="N1217:N1219"/>
    <mergeCell ref="A1226:A1228"/>
    <mergeCell ref="B1226:B1228"/>
    <mergeCell ref="C1226:C1228"/>
    <mergeCell ref="D1226:D1228"/>
    <mergeCell ref="E1226:E1228"/>
    <mergeCell ref="F1226:F1228"/>
    <mergeCell ref="N1187:N1188"/>
    <mergeCell ref="A1217:A1219"/>
    <mergeCell ref="B1217:B1219"/>
    <mergeCell ref="C1217:C1219"/>
    <mergeCell ref="D1217:D1219"/>
    <mergeCell ref="E1217:E1219"/>
    <mergeCell ref="F1217:F1219"/>
    <mergeCell ref="G1217:G1219"/>
    <mergeCell ref="I1217:I1219"/>
    <mergeCell ref="J1217:J1219"/>
    <mergeCell ref="G1187:G1188"/>
    <mergeCell ref="I1187:I1188"/>
    <mergeCell ref="J1187:J1188"/>
    <mergeCell ref="K1187:K1188"/>
    <mergeCell ref="L1187:L1188"/>
    <mergeCell ref="M1187:M1188"/>
    <mergeCell ref="K1185:K1186"/>
    <mergeCell ref="L1185:L1186"/>
    <mergeCell ref="M1185:M1186"/>
    <mergeCell ref="N1185:N1186"/>
    <mergeCell ref="A1187:A1188"/>
    <mergeCell ref="B1187:B1188"/>
    <mergeCell ref="C1187:C1188"/>
    <mergeCell ref="D1187:D1188"/>
    <mergeCell ref="E1187:E1188"/>
    <mergeCell ref="F1187:F1188"/>
    <mergeCell ref="N1179:N1183"/>
    <mergeCell ref="A1185:A1186"/>
    <mergeCell ref="B1185:B1186"/>
    <mergeCell ref="C1185:C1186"/>
    <mergeCell ref="D1185:D1186"/>
    <mergeCell ref="E1185:E1186"/>
    <mergeCell ref="F1185:F1186"/>
    <mergeCell ref="G1185:G1186"/>
    <mergeCell ref="I1185:I1186"/>
    <mergeCell ref="J1185:J1186"/>
    <mergeCell ref="G1179:G1183"/>
    <mergeCell ref="I1179:I1183"/>
    <mergeCell ref="J1179:J1183"/>
    <mergeCell ref="K1179:K1183"/>
    <mergeCell ref="L1179:L1183"/>
    <mergeCell ref="M1179:M1183"/>
    <mergeCell ref="K1149:K1150"/>
    <mergeCell ref="L1149:L1150"/>
    <mergeCell ref="M1149:M1150"/>
    <mergeCell ref="N1149:N1150"/>
    <mergeCell ref="A1179:A1183"/>
    <mergeCell ref="B1179:B1183"/>
    <mergeCell ref="C1179:C1183"/>
    <mergeCell ref="D1179:D1183"/>
    <mergeCell ref="E1179:E1183"/>
    <mergeCell ref="F1179:F1183"/>
    <mergeCell ref="N1136:N1137"/>
    <mergeCell ref="A1149:A1150"/>
    <mergeCell ref="B1149:B1150"/>
    <mergeCell ref="C1149:C1150"/>
    <mergeCell ref="D1149:D1150"/>
    <mergeCell ref="E1149:E1150"/>
    <mergeCell ref="F1149:F1150"/>
    <mergeCell ref="G1149:G1150"/>
    <mergeCell ref="I1149:I1150"/>
    <mergeCell ref="J1149:J1150"/>
    <mergeCell ref="G1136:G1137"/>
    <mergeCell ref="I1136:I1137"/>
    <mergeCell ref="J1136:J1137"/>
    <mergeCell ref="K1136:K1137"/>
    <mergeCell ref="L1136:L1137"/>
    <mergeCell ref="M1136:M1137"/>
    <mergeCell ref="K1129:K1131"/>
    <mergeCell ref="L1129:L1131"/>
    <mergeCell ref="M1129:M1131"/>
    <mergeCell ref="N1129:N1131"/>
    <mergeCell ref="A1136:A1137"/>
    <mergeCell ref="B1136:B1137"/>
    <mergeCell ref="C1136:C1137"/>
    <mergeCell ref="D1136:D1137"/>
    <mergeCell ref="E1136:E1137"/>
    <mergeCell ref="F1136:F1137"/>
    <mergeCell ref="N1096:N1102"/>
    <mergeCell ref="A1129:A1131"/>
    <mergeCell ref="B1129:B1131"/>
    <mergeCell ref="C1129:C1131"/>
    <mergeCell ref="D1129:D1131"/>
    <mergeCell ref="E1129:E1131"/>
    <mergeCell ref="F1129:F1131"/>
    <mergeCell ref="G1129:G1131"/>
    <mergeCell ref="I1129:I1131"/>
    <mergeCell ref="J1129:J1131"/>
    <mergeCell ref="G1096:G1102"/>
    <mergeCell ref="I1096:I1102"/>
    <mergeCell ref="J1096:J1102"/>
    <mergeCell ref="K1096:K1102"/>
    <mergeCell ref="L1096:L1102"/>
    <mergeCell ref="M1096:M1102"/>
    <mergeCell ref="K1087:K1095"/>
    <mergeCell ref="L1087:L1095"/>
    <mergeCell ref="M1087:M1095"/>
    <mergeCell ref="N1087:N1095"/>
    <mergeCell ref="A1096:A1102"/>
    <mergeCell ref="B1096:B1102"/>
    <mergeCell ref="C1096:C1102"/>
    <mergeCell ref="D1096:D1102"/>
    <mergeCell ref="E1096:E1102"/>
    <mergeCell ref="F1096:F1102"/>
    <mergeCell ref="N1083:N1085"/>
    <mergeCell ref="A1087:A1095"/>
    <mergeCell ref="B1087:B1095"/>
    <mergeCell ref="C1087:C1095"/>
    <mergeCell ref="D1087:D1095"/>
    <mergeCell ref="E1087:E1095"/>
    <mergeCell ref="F1087:F1095"/>
    <mergeCell ref="G1087:G1095"/>
    <mergeCell ref="I1087:I1095"/>
    <mergeCell ref="J1087:J1095"/>
    <mergeCell ref="G1083:G1085"/>
    <mergeCell ref="I1083:I1085"/>
    <mergeCell ref="J1083:J1085"/>
    <mergeCell ref="K1083:K1085"/>
    <mergeCell ref="L1083:L1085"/>
    <mergeCell ref="M1083:M1085"/>
    <mergeCell ref="K1073:K1075"/>
    <mergeCell ref="L1073:L1075"/>
    <mergeCell ref="M1073:M1075"/>
    <mergeCell ref="N1073:N1075"/>
    <mergeCell ref="A1083:A1085"/>
    <mergeCell ref="B1083:B1085"/>
    <mergeCell ref="C1083:C1085"/>
    <mergeCell ref="D1083:D1085"/>
    <mergeCell ref="E1083:E1085"/>
    <mergeCell ref="F1083:F1085"/>
    <mergeCell ref="N1062:N1065"/>
    <mergeCell ref="A1073:A1075"/>
    <mergeCell ref="B1073:B1075"/>
    <mergeCell ref="C1073:C1075"/>
    <mergeCell ref="D1073:D1075"/>
    <mergeCell ref="E1073:E1075"/>
    <mergeCell ref="F1073:F1075"/>
    <mergeCell ref="G1073:G1075"/>
    <mergeCell ref="I1073:I1075"/>
    <mergeCell ref="J1073:J1075"/>
    <mergeCell ref="G1062:G1065"/>
    <mergeCell ref="I1062:I1065"/>
    <mergeCell ref="J1062:J1065"/>
    <mergeCell ref="K1062:K1065"/>
    <mergeCell ref="L1062:L1065"/>
    <mergeCell ref="M1062:M1065"/>
    <mergeCell ref="K1017:K1018"/>
    <mergeCell ref="L1017:L1018"/>
    <mergeCell ref="M1017:M1018"/>
    <mergeCell ref="N1017:N1018"/>
    <mergeCell ref="A1062:A1065"/>
    <mergeCell ref="B1062:B1065"/>
    <mergeCell ref="C1062:C1065"/>
    <mergeCell ref="D1062:D1065"/>
    <mergeCell ref="E1062:E1065"/>
    <mergeCell ref="F1062:F1065"/>
    <mergeCell ref="N963:N965"/>
    <mergeCell ref="A1017:A1018"/>
    <mergeCell ref="B1017:B1018"/>
    <mergeCell ref="C1017:C1018"/>
    <mergeCell ref="D1017:D1018"/>
    <mergeCell ref="E1017:E1018"/>
    <mergeCell ref="F1017:F1018"/>
    <mergeCell ref="G1017:G1018"/>
    <mergeCell ref="I1017:I1018"/>
    <mergeCell ref="J1017:J1018"/>
    <mergeCell ref="G963:G965"/>
    <mergeCell ref="I963:I965"/>
    <mergeCell ref="J963:J965"/>
    <mergeCell ref="K963:K965"/>
    <mergeCell ref="L963:L965"/>
    <mergeCell ref="M963:M965"/>
    <mergeCell ref="K958:K960"/>
    <mergeCell ref="L958:L960"/>
    <mergeCell ref="M958:M960"/>
    <mergeCell ref="N958:N960"/>
    <mergeCell ref="A963:A965"/>
    <mergeCell ref="B963:B965"/>
    <mergeCell ref="C963:C965"/>
    <mergeCell ref="D963:D965"/>
    <mergeCell ref="E963:E965"/>
    <mergeCell ref="F963:F965"/>
    <mergeCell ref="N954:N955"/>
    <mergeCell ref="A958:A960"/>
    <mergeCell ref="B958:B960"/>
    <mergeCell ref="C958:C960"/>
    <mergeCell ref="D958:D960"/>
    <mergeCell ref="E958:E960"/>
    <mergeCell ref="F958:F960"/>
    <mergeCell ref="G958:G960"/>
    <mergeCell ref="I958:I960"/>
    <mergeCell ref="J958:J960"/>
    <mergeCell ref="G954:G955"/>
    <mergeCell ref="I954:I955"/>
    <mergeCell ref="J954:J955"/>
    <mergeCell ref="K954:K955"/>
    <mergeCell ref="L954:L955"/>
    <mergeCell ref="M954:M955"/>
    <mergeCell ref="K888:K890"/>
    <mergeCell ref="L888:L890"/>
    <mergeCell ref="M888:M890"/>
    <mergeCell ref="N888:N890"/>
    <mergeCell ref="A954:A955"/>
    <mergeCell ref="B954:B955"/>
    <mergeCell ref="C954:C955"/>
    <mergeCell ref="D954:D955"/>
    <mergeCell ref="E954:E955"/>
    <mergeCell ref="F954:F955"/>
    <mergeCell ref="N884:N886"/>
    <mergeCell ref="A888:A890"/>
    <mergeCell ref="B888:B890"/>
    <mergeCell ref="C888:C890"/>
    <mergeCell ref="D888:D890"/>
    <mergeCell ref="E888:E890"/>
    <mergeCell ref="F888:F890"/>
    <mergeCell ref="G888:G890"/>
    <mergeCell ref="I888:I890"/>
    <mergeCell ref="J888:J890"/>
    <mergeCell ref="G884:G886"/>
    <mergeCell ref="I884:I886"/>
    <mergeCell ref="J884:J886"/>
    <mergeCell ref="K884:K886"/>
    <mergeCell ref="L884:L886"/>
    <mergeCell ref="M884:M886"/>
    <mergeCell ref="K872:K874"/>
    <mergeCell ref="L872:L874"/>
    <mergeCell ref="M872:M874"/>
    <mergeCell ref="N872:N874"/>
    <mergeCell ref="A884:A886"/>
    <mergeCell ref="B884:B886"/>
    <mergeCell ref="C884:C886"/>
    <mergeCell ref="D884:D886"/>
    <mergeCell ref="E884:E886"/>
    <mergeCell ref="F884:F886"/>
    <mergeCell ref="N866:N868"/>
    <mergeCell ref="A872:A874"/>
    <mergeCell ref="B872:B874"/>
    <mergeCell ref="C872:C874"/>
    <mergeCell ref="D872:D874"/>
    <mergeCell ref="E872:E874"/>
    <mergeCell ref="F872:F874"/>
    <mergeCell ref="G872:G874"/>
    <mergeCell ref="I872:I874"/>
    <mergeCell ref="J872:J874"/>
    <mergeCell ref="G866:G868"/>
    <mergeCell ref="I866:I868"/>
    <mergeCell ref="J866:J868"/>
    <mergeCell ref="K866:K868"/>
    <mergeCell ref="L866:L868"/>
    <mergeCell ref="M866:M868"/>
    <mergeCell ref="K832:K836"/>
    <mergeCell ref="L832:L836"/>
    <mergeCell ref="M832:M836"/>
    <mergeCell ref="N832:N836"/>
    <mergeCell ref="A866:A868"/>
    <mergeCell ref="B866:B868"/>
    <mergeCell ref="C866:C868"/>
    <mergeCell ref="D866:D868"/>
    <mergeCell ref="E866:E868"/>
    <mergeCell ref="F866:F868"/>
    <mergeCell ref="N825:N826"/>
    <mergeCell ref="A832:A836"/>
    <mergeCell ref="B832:B836"/>
    <mergeCell ref="C832:C836"/>
    <mergeCell ref="D832:D836"/>
    <mergeCell ref="E832:E836"/>
    <mergeCell ref="F832:F836"/>
    <mergeCell ref="G832:G836"/>
    <mergeCell ref="I832:I836"/>
    <mergeCell ref="J832:J836"/>
    <mergeCell ref="G825:G826"/>
    <mergeCell ref="I825:I826"/>
    <mergeCell ref="J825:J826"/>
    <mergeCell ref="K825:K826"/>
    <mergeCell ref="L825:L826"/>
    <mergeCell ref="M825:M826"/>
    <mergeCell ref="K796:K797"/>
    <mergeCell ref="L796:L797"/>
    <mergeCell ref="M796:M797"/>
    <mergeCell ref="N796:N797"/>
    <mergeCell ref="A825:A826"/>
    <mergeCell ref="B825:B826"/>
    <mergeCell ref="C825:C826"/>
    <mergeCell ref="D825:D826"/>
    <mergeCell ref="E825:E826"/>
    <mergeCell ref="F825:F826"/>
    <mergeCell ref="N767:N775"/>
    <mergeCell ref="A796:A797"/>
    <mergeCell ref="B796:B797"/>
    <mergeCell ref="C796:C797"/>
    <mergeCell ref="D796:D797"/>
    <mergeCell ref="E796:E797"/>
    <mergeCell ref="F796:F797"/>
    <mergeCell ref="G796:G797"/>
    <mergeCell ref="I796:I797"/>
    <mergeCell ref="J796:J797"/>
    <mergeCell ref="G767:G775"/>
    <mergeCell ref="I767:I775"/>
    <mergeCell ref="J767:J775"/>
    <mergeCell ref="K767:K775"/>
    <mergeCell ref="L767:L775"/>
    <mergeCell ref="M767:M775"/>
    <mergeCell ref="K758:K759"/>
    <mergeCell ref="L758:L759"/>
    <mergeCell ref="M758:M759"/>
    <mergeCell ref="N758:N759"/>
    <mergeCell ref="A767:A775"/>
    <mergeCell ref="B767:B775"/>
    <mergeCell ref="C767:C775"/>
    <mergeCell ref="D767:D775"/>
    <mergeCell ref="E767:E775"/>
    <mergeCell ref="F767:F775"/>
    <mergeCell ref="N756:N757"/>
    <mergeCell ref="A758:A759"/>
    <mergeCell ref="B758:B759"/>
    <mergeCell ref="C758:C759"/>
    <mergeCell ref="D758:D759"/>
    <mergeCell ref="E758:E759"/>
    <mergeCell ref="F758:F759"/>
    <mergeCell ref="G758:G759"/>
    <mergeCell ref="I758:I759"/>
    <mergeCell ref="J758:J759"/>
    <mergeCell ref="G756:G757"/>
    <mergeCell ref="I756:I757"/>
    <mergeCell ref="J756:J757"/>
    <mergeCell ref="K756:K757"/>
    <mergeCell ref="L756:L757"/>
    <mergeCell ref="M756:M757"/>
    <mergeCell ref="K754:K755"/>
    <mergeCell ref="L754:L755"/>
    <mergeCell ref="M754:M755"/>
    <mergeCell ref="N754:N755"/>
    <mergeCell ref="A756:A757"/>
    <mergeCell ref="B756:B757"/>
    <mergeCell ref="C756:C757"/>
    <mergeCell ref="D756:D757"/>
    <mergeCell ref="E756:E757"/>
    <mergeCell ref="F756:F757"/>
    <mergeCell ref="N751:N752"/>
    <mergeCell ref="A754:A755"/>
    <mergeCell ref="B754:B755"/>
    <mergeCell ref="C754:C755"/>
    <mergeCell ref="D754:D755"/>
    <mergeCell ref="E754:E755"/>
    <mergeCell ref="F754:F755"/>
    <mergeCell ref="G754:G755"/>
    <mergeCell ref="I754:I755"/>
    <mergeCell ref="J754:J755"/>
    <mergeCell ref="G751:G752"/>
    <mergeCell ref="I751:I752"/>
    <mergeCell ref="J751:J752"/>
    <mergeCell ref="K751:K752"/>
    <mergeCell ref="L751:L752"/>
    <mergeCell ref="M751:M752"/>
    <mergeCell ref="K743:K745"/>
    <mergeCell ref="L743:L745"/>
    <mergeCell ref="M743:M745"/>
    <mergeCell ref="N743:N745"/>
    <mergeCell ref="A751:A752"/>
    <mergeCell ref="B751:B752"/>
    <mergeCell ref="C751:C752"/>
    <mergeCell ref="D751:D752"/>
    <mergeCell ref="E751:E752"/>
    <mergeCell ref="F751:F752"/>
    <mergeCell ref="N726:N728"/>
    <mergeCell ref="A743:A745"/>
    <mergeCell ref="B743:B745"/>
    <mergeCell ref="C743:C745"/>
    <mergeCell ref="D743:D745"/>
    <mergeCell ref="E743:E745"/>
    <mergeCell ref="F743:F745"/>
    <mergeCell ref="G743:G745"/>
    <mergeCell ref="I743:I745"/>
    <mergeCell ref="J743:J745"/>
    <mergeCell ref="G726:G728"/>
    <mergeCell ref="I726:I728"/>
    <mergeCell ref="J726:J728"/>
    <mergeCell ref="K726:K728"/>
    <mergeCell ref="L726:L728"/>
    <mergeCell ref="M726:M728"/>
    <mergeCell ref="K715:K717"/>
    <mergeCell ref="L715:L717"/>
    <mergeCell ref="M715:M717"/>
    <mergeCell ref="N715:N717"/>
    <mergeCell ref="A726:A728"/>
    <mergeCell ref="B726:B728"/>
    <mergeCell ref="C726:C728"/>
    <mergeCell ref="D726:D728"/>
    <mergeCell ref="E726:E728"/>
    <mergeCell ref="F726:F728"/>
    <mergeCell ref="N646:N648"/>
    <mergeCell ref="A715:A717"/>
    <mergeCell ref="B715:B717"/>
    <mergeCell ref="C715:C717"/>
    <mergeCell ref="D715:D717"/>
    <mergeCell ref="E715:E717"/>
    <mergeCell ref="F715:F717"/>
    <mergeCell ref="G715:G717"/>
    <mergeCell ref="I715:I717"/>
    <mergeCell ref="J715:J717"/>
    <mergeCell ref="G646:G648"/>
    <mergeCell ref="I646:I648"/>
    <mergeCell ref="J646:J648"/>
    <mergeCell ref="K646:K648"/>
    <mergeCell ref="L646:L648"/>
    <mergeCell ref="M646:M648"/>
    <mergeCell ref="K639:K641"/>
    <mergeCell ref="L639:L641"/>
    <mergeCell ref="M639:M641"/>
    <mergeCell ref="N639:N641"/>
    <mergeCell ref="A646:A648"/>
    <mergeCell ref="B646:B648"/>
    <mergeCell ref="C646:C648"/>
    <mergeCell ref="D646:D648"/>
    <mergeCell ref="E646:E648"/>
    <mergeCell ref="F646:F648"/>
    <mergeCell ref="N634:N636"/>
    <mergeCell ref="A639:A641"/>
    <mergeCell ref="B639:B641"/>
    <mergeCell ref="C639:C641"/>
    <mergeCell ref="D639:D641"/>
    <mergeCell ref="E639:E641"/>
    <mergeCell ref="F639:F641"/>
    <mergeCell ref="G639:G641"/>
    <mergeCell ref="I639:I641"/>
    <mergeCell ref="J639:J641"/>
    <mergeCell ref="G634:G636"/>
    <mergeCell ref="I634:I636"/>
    <mergeCell ref="J634:J636"/>
    <mergeCell ref="K634:K636"/>
    <mergeCell ref="L634:L636"/>
    <mergeCell ref="M634:M636"/>
    <mergeCell ref="K594:K596"/>
    <mergeCell ref="L594:L596"/>
    <mergeCell ref="M594:M596"/>
    <mergeCell ref="N594:N596"/>
    <mergeCell ref="A634:A636"/>
    <mergeCell ref="B634:B636"/>
    <mergeCell ref="C634:C636"/>
    <mergeCell ref="D634:D636"/>
    <mergeCell ref="E634:E636"/>
    <mergeCell ref="F634:F636"/>
    <mergeCell ref="N549:N551"/>
    <mergeCell ref="A594:A596"/>
    <mergeCell ref="B594:B596"/>
    <mergeCell ref="C594:C596"/>
    <mergeCell ref="D594:D596"/>
    <mergeCell ref="E594:E596"/>
    <mergeCell ref="F594:F596"/>
    <mergeCell ref="G594:G596"/>
    <mergeCell ref="I594:I596"/>
    <mergeCell ref="J594:J596"/>
    <mergeCell ref="G549:G551"/>
    <mergeCell ref="I549:I551"/>
    <mergeCell ref="J549:J551"/>
    <mergeCell ref="K549:K551"/>
    <mergeCell ref="L549:L551"/>
    <mergeCell ref="M549:M551"/>
    <mergeCell ref="K528:K530"/>
    <mergeCell ref="L528:L530"/>
    <mergeCell ref="M528:M530"/>
    <mergeCell ref="N528:N530"/>
    <mergeCell ref="A549:A551"/>
    <mergeCell ref="B549:B551"/>
    <mergeCell ref="C549:C551"/>
    <mergeCell ref="D549:D551"/>
    <mergeCell ref="E549:E551"/>
    <mergeCell ref="F549:F551"/>
    <mergeCell ref="N483:N485"/>
    <mergeCell ref="A528:A530"/>
    <mergeCell ref="B528:B530"/>
    <mergeCell ref="C528:C530"/>
    <mergeCell ref="D528:D530"/>
    <mergeCell ref="E528:E530"/>
    <mergeCell ref="F528:F530"/>
    <mergeCell ref="G528:G530"/>
    <mergeCell ref="I528:I530"/>
    <mergeCell ref="J528:J530"/>
    <mergeCell ref="G483:G485"/>
    <mergeCell ref="I483:I485"/>
    <mergeCell ref="J483:J485"/>
    <mergeCell ref="K483:K485"/>
    <mergeCell ref="L483:L485"/>
    <mergeCell ref="M483:M485"/>
    <mergeCell ref="K465:K467"/>
    <mergeCell ref="L465:L467"/>
    <mergeCell ref="M465:M467"/>
    <mergeCell ref="N465:N467"/>
    <mergeCell ref="A483:A485"/>
    <mergeCell ref="B483:B485"/>
    <mergeCell ref="C483:C485"/>
    <mergeCell ref="D483:D485"/>
    <mergeCell ref="E483:E485"/>
    <mergeCell ref="F483:F485"/>
    <mergeCell ref="N424:N426"/>
    <mergeCell ref="A465:A467"/>
    <mergeCell ref="B465:B467"/>
    <mergeCell ref="C465:C467"/>
    <mergeCell ref="D465:D467"/>
    <mergeCell ref="E465:E467"/>
    <mergeCell ref="F465:F467"/>
    <mergeCell ref="G465:G467"/>
    <mergeCell ref="I465:I467"/>
    <mergeCell ref="J465:J467"/>
    <mergeCell ref="G424:G426"/>
    <mergeCell ref="I424:I426"/>
    <mergeCell ref="J424:J426"/>
    <mergeCell ref="K424:K426"/>
    <mergeCell ref="L424:L426"/>
    <mergeCell ref="M424:M426"/>
    <mergeCell ref="K419:K423"/>
    <mergeCell ref="L419:L423"/>
    <mergeCell ref="M419:M423"/>
    <mergeCell ref="N419:N423"/>
    <mergeCell ref="A424:A426"/>
    <mergeCell ref="B424:B426"/>
    <mergeCell ref="C424:C426"/>
    <mergeCell ref="D424:D426"/>
    <mergeCell ref="E424:E426"/>
    <mergeCell ref="F424:F426"/>
    <mergeCell ref="N402:N404"/>
    <mergeCell ref="A419:A423"/>
    <mergeCell ref="B419:B423"/>
    <mergeCell ref="C419:C423"/>
    <mergeCell ref="D419:D423"/>
    <mergeCell ref="E419:E423"/>
    <mergeCell ref="F419:F423"/>
    <mergeCell ref="G419:G423"/>
    <mergeCell ref="I419:I423"/>
    <mergeCell ref="J419:J423"/>
    <mergeCell ref="G402:G404"/>
    <mergeCell ref="I402:I404"/>
    <mergeCell ref="J402:J404"/>
    <mergeCell ref="K402:K404"/>
    <mergeCell ref="L402:L404"/>
    <mergeCell ref="M402:M404"/>
    <mergeCell ref="K382:K384"/>
    <mergeCell ref="L382:L384"/>
    <mergeCell ref="M382:M384"/>
    <mergeCell ref="N382:N384"/>
    <mergeCell ref="A402:A404"/>
    <mergeCell ref="B402:B404"/>
    <mergeCell ref="C402:C404"/>
    <mergeCell ref="D402:D404"/>
    <mergeCell ref="E402:E404"/>
    <mergeCell ref="F402:F404"/>
    <mergeCell ref="N366:N370"/>
    <mergeCell ref="A382:A384"/>
    <mergeCell ref="B382:B384"/>
    <mergeCell ref="C382:C384"/>
    <mergeCell ref="D382:D384"/>
    <mergeCell ref="E382:E384"/>
    <mergeCell ref="F382:F384"/>
    <mergeCell ref="G382:G384"/>
    <mergeCell ref="I382:I384"/>
    <mergeCell ref="J382:J384"/>
    <mergeCell ref="G366:G370"/>
    <mergeCell ref="I366:I370"/>
    <mergeCell ref="J366:J370"/>
    <mergeCell ref="K366:K370"/>
    <mergeCell ref="L366:L370"/>
    <mergeCell ref="M366:M370"/>
    <mergeCell ref="K361:K363"/>
    <mergeCell ref="L361:L363"/>
    <mergeCell ref="M361:M363"/>
    <mergeCell ref="N361:N363"/>
    <mergeCell ref="A366:A370"/>
    <mergeCell ref="B366:B370"/>
    <mergeCell ref="C366:C370"/>
    <mergeCell ref="D366:D370"/>
    <mergeCell ref="E366:E370"/>
    <mergeCell ref="F366:F370"/>
    <mergeCell ref="N336:N340"/>
    <mergeCell ref="A361:A363"/>
    <mergeCell ref="B361:B363"/>
    <mergeCell ref="C361:C363"/>
    <mergeCell ref="D361:D363"/>
    <mergeCell ref="E361:E363"/>
    <mergeCell ref="F361:F363"/>
    <mergeCell ref="G361:G363"/>
    <mergeCell ref="I361:I363"/>
    <mergeCell ref="J361:J363"/>
    <mergeCell ref="G336:G340"/>
    <mergeCell ref="I336:I340"/>
    <mergeCell ref="J336:J340"/>
    <mergeCell ref="K336:K340"/>
    <mergeCell ref="L336:L340"/>
    <mergeCell ref="M336:M340"/>
    <mergeCell ref="K322:K326"/>
    <mergeCell ref="L322:L326"/>
    <mergeCell ref="M322:M326"/>
    <mergeCell ref="N322:N326"/>
    <mergeCell ref="A336:A340"/>
    <mergeCell ref="B336:B340"/>
    <mergeCell ref="C336:C340"/>
    <mergeCell ref="D336:D340"/>
    <mergeCell ref="E336:E340"/>
    <mergeCell ref="F336:F340"/>
    <mergeCell ref="N311:N313"/>
    <mergeCell ref="A322:A326"/>
    <mergeCell ref="B322:B326"/>
    <mergeCell ref="C322:C326"/>
    <mergeCell ref="D322:D326"/>
    <mergeCell ref="E322:E326"/>
    <mergeCell ref="F322:F326"/>
    <mergeCell ref="G322:G326"/>
    <mergeCell ref="I322:I326"/>
    <mergeCell ref="J322:J326"/>
    <mergeCell ref="G311:G313"/>
    <mergeCell ref="I311:I313"/>
    <mergeCell ref="J311:J313"/>
    <mergeCell ref="K311:K313"/>
    <mergeCell ref="L311:L313"/>
    <mergeCell ref="M311:M313"/>
    <mergeCell ref="K302:K304"/>
    <mergeCell ref="L302:L304"/>
    <mergeCell ref="M302:M304"/>
    <mergeCell ref="N302:N304"/>
    <mergeCell ref="A311:A313"/>
    <mergeCell ref="B311:B313"/>
    <mergeCell ref="C311:C313"/>
    <mergeCell ref="D311:D313"/>
    <mergeCell ref="E311:E313"/>
    <mergeCell ref="F311:F313"/>
    <mergeCell ref="N214:N216"/>
    <mergeCell ref="A302:A304"/>
    <mergeCell ref="B302:B304"/>
    <mergeCell ref="C302:C304"/>
    <mergeCell ref="D302:D304"/>
    <mergeCell ref="E302:E304"/>
    <mergeCell ref="F302:F304"/>
    <mergeCell ref="G302:G304"/>
    <mergeCell ref="I302:I304"/>
    <mergeCell ref="J302:J304"/>
    <mergeCell ref="G214:G216"/>
    <mergeCell ref="I214:I216"/>
    <mergeCell ref="J214:J216"/>
    <mergeCell ref="K214:K216"/>
    <mergeCell ref="L214:L216"/>
    <mergeCell ref="M214:M216"/>
    <mergeCell ref="K184:K186"/>
    <mergeCell ref="L184:L186"/>
    <mergeCell ref="M184:M186"/>
    <mergeCell ref="N184:N186"/>
    <mergeCell ref="A214:A216"/>
    <mergeCell ref="B214:B216"/>
    <mergeCell ref="C214:C216"/>
    <mergeCell ref="D214:D216"/>
    <mergeCell ref="E214:E216"/>
    <mergeCell ref="F214:F216"/>
    <mergeCell ref="N171:N173"/>
    <mergeCell ref="A184:A186"/>
    <mergeCell ref="B184:B186"/>
    <mergeCell ref="C184:C186"/>
    <mergeCell ref="D184:D186"/>
    <mergeCell ref="E184:E186"/>
    <mergeCell ref="F184:F186"/>
    <mergeCell ref="G184:G186"/>
    <mergeCell ref="I184:I186"/>
    <mergeCell ref="J184:J186"/>
    <mergeCell ref="G171:G173"/>
    <mergeCell ref="I171:I173"/>
    <mergeCell ref="J171:J173"/>
    <mergeCell ref="K171:K173"/>
    <mergeCell ref="L171:L173"/>
    <mergeCell ref="M171:M173"/>
    <mergeCell ref="K167:K169"/>
    <mergeCell ref="L167:L169"/>
    <mergeCell ref="M167:M169"/>
    <mergeCell ref="N167:N169"/>
    <mergeCell ref="A171:A173"/>
    <mergeCell ref="B171:B173"/>
    <mergeCell ref="C171:C173"/>
    <mergeCell ref="D171:D173"/>
    <mergeCell ref="E171:E173"/>
    <mergeCell ref="F171:F173"/>
    <mergeCell ref="N152:N154"/>
    <mergeCell ref="A167:A169"/>
    <mergeCell ref="B167:B169"/>
    <mergeCell ref="C167:C169"/>
    <mergeCell ref="D167:D169"/>
    <mergeCell ref="E167:E169"/>
    <mergeCell ref="F167:F169"/>
    <mergeCell ref="G167:G169"/>
    <mergeCell ref="I167:I169"/>
    <mergeCell ref="J167:J169"/>
    <mergeCell ref="G152:G154"/>
    <mergeCell ref="I152:I154"/>
    <mergeCell ref="J152:J154"/>
    <mergeCell ref="K152:K154"/>
    <mergeCell ref="L152:L154"/>
    <mergeCell ref="M152:M154"/>
    <mergeCell ref="K149:K151"/>
    <mergeCell ref="L149:L151"/>
    <mergeCell ref="M149:M151"/>
    <mergeCell ref="N149:N151"/>
    <mergeCell ref="A152:A154"/>
    <mergeCell ref="B152:B154"/>
    <mergeCell ref="C152:C154"/>
    <mergeCell ref="D152:D154"/>
    <mergeCell ref="E152:E154"/>
    <mergeCell ref="F152:F154"/>
    <mergeCell ref="N142:N144"/>
    <mergeCell ref="A149:A151"/>
    <mergeCell ref="B149:B151"/>
    <mergeCell ref="C149:C151"/>
    <mergeCell ref="D149:D151"/>
    <mergeCell ref="E149:E151"/>
    <mergeCell ref="F149:F151"/>
    <mergeCell ref="G149:G151"/>
    <mergeCell ref="I149:I151"/>
    <mergeCell ref="J149:J151"/>
    <mergeCell ref="G142:G144"/>
    <mergeCell ref="I142:I144"/>
    <mergeCell ref="J142:J144"/>
    <mergeCell ref="K142:K144"/>
    <mergeCell ref="L142:L144"/>
    <mergeCell ref="M142:M144"/>
    <mergeCell ref="K136:K140"/>
    <mergeCell ref="L136:L140"/>
    <mergeCell ref="M136:M140"/>
    <mergeCell ref="N136:N140"/>
    <mergeCell ref="A142:A144"/>
    <mergeCell ref="B142:B144"/>
    <mergeCell ref="C142:C144"/>
    <mergeCell ref="D142:D144"/>
    <mergeCell ref="E142:E144"/>
    <mergeCell ref="F142:F144"/>
    <mergeCell ref="N125:N131"/>
    <mergeCell ref="A136:A140"/>
    <mergeCell ref="B136:B140"/>
    <mergeCell ref="C136:C140"/>
    <mergeCell ref="D136:D140"/>
    <mergeCell ref="E136:E140"/>
    <mergeCell ref="F136:F140"/>
    <mergeCell ref="G136:G140"/>
    <mergeCell ref="I136:I140"/>
    <mergeCell ref="J136:J140"/>
    <mergeCell ref="G125:G131"/>
    <mergeCell ref="I125:I131"/>
    <mergeCell ref="J125:J131"/>
    <mergeCell ref="K125:K131"/>
    <mergeCell ref="L125:L131"/>
    <mergeCell ref="M125:M131"/>
    <mergeCell ref="K115:K117"/>
    <mergeCell ref="L115:L117"/>
    <mergeCell ref="M115:M117"/>
    <mergeCell ref="N115:N117"/>
    <mergeCell ref="A125:A131"/>
    <mergeCell ref="B125:B131"/>
    <mergeCell ref="C125:C131"/>
    <mergeCell ref="D125:D131"/>
    <mergeCell ref="E125:E131"/>
    <mergeCell ref="F125:F131"/>
    <mergeCell ref="N94:N98"/>
    <mergeCell ref="A115:A117"/>
    <mergeCell ref="B115:B117"/>
    <mergeCell ref="C115:C117"/>
    <mergeCell ref="D115:D117"/>
    <mergeCell ref="E115:E117"/>
    <mergeCell ref="F115:F117"/>
    <mergeCell ref="G115:G117"/>
    <mergeCell ref="I115:I117"/>
    <mergeCell ref="J115:J117"/>
    <mergeCell ref="G94:G98"/>
    <mergeCell ref="I94:I98"/>
    <mergeCell ref="J94:J98"/>
    <mergeCell ref="K94:K98"/>
    <mergeCell ref="L94:L98"/>
    <mergeCell ref="M94:M98"/>
    <mergeCell ref="K82:K86"/>
    <mergeCell ref="L82:L86"/>
    <mergeCell ref="M82:M86"/>
    <mergeCell ref="N82:N86"/>
    <mergeCell ref="A94:A98"/>
    <mergeCell ref="B94:B98"/>
    <mergeCell ref="C94:C98"/>
    <mergeCell ref="D94:D98"/>
    <mergeCell ref="E94:E98"/>
    <mergeCell ref="F94:F98"/>
    <mergeCell ref="N72:N74"/>
    <mergeCell ref="A82:A86"/>
    <mergeCell ref="B82:B86"/>
    <mergeCell ref="C82:C86"/>
    <mergeCell ref="D82:D86"/>
    <mergeCell ref="E82:E86"/>
    <mergeCell ref="F82:F86"/>
    <mergeCell ref="G82:G86"/>
    <mergeCell ref="I82:I86"/>
    <mergeCell ref="J82:J86"/>
    <mergeCell ref="G72:G74"/>
    <mergeCell ref="I72:I74"/>
    <mergeCell ref="J72:J74"/>
    <mergeCell ref="K72:K74"/>
    <mergeCell ref="L72:L74"/>
    <mergeCell ref="M72:M74"/>
    <mergeCell ref="K61:K63"/>
    <mergeCell ref="L61:L63"/>
    <mergeCell ref="M61:M63"/>
    <mergeCell ref="N61:N63"/>
    <mergeCell ref="A72:A74"/>
    <mergeCell ref="B72:B74"/>
    <mergeCell ref="C72:C74"/>
    <mergeCell ref="D72:D74"/>
    <mergeCell ref="E72:E74"/>
    <mergeCell ref="F72:F74"/>
    <mergeCell ref="N30:N32"/>
    <mergeCell ref="A61:A63"/>
    <mergeCell ref="B61:B63"/>
    <mergeCell ref="C61:C63"/>
    <mergeCell ref="D61:D63"/>
    <mergeCell ref="E61:E63"/>
    <mergeCell ref="F61:F63"/>
    <mergeCell ref="G61:G63"/>
    <mergeCell ref="I61:I63"/>
    <mergeCell ref="J61:J63"/>
    <mergeCell ref="G30:G32"/>
    <mergeCell ref="I30:I32"/>
    <mergeCell ref="J30:J32"/>
    <mergeCell ref="K30:K32"/>
    <mergeCell ref="L30:L32"/>
    <mergeCell ref="M30:M32"/>
    <mergeCell ref="A30:A32"/>
    <mergeCell ref="B30:B32"/>
    <mergeCell ref="C30:C32"/>
    <mergeCell ref="D30:D32"/>
    <mergeCell ref="E30:E32"/>
    <mergeCell ref="F30:F32"/>
  </mergeCells>
  <hyperlinks>
    <hyperlink ref="C263" r:id="rId1" display="iso639-2LanguageCode.aspx"/>
    <hyperlink ref="H263" r:id="rId2" display="http://www.loc.gov/standards/iso639-2/langhome.html"/>
    <hyperlink ref="C276" r:id="rId3" display="iso639-2LanguageCode.aspx"/>
    <hyperlink ref="H276" r:id="rId4" display="http://www.loc.gov/standards/iso639-2/langhome.html"/>
    <hyperlink ref="C277" r:id="rId5" display="iso639-2LanguageCode.aspx"/>
    <hyperlink ref="H277" r:id="rId6" display="http://www.loc.gov/standards/iso639-2/langhome.html"/>
    <hyperlink ref="C278" r:id="rId7" display="iso639-2LanguageCode.aspx"/>
    <hyperlink ref="H278" r:id="rId8" display="http://www.loc.gov/standards/iso639-2/langhome.html"/>
    <hyperlink ref="C305" r:id="rId9" display="iso639-2LanguageCode.aspx"/>
    <hyperlink ref="H305" r:id="rId10" display="http://www.loc.gov/standards/iso639-2/langhome.html"/>
    <hyperlink ref="C480" r:id="rId11" display="http://nces.ed.gov/ipeds/cipcode/browse.aspx?y=55"/>
    <hyperlink ref="H505" r:id="rId12" display="http://www.iso.org/iso/country_codes.htm"/>
    <hyperlink ref="H506" r:id="rId13" display="http://www.iso.org/iso/country_codes.htm"/>
    <hyperlink ref="H624" r:id="rId14" display="http://degreeprofile.org/"/>
    <hyperlink ref="H734" r:id="rId15" display="http://nces.ed.gov/pubs2015/fin_acct/chapter6_3.asp"/>
    <hyperlink ref="H737" r:id="rId16" display="http://nces.ed.gov/pubs2015/fin_acct/chapter6_1.asp"/>
    <hyperlink ref="H740" r:id="rId17" display="http://nces.ed.gov/pubs2015/fin_acct/chapter6_2.asp"/>
    <hyperlink ref="H743" r:id="rId18" display="http://nces.ed.gov/pubs2015/fin_acct/chapter6_4.asp"/>
    <hyperlink ref="H764" r:id="rId19" display="http://nces.ed.gov/pubs2015/fin_acct/chapter6_5.asp"/>
    <hyperlink ref="H765" r:id="rId20" display="http://nces.ed.gov/pubs2015/fin_acct/chapter6_8.asp"/>
    <hyperlink ref="H766" r:id="rId21" display="http://nces.ed.gov/pubs2015/fin_acct/chapter6_6.asp"/>
    <hyperlink ref="H767" r:id="rId22" display="http://nces.ed.gov/pubs2015/fin_acct/chapter6_7.asp"/>
    <hyperlink ref="H853" r:id="rId23"/>
    <hyperlink ref="C921" r:id="rId24" display="iso639-2LanguageCode.aspx"/>
    <hyperlink ref="H921" r:id="rId25" display="http://www.loc.gov/standards/iso639-2/langhome.html"/>
    <hyperlink ref="C942" r:id="rId26" display="iso639-2LanguageCode.aspx"/>
    <hyperlink ref="H942" r:id="rId27" display="http://www.loc.gov/standards/iso639-2/langhome.html"/>
    <hyperlink ref="C943" r:id="rId28" display="iso639-3LanguageCode.aspx"/>
    <hyperlink ref="H943" r:id="rId29" display="http://www-01.sil.org/iso639-3/default.asp"/>
    <hyperlink ref="H944" r:id="rId30" display="http://www.loc.gov/standards/iso639-5/index.html"/>
    <hyperlink ref="H967" r:id="rId31" display="https://w3id.org/xapi/adl"/>
    <hyperlink ref="C974" r:id="rId32" display="iso639-2LanguageCode.aspx"/>
    <hyperlink ref="H974" r:id="rId33" display="http://www.loc.gov/standards/iso639-2/langhome.html"/>
    <hyperlink ref="C1017" r:id="rId34" display="iso639-2LanguageCode.aspx"/>
    <hyperlink ref="H1017" r:id="rId35" display="http://www.loc.gov/standards/iso639-2/langhome.html"/>
    <hyperlink ref="C1044" r:id="rId36" display="iso639-2LanguageCode.aspx"/>
    <hyperlink ref="H1044" r:id="rId37" display="http://www.loc.gov/standards/iso639-2/langhome.html"/>
    <hyperlink ref="C1076" r:id="rId38" display="iso639-2LanguageCode.aspx"/>
    <hyperlink ref="H1076" r:id="rId39" display="http://www.loc.gov/standards/iso639-2/langhome.html"/>
    <hyperlink ref="C1325" r:id="rId40" display="iso639-2LanguageCode.aspx"/>
    <hyperlink ref="H1325" r:id="rId41" display="http://www.loc.gov/standards/iso639-2/langhome.html"/>
    <hyperlink ref="H1367" r:id="rId42" display="http://www.iso.org/iso/country_codes.htm"/>
    <hyperlink ref="C1450" r:id="rId43" display="ScedCourseCodes.aspx"/>
  </hyperlinks>
  <pageMargins left="0.75" right="0.75" top="1" bottom="1" header="0.5" footer="0.5"/>
  <pageSetup orientation="portrait" r:id="rId4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57"/>
  <sheetViews>
    <sheetView showGridLines="0" workbookViewId="0">
      <selection activeCell="A2" sqref="A2"/>
    </sheetView>
  </sheetViews>
  <sheetFormatPr defaultRowHeight="15" x14ac:dyDescent="0.25"/>
  <cols>
    <col min="1" max="1" width="27.7109375" bestFit="1" customWidth="1"/>
    <col min="2" max="2" width="29.85546875" bestFit="1" customWidth="1"/>
    <col min="3" max="3" width="36.5703125" bestFit="1" customWidth="1"/>
    <col min="4" max="4" width="13.42578125" bestFit="1" customWidth="1"/>
    <col min="5" max="8" width="36.5703125" bestFit="1" customWidth="1"/>
    <col min="9" max="9" width="17.85546875" bestFit="1" customWidth="1"/>
    <col min="10" max="10" width="36.5703125" bestFit="1" customWidth="1"/>
    <col min="12" max="12" width="36.5703125" bestFit="1" customWidth="1"/>
    <col min="14" max="15" width="36.5703125" bestFit="1" customWidth="1"/>
    <col min="16" max="16" width="28.5703125" customWidth="1"/>
    <col min="17" max="17" width="24.5703125" bestFit="1" customWidth="1"/>
  </cols>
  <sheetData>
    <row r="1" spans="1:17" s="11" customFormat="1" ht="30" x14ac:dyDescent="0.25">
      <c r="A1" s="9" t="s">
        <v>7367</v>
      </c>
      <c r="B1" s="9" t="s">
        <v>7368</v>
      </c>
      <c r="C1" s="9" t="s">
        <v>7369</v>
      </c>
      <c r="D1" s="9" t="s">
        <v>7370</v>
      </c>
      <c r="E1" s="9" t="s">
        <v>6703</v>
      </c>
      <c r="F1" s="9" t="s">
        <v>6704</v>
      </c>
      <c r="G1" s="9" t="s">
        <v>6705</v>
      </c>
      <c r="H1" s="9" t="s">
        <v>7371</v>
      </c>
      <c r="I1" s="9" t="s">
        <v>7372</v>
      </c>
      <c r="J1" s="9" t="s">
        <v>6708</v>
      </c>
      <c r="K1" s="9" t="s">
        <v>6709</v>
      </c>
      <c r="L1" s="9" t="s">
        <v>6710</v>
      </c>
      <c r="M1" s="10" t="s">
        <v>6711</v>
      </c>
      <c r="N1" s="9" t="s">
        <v>6712</v>
      </c>
      <c r="O1" s="9" t="s">
        <v>6713</v>
      </c>
      <c r="P1" s="9" t="s">
        <v>6715</v>
      </c>
      <c r="Q1" s="9" t="s">
        <v>7373</v>
      </c>
    </row>
    <row r="2" spans="1:17" ht="195" x14ac:dyDescent="0.25">
      <c r="A2" s="12" t="s">
        <v>7169</v>
      </c>
      <c r="B2" s="12" t="s">
        <v>7170</v>
      </c>
      <c r="C2" s="12" t="s">
        <v>7171</v>
      </c>
      <c r="D2" s="12" t="s">
        <v>7172</v>
      </c>
      <c r="E2" s="12" t="s">
        <v>3017</v>
      </c>
      <c r="F2" s="12" t="s">
        <v>3018</v>
      </c>
      <c r="G2" s="12" t="s">
        <v>12</v>
      </c>
      <c r="H2" s="12" t="s">
        <v>6540</v>
      </c>
      <c r="I2" s="12"/>
      <c r="J2" s="12" t="s">
        <v>1349</v>
      </c>
      <c r="K2" s="12"/>
      <c r="L2" s="12" t="s">
        <v>3019</v>
      </c>
      <c r="M2" s="12" t="s">
        <v>3020</v>
      </c>
      <c r="N2" s="12"/>
      <c r="O2" s="12" t="s">
        <v>3021</v>
      </c>
      <c r="P2" s="12" t="str">
        <f>HYPERLINK("https://ceds.ed.gov/cedselementdetails.aspx?termid=9115")</f>
        <v>https://ceds.ed.gov/cedselementdetails.aspx?termid=9115</v>
      </c>
      <c r="Q2" s="12" t="str">
        <f>HYPERLINK("https://ceds.ed.gov/elementComment.aspx?elementName=First Name &amp;elementID=9115", "Click here to submit comment")</f>
        <v>Click here to submit comment</v>
      </c>
    </row>
    <row r="3" spans="1:17" x14ac:dyDescent="0.25">
      <c r="A3" s="18" t="s">
        <v>7169</v>
      </c>
      <c r="B3" s="18" t="s">
        <v>7170</v>
      </c>
      <c r="C3" s="18" t="s">
        <v>7171</v>
      </c>
      <c r="D3" s="18" t="s">
        <v>7172</v>
      </c>
      <c r="E3" s="18" t="s">
        <v>4405</v>
      </c>
      <c r="F3" s="18" t="s">
        <v>4406</v>
      </c>
      <c r="G3" s="18" t="s">
        <v>12</v>
      </c>
      <c r="H3" s="18" t="s">
        <v>6540</v>
      </c>
      <c r="I3" s="18"/>
      <c r="J3" s="18" t="s">
        <v>1349</v>
      </c>
      <c r="K3" s="18"/>
      <c r="L3" s="12" t="s">
        <v>3078</v>
      </c>
      <c r="M3" s="18" t="s">
        <v>4407</v>
      </c>
      <c r="N3" s="18"/>
      <c r="O3" s="18" t="s">
        <v>4408</v>
      </c>
      <c r="P3" s="18" t="str">
        <f>HYPERLINK("https://ceds.ed.gov/cedselementdetails.aspx?termid=9184")</f>
        <v>https://ceds.ed.gov/cedselementdetails.aspx?termid=9184</v>
      </c>
      <c r="Q3" s="18" t="str">
        <f>HYPERLINK("https://ceds.ed.gov/elementComment.aspx?elementName=Middle Name &amp;elementID=9184", "Click here to submit comment")</f>
        <v>Click here to submit comment</v>
      </c>
    </row>
    <row r="4" spans="1:17" ht="90" x14ac:dyDescent="0.25">
      <c r="A4" s="18"/>
      <c r="B4" s="18"/>
      <c r="C4" s="18"/>
      <c r="D4" s="18"/>
      <c r="E4" s="18"/>
      <c r="F4" s="18"/>
      <c r="G4" s="18"/>
      <c r="H4" s="18"/>
      <c r="I4" s="18"/>
      <c r="J4" s="18"/>
      <c r="K4" s="18"/>
      <c r="L4" s="12" t="s">
        <v>3079</v>
      </c>
      <c r="M4" s="18"/>
      <c r="N4" s="18"/>
      <c r="O4" s="18"/>
      <c r="P4" s="18"/>
      <c r="Q4" s="18"/>
    </row>
    <row r="5" spans="1:17" x14ac:dyDescent="0.25">
      <c r="A5" s="18" t="s">
        <v>7169</v>
      </c>
      <c r="B5" s="18" t="s">
        <v>7170</v>
      </c>
      <c r="C5" s="18" t="s">
        <v>7171</v>
      </c>
      <c r="D5" s="18" t="s">
        <v>7172</v>
      </c>
      <c r="E5" s="18" t="s">
        <v>3684</v>
      </c>
      <c r="F5" s="18" t="s">
        <v>3685</v>
      </c>
      <c r="G5" s="18" t="s">
        <v>12</v>
      </c>
      <c r="H5" s="18" t="s">
        <v>6540</v>
      </c>
      <c r="I5" s="18"/>
      <c r="J5" s="18" t="s">
        <v>1349</v>
      </c>
      <c r="K5" s="18"/>
      <c r="L5" s="12" t="s">
        <v>3078</v>
      </c>
      <c r="M5" s="18" t="s">
        <v>3686</v>
      </c>
      <c r="N5" s="18" t="s">
        <v>3687</v>
      </c>
      <c r="O5" s="18" t="s">
        <v>3688</v>
      </c>
      <c r="P5" s="18" t="str">
        <f>HYPERLINK("https://ceds.ed.gov/cedselementdetails.aspx?termid=9172")</f>
        <v>https://ceds.ed.gov/cedselementdetails.aspx?termid=9172</v>
      </c>
      <c r="Q5" s="18" t="str">
        <f>HYPERLINK("https://ceds.ed.gov/elementComment.aspx?elementName=Last or Surname &amp;elementID=9172", "Click here to submit comment")</f>
        <v>Click here to submit comment</v>
      </c>
    </row>
    <row r="6" spans="1:17" ht="90" x14ac:dyDescent="0.25">
      <c r="A6" s="18"/>
      <c r="B6" s="18"/>
      <c r="C6" s="18"/>
      <c r="D6" s="18"/>
      <c r="E6" s="18"/>
      <c r="F6" s="18"/>
      <c r="G6" s="18"/>
      <c r="H6" s="18"/>
      <c r="I6" s="18"/>
      <c r="J6" s="18"/>
      <c r="K6" s="18"/>
      <c r="L6" s="12" t="s">
        <v>3079</v>
      </c>
      <c r="M6" s="18"/>
      <c r="N6" s="18"/>
      <c r="O6" s="18"/>
      <c r="P6" s="18"/>
      <c r="Q6" s="18"/>
    </row>
    <row r="7" spans="1:17" x14ac:dyDescent="0.25">
      <c r="A7" s="18" t="s">
        <v>7169</v>
      </c>
      <c r="B7" s="18" t="s">
        <v>7170</v>
      </c>
      <c r="C7" s="18" t="s">
        <v>7171</v>
      </c>
      <c r="D7" s="18" t="s">
        <v>7172</v>
      </c>
      <c r="E7" s="18" t="s">
        <v>3076</v>
      </c>
      <c r="F7" s="18" t="s">
        <v>3077</v>
      </c>
      <c r="G7" s="18" t="s">
        <v>12</v>
      </c>
      <c r="H7" s="18" t="s">
        <v>6543</v>
      </c>
      <c r="I7" s="18"/>
      <c r="J7" s="18" t="s">
        <v>2143</v>
      </c>
      <c r="K7" s="18"/>
      <c r="L7" s="12" t="s">
        <v>3078</v>
      </c>
      <c r="M7" s="18" t="s">
        <v>3080</v>
      </c>
      <c r="N7" s="18"/>
      <c r="O7" s="18" t="s">
        <v>3081</v>
      </c>
      <c r="P7" s="18" t="str">
        <f>HYPERLINK("https://ceds.ed.gov/cedselementdetails.aspx?termid=9121")</f>
        <v>https://ceds.ed.gov/cedselementdetails.aspx?termid=9121</v>
      </c>
      <c r="Q7" s="18" t="str">
        <f>HYPERLINK("https://ceds.ed.gov/elementComment.aspx?elementName=Generation Code or Suffix &amp;elementID=9121", "Click here to submit comment")</f>
        <v>Click here to submit comment</v>
      </c>
    </row>
    <row r="8" spans="1:17" ht="90" x14ac:dyDescent="0.25">
      <c r="A8" s="18"/>
      <c r="B8" s="18"/>
      <c r="C8" s="18"/>
      <c r="D8" s="18"/>
      <c r="E8" s="18"/>
      <c r="F8" s="18"/>
      <c r="G8" s="18"/>
      <c r="H8" s="18"/>
      <c r="I8" s="18"/>
      <c r="J8" s="18"/>
      <c r="K8" s="18"/>
      <c r="L8" s="12" t="s">
        <v>3079</v>
      </c>
      <c r="M8" s="18"/>
      <c r="N8" s="18"/>
      <c r="O8" s="18"/>
      <c r="P8" s="18"/>
      <c r="Q8" s="18"/>
    </row>
    <row r="9" spans="1:17" ht="165" x14ac:dyDescent="0.25">
      <c r="A9" s="12" t="s">
        <v>7169</v>
      </c>
      <c r="B9" s="12" t="s">
        <v>7170</v>
      </c>
      <c r="C9" s="12" t="s">
        <v>7173</v>
      </c>
      <c r="D9" s="12" t="s">
        <v>7172</v>
      </c>
      <c r="E9" s="12" t="s">
        <v>4724</v>
      </c>
      <c r="F9" s="12" t="s">
        <v>4725</v>
      </c>
      <c r="G9" s="13" t="s">
        <v>7046</v>
      </c>
      <c r="H9" s="12" t="s">
        <v>6619</v>
      </c>
      <c r="I9" s="12"/>
      <c r="J9" s="12" t="s">
        <v>92</v>
      </c>
      <c r="K9" s="12"/>
      <c r="L9" s="12"/>
      <c r="M9" s="12" t="s">
        <v>4726</v>
      </c>
      <c r="N9" s="12"/>
      <c r="O9" s="12" t="s">
        <v>4727</v>
      </c>
      <c r="P9" s="12" t="str">
        <f>HYPERLINK("https://ceds.ed.gov/cedselementdetails.aspx?termid=9627")</f>
        <v>https://ceds.ed.gov/cedselementdetails.aspx?termid=9627</v>
      </c>
      <c r="Q9" s="12" t="str">
        <f>HYPERLINK("https://ceds.ed.gov/elementComment.aspx?elementName=Other Name Type &amp;elementID=9627", "Click here to submit comment")</f>
        <v>Click here to submit comment</v>
      </c>
    </row>
    <row r="10" spans="1:17" ht="30" x14ac:dyDescent="0.25">
      <c r="A10" s="12" t="s">
        <v>7169</v>
      </c>
      <c r="B10" s="12" t="s">
        <v>7170</v>
      </c>
      <c r="C10" s="12" t="s">
        <v>7173</v>
      </c>
      <c r="D10" s="12" t="s">
        <v>7172</v>
      </c>
      <c r="E10" s="12" t="s">
        <v>4705</v>
      </c>
      <c r="F10" s="12" t="s">
        <v>4706</v>
      </c>
      <c r="G10" s="12" t="s">
        <v>12</v>
      </c>
      <c r="H10" s="12"/>
      <c r="I10" s="12"/>
      <c r="J10" s="12" t="s">
        <v>1349</v>
      </c>
      <c r="K10" s="12"/>
      <c r="L10" s="12" t="s">
        <v>4707</v>
      </c>
      <c r="M10" s="12" t="s">
        <v>4708</v>
      </c>
      <c r="N10" s="12"/>
      <c r="O10" s="12" t="s">
        <v>4709</v>
      </c>
      <c r="P10" s="12" t="str">
        <f>HYPERLINK("https://ceds.ed.gov/cedselementdetails.aspx?termid=10486")</f>
        <v>https://ceds.ed.gov/cedselementdetails.aspx?termid=10486</v>
      </c>
      <c r="Q10" s="12" t="str">
        <f>HYPERLINK("https://ceds.ed.gov/elementComment.aspx?elementName=Other First Name &amp;elementID=10486", "Click here to submit comment")</f>
        <v>Click here to submit comment</v>
      </c>
    </row>
    <row r="11" spans="1:17" ht="30" x14ac:dyDescent="0.25">
      <c r="A11" s="12" t="s">
        <v>7169</v>
      </c>
      <c r="B11" s="12" t="s">
        <v>7170</v>
      </c>
      <c r="C11" s="12" t="s">
        <v>7173</v>
      </c>
      <c r="D11" s="12" t="s">
        <v>7172</v>
      </c>
      <c r="E11" s="12" t="s">
        <v>4710</v>
      </c>
      <c r="F11" s="12" t="s">
        <v>4711</v>
      </c>
      <c r="G11" s="12" t="s">
        <v>12</v>
      </c>
      <c r="H11" s="12"/>
      <c r="I11" s="12"/>
      <c r="J11" s="12" t="s">
        <v>1349</v>
      </c>
      <c r="K11" s="12"/>
      <c r="L11" s="12" t="s">
        <v>4712</v>
      </c>
      <c r="M11" s="12" t="s">
        <v>4713</v>
      </c>
      <c r="N11" s="12"/>
      <c r="O11" s="12" t="s">
        <v>4714</v>
      </c>
      <c r="P11" s="12" t="str">
        <f>HYPERLINK("https://ceds.ed.gov/cedselementdetails.aspx?termid=10485")</f>
        <v>https://ceds.ed.gov/cedselementdetails.aspx?termid=10485</v>
      </c>
      <c r="Q11" s="12" t="str">
        <f>HYPERLINK("https://ceds.ed.gov/elementComment.aspx?elementName=Other Last Name &amp;elementID=10485", "Click here to submit comment")</f>
        <v>Click here to submit comment</v>
      </c>
    </row>
    <row r="12" spans="1:17" ht="30" x14ac:dyDescent="0.25">
      <c r="A12" s="12" t="s">
        <v>7169</v>
      </c>
      <c r="B12" s="12" t="s">
        <v>7170</v>
      </c>
      <c r="C12" s="12" t="s">
        <v>7173</v>
      </c>
      <c r="D12" s="12" t="s">
        <v>7172</v>
      </c>
      <c r="E12" s="12" t="s">
        <v>4715</v>
      </c>
      <c r="F12" s="12" t="s">
        <v>4716</v>
      </c>
      <c r="G12" s="12" t="s">
        <v>12</v>
      </c>
      <c r="H12" s="12"/>
      <c r="I12" s="12"/>
      <c r="J12" s="12" t="s">
        <v>1349</v>
      </c>
      <c r="K12" s="12"/>
      <c r="L12" s="12" t="s">
        <v>4717</v>
      </c>
      <c r="M12" s="12" t="s">
        <v>4718</v>
      </c>
      <c r="N12" s="12"/>
      <c r="O12" s="12" t="s">
        <v>4719</v>
      </c>
      <c r="P12" s="12" t="str">
        <f>HYPERLINK("https://ceds.ed.gov/cedselementdetails.aspx?termid=10487")</f>
        <v>https://ceds.ed.gov/cedselementdetails.aspx?termid=10487</v>
      </c>
      <c r="Q12" s="12" t="str">
        <f>HYPERLINK("https://ceds.ed.gov/elementComment.aspx?elementName=Other Middle Name &amp;elementID=10487", "Click here to submit comment")</f>
        <v>Click here to submit comment</v>
      </c>
    </row>
    <row r="13" spans="1:17" ht="150" x14ac:dyDescent="0.25">
      <c r="A13" s="12" t="s">
        <v>7169</v>
      </c>
      <c r="B13" s="12" t="s">
        <v>7170</v>
      </c>
      <c r="C13" s="12" t="s">
        <v>7173</v>
      </c>
      <c r="D13" s="12" t="s">
        <v>7172</v>
      </c>
      <c r="E13" s="12" t="s">
        <v>4720</v>
      </c>
      <c r="F13" s="12" t="s">
        <v>4721</v>
      </c>
      <c r="G13" s="12" t="s">
        <v>12</v>
      </c>
      <c r="H13" s="12" t="s">
        <v>6543</v>
      </c>
      <c r="I13" s="12"/>
      <c r="J13" s="12" t="s">
        <v>142</v>
      </c>
      <c r="K13" s="12"/>
      <c r="L13" s="12"/>
      <c r="M13" s="12" t="s">
        <v>4722</v>
      </c>
      <c r="N13" s="12"/>
      <c r="O13" s="12" t="s">
        <v>4723</v>
      </c>
      <c r="P13" s="12" t="str">
        <f>HYPERLINK("https://ceds.ed.gov/cedselementdetails.aspx?termid=9206")</f>
        <v>https://ceds.ed.gov/cedselementdetails.aspx?termid=9206</v>
      </c>
      <c r="Q13" s="12" t="str">
        <f>HYPERLINK("https://ceds.ed.gov/elementComment.aspx?elementName=Other Name &amp;elementID=9206", "Click here to submit comment")</f>
        <v>Click here to submit comment</v>
      </c>
    </row>
    <row r="14" spans="1:17" ht="105" x14ac:dyDescent="0.25">
      <c r="A14" s="18" t="s">
        <v>7169</v>
      </c>
      <c r="B14" s="18" t="s">
        <v>7170</v>
      </c>
      <c r="C14" s="18" t="s">
        <v>7174</v>
      </c>
      <c r="D14" s="18" t="s">
        <v>7172</v>
      </c>
      <c r="E14" s="18" t="s">
        <v>1764</v>
      </c>
      <c r="F14" s="18" t="s">
        <v>1765</v>
      </c>
      <c r="G14" s="18" t="s">
        <v>12</v>
      </c>
      <c r="H14" s="18" t="s">
        <v>6450</v>
      </c>
      <c r="I14" s="18"/>
      <c r="J14" s="18" t="s">
        <v>142</v>
      </c>
      <c r="K14" s="18"/>
      <c r="L14" s="12" t="s">
        <v>143</v>
      </c>
      <c r="M14" s="18" t="s">
        <v>1766</v>
      </c>
      <c r="N14" s="18"/>
      <c r="O14" s="18" t="s">
        <v>1767</v>
      </c>
      <c r="P14" s="18" t="str">
        <f>HYPERLINK("https://ceds.ed.gov/cedselementdetails.aspx?termid=9781")</f>
        <v>https://ceds.ed.gov/cedselementdetails.aspx?termid=9781</v>
      </c>
      <c r="Q14" s="18" t="str">
        <f>HYPERLINK("https://ceds.ed.gov/elementComment.aspx?elementName=Child Identifier &amp;elementID=9781", "Click here to submit comment")</f>
        <v>Click here to submit comment</v>
      </c>
    </row>
    <row r="15" spans="1:17" x14ac:dyDescent="0.25">
      <c r="A15" s="18"/>
      <c r="B15" s="18"/>
      <c r="C15" s="18"/>
      <c r="D15" s="18"/>
      <c r="E15" s="18"/>
      <c r="F15" s="18"/>
      <c r="G15" s="18"/>
      <c r="H15" s="18"/>
      <c r="I15" s="18"/>
      <c r="J15" s="18"/>
      <c r="K15" s="18"/>
      <c r="L15" s="12"/>
      <c r="M15" s="18"/>
      <c r="N15" s="18"/>
      <c r="O15" s="18"/>
      <c r="P15" s="18"/>
      <c r="Q15" s="18"/>
    </row>
    <row r="16" spans="1:17" ht="90" x14ac:dyDescent="0.25">
      <c r="A16" s="18"/>
      <c r="B16" s="18"/>
      <c r="C16" s="18"/>
      <c r="D16" s="18"/>
      <c r="E16" s="18"/>
      <c r="F16" s="18"/>
      <c r="G16" s="18"/>
      <c r="H16" s="18"/>
      <c r="I16" s="18"/>
      <c r="J16" s="18"/>
      <c r="K16" s="18"/>
      <c r="L16" s="12" t="s">
        <v>144</v>
      </c>
      <c r="M16" s="18"/>
      <c r="N16" s="18"/>
      <c r="O16" s="18"/>
      <c r="P16" s="18"/>
      <c r="Q16" s="18"/>
    </row>
    <row r="17" spans="1:17" ht="225" x14ac:dyDescent="0.25">
      <c r="A17" s="12" t="s">
        <v>7169</v>
      </c>
      <c r="B17" s="12" t="s">
        <v>7170</v>
      </c>
      <c r="C17" s="12" t="s">
        <v>7174</v>
      </c>
      <c r="D17" s="12" t="s">
        <v>7172</v>
      </c>
      <c r="E17" s="12" t="s">
        <v>1760</v>
      </c>
      <c r="F17" s="12" t="s">
        <v>1761</v>
      </c>
      <c r="G17" s="13" t="s">
        <v>6816</v>
      </c>
      <c r="H17" s="12" t="s">
        <v>6450</v>
      </c>
      <c r="I17" s="12"/>
      <c r="J17" s="12"/>
      <c r="K17" s="12"/>
      <c r="L17" s="12"/>
      <c r="M17" s="12" t="s">
        <v>1762</v>
      </c>
      <c r="N17" s="12"/>
      <c r="O17" s="12" t="s">
        <v>1763</v>
      </c>
      <c r="P17" s="12" t="str">
        <f>HYPERLINK("https://ceds.ed.gov/cedselementdetails.aspx?termid=9782")</f>
        <v>https://ceds.ed.gov/cedselementdetails.aspx?termid=9782</v>
      </c>
      <c r="Q17" s="12" t="str">
        <f>HYPERLINK("https://ceds.ed.gov/elementComment.aspx?elementName=Child Identification System &amp;elementID=9782", "Click here to submit comment")</f>
        <v>Click here to submit comment</v>
      </c>
    </row>
    <row r="18" spans="1:17" ht="225" x14ac:dyDescent="0.25">
      <c r="A18" s="18" t="s">
        <v>7169</v>
      </c>
      <c r="B18" s="18" t="s">
        <v>7170</v>
      </c>
      <c r="C18" s="18" t="s">
        <v>7174</v>
      </c>
      <c r="D18" s="18" t="s">
        <v>7172</v>
      </c>
      <c r="E18" s="18" t="s">
        <v>5745</v>
      </c>
      <c r="F18" s="18" t="s">
        <v>5746</v>
      </c>
      <c r="G18" s="18" t="s">
        <v>12</v>
      </c>
      <c r="H18" s="18" t="s">
        <v>6670</v>
      </c>
      <c r="I18" s="18"/>
      <c r="J18" s="18" t="s">
        <v>5747</v>
      </c>
      <c r="K18" s="18"/>
      <c r="L18" s="12" t="s">
        <v>5748</v>
      </c>
      <c r="M18" s="18" t="s">
        <v>5750</v>
      </c>
      <c r="N18" s="18" t="s">
        <v>5751</v>
      </c>
      <c r="O18" s="18" t="s">
        <v>5752</v>
      </c>
      <c r="P18" s="18" t="str">
        <f>HYPERLINK("https://ceds.ed.gov/cedselementdetails.aspx?termid=9259")</f>
        <v>https://ceds.ed.gov/cedselementdetails.aspx?termid=9259</v>
      </c>
      <c r="Q18" s="18" t="str">
        <f>HYPERLINK("https://ceds.ed.gov/elementComment.aspx?elementName=Social Security Number &amp;elementID=9259", "Click here to submit comment")</f>
        <v>Click here to submit comment</v>
      </c>
    </row>
    <row r="19" spans="1:17" x14ac:dyDescent="0.25">
      <c r="A19" s="18"/>
      <c r="B19" s="18"/>
      <c r="C19" s="18"/>
      <c r="D19" s="18"/>
      <c r="E19" s="18"/>
      <c r="F19" s="18"/>
      <c r="G19" s="18"/>
      <c r="H19" s="18"/>
      <c r="I19" s="18"/>
      <c r="J19" s="18"/>
      <c r="K19" s="18"/>
      <c r="L19" s="12"/>
      <c r="M19" s="18"/>
      <c r="N19" s="18"/>
      <c r="O19" s="18"/>
      <c r="P19" s="18"/>
      <c r="Q19" s="18"/>
    </row>
    <row r="20" spans="1:17" ht="180" x14ac:dyDescent="0.25">
      <c r="A20" s="18"/>
      <c r="B20" s="18"/>
      <c r="C20" s="18"/>
      <c r="D20" s="18"/>
      <c r="E20" s="18"/>
      <c r="F20" s="18"/>
      <c r="G20" s="18"/>
      <c r="H20" s="18"/>
      <c r="I20" s="18"/>
      <c r="J20" s="18"/>
      <c r="K20" s="18"/>
      <c r="L20" s="12" t="s">
        <v>5749</v>
      </c>
      <c r="M20" s="18"/>
      <c r="N20" s="18"/>
      <c r="O20" s="18"/>
      <c r="P20" s="18"/>
      <c r="Q20" s="18"/>
    </row>
    <row r="21" spans="1:17" ht="255" x14ac:dyDescent="0.25">
      <c r="A21" s="12" t="s">
        <v>7169</v>
      </c>
      <c r="B21" s="12" t="s">
        <v>7170</v>
      </c>
      <c r="C21" s="12" t="s">
        <v>7174</v>
      </c>
      <c r="D21" s="12" t="s">
        <v>7172</v>
      </c>
      <c r="E21" s="12" t="s">
        <v>4831</v>
      </c>
      <c r="F21" s="12" t="s">
        <v>4832</v>
      </c>
      <c r="G21" s="13" t="s">
        <v>7053</v>
      </c>
      <c r="H21" s="12"/>
      <c r="I21" s="12"/>
      <c r="J21" s="12"/>
      <c r="K21" s="12"/>
      <c r="L21" s="12"/>
      <c r="M21" s="12" t="s">
        <v>4833</v>
      </c>
      <c r="N21" s="12"/>
      <c r="O21" s="12" t="s">
        <v>4834</v>
      </c>
      <c r="P21" s="12" t="str">
        <f>HYPERLINK("https://ceds.ed.gov/cedselementdetails.aspx?termid=9611")</f>
        <v>https://ceds.ed.gov/cedselementdetails.aspx?termid=9611</v>
      </c>
      <c r="Q21" s="12" t="str">
        <f>HYPERLINK("https://ceds.ed.gov/elementComment.aspx?elementName=Personal Information Verification &amp;elementID=9611", "Click here to submit comment")</f>
        <v>Click here to submit comment</v>
      </c>
    </row>
    <row r="22" spans="1:17" ht="210" x14ac:dyDescent="0.25">
      <c r="A22" s="12" t="s">
        <v>7169</v>
      </c>
      <c r="B22" s="12" t="s">
        <v>7170</v>
      </c>
      <c r="C22" s="12" t="s">
        <v>7175</v>
      </c>
      <c r="D22" s="12" t="s">
        <v>7172</v>
      </c>
      <c r="E22" s="12" t="s">
        <v>193</v>
      </c>
      <c r="F22" s="12" t="s">
        <v>194</v>
      </c>
      <c r="G22" s="13" t="s">
        <v>6726</v>
      </c>
      <c r="H22" s="12" t="s">
        <v>6380</v>
      </c>
      <c r="I22" s="12"/>
      <c r="J22" s="12" t="s">
        <v>92</v>
      </c>
      <c r="K22" s="12"/>
      <c r="L22" s="12"/>
      <c r="M22" s="12" t="s">
        <v>195</v>
      </c>
      <c r="N22" s="12"/>
      <c r="O22" s="12" t="s">
        <v>196</v>
      </c>
      <c r="P22" s="12" t="str">
        <f>HYPERLINK("https://ceds.ed.gov/cedselementdetails.aspx?termid=9358")</f>
        <v>https://ceds.ed.gov/cedselementdetails.aspx?termid=9358</v>
      </c>
      <c r="Q22" s="12" t="str">
        <f>HYPERLINK("https://ceds.ed.gov/elementComment.aspx?elementName=Address Type for Learner or Family &amp;elementID=9358", "Click here to submit comment")</f>
        <v>Click here to submit comment</v>
      </c>
    </row>
    <row r="23" spans="1:17" ht="225" x14ac:dyDescent="0.25">
      <c r="A23" s="12" t="s">
        <v>7169</v>
      </c>
      <c r="B23" s="12" t="s">
        <v>7170</v>
      </c>
      <c r="C23" s="12" t="s">
        <v>7175</v>
      </c>
      <c r="D23" s="12" t="s">
        <v>7172</v>
      </c>
      <c r="E23" s="12" t="s">
        <v>189</v>
      </c>
      <c r="F23" s="12" t="s">
        <v>190</v>
      </c>
      <c r="G23" s="12" t="s">
        <v>12</v>
      </c>
      <c r="H23" s="12" t="s">
        <v>6377</v>
      </c>
      <c r="I23" s="12"/>
      <c r="J23" s="12" t="s">
        <v>142</v>
      </c>
      <c r="K23" s="12"/>
      <c r="L23" s="12"/>
      <c r="M23" s="12" t="s">
        <v>191</v>
      </c>
      <c r="N23" s="12"/>
      <c r="O23" s="12" t="s">
        <v>192</v>
      </c>
      <c r="P23" s="12" t="str">
        <f>HYPERLINK("https://ceds.ed.gov/cedselementdetails.aspx?termid=9269")</f>
        <v>https://ceds.ed.gov/cedselementdetails.aspx?termid=9269</v>
      </c>
      <c r="Q23" s="12" t="str">
        <f>HYPERLINK("https://ceds.ed.gov/elementComment.aspx?elementName=Address Street Number and Name &amp;elementID=9269", "Click here to submit comment")</f>
        <v>Click here to submit comment</v>
      </c>
    </row>
    <row r="24" spans="1:17" ht="225" x14ac:dyDescent="0.25">
      <c r="A24" s="12" t="s">
        <v>7169</v>
      </c>
      <c r="B24" s="12" t="s">
        <v>7170</v>
      </c>
      <c r="C24" s="12" t="s">
        <v>7175</v>
      </c>
      <c r="D24" s="12" t="s">
        <v>7172</v>
      </c>
      <c r="E24" s="12" t="s">
        <v>172</v>
      </c>
      <c r="F24" s="12" t="s">
        <v>173</v>
      </c>
      <c r="G24" s="12" t="s">
        <v>12</v>
      </c>
      <c r="H24" s="12" t="s">
        <v>6377</v>
      </c>
      <c r="I24" s="12"/>
      <c r="J24" s="12" t="s">
        <v>92</v>
      </c>
      <c r="K24" s="12"/>
      <c r="L24" s="12"/>
      <c r="M24" s="12" t="s">
        <v>174</v>
      </c>
      <c r="N24" s="12"/>
      <c r="O24" s="12" t="s">
        <v>175</v>
      </c>
      <c r="P24" s="12" t="str">
        <f>HYPERLINK("https://ceds.ed.gov/cedselementdetails.aspx?termid=9019")</f>
        <v>https://ceds.ed.gov/cedselementdetails.aspx?termid=9019</v>
      </c>
      <c r="Q24" s="12" t="str">
        <f>HYPERLINK("https://ceds.ed.gov/elementComment.aspx?elementName=Address Apartment Room or Suite Number &amp;elementID=9019", "Click here to submit comment")</f>
        <v>Click here to submit comment</v>
      </c>
    </row>
    <row r="25" spans="1:17" ht="225" x14ac:dyDescent="0.25">
      <c r="A25" s="12" t="s">
        <v>7169</v>
      </c>
      <c r="B25" s="12" t="s">
        <v>7170</v>
      </c>
      <c r="C25" s="12" t="s">
        <v>7175</v>
      </c>
      <c r="D25" s="12" t="s">
        <v>7172</v>
      </c>
      <c r="E25" s="12" t="s">
        <v>176</v>
      </c>
      <c r="F25" s="12" t="s">
        <v>177</v>
      </c>
      <c r="G25" s="12" t="s">
        <v>12</v>
      </c>
      <c r="H25" s="12" t="s">
        <v>6377</v>
      </c>
      <c r="I25" s="12"/>
      <c r="J25" s="12" t="s">
        <v>92</v>
      </c>
      <c r="K25" s="12"/>
      <c r="L25" s="12"/>
      <c r="M25" s="12" t="s">
        <v>178</v>
      </c>
      <c r="N25" s="12"/>
      <c r="O25" s="12" t="s">
        <v>179</v>
      </c>
      <c r="P25" s="12" t="str">
        <f>HYPERLINK("https://ceds.ed.gov/cedselementdetails.aspx?termid=9040")</f>
        <v>https://ceds.ed.gov/cedselementdetails.aspx?termid=9040</v>
      </c>
      <c r="Q25" s="12" t="str">
        <f>HYPERLINK("https://ceds.ed.gov/elementComment.aspx?elementName=Address City &amp;elementID=9040", "Click here to submit comment")</f>
        <v>Click here to submit comment</v>
      </c>
    </row>
    <row r="26" spans="1:17" ht="409.5" x14ac:dyDescent="0.25">
      <c r="A26" s="12" t="s">
        <v>7169</v>
      </c>
      <c r="B26" s="12" t="s">
        <v>7170</v>
      </c>
      <c r="C26" s="12" t="s">
        <v>7175</v>
      </c>
      <c r="D26" s="12" t="s">
        <v>7172</v>
      </c>
      <c r="E26" s="12" t="s">
        <v>5898</v>
      </c>
      <c r="F26" s="12" t="s">
        <v>5899</v>
      </c>
      <c r="G26" s="13" t="s">
        <v>7120</v>
      </c>
      <c r="H26" s="12" t="s">
        <v>6678</v>
      </c>
      <c r="I26" s="12"/>
      <c r="J26" s="12"/>
      <c r="K26" s="12"/>
      <c r="L26" s="12"/>
      <c r="M26" s="12" t="s">
        <v>5900</v>
      </c>
      <c r="N26" s="12"/>
      <c r="O26" s="12" t="s">
        <v>5901</v>
      </c>
      <c r="P26" s="12" t="str">
        <f>HYPERLINK("https://ceds.ed.gov/cedselementdetails.aspx?termid=9267")</f>
        <v>https://ceds.ed.gov/cedselementdetails.aspx?termid=9267</v>
      </c>
      <c r="Q26" s="12" t="str">
        <f>HYPERLINK("https://ceds.ed.gov/elementComment.aspx?elementName=State Abbreviation &amp;elementID=9267", "Click here to submit comment")</f>
        <v>Click here to submit comment</v>
      </c>
    </row>
    <row r="27" spans="1:17" ht="225" x14ac:dyDescent="0.25">
      <c r="A27" s="12" t="s">
        <v>7169</v>
      </c>
      <c r="B27" s="12" t="s">
        <v>7170</v>
      </c>
      <c r="C27" s="12" t="s">
        <v>7175</v>
      </c>
      <c r="D27" s="12" t="s">
        <v>7172</v>
      </c>
      <c r="E27" s="12" t="s">
        <v>184</v>
      </c>
      <c r="F27" s="12" t="s">
        <v>185</v>
      </c>
      <c r="G27" s="12" t="s">
        <v>12</v>
      </c>
      <c r="H27" s="12" t="s">
        <v>6377</v>
      </c>
      <c r="I27" s="12"/>
      <c r="J27" s="12" t="s">
        <v>186</v>
      </c>
      <c r="K27" s="12"/>
      <c r="L27" s="12"/>
      <c r="M27" s="12" t="s">
        <v>187</v>
      </c>
      <c r="N27" s="12"/>
      <c r="O27" s="12" t="s">
        <v>188</v>
      </c>
      <c r="P27" s="12" t="str">
        <f>HYPERLINK("https://ceds.ed.gov/cedselementdetails.aspx?termid=9214")</f>
        <v>https://ceds.ed.gov/cedselementdetails.aspx?termid=9214</v>
      </c>
      <c r="Q27" s="12" t="str">
        <f>HYPERLINK("https://ceds.ed.gov/elementComment.aspx?elementName=Address Postal Code &amp;elementID=9214", "Click here to submit comment")</f>
        <v>Click here to submit comment</v>
      </c>
    </row>
    <row r="28" spans="1:17" ht="225" x14ac:dyDescent="0.25">
      <c r="A28" s="12" t="s">
        <v>7169</v>
      </c>
      <c r="B28" s="12" t="s">
        <v>7170</v>
      </c>
      <c r="C28" s="12" t="s">
        <v>7175</v>
      </c>
      <c r="D28" s="12" t="s">
        <v>7172</v>
      </c>
      <c r="E28" s="12" t="s">
        <v>180</v>
      </c>
      <c r="F28" s="12" t="s">
        <v>181</v>
      </c>
      <c r="G28" s="12" t="s">
        <v>12</v>
      </c>
      <c r="H28" s="12" t="s">
        <v>6377</v>
      </c>
      <c r="I28" s="12"/>
      <c r="J28" s="12" t="s">
        <v>92</v>
      </c>
      <c r="K28" s="12"/>
      <c r="L28" s="12"/>
      <c r="M28" s="12" t="s">
        <v>182</v>
      </c>
      <c r="N28" s="12"/>
      <c r="O28" s="12" t="s">
        <v>183</v>
      </c>
      <c r="P28" s="12" t="str">
        <f>HYPERLINK("https://ceds.ed.gov/cedselementdetails.aspx?termid=9190")</f>
        <v>https://ceds.ed.gov/cedselementdetails.aspx?termid=9190</v>
      </c>
      <c r="Q28" s="12" t="str">
        <f>HYPERLINK("https://ceds.ed.gov/elementComment.aspx?elementName=Address County Name &amp;elementID=9190", "Click here to submit comment")</f>
        <v>Click here to submit comment</v>
      </c>
    </row>
    <row r="29" spans="1:17" ht="409.5" x14ac:dyDescent="0.25">
      <c r="A29" s="12" t="s">
        <v>7169</v>
      </c>
      <c r="B29" s="12" t="s">
        <v>7170</v>
      </c>
      <c r="C29" s="12" t="s">
        <v>7175</v>
      </c>
      <c r="D29" s="12" t="s">
        <v>7172</v>
      </c>
      <c r="E29" s="12" t="s">
        <v>1934</v>
      </c>
      <c r="F29" s="12" t="s">
        <v>1935</v>
      </c>
      <c r="G29" s="13" t="s">
        <v>6829</v>
      </c>
      <c r="H29" s="12" t="s">
        <v>6467</v>
      </c>
      <c r="I29" s="12" t="s">
        <v>98</v>
      </c>
      <c r="J29" s="12"/>
      <c r="K29" s="12"/>
      <c r="L29" s="14" t="s">
        <v>1936</v>
      </c>
      <c r="M29" s="12" t="s">
        <v>1937</v>
      </c>
      <c r="N29" s="12"/>
      <c r="O29" s="12" t="s">
        <v>1938</v>
      </c>
      <c r="P29" s="12" t="str">
        <f>HYPERLINK("https://ceds.ed.gov/cedselementdetails.aspx?termid=9050")</f>
        <v>https://ceds.ed.gov/cedselementdetails.aspx?termid=9050</v>
      </c>
      <c r="Q29" s="12" t="str">
        <f>HYPERLINK("https://ceds.ed.gov/elementComment.aspx?elementName=Country Code &amp;elementID=9050", "Click here to submit comment")</f>
        <v>Click here to submit comment</v>
      </c>
    </row>
    <row r="30" spans="1:17" ht="75" x14ac:dyDescent="0.25">
      <c r="A30" s="12" t="s">
        <v>7169</v>
      </c>
      <c r="B30" s="12" t="s">
        <v>7170</v>
      </c>
      <c r="C30" s="12" t="s">
        <v>7175</v>
      </c>
      <c r="D30" s="12" t="s">
        <v>7176</v>
      </c>
      <c r="E30" s="12" t="s">
        <v>3693</v>
      </c>
      <c r="F30" s="12" t="s">
        <v>3694</v>
      </c>
      <c r="G30" s="12" t="s">
        <v>12</v>
      </c>
      <c r="H30" s="12"/>
      <c r="I30" s="12"/>
      <c r="J30" s="12" t="s">
        <v>1201</v>
      </c>
      <c r="K30" s="12"/>
      <c r="L30" s="12"/>
      <c r="M30" s="12" t="s">
        <v>3695</v>
      </c>
      <c r="N30" s="12"/>
      <c r="O30" s="12" t="s">
        <v>3693</v>
      </c>
      <c r="P30" s="12" t="str">
        <f>HYPERLINK("https://ceds.ed.gov/cedselementdetails.aspx?termid=9599")</f>
        <v>https://ceds.ed.gov/cedselementdetails.aspx?termid=9599</v>
      </c>
      <c r="Q30" s="12" t="str">
        <f>HYPERLINK("https://ceds.ed.gov/elementComment.aspx?elementName=Latitude &amp;elementID=9599", "Click here to submit comment")</f>
        <v>Click here to submit comment</v>
      </c>
    </row>
    <row r="31" spans="1:17" ht="75" x14ac:dyDescent="0.25">
      <c r="A31" s="12" t="s">
        <v>7169</v>
      </c>
      <c r="B31" s="12" t="s">
        <v>7170</v>
      </c>
      <c r="C31" s="12" t="s">
        <v>7175</v>
      </c>
      <c r="D31" s="12" t="s">
        <v>7176</v>
      </c>
      <c r="E31" s="12" t="s">
        <v>4361</v>
      </c>
      <c r="F31" s="12" t="s">
        <v>4362</v>
      </c>
      <c r="G31" s="12" t="s">
        <v>12</v>
      </c>
      <c r="H31" s="12"/>
      <c r="I31" s="12"/>
      <c r="J31" s="12" t="s">
        <v>1201</v>
      </c>
      <c r="K31" s="12"/>
      <c r="L31" s="12"/>
      <c r="M31" s="12" t="s">
        <v>4363</v>
      </c>
      <c r="N31" s="12"/>
      <c r="O31" s="12" t="s">
        <v>4361</v>
      </c>
      <c r="P31" s="12" t="str">
        <f>HYPERLINK("https://ceds.ed.gov/cedselementdetails.aspx?termid=9600")</f>
        <v>https://ceds.ed.gov/cedselementdetails.aspx?termid=9600</v>
      </c>
      <c r="Q31" s="12" t="str">
        <f>HYPERLINK("https://ceds.ed.gov/elementComment.aspx?elementName=Longitude &amp;elementID=9600", "Click here to submit comment")</f>
        <v>Click here to submit comment</v>
      </c>
    </row>
    <row r="32" spans="1:17" ht="90" x14ac:dyDescent="0.25">
      <c r="A32" s="12" t="s">
        <v>7169</v>
      </c>
      <c r="B32" s="12" t="s">
        <v>7170</v>
      </c>
      <c r="C32" s="12" t="s">
        <v>7177</v>
      </c>
      <c r="D32" s="12" t="s">
        <v>7172</v>
      </c>
      <c r="E32" s="12" t="s">
        <v>6107</v>
      </c>
      <c r="F32" s="12" t="s">
        <v>6108</v>
      </c>
      <c r="G32" s="13" t="s">
        <v>7135</v>
      </c>
      <c r="H32" s="12" t="s">
        <v>6369</v>
      </c>
      <c r="I32" s="12"/>
      <c r="J32" s="12" t="s">
        <v>1950</v>
      </c>
      <c r="K32" s="12"/>
      <c r="L32" s="12"/>
      <c r="M32" s="12" t="s">
        <v>6109</v>
      </c>
      <c r="N32" s="12"/>
      <c r="O32" s="12" t="s">
        <v>6110</v>
      </c>
      <c r="P32" s="12" t="str">
        <f>HYPERLINK("https://ceds.ed.gov/cedselementdetails.aspx?termid=9280")</f>
        <v>https://ceds.ed.gov/cedselementdetails.aspx?termid=9280</v>
      </c>
      <c r="Q32" s="12" t="str">
        <f>HYPERLINK("https://ceds.ed.gov/elementComment.aspx?elementName=Telephone Number Type &amp;elementID=9280", "Click here to submit comment")</f>
        <v>Click here to submit comment</v>
      </c>
    </row>
    <row r="33" spans="1:17" ht="90" x14ac:dyDescent="0.25">
      <c r="A33" s="12" t="s">
        <v>7169</v>
      </c>
      <c r="B33" s="12" t="s">
        <v>7170</v>
      </c>
      <c r="C33" s="12" t="s">
        <v>7177</v>
      </c>
      <c r="D33" s="12" t="s">
        <v>7172</v>
      </c>
      <c r="E33" s="12" t="s">
        <v>4934</v>
      </c>
      <c r="F33" s="12" t="s">
        <v>4935</v>
      </c>
      <c r="G33" s="12" t="s">
        <v>6364</v>
      </c>
      <c r="H33" s="12" t="s">
        <v>6369</v>
      </c>
      <c r="I33" s="12"/>
      <c r="J33" s="12"/>
      <c r="K33" s="12"/>
      <c r="L33" s="12"/>
      <c r="M33" s="12" t="s">
        <v>4936</v>
      </c>
      <c r="N33" s="12"/>
      <c r="O33" s="12" t="s">
        <v>4937</v>
      </c>
      <c r="P33" s="12" t="str">
        <f>HYPERLINK("https://ceds.ed.gov/cedselementdetails.aspx?termid=9219")</f>
        <v>https://ceds.ed.gov/cedselementdetails.aspx?termid=9219</v>
      </c>
      <c r="Q33" s="12" t="str">
        <f>HYPERLINK("https://ceds.ed.gov/elementComment.aspx?elementName=Primary Telephone Number Indicator &amp;elementID=9219", "Click here to submit comment")</f>
        <v>Click here to submit comment</v>
      </c>
    </row>
    <row r="34" spans="1:17" ht="90" x14ac:dyDescent="0.25">
      <c r="A34" s="12" t="s">
        <v>7169</v>
      </c>
      <c r="B34" s="12" t="s">
        <v>7170</v>
      </c>
      <c r="C34" s="12" t="s">
        <v>7177</v>
      </c>
      <c r="D34" s="12" t="s">
        <v>7172</v>
      </c>
      <c r="E34" s="12" t="s">
        <v>6102</v>
      </c>
      <c r="F34" s="12" t="s">
        <v>6103</v>
      </c>
      <c r="G34" s="12" t="s">
        <v>12</v>
      </c>
      <c r="H34" s="12" t="s">
        <v>6369</v>
      </c>
      <c r="I34" s="12"/>
      <c r="J34" s="12" t="s">
        <v>6104</v>
      </c>
      <c r="K34" s="12"/>
      <c r="L34" s="12"/>
      <c r="M34" s="12" t="s">
        <v>6105</v>
      </c>
      <c r="N34" s="12"/>
      <c r="O34" s="12" t="s">
        <v>6106</v>
      </c>
      <c r="P34" s="12" t="str">
        <f>HYPERLINK("https://ceds.ed.gov/cedselementdetails.aspx?termid=9279")</f>
        <v>https://ceds.ed.gov/cedselementdetails.aspx?termid=9279</v>
      </c>
      <c r="Q34" s="12" t="str">
        <f>HYPERLINK("https://ceds.ed.gov/elementComment.aspx?elementName=Telephone Number &amp;elementID=9279", "Click here to submit comment")</f>
        <v>Click here to submit comment</v>
      </c>
    </row>
    <row r="35" spans="1:17" ht="240" x14ac:dyDescent="0.25">
      <c r="A35" s="12" t="s">
        <v>7169</v>
      </c>
      <c r="B35" s="12" t="s">
        <v>7170</v>
      </c>
      <c r="C35" s="12" t="s">
        <v>7178</v>
      </c>
      <c r="D35" s="12" t="s">
        <v>7172</v>
      </c>
      <c r="E35" s="12" t="s">
        <v>1571</v>
      </c>
      <c r="F35" s="12" t="s">
        <v>1572</v>
      </c>
      <c r="G35" s="12" t="s">
        <v>12</v>
      </c>
      <c r="H35" s="12" t="s">
        <v>6432</v>
      </c>
      <c r="I35" s="12"/>
      <c r="J35" s="12" t="s">
        <v>73</v>
      </c>
      <c r="K35" s="12"/>
      <c r="L35" s="12"/>
      <c r="M35" s="12" t="s">
        <v>1573</v>
      </c>
      <c r="N35" s="12"/>
      <c r="O35" s="12" t="s">
        <v>1571</v>
      </c>
      <c r="P35" s="12" t="str">
        <f>HYPERLINK("https://ceds.ed.gov/cedselementdetails.aspx?termid=9033")</f>
        <v>https://ceds.ed.gov/cedselementdetails.aspx?termid=9033</v>
      </c>
      <c r="Q35" s="12" t="str">
        <f>HYPERLINK("https://ceds.ed.gov/elementComment.aspx?elementName=Birthdate &amp;elementID=9033", "Click here to submit comment")</f>
        <v>Click here to submit comment</v>
      </c>
    </row>
    <row r="36" spans="1:17" ht="255" x14ac:dyDescent="0.25">
      <c r="A36" s="12" t="s">
        <v>7169</v>
      </c>
      <c r="B36" s="12" t="s">
        <v>7170</v>
      </c>
      <c r="C36" s="12" t="s">
        <v>7178</v>
      </c>
      <c r="D36" s="12" t="s">
        <v>7172</v>
      </c>
      <c r="E36" s="12" t="s">
        <v>5711</v>
      </c>
      <c r="F36" s="12" t="s">
        <v>5712</v>
      </c>
      <c r="G36" s="13" t="s">
        <v>7112</v>
      </c>
      <c r="H36" s="12" t="s">
        <v>6666</v>
      </c>
      <c r="I36" s="12"/>
      <c r="J36" s="12"/>
      <c r="K36" s="12"/>
      <c r="L36" s="12" t="s">
        <v>5713</v>
      </c>
      <c r="M36" s="12" t="s">
        <v>5714</v>
      </c>
      <c r="N36" s="12"/>
      <c r="O36" s="12" t="s">
        <v>5711</v>
      </c>
      <c r="P36" s="12" t="str">
        <f>HYPERLINK("https://ceds.ed.gov/cedselementdetails.aspx?termid=9255")</f>
        <v>https://ceds.ed.gov/cedselementdetails.aspx?termid=9255</v>
      </c>
      <c r="Q36" s="12" t="str">
        <f>HYPERLINK("https://ceds.ed.gov/elementComment.aspx?elementName=Sex &amp;elementID=9255", "Click here to submit comment")</f>
        <v>Click here to submit comment</v>
      </c>
    </row>
    <row r="37" spans="1:17" ht="30" x14ac:dyDescent="0.25">
      <c r="A37" s="18" t="s">
        <v>7169</v>
      </c>
      <c r="B37" s="18" t="s">
        <v>7170</v>
      </c>
      <c r="C37" s="18" t="s">
        <v>7178</v>
      </c>
      <c r="D37" s="18" t="s">
        <v>7172</v>
      </c>
      <c r="E37" s="18" t="s">
        <v>359</v>
      </c>
      <c r="F37" s="18" t="s">
        <v>360</v>
      </c>
      <c r="G37" s="20" t="s">
        <v>6749</v>
      </c>
      <c r="H37" s="18" t="s">
        <v>6390</v>
      </c>
      <c r="I37" s="18"/>
      <c r="J37" s="18"/>
      <c r="K37" s="18"/>
      <c r="L37" s="12" t="s">
        <v>361</v>
      </c>
      <c r="M37" s="18" t="s">
        <v>365</v>
      </c>
      <c r="N37" s="18"/>
      <c r="O37" s="18" t="s">
        <v>366</v>
      </c>
      <c r="P37" s="18" t="str">
        <f>HYPERLINK("https://ceds.ed.gov/cedselementdetails.aspx?termid=9655")</f>
        <v>https://ceds.ed.gov/cedselementdetails.aspx?termid=9655</v>
      </c>
      <c r="Q37" s="18" t="str">
        <f>HYPERLINK("https://ceds.ed.gov/elementComment.aspx?elementName=American Indian or Alaska Native &amp;elementID=9655", "Click here to submit comment")</f>
        <v>Click here to submit comment</v>
      </c>
    </row>
    <row r="38" spans="1:17" x14ac:dyDescent="0.25">
      <c r="A38" s="18"/>
      <c r="B38" s="18"/>
      <c r="C38" s="18"/>
      <c r="D38" s="18"/>
      <c r="E38" s="18"/>
      <c r="F38" s="18"/>
      <c r="G38" s="18"/>
      <c r="H38" s="18"/>
      <c r="I38" s="18"/>
      <c r="J38" s="18"/>
      <c r="K38" s="18"/>
      <c r="L38" s="12"/>
      <c r="M38" s="18"/>
      <c r="N38" s="18"/>
      <c r="O38" s="18"/>
      <c r="P38" s="18"/>
      <c r="Q38" s="18"/>
    </row>
    <row r="39" spans="1:17" x14ac:dyDescent="0.25">
      <c r="A39" s="18"/>
      <c r="B39" s="18"/>
      <c r="C39" s="18"/>
      <c r="D39" s="18"/>
      <c r="E39" s="18"/>
      <c r="F39" s="18"/>
      <c r="G39" s="18"/>
      <c r="H39" s="18"/>
      <c r="I39" s="18"/>
      <c r="J39" s="18"/>
      <c r="K39" s="18"/>
      <c r="L39" s="12" t="s">
        <v>362</v>
      </c>
      <c r="M39" s="18"/>
      <c r="N39" s="18"/>
      <c r="O39" s="18"/>
      <c r="P39" s="18"/>
      <c r="Q39" s="18"/>
    </row>
    <row r="40" spans="1:17" ht="30" x14ac:dyDescent="0.25">
      <c r="A40" s="18"/>
      <c r="B40" s="18"/>
      <c r="C40" s="18"/>
      <c r="D40" s="18"/>
      <c r="E40" s="18"/>
      <c r="F40" s="18"/>
      <c r="G40" s="18"/>
      <c r="H40" s="18"/>
      <c r="I40" s="18"/>
      <c r="J40" s="18"/>
      <c r="K40" s="18"/>
      <c r="L40" s="12" t="s">
        <v>363</v>
      </c>
      <c r="M40" s="18"/>
      <c r="N40" s="18"/>
      <c r="O40" s="18"/>
      <c r="P40" s="18"/>
      <c r="Q40" s="18"/>
    </row>
    <row r="41" spans="1:17" x14ac:dyDescent="0.25">
      <c r="A41" s="18"/>
      <c r="B41" s="18"/>
      <c r="C41" s="18"/>
      <c r="D41" s="18"/>
      <c r="E41" s="18"/>
      <c r="F41" s="18"/>
      <c r="G41" s="18"/>
      <c r="H41" s="18"/>
      <c r="I41" s="18"/>
      <c r="J41" s="18"/>
      <c r="K41" s="18"/>
      <c r="L41" s="12" t="s">
        <v>364</v>
      </c>
      <c r="M41" s="18"/>
      <c r="N41" s="18"/>
      <c r="O41" s="18"/>
      <c r="P41" s="18"/>
      <c r="Q41" s="18"/>
    </row>
    <row r="42" spans="1:17" ht="30" x14ac:dyDescent="0.25">
      <c r="A42" s="18" t="s">
        <v>7169</v>
      </c>
      <c r="B42" s="18" t="s">
        <v>7170</v>
      </c>
      <c r="C42" s="18" t="s">
        <v>7178</v>
      </c>
      <c r="D42" s="18" t="s">
        <v>7172</v>
      </c>
      <c r="E42" s="18" t="s">
        <v>401</v>
      </c>
      <c r="F42" s="18" t="s">
        <v>402</v>
      </c>
      <c r="G42" s="20" t="s">
        <v>6749</v>
      </c>
      <c r="H42" s="18" t="s">
        <v>6390</v>
      </c>
      <c r="I42" s="18"/>
      <c r="J42" s="18"/>
      <c r="K42" s="18"/>
      <c r="L42" s="12" t="s">
        <v>361</v>
      </c>
      <c r="M42" s="18" t="s">
        <v>403</v>
      </c>
      <c r="N42" s="18"/>
      <c r="O42" s="18" t="s">
        <v>401</v>
      </c>
      <c r="P42" s="18" t="str">
        <f>HYPERLINK("https://ceds.ed.gov/cedselementdetails.aspx?termid=9656")</f>
        <v>https://ceds.ed.gov/cedselementdetails.aspx?termid=9656</v>
      </c>
      <c r="Q42" s="18" t="str">
        <f>HYPERLINK("https://ceds.ed.gov/elementComment.aspx?elementName=Asian &amp;elementID=9656", "Click here to submit comment")</f>
        <v>Click here to submit comment</v>
      </c>
    </row>
    <row r="43" spans="1:17" x14ac:dyDescent="0.25">
      <c r="A43" s="18"/>
      <c r="B43" s="18"/>
      <c r="C43" s="18"/>
      <c r="D43" s="18"/>
      <c r="E43" s="18"/>
      <c r="F43" s="18"/>
      <c r="G43" s="18"/>
      <c r="H43" s="18"/>
      <c r="I43" s="18"/>
      <c r="J43" s="18"/>
      <c r="K43" s="18"/>
      <c r="L43" s="12"/>
      <c r="M43" s="18"/>
      <c r="N43" s="18"/>
      <c r="O43" s="18"/>
      <c r="P43" s="18"/>
      <c r="Q43" s="18"/>
    </row>
    <row r="44" spans="1:17" x14ac:dyDescent="0.25">
      <c r="A44" s="18"/>
      <c r="B44" s="18"/>
      <c r="C44" s="18"/>
      <c r="D44" s="18"/>
      <c r="E44" s="18"/>
      <c r="F44" s="18"/>
      <c r="G44" s="18"/>
      <c r="H44" s="18"/>
      <c r="I44" s="18"/>
      <c r="J44" s="18"/>
      <c r="K44" s="18"/>
      <c r="L44" s="12" t="s">
        <v>362</v>
      </c>
      <c r="M44" s="18"/>
      <c r="N44" s="18"/>
      <c r="O44" s="18"/>
      <c r="P44" s="18"/>
      <c r="Q44" s="18"/>
    </row>
    <row r="45" spans="1:17" ht="30" x14ac:dyDescent="0.25">
      <c r="A45" s="18"/>
      <c r="B45" s="18"/>
      <c r="C45" s="18"/>
      <c r="D45" s="18"/>
      <c r="E45" s="18"/>
      <c r="F45" s="18"/>
      <c r="G45" s="18"/>
      <c r="H45" s="18"/>
      <c r="I45" s="18"/>
      <c r="J45" s="18"/>
      <c r="K45" s="18"/>
      <c r="L45" s="12" t="s">
        <v>363</v>
      </c>
      <c r="M45" s="18"/>
      <c r="N45" s="18"/>
      <c r="O45" s="18"/>
      <c r="P45" s="18"/>
      <c r="Q45" s="18"/>
    </row>
    <row r="46" spans="1:17" x14ac:dyDescent="0.25">
      <c r="A46" s="18"/>
      <c r="B46" s="18"/>
      <c r="C46" s="18"/>
      <c r="D46" s="18"/>
      <c r="E46" s="18"/>
      <c r="F46" s="18"/>
      <c r="G46" s="18"/>
      <c r="H46" s="18"/>
      <c r="I46" s="18"/>
      <c r="J46" s="18"/>
      <c r="K46" s="18"/>
      <c r="L46" s="12" t="s">
        <v>364</v>
      </c>
      <c r="M46" s="18"/>
      <c r="N46" s="18"/>
      <c r="O46" s="18"/>
      <c r="P46" s="18"/>
      <c r="Q46" s="18"/>
    </row>
    <row r="47" spans="1:17" ht="30" x14ac:dyDescent="0.25">
      <c r="A47" s="18" t="s">
        <v>7169</v>
      </c>
      <c r="B47" s="18" t="s">
        <v>7170</v>
      </c>
      <c r="C47" s="18" t="s">
        <v>7178</v>
      </c>
      <c r="D47" s="18" t="s">
        <v>7172</v>
      </c>
      <c r="E47" s="18" t="s">
        <v>1579</v>
      </c>
      <c r="F47" s="18" t="s">
        <v>1580</v>
      </c>
      <c r="G47" s="20" t="s">
        <v>6749</v>
      </c>
      <c r="H47" s="18" t="s">
        <v>6390</v>
      </c>
      <c r="I47" s="18"/>
      <c r="J47" s="18"/>
      <c r="K47" s="18"/>
      <c r="L47" s="12" t="s">
        <v>361</v>
      </c>
      <c r="M47" s="18" t="s">
        <v>1581</v>
      </c>
      <c r="N47" s="18"/>
      <c r="O47" s="18" t="s">
        <v>1582</v>
      </c>
      <c r="P47" s="18" t="str">
        <f>HYPERLINK("https://ceds.ed.gov/cedselementdetails.aspx?termid=9657")</f>
        <v>https://ceds.ed.gov/cedselementdetails.aspx?termid=9657</v>
      </c>
      <c r="Q47" s="18" t="str">
        <f>HYPERLINK("https://ceds.ed.gov/elementComment.aspx?elementName=Black or African American &amp;elementID=9657", "Click here to submit comment")</f>
        <v>Click here to submit comment</v>
      </c>
    </row>
    <row r="48" spans="1:17" x14ac:dyDescent="0.25">
      <c r="A48" s="18"/>
      <c r="B48" s="18"/>
      <c r="C48" s="18"/>
      <c r="D48" s="18"/>
      <c r="E48" s="18"/>
      <c r="F48" s="18"/>
      <c r="G48" s="18"/>
      <c r="H48" s="18"/>
      <c r="I48" s="18"/>
      <c r="J48" s="18"/>
      <c r="K48" s="18"/>
      <c r="L48" s="12"/>
      <c r="M48" s="18"/>
      <c r="N48" s="18"/>
      <c r="O48" s="18"/>
      <c r="P48" s="18"/>
      <c r="Q48" s="18"/>
    </row>
    <row r="49" spans="1:17" x14ac:dyDescent="0.25">
      <c r="A49" s="18"/>
      <c r="B49" s="18"/>
      <c r="C49" s="18"/>
      <c r="D49" s="18"/>
      <c r="E49" s="18"/>
      <c r="F49" s="18"/>
      <c r="G49" s="18"/>
      <c r="H49" s="18"/>
      <c r="I49" s="18"/>
      <c r="J49" s="18"/>
      <c r="K49" s="18"/>
      <c r="L49" s="12" t="s">
        <v>362</v>
      </c>
      <c r="M49" s="18"/>
      <c r="N49" s="18"/>
      <c r="O49" s="18"/>
      <c r="P49" s="18"/>
      <c r="Q49" s="18"/>
    </row>
    <row r="50" spans="1:17" ht="30" x14ac:dyDescent="0.25">
      <c r="A50" s="18"/>
      <c r="B50" s="18"/>
      <c r="C50" s="18"/>
      <c r="D50" s="18"/>
      <c r="E50" s="18"/>
      <c r="F50" s="18"/>
      <c r="G50" s="18"/>
      <c r="H50" s="18"/>
      <c r="I50" s="18"/>
      <c r="J50" s="18"/>
      <c r="K50" s="18"/>
      <c r="L50" s="12" t="s">
        <v>363</v>
      </c>
      <c r="M50" s="18"/>
      <c r="N50" s="18"/>
      <c r="O50" s="18"/>
      <c r="P50" s="18"/>
      <c r="Q50" s="18"/>
    </row>
    <row r="51" spans="1:17" x14ac:dyDescent="0.25">
      <c r="A51" s="18"/>
      <c r="B51" s="18"/>
      <c r="C51" s="18"/>
      <c r="D51" s="18"/>
      <c r="E51" s="18"/>
      <c r="F51" s="18"/>
      <c r="G51" s="18"/>
      <c r="H51" s="18"/>
      <c r="I51" s="18"/>
      <c r="J51" s="18"/>
      <c r="K51" s="18"/>
      <c r="L51" s="12" t="s">
        <v>364</v>
      </c>
      <c r="M51" s="18"/>
      <c r="N51" s="18"/>
      <c r="O51" s="18"/>
      <c r="P51" s="18"/>
      <c r="Q51" s="18"/>
    </row>
    <row r="52" spans="1:17" ht="30" x14ac:dyDescent="0.25">
      <c r="A52" s="18" t="s">
        <v>7169</v>
      </c>
      <c r="B52" s="18" t="s">
        <v>7170</v>
      </c>
      <c r="C52" s="18" t="s">
        <v>7178</v>
      </c>
      <c r="D52" s="18" t="s">
        <v>7172</v>
      </c>
      <c r="E52" s="18" t="s">
        <v>4536</v>
      </c>
      <c r="F52" s="18" t="s">
        <v>4537</v>
      </c>
      <c r="G52" s="20" t="s">
        <v>6749</v>
      </c>
      <c r="H52" s="18" t="s">
        <v>6390</v>
      </c>
      <c r="I52" s="18"/>
      <c r="J52" s="18"/>
      <c r="K52" s="18"/>
      <c r="L52" s="12" t="s">
        <v>361</v>
      </c>
      <c r="M52" s="18" t="s">
        <v>4538</v>
      </c>
      <c r="N52" s="18"/>
      <c r="O52" s="18" t="s">
        <v>4539</v>
      </c>
      <c r="P52" s="18" t="str">
        <f>HYPERLINK("https://ceds.ed.gov/cedselementdetails.aspx?termid=9658")</f>
        <v>https://ceds.ed.gov/cedselementdetails.aspx?termid=9658</v>
      </c>
      <c r="Q52" s="18" t="str">
        <f>HYPERLINK("https://ceds.ed.gov/elementComment.aspx?elementName=Native Hawaiian or Other Pacific Islander &amp;elementID=9658", "Click here to submit comment")</f>
        <v>Click here to submit comment</v>
      </c>
    </row>
    <row r="53" spans="1:17" x14ac:dyDescent="0.25">
      <c r="A53" s="18"/>
      <c r="B53" s="18"/>
      <c r="C53" s="18"/>
      <c r="D53" s="18"/>
      <c r="E53" s="18"/>
      <c r="F53" s="18"/>
      <c r="G53" s="18"/>
      <c r="H53" s="18"/>
      <c r="I53" s="18"/>
      <c r="J53" s="18"/>
      <c r="K53" s="18"/>
      <c r="L53" s="12"/>
      <c r="M53" s="18"/>
      <c r="N53" s="18"/>
      <c r="O53" s="18"/>
      <c r="P53" s="18"/>
      <c r="Q53" s="18"/>
    </row>
    <row r="54" spans="1:17" x14ac:dyDescent="0.25">
      <c r="A54" s="18"/>
      <c r="B54" s="18"/>
      <c r="C54" s="18"/>
      <c r="D54" s="18"/>
      <c r="E54" s="18"/>
      <c r="F54" s="18"/>
      <c r="G54" s="18"/>
      <c r="H54" s="18"/>
      <c r="I54" s="18"/>
      <c r="J54" s="18"/>
      <c r="K54" s="18"/>
      <c r="L54" s="12" t="s">
        <v>362</v>
      </c>
      <c r="M54" s="18"/>
      <c r="N54" s="18"/>
      <c r="O54" s="18"/>
      <c r="P54" s="18"/>
      <c r="Q54" s="18"/>
    </row>
    <row r="55" spans="1:17" ht="30" x14ac:dyDescent="0.25">
      <c r="A55" s="18"/>
      <c r="B55" s="18"/>
      <c r="C55" s="18"/>
      <c r="D55" s="18"/>
      <c r="E55" s="18"/>
      <c r="F55" s="18"/>
      <c r="G55" s="18"/>
      <c r="H55" s="18"/>
      <c r="I55" s="18"/>
      <c r="J55" s="18"/>
      <c r="K55" s="18"/>
      <c r="L55" s="12" t="s">
        <v>363</v>
      </c>
      <c r="M55" s="18"/>
      <c r="N55" s="18"/>
      <c r="O55" s="18"/>
      <c r="P55" s="18"/>
      <c r="Q55" s="18"/>
    </row>
    <row r="56" spans="1:17" x14ac:dyDescent="0.25">
      <c r="A56" s="18"/>
      <c r="B56" s="18"/>
      <c r="C56" s="18"/>
      <c r="D56" s="18"/>
      <c r="E56" s="18"/>
      <c r="F56" s="18"/>
      <c r="G56" s="18"/>
      <c r="H56" s="18"/>
      <c r="I56" s="18"/>
      <c r="J56" s="18"/>
      <c r="K56" s="18"/>
      <c r="L56" s="12" t="s">
        <v>364</v>
      </c>
      <c r="M56" s="18"/>
      <c r="N56" s="18"/>
      <c r="O56" s="18"/>
      <c r="P56" s="18"/>
      <c r="Q56" s="18"/>
    </row>
    <row r="57" spans="1:17" ht="30" x14ac:dyDescent="0.25">
      <c r="A57" s="18" t="s">
        <v>7169</v>
      </c>
      <c r="B57" s="18" t="s">
        <v>7170</v>
      </c>
      <c r="C57" s="18" t="s">
        <v>7178</v>
      </c>
      <c r="D57" s="18" t="s">
        <v>7172</v>
      </c>
      <c r="E57" s="18" t="s">
        <v>6333</v>
      </c>
      <c r="F57" s="18" t="s">
        <v>6334</v>
      </c>
      <c r="G57" s="20" t="s">
        <v>6749</v>
      </c>
      <c r="H57" s="18" t="s">
        <v>6390</v>
      </c>
      <c r="I57" s="18"/>
      <c r="J57" s="18"/>
      <c r="K57" s="18"/>
      <c r="L57" s="12" t="s">
        <v>361</v>
      </c>
      <c r="M57" s="18" t="s">
        <v>6335</v>
      </c>
      <c r="N57" s="18"/>
      <c r="O57" s="18" t="s">
        <v>6333</v>
      </c>
      <c r="P57" s="18" t="str">
        <f>HYPERLINK("https://ceds.ed.gov/cedselementdetails.aspx?termid=9659")</f>
        <v>https://ceds.ed.gov/cedselementdetails.aspx?termid=9659</v>
      </c>
      <c r="Q57" s="18" t="str">
        <f>HYPERLINK("https://ceds.ed.gov/elementComment.aspx?elementName=White &amp;elementID=9659", "Click here to submit comment")</f>
        <v>Click here to submit comment</v>
      </c>
    </row>
    <row r="58" spans="1:17" x14ac:dyDescent="0.25">
      <c r="A58" s="18"/>
      <c r="B58" s="18"/>
      <c r="C58" s="18"/>
      <c r="D58" s="18"/>
      <c r="E58" s="18"/>
      <c r="F58" s="18"/>
      <c r="G58" s="18"/>
      <c r="H58" s="18"/>
      <c r="I58" s="18"/>
      <c r="J58" s="18"/>
      <c r="K58" s="18"/>
      <c r="L58" s="12"/>
      <c r="M58" s="18"/>
      <c r="N58" s="18"/>
      <c r="O58" s="18"/>
      <c r="P58" s="18"/>
      <c r="Q58" s="18"/>
    </row>
    <row r="59" spans="1:17" x14ac:dyDescent="0.25">
      <c r="A59" s="18"/>
      <c r="B59" s="18"/>
      <c r="C59" s="18"/>
      <c r="D59" s="18"/>
      <c r="E59" s="18"/>
      <c r="F59" s="18"/>
      <c r="G59" s="18"/>
      <c r="H59" s="18"/>
      <c r="I59" s="18"/>
      <c r="J59" s="18"/>
      <c r="K59" s="18"/>
      <c r="L59" s="12" t="s">
        <v>362</v>
      </c>
      <c r="M59" s="18"/>
      <c r="N59" s="18"/>
      <c r="O59" s="18"/>
      <c r="P59" s="18"/>
      <c r="Q59" s="18"/>
    </row>
    <row r="60" spans="1:17" ht="30" x14ac:dyDescent="0.25">
      <c r="A60" s="18"/>
      <c r="B60" s="18"/>
      <c r="C60" s="18"/>
      <c r="D60" s="18"/>
      <c r="E60" s="18"/>
      <c r="F60" s="18"/>
      <c r="G60" s="18"/>
      <c r="H60" s="18"/>
      <c r="I60" s="18"/>
      <c r="J60" s="18"/>
      <c r="K60" s="18"/>
      <c r="L60" s="12" t="s">
        <v>363</v>
      </c>
      <c r="M60" s="18"/>
      <c r="N60" s="18"/>
      <c r="O60" s="18"/>
      <c r="P60" s="18"/>
      <c r="Q60" s="18"/>
    </row>
    <row r="61" spans="1:17" x14ac:dyDescent="0.25">
      <c r="A61" s="18"/>
      <c r="B61" s="18"/>
      <c r="C61" s="18"/>
      <c r="D61" s="18"/>
      <c r="E61" s="18"/>
      <c r="F61" s="18"/>
      <c r="G61" s="18"/>
      <c r="H61" s="18"/>
      <c r="I61" s="18"/>
      <c r="J61" s="18"/>
      <c r="K61" s="18"/>
      <c r="L61" s="12" t="s">
        <v>364</v>
      </c>
      <c r="M61" s="18"/>
      <c r="N61" s="18"/>
      <c r="O61" s="18"/>
      <c r="P61" s="18"/>
      <c r="Q61" s="18"/>
    </row>
    <row r="62" spans="1:17" ht="30" x14ac:dyDescent="0.25">
      <c r="A62" s="18" t="s">
        <v>7169</v>
      </c>
      <c r="B62" s="18" t="s">
        <v>7170</v>
      </c>
      <c r="C62" s="18" t="s">
        <v>7178</v>
      </c>
      <c r="D62" s="18" t="s">
        <v>7172</v>
      </c>
      <c r="E62" s="18" t="s">
        <v>3227</v>
      </c>
      <c r="F62" s="18" t="s">
        <v>3228</v>
      </c>
      <c r="G62" s="20" t="s">
        <v>6749</v>
      </c>
      <c r="H62" s="18" t="s">
        <v>6390</v>
      </c>
      <c r="I62" s="18"/>
      <c r="J62" s="18"/>
      <c r="K62" s="18"/>
      <c r="L62" s="12" t="s">
        <v>361</v>
      </c>
      <c r="M62" s="18" t="s">
        <v>3229</v>
      </c>
      <c r="N62" s="18"/>
      <c r="O62" s="18" t="s">
        <v>3230</v>
      </c>
      <c r="P62" s="18" t="str">
        <f>HYPERLINK("https://ceds.ed.gov/cedselementdetails.aspx?termid=9144")</f>
        <v>https://ceds.ed.gov/cedselementdetails.aspx?termid=9144</v>
      </c>
      <c r="Q62" s="18" t="str">
        <f>HYPERLINK("https://ceds.ed.gov/elementComment.aspx?elementName=Hispanic or Latino Ethnicity &amp;elementID=9144", "Click here to submit comment")</f>
        <v>Click here to submit comment</v>
      </c>
    </row>
    <row r="63" spans="1:17" x14ac:dyDescent="0.25">
      <c r="A63" s="18"/>
      <c r="B63" s="18"/>
      <c r="C63" s="18"/>
      <c r="D63" s="18"/>
      <c r="E63" s="18"/>
      <c r="F63" s="18"/>
      <c r="G63" s="18"/>
      <c r="H63" s="18"/>
      <c r="I63" s="18"/>
      <c r="J63" s="18"/>
      <c r="K63" s="18"/>
      <c r="L63" s="12"/>
      <c r="M63" s="18"/>
      <c r="N63" s="18"/>
      <c r="O63" s="18"/>
      <c r="P63" s="18"/>
      <c r="Q63" s="18"/>
    </row>
    <row r="64" spans="1:17" x14ac:dyDescent="0.25">
      <c r="A64" s="18"/>
      <c r="B64" s="18"/>
      <c r="C64" s="18"/>
      <c r="D64" s="18"/>
      <c r="E64" s="18"/>
      <c r="F64" s="18"/>
      <c r="G64" s="18"/>
      <c r="H64" s="18"/>
      <c r="I64" s="18"/>
      <c r="J64" s="18"/>
      <c r="K64" s="18"/>
      <c r="L64" s="12" t="s">
        <v>362</v>
      </c>
      <c r="M64" s="18"/>
      <c r="N64" s="18"/>
      <c r="O64" s="18"/>
      <c r="P64" s="18"/>
      <c r="Q64" s="18"/>
    </row>
    <row r="65" spans="1:17" ht="30" x14ac:dyDescent="0.25">
      <c r="A65" s="18"/>
      <c r="B65" s="18"/>
      <c r="C65" s="18"/>
      <c r="D65" s="18"/>
      <c r="E65" s="18"/>
      <c r="F65" s="18"/>
      <c r="G65" s="18"/>
      <c r="H65" s="18"/>
      <c r="I65" s="18"/>
      <c r="J65" s="18"/>
      <c r="K65" s="18"/>
      <c r="L65" s="12" t="s">
        <v>363</v>
      </c>
      <c r="M65" s="18"/>
      <c r="N65" s="18"/>
      <c r="O65" s="18"/>
      <c r="P65" s="18"/>
      <c r="Q65" s="18"/>
    </row>
    <row r="66" spans="1:17" x14ac:dyDescent="0.25">
      <c r="A66" s="18"/>
      <c r="B66" s="18"/>
      <c r="C66" s="18"/>
      <c r="D66" s="18"/>
      <c r="E66" s="18"/>
      <c r="F66" s="18"/>
      <c r="G66" s="18"/>
      <c r="H66" s="18"/>
      <c r="I66" s="18"/>
      <c r="J66" s="18"/>
      <c r="K66" s="18"/>
      <c r="L66" s="12" t="s">
        <v>364</v>
      </c>
      <c r="M66" s="18"/>
      <c r="N66" s="18"/>
      <c r="O66" s="18"/>
      <c r="P66" s="18"/>
      <c r="Q66" s="18"/>
    </row>
    <row r="67" spans="1:17" ht="409.5" x14ac:dyDescent="0.25">
      <c r="A67" s="12" t="s">
        <v>7169</v>
      </c>
      <c r="B67" s="12" t="s">
        <v>7170</v>
      </c>
      <c r="C67" s="12" t="s">
        <v>7178</v>
      </c>
      <c r="D67" s="12" t="s">
        <v>7172</v>
      </c>
      <c r="E67" s="12" t="s">
        <v>3244</v>
      </c>
      <c r="F67" s="12" t="s">
        <v>3245</v>
      </c>
      <c r="G67" s="12" t="s">
        <v>6364</v>
      </c>
      <c r="H67" s="12" t="s">
        <v>6565</v>
      </c>
      <c r="I67" s="12"/>
      <c r="J67" s="12"/>
      <c r="K67" s="12"/>
      <c r="L67" s="12"/>
      <c r="M67" s="12" t="s">
        <v>3246</v>
      </c>
      <c r="N67" s="12"/>
      <c r="O67" s="12" t="s">
        <v>3247</v>
      </c>
      <c r="P67" s="12" t="str">
        <f>HYPERLINK("https://ceds.ed.gov/cedselementdetails.aspx?termid=9149")</f>
        <v>https://ceds.ed.gov/cedselementdetails.aspx?termid=9149</v>
      </c>
      <c r="Q67" s="12" t="str">
        <f>HYPERLINK("https://ceds.ed.gov/elementComment.aspx?elementName=Homelessness Status &amp;elementID=9149", "Click here to submit comment")</f>
        <v>Click here to submit comment</v>
      </c>
    </row>
    <row r="68" spans="1:17" ht="75" x14ac:dyDescent="0.25">
      <c r="A68" s="12" t="s">
        <v>7169</v>
      </c>
      <c r="B68" s="12" t="s">
        <v>7170</v>
      </c>
      <c r="C68" s="12" t="s">
        <v>7178</v>
      </c>
      <c r="D68" s="12" t="s">
        <v>7172</v>
      </c>
      <c r="E68" s="12" t="s">
        <v>2273</v>
      </c>
      <c r="F68" s="12" t="s">
        <v>2274</v>
      </c>
      <c r="G68" s="12" t="s">
        <v>6364</v>
      </c>
      <c r="H68" s="12"/>
      <c r="I68" s="12"/>
      <c r="J68" s="12"/>
      <c r="K68" s="12"/>
      <c r="L68" s="12" t="s">
        <v>2275</v>
      </c>
      <c r="M68" s="12" t="s">
        <v>2276</v>
      </c>
      <c r="N68" s="12"/>
      <c r="O68" s="12" t="s">
        <v>2277</v>
      </c>
      <c r="P68" s="12" t="str">
        <f>HYPERLINK("https://ceds.ed.gov/cedselementdetails.aspx?termid=9974")</f>
        <v>https://ceds.ed.gov/cedselementdetails.aspx?termid=9974</v>
      </c>
      <c r="Q68" s="12" t="str">
        <f>HYPERLINK("https://ceds.ed.gov/elementComment.aspx?elementName=Demographic Race Two or More Races &amp;elementID=9974", "Click here to submit comment")</f>
        <v>Click here to submit comment</v>
      </c>
    </row>
    <row r="69" spans="1:17" ht="30" x14ac:dyDescent="0.25">
      <c r="A69" s="12" t="s">
        <v>7169</v>
      </c>
      <c r="B69" s="12" t="s">
        <v>7170</v>
      </c>
      <c r="C69" s="12" t="s">
        <v>7178</v>
      </c>
      <c r="D69" s="12" t="s">
        <v>7172</v>
      </c>
      <c r="E69" s="12" t="s">
        <v>3038</v>
      </c>
      <c r="F69" s="12" t="s">
        <v>3039</v>
      </c>
      <c r="G69" s="12" t="s">
        <v>12</v>
      </c>
      <c r="H69" s="12"/>
      <c r="I69" s="12"/>
      <c r="J69" s="12" t="s">
        <v>73</v>
      </c>
      <c r="K69" s="12"/>
      <c r="L69" s="12"/>
      <c r="M69" s="12" t="s">
        <v>3041</v>
      </c>
      <c r="N69" s="12"/>
      <c r="O69" s="12" t="s">
        <v>3042</v>
      </c>
      <c r="P69" s="12" t="str">
        <f>HYPERLINK("https://ceds.ed.gov/cedselementdetails.aspx?termid=10495")</f>
        <v>https://ceds.ed.gov/cedselementdetails.aspx?termid=10495</v>
      </c>
      <c r="Q69" s="12" t="str">
        <f>HYPERLINK("https://ceds.ed.gov/elementComment.aspx?elementName=Foster Care End Date &amp;elementID=10495", "Click here to submit comment")</f>
        <v>Click here to submit comment</v>
      </c>
    </row>
    <row r="70" spans="1:17" ht="30" x14ac:dyDescent="0.25">
      <c r="A70" s="12" t="s">
        <v>7169</v>
      </c>
      <c r="B70" s="12" t="s">
        <v>7170</v>
      </c>
      <c r="C70" s="12" t="s">
        <v>7178</v>
      </c>
      <c r="D70" s="12" t="s">
        <v>7172</v>
      </c>
      <c r="E70" s="12" t="s">
        <v>3043</v>
      </c>
      <c r="F70" s="12" t="s">
        <v>3044</v>
      </c>
      <c r="G70" s="12" t="s">
        <v>12</v>
      </c>
      <c r="H70" s="12"/>
      <c r="I70" s="12"/>
      <c r="J70" s="12" t="s">
        <v>73</v>
      </c>
      <c r="K70" s="12"/>
      <c r="L70" s="12"/>
      <c r="M70" s="12" t="s">
        <v>3045</v>
      </c>
      <c r="N70" s="12"/>
      <c r="O70" s="12" t="s">
        <v>3046</v>
      </c>
      <c r="P70" s="12" t="str">
        <f>HYPERLINK("https://ceds.ed.gov/cedselementdetails.aspx?termid=10496")</f>
        <v>https://ceds.ed.gov/cedselementdetails.aspx?termid=10496</v>
      </c>
      <c r="Q70" s="12" t="str">
        <f>HYPERLINK("https://ceds.ed.gov/elementComment.aspx?elementName=Foster Care Start Date &amp;elementID=10496", "Click here to submit comment")</f>
        <v>Click here to submit comment</v>
      </c>
    </row>
    <row r="71" spans="1:17" ht="270" x14ac:dyDescent="0.25">
      <c r="A71" s="12" t="s">
        <v>7169</v>
      </c>
      <c r="B71" s="12" t="s">
        <v>7170</v>
      </c>
      <c r="C71" s="12" t="s">
        <v>7178</v>
      </c>
      <c r="D71" s="12" t="s">
        <v>7172</v>
      </c>
      <c r="E71" s="12" t="s">
        <v>4464</v>
      </c>
      <c r="F71" s="12" t="s">
        <v>4465</v>
      </c>
      <c r="G71" s="12" t="s">
        <v>6364</v>
      </c>
      <c r="H71" s="12" t="s">
        <v>6438</v>
      </c>
      <c r="I71" s="12"/>
      <c r="J71" s="12"/>
      <c r="K71" s="12"/>
      <c r="L71" s="12"/>
      <c r="M71" s="12" t="s">
        <v>4466</v>
      </c>
      <c r="N71" s="12"/>
      <c r="O71" s="12" t="s">
        <v>4467</v>
      </c>
      <c r="P71" s="12" t="str">
        <f>HYPERLINK("https://ceds.ed.gov/cedselementdetails.aspx?termid=9189")</f>
        <v>https://ceds.ed.gov/cedselementdetails.aspx?termid=9189</v>
      </c>
      <c r="Q71" s="12" t="str">
        <f>HYPERLINK("https://ceds.ed.gov/elementComment.aspx?elementName=Migrant Status &amp;elementID=9189", "Click here to submit comment")</f>
        <v>Click here to submit comment</v>
      </c>
    </row>
    <row r="72" spans="1:17" ht="45" x14ac:dyDescent="0.25">
      <c r="A72" s="12" t="s">
        <v>7169</v>
      </c>
      <c r="B72" s="12" t="s">
        <v>7170</v>
      </c>
      <c r="C72" s="12" t="s">
        <v>7178</v>
      </c>
      <c r="D72" s="12" t="s">
        <v>7172</v>
      </c>
      <c r="E72" s="12" t="s">
        <v>4728</v>
      </c>
      <c r="F72" s="12" t="s">
        <v>4729</v>
      </c>
      <c r="G72" s="12" t="s">
        <v>6364</v>
      </c>
      <c r="H72" s="12"/>
      <c r="I72" s="12"/>
      <c r="J72" s="12"/>
      <c r="K72" s="12"/>
      <c r="L72" s="12" t="s">
        <v>4730</v>
      </c>
      <c r="M72" s="12" t="s">
        <v>4731</v>
      </c>
      <c r="N72" s="12"/>
      <c r="O72" s="12" t="s">
        <v>4732</v>
      </c>
      <c r="P72" s="12" t="str">
        <f>HYPERLINK("https://ceds.ed.gov/cedselementdetails.aspx?termid=10390")</f>
        <v>https://ceds.ed.gov/cedselementdetails.aspx?termid=10390</v>
      </c>
      <c r="Q72" s="12" t="str">
        <f>HYPERLINK("https://ceds.ed.gov/elementComment.aspx?elementName=Other Race Indicator &amp;elementID=10390", "Click here to submit comment")</f>
        <v>Click here to submit comment</v>
      </c>
    </row>
    <row r="73" spans="1:17" ht="30" x14ac:dyDescent="0.25">
      <c r="A73" s="12" t="s">
        <v>7169</v>
      </c>
      <c r="B73" s="12" t="s">
        <v>7170</v>
      </c>
      <c r="C73" s="12" t="s">
        <v>7179</v>
      </c>
      <c r="D73" s="12" t="s">
        <v>7172</v>
      </c>
      <c r="E73" s="12" t="s">
        <v>5329</v>
      </c>
      <c r="F73" s="12" t="s">
        <v>5330</v>
      </c>
      <c r="G73" s="12" t="s">
        <v>12</v>
      </c>
      <c r="H73" s="12"/>
      <c r="I73" s="12"/>
      <c r="J73" s="12" t="s">
        <v>73</v>
      </c>
      <c r="K73" s="12"/>
      <c r="L73" s="12"/>
      <c r="M73" s="12" t="s">
        <v>5332</v>
      </c>
      <c r="N73" s="12"/>
      <c r="O73" s="12" t="s">
        <v>5333</v>
      </c>
      <c r="P73" s="12" t="str">
        <f>HYPERLINK("https://ceds.ed.gov/cedselementdetails.aspx?termid=10453")</f>
        <v>https://ceds.ed.gov/cedselementdetails.aspx?termid=10453</v>
      </c>
      <c r="Q73" s="12" t="str">
        <f>HYPERLINK("https://ceds.ed.gov/elementComment.aspx?elementName=Referral Date &amp;elementID=10453", "Click here to submit comment")</f>
        <v>Click here to submit comment</v>
      </c>
    </row>
    <row r="74" spans="1:17" ht="135" x14ac:dyDescent="0.25">
      <c r="A74" s="12" t="s">
        <v>7169</v>
      </c>
      <c r="B74" s="12" t="s">
        <v>7170</v>
      </c>
      <c r="C74" s="12" t="s">
        <v>7179</v>
      </c>
      <c r="D74" s="12" t="s">
        <v>7172</v>
      </c>
      <c r="E74" s="12" t="s">
        <v>5334</v>
      </c>
      <c r="F74" s="12" t="s">
        <v>5335</v>
      </c>
      <c r="G74" s="13" t="s">
        <v>7096</v>
      </c>
      <c r="H74" s="12"/>
      <c r="I74" s="12"/>
      <c r="J74" s="12"/>
      <c r="K74" s="12"/>
      <c r="L74" s="12"/>
      <c r="M74" s="12" t="s">
        <v>5336</v>
      </c>
      <c r="N74" s="12"/>
      <c r="O74" s="12" t="s">
        <v>5337</v>
      </c>
      <c r="P74" s="12" t="str">
        <f>HYPERLINK("https://ceds.ed.gov/cedselementdetails.aspx?termid=10454")</f>
        <v>https://ceds.ed.gov/cedselementdetails.aspx?termid=10454</v>
      </c>
      <c r="Q74" s="12" t="str">
        <f>HYPERLINK("https://ceds.ed.gov/elementComment.aspx?elementName=Referral Outcome &amp;elementID=10454", "Click here to submit comment")</f>
        <v>Click here to submit comment</v>
      </c>
    </row>
    <row r="75" spans="1:17" ht="30" x14ac:dyDescent="0.25">
      <c r="A75" s="12" t="s">
        <v>7169</v>
      </c>
      <c r="B75" s="12" t="s">
        <v>7170</v>
      </c>
      <c r="C75" s="12" t="s">
        <v>7179</v>
      </c>
      <c r="D75" s="12" t="s">
        <v>7172</v>
      </c>
      <c r="E75" s="12" t="s">
        <v>5342</v>
      </c>
      <c r="F75" s="12" t="s">
        <v>5343</v>
      </c>
      <c r="G75" s="12" t="s">
        <v>12</v>
      </c>
      <c r="H75" s="12"/>
      <c r="I75" s="12"/>
      <c r="J75" s="12" t="s">
        <v>327</v>
      </c>
      <c r="K75" s="12"/>
      <c r="L75" s="12"/>
      <c r="M75" s="12" t="s">
        <v>5344</v>
      </c>
      <c r="N75" s="12"/>
      <c r="O75" s="12" t="s">
        <v>5345</v>
      </c>
      <c r="P75" s="12" t="str">
        <f>HYPERLINK("https://ceds.ed.gov/cedselementdetails.aspx?termid=10455")</f>
        <v>https://ceds.ed.gov/cedselementdetails.aspx?termid=10455</v>
      </c>
      <c r="Q75" s="12" t="str">
        <f>HYPERLINK("https://ceds.ed.gov/elementComment.aspx?elementName=Referral Reason &amp;elementID=10455", "Click here to submit comment")</f>
        <v>Click here to submit comment</v>
      </c>
    </row>
    <row r="76" spans="1:17" ht="30" x14ac:dyDescent="0.25">
      <c r="A76" s="12" t="s">
        <v>7169</v>
      </c>
      <c r="B76" s="12" t="s">
        <v>7170</v>
      </c>
      <c r="C76" s="12" t="s">
        <v>7179</v>
      </c>
      <c r="D76" s="12" t="s">
        <v>7172</v>
      </c>
      <c r="E76" s="12" t="s">
        <v>5346</v>
      </c>
      <c r="F76" s="12" t="s">
        <v>5347</v>
      </c>
      <c r="G76" s="12" t="s">
        <v>12</v>
      </c>
      <c r="H76" s="12"/>
      <c r="I76" s="12"/>
      <c r="J76" s="12" t="s">
        <v>99</v>
      </c>
      <c r="K76" s="12"/>
      <c r="L76" s="12"/>
      <c r="M76" s="12" t="s">
        <v>5348</v>
      </c>
      <c r="N76" s="12"/>
      <c r="O76" s="12" t="s">
        <v>5349</v>
      </c>
      <c r="P76" s="12" t="str">
        <f>HYPERLINK("https://ceds.ed.gov/cedselementdetails.aspx?termid=10456")</f>
        <v>https://ceds.ed.gov/cedselementdetails.aspx?termid=10456</v>
      </c>
      <c r="Q76" s="12" t="str">
        <f>HYPERLINK("https://ceds.ed.gov/elementComment.aspx?elementName=Referral Source &amp;elementID=10456", "Click here to submit comment")</f>
        <v>Click here to submit comment</v>
      </c>
    </row>
    <row r="77" spans="1:17" ht="30" x14ac:dyDescent="0.25">
      <c r="A77" s="12" t="s">
        <v>7169</v>
      </c>
      <c r="B77" s="12" t="s">
        <v>7170</v>
      </c>
      <c r="C77" s="12" t="s">
        <v>7179</v>
      </c>
      <c r="D77" s="12" t="s">
        <v>7172</v>
      </c>
      <c r="E77" s="12" t="s">
        <v>5350</v>
      </c>
      <c r="F77" s="12" t="s">
        <v>5351</v>
      </c>
      <c r="G77" s="12" t="s">
        <v>12</v>
      </c>
      <c r="H77" s="12"/>
      <c r="I77" s="12"/>
      <c r="J77" s="12" t="s">
        <v>99</v>
      </c>
      <c r="K77" s="12"/>
      <c r="L77" s="12"/>
      <c r="M77" s="12" t="s">
        <v>5352</v>
      </c>
      <c r="N77" s="12"/>
      <c r="O77" s="12" t="s">
        <v>5353</v>
      </c>
      <c r="P77" s="12" t="str">
        <f>HYPERLINK("https://ceds.ed.gov/cedselementdetails.aspx?termid=10457")</f>
        <v>https://ceds.ed.gov/cedselementdetails.aspx?termid=10457</v>
      </c>
      <c r="Q77" s="12" t="str">
        <f>HYPERLINK("https://ceds.ed.gov/elementComment.aspx?elementName=Referral Type Received &amp;elementID=10457", "Click here to submit comment")</f>
        <v>Click here to submit comment</v>
      </c>
    </row>
    <row r="78" spans="1:17" ht="30" x14ac:dyDescent="0.25">
      <c r="A78" s="12" t="s">
        <v>7169</v>
      </c>
      <c r="B78" s="12" t="s">
        <v>7170</v>
      </c>
      <c r="C78" s="12" t="s">
        <v>7179</v>
      </c>
      <c r="D78" s="12" t="s">
        <v>7172</v>
      </c>
      <c r="E78" s="12" t="s">
        <v>5354</v>
      </c>
      <c r="F78" s="12" t="s">
        <v>5355</v>
      </c>
      <c r="G78" s="12" t="s">
        <v>12</v>
      </c>
      <c r="H78" s="12"/>
      <c r="I78" s="12"/>
      <c r="J78" s="12" t="s">
        <v>99</v>
      </c>
      <c r="K78" s="12"/>
      <c r="L78" s="12"/>
      <c r="M78" s="12" t="s">
        <v>5356</v>
      </c>
      <c r="N78" s="12"/>
      <c r="O78" s="12" t="s">
        <v>5357</v>
      </c>
      <c r="P78" s="12" t="str">
        <f>HYPERLINK("https://ceds.ed.gov/cedselementdetails.aspx?termid=10458")</f>
        <v>https://ceds.ed.gov/cedselementdetails.aspx?termid=10458</v>
      </c>
      <c r="Q78" s="12" t="str">
        <f>HYPERLINK("https://ceds.ed.gov/elementComment.aspx?elementName=Referred To &amp;elementID=10458", "Click here to submit comment")</f>
        <v>Click here to submit comment</v>
      </c>
    </row>
    <row r="79" spans="1:17" ht="45" x14ac:dyDescent="0.25">
      <c r="A79" s="12" t="s">
        <v>7169</v>
      </c>
      <c r="B79" s="12" t="s">
        <v>7170</v>
      </c>
      <c r="C79" s="12" t="s">
        <v>7180</v>
      </c>
      <c r="D79" s="12" t="s">
        <v>7172</v>
      </c>
      <c r="E79" s="12" t="s">
        <v>325</v>
      </c>
      <c r="F79" s="12" t="s">
        <v>326</v>
      </c>
      <c r="G79" s="12" t="s">
        <v>12</v>
      </c>
      <c r="H79" s="12"/>
      <c r="I79" s="12"/>
      <c r="J79" s="12" t="s">
        <v>327</v>
      </c>
      <c r="K79" s="12"/>
      <c r="L79" s="12"/>
      <c r="M79" s="12" t="s">
        <v>328</v>
      </c>
      <c r="N79" s="12"/>
      <c r="O79" s="12" t="s">
        <v>329</v>
      </c>
      <c r="P79" s="12" t="str">
        <f>HYPERLINK("https://ceds.ed.gov/cedselementdetails.aspx?termid=10247")</f>
        <v>https://ceds.ed.gov/cedselementdetails.aspx?termid=10247</v>
      </c>
      <c r="Q79" s="12" t="str">
        <f>HYPERLINK("https://ceds.ed.gov/elementComment.aspx?elementName=Allergy Reaction Description &amp;elementID=10247", "Click here to submit comment")</f>
        <v>Click here to submit comment</v>
      </c>
    </row>
    <row r="80" spans="1:17" ht="45" x14ac:dyDescent="0.25">
      <c r="A80" s="12" t="s">
        <v>7169</v>
      </c>
      <c r="B80" s="12" t="s">
        <v>7170</v>
      </c>
      <c r="C80" s="12" t="s">
        <v>7180</v>
      </c>
      <c r="D80" s="12" t="s">
        <v>7172</v>
      </c>
      <c r="E80" s="12" t="s">
        <v>330</v>
      </c>
      <c r="F80" s="12" t="s">
        <v>331</v>
      </c>
      <c r="G80" s="13" t="s">
        <v>6745</v>
      </c>
      <c r="H80" s="12"/>
      <c r="I80" s="12"/>
      <c r="J80" s="12"/>
      <c r="K80" s="12"/>
      <c r="L80" s="12"/>
      <c r="M80" s="12" t="s">
        <v>332</v>
      </c>
      <c r="N80" s="12"/>
      <c r="O80" s="12" t="s">
        <v>333</v>
      </c>
      <c r="P80" s="12" t="str">
        <f>HYPERLINK("https://ceds.ed.gov/cedselementdetails.aspx?termid=10248")</f>
        <v>https://ceds.ed.gov/cedselementdetails.aspx?termid=10248</v>
      </c>
      <c r="Q80" s="12" t="str">
        <f>HYPERLINK("https://ceds.ed.gov/elementComment.aspx?elementName=Allergy Severity &amp;elementID=10248", "Click here to submit comment")</f>
        <v>Click here to submit comment</v>
      </c>
    </row>
    <row r="81" spans="1:17" ht="409.5" x14ac:dyDescent="0.25">
      <c r="A81" s="12" t="s">
        <v>7169</v>
      </c>
      <c r="B81" s="12" t="s">
        <v>7170</v>
      </c>
      <c r="C81" s="12" t="s">
        <v>7180</v>
      </c>
      <c r="D81" s="12" t="s">
        <v>7172</v>
      </c>
      <c r="E81" s="12" t="s">
        <v>334</v>
      </c>
      <c r="F81" s="12" t="s">
        <v>335</v>
      </c>
      <c r="G81" s="13" t="s">
        <v>6746</v>
      </c>
      <c r="H81" s="12"/>
      <c r="I81" s="12"/>
      <c r="J81" s="12"/>
      <c r="K81" s="12"/>
      <c r="L81" s="12" t="s">
        <v>336</v>
      </c>
      <c r="M81" s="12" t="s">
        <v>337</v>
      </c>
      <c r="N81" s="12"/>
      <c r="O81" s="12" t="s">
        <v>338</v>
      </c>
      <c r="P81" s="12" t="str">
        <f>HYPERLINK("https://ceds.ed.gov/cedselementdetails.aspx?termid=10249")</f>
        <v>https://ceds.ed.gov/cedselementdetails.aspx?termid=10249</v>
      </c>
      <c r="Q81" s="12" t="str">
        <f>HYPERLINK("https://ceds.ed.gov/elementComment.aspx?elementName=Allergy Type &amp;elementID=10249", "Click here to submit comment")</f>
        <v>Click here to submit comment</v>
      </c>
    </row>
    <row r="82" spans="1:17" ht="45" x14ac:dyDescent="0.25">
      <c r="A82" s="12" t="s">
        <v>7169</v>
      </c>
      <c r="B82" s="12" t="s">
        <v>7170</v>
      </c>
      <c r="C82" s="12" t="s">
        <v>7180</v>
      </c>
      <c r="D82" s="12" t="s">
        <v>7172</v>
      </c>
      <c r="E82" s="12" t="s">
        <v>3167</v>
      </c>
      <c r="F82" s="12" t="s">
        <v>3168</v>
      </c>
      <c r="G82" s="12" t="s">
        <v>12</v>
      </c>
      <c r="H82" s="12"/>
      <c r="I82" s="12"/>
      <c r="J82" s="12" t="s">
        <v>68</v>
      </c>
      <c r="K82" s="12"/>
      <c r="L82" s="12"/>
      <c r="M82" s="12" t="s">
        <v>3169</v>
      </c>
      <c r="N82" s="12"/>
      <c r="O82" s="12" t="s">
        <v>3170</v>
      </c>
      <c r="P82" s="12" t="str">
        <f>HYPERLINK("https://ceds.ed.gov/cedselementdetails.aspx?termid=10325")</f>
        <v>https://ceds.ed.gov/cedselementdetails.aspx?termid=10325</v>
      </c>
      <c r="Q82" s="12" t="str">
        <f>HYPERLINK("https://ceds.ed.gov/elementComment.aspx?elementName=Health Screening Equipment Used &amp;elementID=10325", "Click here to submit comment")</f>
        <v>Click here to submit comment</v>
      </c>
    </row>
    <row r="83" spans="1:17" ht="45" x14ac:dyDescent="0.25">
      <c r="A83" s="12" t="s">
        <v>7169</v>
      </c>
      <c r="B83" s="12" t="s">
        <v>7170</v>
      </c>
      <c r="C83" s="12" t="s">
        <v>7180</v>
      </c>
      <c r="D83" s="12" t="s">
        <v>7172</v>
      </c>
      <c r="E83" s="12" t="s">
        <v>3171</v>
      </c>
      <c r="F83" s="12" t="s">
        <v>3172</v>
      </c>
      <c r="G83" s="12" t="s">
        <v>12</v>
      </c>
      <c r="H83" s="12"/>
      <c r="I83" s="12"/>
      <c r="J83" s="12" t="s">
        <v>327</v>
      </c>
      <c r="K83" s="12"/>
      <c r="L83" s="12"/>
      <c r="M83" s="12" t="s">
        <v>3173</v>
      </c>
      <c r="N83" s="12"/>
      <c r="O83" s="12" t="s">
        <v>3174</v>
      </c>
      <c r="P83" s="12" t="str">
        <f>HYPERLINK("https://ceds.ed.gov/cedselementdetails.aspx?termid=10326")</f>
        <v>https://ceds.ed.gov/cedselementdetails.aspx?termid=10326</v>
      </c>
      <c r="Q83" s="12" t="str">
        <f>HYPERLINK("https://ceds.ed.gov/elementComment.aspx?elementName=Health Screening Follow-up Recommendation &amp;elementID=10326", "Click here to submit comment")</f>
        <v>Click here to submit comment</v>
      </c>
    </row>
    <row r="84" spans="1:17" ht="60" x14ac:dyDescent="0.25">
      <c r="A84" s="12" t="s">
        <v>7169</v>
      </c>
      <c r="B84" s="12" t="s">
        <v>7170</v>
      </c>
      <c r="C84" s="12" t="s">
        <v>7180</v>
      </c>
      <c r="D84" s="12" t="s">
        <v>7176</v>
      </c>
      <c r="E84" s="12" t="s">
        <v>4380</v>
      </c>
      <c r="F84" s="12" t="s">
        <v>4381</v>
      </c>
      <c r="G84" s="13" t="s">
        <v>7026</v>
      </c>
      <c r="H84" s="12" t="s">
        <v>1578</v>
      </c>
      <c r="I84" s="12"/>
      <c r="J84" s="12"/>
      <c r="K84" s="12"/>
      <c r="L84" s="12"/>
      <c r="M84" s="12" t="s">
        <v>4382</v>
      </c>
      <c r="N84" s="12"/>
      <c r="O84" s="12" t="s">
        <v>4383</v>
      </c>
      <c r="P84" s="12" t="str">
        <f>HYPERLINK("https://ceds.ed.gov/cedselementdetails.aspx?termid=9429")</f>
        <v>https://ceds.ed.gov/cedselementdetails.aspx?termid=9429</v>
      </c>
      <c r="Q84" s="12" t="str">
        <f>HYPERLINK("https://ceds.ed.gov/elementComment.aspx?elementName=Medical Alert Indicator &amp;elementID=9429", "Click here to submit comment")</f>
        <v>Click here to submit comment</v>
      </c>
    </row>
    <row r="85" spans="1:17" ht="75" x14ac:dyDescent="0.25">
      <c r="A85" s="12" t="s">
        <v>7169</v>
      </c>
      <c r="B85" s="12" t="s">
        <v>7170</v>
      </c>
      <c r="C85" s="12" t="s">
        <v>7181</v>
      </c>
      <c r="D85" s="12" t="s">
        <v>7172</v>
      </c>
      <c r="E85" s="12" t="s">
        <v>3318</v>
      </c>
      <c r="F85" s="12" t="s">
        <v>3319</v>
      </c>
      <c r="G85" s="12" t="s">
        <v>12</v>
      </c>
      <c r="H85" s="12" t="s">
        <v>6570</v>
      </c>
      <c r="I85" s="12"/>
      <c r="J85" s="12" t="s">
        <v>73</v>
      </c>
      <c r="K85" s="12"/>
      <c r="L85" s="12"/>
      <c r="M85" s="12" t="s">
        <v>3320</v>
      </c>
      <c r="N85" s="12"/>
      <c r="O85" s="12" t="s">
        <v>3321</v>
      </c>
      <c r="P85" s="12" t="str">
        <f>HYPERLINK("https://ceds.ed.gov/cedselementdetails.aspx?termid=9306")</f>
        <v>https://ceds.ed.gov/cedselementdetails.aspx?termid=9306</v>
      </c>
      <c r="Q85" s="12" t="str">
        <f>HYPERLINK("https://ceds.ed.gov/elementComment.aspx?elementName=Immunization Date &amp;elementID=9306", "Click here to submit comment")</f>
        <v>Click here to submit comment</v>
      </c>
    </row>
    <row r="86" spans="1:17" ht="345" x14ac:dyDescent="0.25">
      <c r="A86" s="12" t="s">
        <v>7169</v>
      </c>
      <c r="B86" s="12" t="s">
        <v>7170</v>
      </c>
      <c r="C86" s="12" t="s">
        <v>7181</v>
      </c>
      <c r="D86" s="12" t="s">
        <v>7172</v>
      </c>
      <c r="E86" s="12" t="s">
        <v>3330</v>
      </c>
      <c r="F86" s="12" t="s">
        <v>3331</v>
      </c>
      <c r="G86" s="13" t="s">
        <v>6958</v>
      </c>
      <c r="H86" s="12"/>
      <c r="I86" s="12"/>
      <c r="J86" s="12"/>
      <c r="K86" s="12"/>
      <c r="L86" s="12"/>
      <c r="M86" s="12" t="s">
        <v>3332</v>
      </c>
      <c r="N86" s="12"/>
      <c r="O86" s="12" t="s">
        <v>3333</v>
      </c>
      <c r="P86" s="12" t="str">
        <f>HYPERLINK("https://ceds.ed.gov/cedselementdetails.aspx?termid=10214")</f>
        <v>https://ceds.ed.gov/cedselementdetails.aspx?termid=10214</v>
      </c>
      <c r="Q86" s="12" t="str">
        <f>HYPERLINK("https://ceds.ed.gov/elementComment.aspx?elementName=Immunization Type &amp;elementID=10214", "Click here to submit comment")</f>
        <v>Click here to submit comment</v>
      </c>
    </row>
    <row r="87" spans="1:17" ht="30" x14ac:dyDescent="0.25">
      <c r="A87" s="12" t="s">
        <v>7169</v>
      </c>
      <c r="B87" s="12" t="s">
        <v>7170</v>
      </c>
      <c r="C87" s="12" t="s">
        <v>7182</v>
      </c>
      <c r="D87" s="12" t="s">
        <v>7172</v>
      </c>
      <c r="E87" s="12" t="s">
        <v>6288</v>
      </c>
      <c r="F87" s="12" t="s">
        <v>6289</v>
      </c>
      <c r="G87" s="12" t="s">
        <v>12</v>
      </c>
      <c r="H87" s="12"/>
      <c r="I87" s="12"/>
      <c r="J87" s="12" t="s">
        <v>73</v>
      </c>
      <c r="K87" s="12"/>
      <c r="L87" s="12"/>
      <c r="M87" s="12" t="s">
        <v>6290</v>
      </c>
      <c r="N87" s="12"/>
      <c r="O87" s="12" t="s">
        <v>6291</v>
      </c>
      <c r="P87" s="12" t="str">
        <f>HYPERLINK("https://ceds.ed.gov/cedselementdetails.aspx?termid=9680")</f>
        <v>https://ceds.ed.gov/cedselementdetails.aspx?termid=9680</v>
      </c>
      <c r="Q87" s="12" t="str">
        <f>HYPERLINK("https://ceds.ed.gov/elementComment.aspx?elementName=Vision Screening Date &amp;elementID=9680", "Click here to submit comment")</f>
        <v>Click here to submit comment</v>
      </c>
    </row>
    <row r="88" spans="1:17" ht="60" x14ac:dyDescent="0.25">
      <c r="A88" s="12" t="s">
        <v>7169</v>
      </c>
      <c r="B88" s="12" t="s">
        <v>7170</v>
      </c>
      <c r="C88" s="12" t="s">
        <v>7182</v>
      </c>
      <c r="D88" s="12" t="s">
        <v>7172</v>
      </c>
      <c r="E88" s="12" t="s">
        <v>6292</v>
      </c>
      <c r="F88" s="12" t="s">
        <v>6293</v>
      </c>
      <c r="G88" s="13" t="s">
        <v>6944</v>
      </c>
      <c r="H88" s="12" t="s">
        <v>1759</v>
      </c>
      <c r="I88" s="12"/>
      <c r="J88" s="12"/>
      <c r="K88" s="12"/>
      <c r="L88" s="12"/>
      <c r="M88" s="12" t="s">
        <v>6294</v>
      </c>
      <c r="N88" s="12"/>
      <c r="O88" s="12" t="s">
        <v>6295</v>
      </c>
      <c r="P88" s="12" t="str">
        <f>HYPERLINK("https://ceds.ed.gov/cedselementdetails.aspx?termid=9308")</f>
        <v>https://ceds.ed.gov/cedselementdetails.aspx?termid=9308</v>
      </c>
      <c r="Q88" s="12" t="str">
        <f>HYPERLINK("https://ceds.ed.gov/elementComment.aspx?elementName=Vision Screening Status &amp;elementID=9308", "Click here to submit comment")</f>
        <v>Click here to submit comment</v>
      </c>
    </row>
    <row r="89" spans="1:17" ht="30" x14ac:dyDescent="0.25">
      <c r="A89" s="12" t="s">
        <v>7169</v>
      </c>
      <c r="B89" s="12" t="s">
        <v>7170</v>
      </c>
      <c r="C89" s="12" t="s">
        <v>7183</v>
      </c>
      <c r="D89" s="12" t="s">
        <v>7172</v>
      </c>
      <c r="E89" s="12" t="s">
        <v>3175</v>
      </c>
      <c r="F89" s="12" t="s">
        <v>3176</v>
      </c>
      <c r="G89" s="12" t="s">
        <v>12</v>
      </c>
      <c r="H89" s="12"/>
      <c r="I89" s="12"/>
      <c r="J89" s="12" t="s">
        <v>73</v>
      </c>
      <c r="K89" s="12"/>
      <c r="L89" s="12"/>
      <c r="M89" s="12" t="s">
        <v>3177</v>
      </c>
      <c r="N89" s="12"/>
      <c r="O89" s="12" t="s">
        <v>3178</v>
      </c>
      <c r="P89" s="12" t="str">
        <f>HYPERLINK("https://ceds.ed.gov/cedselementdetails.aspx?termid=9681")</f>
        <v>https://ceds.ed.gov/cedselementdetails.aspx?termid=9681</v>
      </c>
      <c r="Q89" s="12" t="str">
        <f>HYPERLINK("https://ceds.ed.gov/elementComment.aspx?elementName=Hearing Screening Date &amp;elementID=9681", "Click here to submit comment")</f>
        <v>Click here to submit comment</v>
      </c>
    </row>
    <row r="90" spans="1:17" ht="60" x14ac:dyDescent="0.25">
      <c r="A90" s="12" t="s">
        <v>7169</v>
      </c>
      <c r="B90" s="12" t="s">
        <v>7170</v>
      </c>
      <c r="C90" s="12" t="s">
        <v>7183</v>
      </c>
      <c r="D90" s="12" t="s">
        <v>7172</v>
      </c>
      <c r="E90" s="12" t="s">
        <v>3179</v>
      </c>
      <c r="F90" s="12" t="s">
        <v>3180</v>
      </c>
      <c r="G90" s="13" t="s">
        <v>6944</v>
      </c>
      <c r="H90" s="12" t="s">
        <v>1759</v>
      </c>
      <c r="I90" s="12"/>
      <c r="J90" s="12"/>
      <c r="K90" s="12"/>
      <c r="L90" s="12"/>
      <c r="M90" s="12" t="s">
        <v>3181</v>
      </c>
      <c r="N90" s="12"/>
      <c r="O90" s="12" t="s">
        <v>3182</v>
      </c>
      <c r="P90" s="12" t="str">
        <f>HYPERLINK("https://ceds.ed.gov/cedselementdetails.aspx?termid=9309")</f>
        <v>https://ceds.ed.gov/cedselementdetails.aspx?termid=9309</v>
      </c>
      <c r="Q90" s="12" t="str">
        <f>HYPERLINK("https://ceds.ed.gov/elementComment.aspx?elementName=Hearing Screening Status &amp;elementID=9309", "Click here to submit comment")</f>
        <v>Click here to submit comment</v>
      </c>
    </row>
    <row r="91" spans="1:17" ht="30" x14ac:dyDescent="0.25">
      <c r="A91" s="12" t="s">
        <v>7169</v>
      </c>
      <c r="B91" s="12" t="s">
        <v>7170</v>
      </c>
      <c r="C91" s="12" t="s">
        <v>7184</v>
      </c>
      <c r="D91" s="12" t="s">
        <v>7172</v>
      </c>
      <c r="E91" s="12" t="s">
        <v>2284</v>
      </c>
      <c r="F91" s="12" t="s">
        <v>2285</v>
      </c>
      <c r="G91" s="12" t="s">
        <v>12</v>
      </c>
      <c r="H91" s="12"/>
      <c r="I91" s="12"/>
      <c r="J91" s="12" t="s">
        <v>73</v>
      </c>
      <c r="K91" s="12"/>
      <c r="L91" s="12"/>
      <c r="M91" s="12" t="s">
        <v>2286</v>
      </c>
      <c r="N91" s="12"/>
      <c r="O91" s="12" t="s">
        <v>2287</v>
      </c>
      <c r="P91" s="12" t="str">
        <f>HYPERLINK("https://ceds.ed.gov/cedselementdetails.aspx?termid=9682")</f>
        <v>https://ceds.ed.gov/cedselementdetails.aspx?termid=9682</v>
      </c>
      <c r="Q91" s="12" t="str">
        <f>HYPERLINK("https://ceds.ed.gov/elementComment.aspx?elementName=Dental Screening Date &amp;elementID=9682", "Click here to submit comment")</f>
        <v>Click here to submit comment</v>
      </c>
    </row>
    <row r="92" spans="1:17" ht="135" x14ac:dyDescent="0.25">
      <c r="A92" s="12" t="s">
        <v>7169</v>
      </c>
      <c r="B92" s="12" t="s">
        <v>7170</v>
      </c>
      <c r="C92" s="12" t="s">
        <v>7184</v>
      </c>
      <c r="D92" s="12" t="s">
        <v>7172</v>
      </c>
      <c r="E92" s="12" t="s">
        <v>2288</v>
      </c>
      <c r="F92" s="12" t="s">
        <v>2289</v>
      </c>
      <c r="G92" s="13" t="s">
        <v>6856</v>
      </c>
      <c r="H92" s="12" t="s">
        <v>1759</v>
      </c>
      <c r="I92" s="12"/>
      <c r="J92" s="12"/>
      <c r="K92" s="12"/>
      <c r="L92" s="12"/>
      <c r="M92" s="12" t="s">
        <v>2290</v>
      </c>
      <c r="N92" s="12"/>
      <c r="O92" s="12" t="s">
        <v>2291</v>
      </c>
      <c r="P92" s="12" t="str">
        <f>HYPERLINK("https://ceds.ed.gov/cedselementdetails.aspx?termid=9310")</f>
        <v>https://ceds.ed.gov/cedselementdetails.aspx?termid=9310</v>
      </c>
      <c r="Q92" s="12" t="str">
        <f>HYPERLINK("https://ceds.ed.gov/elementComment.aspx?elementName=Dental Screening Status &amp;elementID=9310", "Click here to submit comment")</f>
        <v>Click here to submit comment</v>
      </c>
    </row>
    <row r="93" spans="1:17" ht="210" x14ac:dyDescent="0.25">
      <c r="A93" s="12" t="s">
        <v>7169</v>
      </c>
      <c r="B93" s="12" t="s">
        <v>7170</v>
      </c>
      <c r="C93" s="12" t="s">
        <v>7185</v>
      </c>
      <c r="D93" s="12" t="s">
        <v>7172</v>
      </c>
      <c r="E93" s="12" t="s">
        <v>3582</v>
      </c>
      <c r="F93" s="12" t="s">
        <v>3583</v>
      </c>
      <c r="G93" s="13" t="s">
        <v>6855</v>
      </c>
      <c r="H93" s="12" t="s">
        <v>2283</v>
      </c>
      <c r="I93" s="12"/>
      <c r="J93" s="12"/>
      <c r="K93" s="12"/>
      <c r="L93" s="12" t="s">
        <v>2280</v>
      </c>
      <c r="M93" s="12" t="s">
        <v>3584</v>
      </c>
      <c r="N93" s="12"/>
      <c r="O93" s="12" t="s">
        <v>3585</v>
      </c>
      <c r="P93" s="12" t="str">
        <f>HYPERLINK("https://ceds.ed.gov/cedselementdetails.aspx?termid=9334")</f>
        <v>https://ceds.ed.gov/cedselementdetails.aspx?termid=9334</v>
      </c>
      <c r="Q93" s="12" t="str">
        <f>HYPERLINK("https://ceds.ed.gov/elementComment.aspx?elementName=Insurance Coverage &amp;elementID=9334", "Click here to submit comment")</f>
        <v>Click here to submit comment</v>
      </c>
    </row>
    <row r="94" spans="1:17" ht="210" x14ac:dyDescent="0.25">
      <c r="A94" s="12" t="s">
        <v>7169</v>
      </c>
      <c r="B94" s="12" t="s">
        <v>7170</v>
      </c>
      <c r="C94" s="12" t="s">
        <v>7185</v>
      </c>
      <c r="D94" s="12" t="s">
        <v>7172</v>
      </c>
      <c r="E94" s="12" t="s">
        <v>2278</v>
      </c>
      <c r="F94" s="12" t="s">
        <v>2279</v>
      </c>
      <c r="G94" s="13" t="s">
        <v>6855</v>
      </c>
      <c r="H94" s="12" t="s">
        <v>2283</v>
      </c>
      <c r="I94" s="12"/>
      <c r="J94" s="12"/>
      <c r="K94" s="12"/>
      <c r="L94" s="12" t="s">
        <v>2280</v>
      </c>
      <c r="M94" s="12" t="s">
        <v>2281</v>
      </c>
      <c r="N94" s="12"/>
      <c r="O94" s="12" t="s">
        <v>2282</v>
      </c>
      <c r="P94" s="12" t="str">
        <f>HYPERLINK("https://ceds.ed.gov/cedselementdetails.aspx?termid=9335")</f>
        <v>https://ceds.ed.gov/cedselementdetails.aspx?termid=9335</v>
      </c>
      <c r="Q94" s="12" t="str">
        <f>HYPERLINK("https://ceds.ed.gov/elementComment.aspx?elementName=Dental Insurance Coverage Type &amp;elementID=9335", "Click here to submit comment")</f>
        <v>Click here to submit comment</v>
      </c>
    </row>
    <row r="95" spans="1:17" ht="30" x14ac:dyDescent="0.25">
      <c r="A95" s="12" t="s">
        <v>7169</v>
      </c>
      <c r="B95" s="12" t="s">
        <v>7170</v>
      </c>
      <c r="C95" s="12" t="s">
        <v>7186</v>
      </c>
      <c r="D95" s="12" t="s">
        <v>7172</v>
      </c>
      <c r="E95" s="12" t="s">
        <v>6325</v>
      </c>
      <c r="F95" s="12" t="s">
        <v>6326</v>
      </c>
      <c r="G95" s="12" t="s">
        <v>12</v>
      </c>
      <c r="H95" s="12" t="s">
        <v>1759</v>
      </c>
      <c r="I95" s="12"/>
      <c r="J95" s="12" t="s">
        <v>327</v>
      </c>
      <c r="K95" s="12"/>
      <c r="L95" s="12"/>
      <c r="M95" s="12" t="s">
        <v>6327</v>
      </c>
      <c r="N95" s="12"/>
      <c r="O95" s="12" t="s">
        <v>6328</v>
      </c>
      <c r="P95" s="12" t="str">
        <f>HYPERLINK("https://ceds.ed.gov/cedselementdetails.aspx?termid=9312")</f>
        <v>https://ceds.ed.gov/cedselementdetails.aspx?termid=9312</v>
      </c>
      <c r="Q95" s="12" t="str">
        <f>HYPERLINK("https://ceds.ed.gov/elementComment.aspx?elementName=Weight at Birth &amp;elementID=9312", "Click here to submit comment")</f>
        <v>Click here to submit comment</v>
      </c>
    </row>
    <row r="96" spans="1:17" ht="30" x14ac:dyDescent="0.25">
      <c r="A96" s="12" t="s">
        <v>7169</v>
      </c>
      <c r="B96" s="12" t="s">
        <v>7170</v>
      </c>
      <c r="C96" s="12" t="s">
        <v>7186</v>
      </c>
      <c r="D96" s="12" t="s">
        <v>7172</v>
      </c>
      <c r="E96" s="12" t="s">
        <v>6321</v>
      </c>
      <c r="F96" s="12" t="s">
        <v>6322</v>
      </c>
      <c r="G96" s="12" t="s">
        <v>12</v>
      </c>
      <c r="H96" s="12" t="s">
        <v>1759</v>
      </c>
      <c r="I96" s="12"/>
      <c r="J96" s="12" t="s">
        <v>317</v>
      </c>
      <c r="K96" s="12"/>
      <c r="L96" s="12"/>
      <c r="M96" s="12" t="s">
        <v>6323</v>
      </c>
      <c r="N96" s="12"/>
      <c r="O96" s="12" t="s">
        <v>6324</v>
      </c>
      <c r="P96" s="12" t="str">
        <f>HYPERLINK("https://ceds.ed.gov/cedselementdetails.aspx?termid=9313")</f>
        <v>https://ceds.ed.gov/cedselementdetails.aspx?termid=9313</v>
      </c>
      <c r="Q96" s="12" t="str">
        <f>HYPERLINK("https://ceds.ed.gov/elementComment.aspx?elementName=Weeks of Gestation &amp;elementID=9313", "Click here to submit comment")</f>
        <v>Click here to submit comment</v>
      </c>
    </row>
    <row r="97" spans="1:17" ht="90" x14ac:dyDescent="0.25">
      <c r="A97" s="12" t="s">
        <v>7169</v>
      </c>
      <c r="B97" s="12" t="s">
        <v>7170</v>
      </c>
      <c r="C97" s="12" t="s">
        <v>7186</v>
      </c>
      <c r="D97" s="12" t="s">
        <v>7172</v>
      </c>
      <c r="E97" s="12" t="s">
        <v>6232</v>
      </c>
      <c r="F97" s="12" t="s">
        <v>6233</v>
      </c>
      <c r="G97" s="13" t="s">
        <v>7146</v>
      </c>
      <c r="H97" s="12"/>
      <c r="I97" s="12"/>
      <c r="J97" s="12"/>
      <c r="K97" s="12"/>
      <c r="L97" s="12"/>
      <c r="M97" s="12" t="s">
        <v>6235</v>
      </c>
      <c r="N97" s="12"/>
      <c r="O97" s="12" t="s">
        <v>6236</v>
      </c>
      <c r="P97" s="12" t="str">
        <f>HYPERLINK("https://ceds.ed.gov/cedselementdetails.aspx?termid=10611")</f>
        <v>https://ceds.ed.gov/cedselementdetails.aspx?termid=10611</v>
      </c>
      <c r="Q97" s="12" t="str">
        <f>HYPERLINK("https://ceds.ed.gov/elementComment.aspx?elementName=Trimester When Prenatal Care Began &amp;elementID=10611", "Click here to submit comment")</f>
        <v>Click here to submit comment</v>
      </c>
    </row>
    <row r="98" spans="1:17" ht="240" x14ac:dyDescent="0.25">
      <c r="A98" s="12" t="s">
        <v>7169</v>
      </c>
      <c r="B98" s="12" t="s">
        <v>7170</v>
      </c>
      <c r="C98" s="12" t="s">
        <v>7187</v>
      </c>
      <c r="D98" s="12" t="s">
        <v>7172</v>
      </c>
      <c r="E98" s="12" t="s">
        <v>5527</v>
      </c>
      <c r="F98" s="12" t="s">
        <v>5528</v>
      </c>
      <c r="G98" s="13" t="s">
        <v>7100</v>
      </c>
      <c r="H98" s="12"/>
      <c r="I98" s="12"/>
      <c r="J98" s="12"/>
      <c r="K98" s="12"/>
      <c r="L98" s="12"/>
      <c r="M98" s="12" t="s">
        <v>5530</v>
      </c>
      <c r="N98" s="12"/>
      <c r="O98" s="12" t="s">
        <v>5531</v>
      </c>
      <c r="P98" s="12" t="str">
        <f>HYPERLINK("https://ceds.ed.gov/cedselementdetails.aspx?termid=10602")</f>
        <v>https://ceds.ed.gov/cedselementdetails.aspx?termid=10602</v>
      </c>
      <c r="Q98" s="12" t="str">
        <f>HYPERLINK("https://ceds.ed.gov/elementComment.aspx?elementName=Scheduled Well Child Screening &amp;elementID=10602", "Click here to submit comment")</f>
        <v>Click here to submit comment</v>
      </c>
    </row>
    <row r="99" spans="1:17" ht="30" x14ac:dyDescent="0.25">
      <c r="A99" s="12" t="s">
        <v>7169</v>
      </c>
      <c r="B99" s="12" t="s">
        <v>7170</v>
      </c>
      <c r="C99" s="12" t="s">
        <v>7187</v>
      </c>
      <c r="D99" s="12" t="s">
        <v>7172</v>
      </c>
      <c r="E99" s="12" t="s">
        <v>6329</v>
      </c>
      <c r="F99" s="12" t="s">
        <v>6330</v>
      </c>
      <c r="G99" s="12" t="s">
        <v>12</v>
      </c>
      <c r="H99" s="12"/>
      <c r="I99" s="12"/>
      <c r="J99" s="12" t="s">
        <v>73</v>
      </c>
      <c r="K99" s="12"/>
      <c r="L99" s="12"/>
      <c r="M99" s="12" t="s">
        <v>6331</v>
      </c>
      <c r="N99" s="12"/>
      <c r="O99" s="12" t="s">
        <v>6332</v>
      </c>
      <c r="P99" s="12" t="str">
        <f>HYPERLINK("https://ceds.ed.gov/cedselementdetails.aspx?termid=10612")</f>
        <v>https://ceds.ed.gov/cedselementdetails.aspx?termid=10612</v>
      </c>
      <c r="Q99" s="12" t="str">
        <f>HYPERLINK("https://ceds.ed.gov/elementComment.aspx?elementName=Well Child Screening Received Date &amp;elementID=10612", "Click here to submit comment")</f>
        <v>Click here to submit comment</v>
      </c>
    </row>
    <row r="100" spans="1:17" ht="180" x14ac:dyDescent="0.25">
      <c r="A100" s="12" t="s">
        <v>7169</v>
      </c>
      <c r="B100" s="12" t="s">
        <v>7170</v>
      </c>
      <c r="C100" s="12" t="s">
        <v>7188</v>
      </c>
      <c r="D100" s="12" t="s">
        <v>7172</v>
      </c>
      <c r="E100" s="12" t="s">
        <v>1754</v>
      </c>
      <c r="F100" s="12" t="s">
        <v>1755</v>
      </c>
      <c r="G100" s="13" t="s">
        <v>6815</v>
      </c>
      <c r="H100" s="12" t="s">
        <v>1759</v>
      </c>
      <c r="I100" s="12"/>
      <c r="J100" s="12"/>
      <c r="K100" s="12"/>
      <c r="L100" s="12"/>
      <c r="M100" s="12" t="s">
        <v>1757</v>
      </c>
      <c r="N100" s="12"/>
      <c r="O100" s="12" t="s">
        <v>1758</v>
      </c>
      <c r="P100" s="12" t="str">
        <f>HYPERLINK("https://ceds.ed.gov/cedselementdetails.aspx?termid=9314")</f>
        <v>https://ceds.ed.gov/cedselementdetails.aspx?termid=9314</v>
      </c>
      <c r="Q100" s="12" t="str">
        <f>HYPERLINK("https://ceds.ed.gov/elementComment.aspx?elementName=Child Developmental Screening Status &amp;elementID=9314", "Click here to submit comment")</f>
        <v>Click here to submit comment</v>
      </c>
    </row>
    <row r="101" spans="1:17" ht="255" x14ac:dyDescent="0.25">
      <c r="A101" s="12" t="s">
        <v>7169</v>
      </c>
      <c r="B101" s="12" t="s">
        <v>7170</v>
      </c>
      <c r="C101" s="12" t="s">
        <v>7188</v>
      </c>
      <c r="D101" s="12" t="s">
        <v>7172</v>
      </c>
      <c r="E101" s="12" t="s">
        <v>2313</v>
      </c>
      <c r="F101" s="12" t="s">
        <v>2314</v>
      </c>
      <c r="G101" s="13" t="s">
        <v>6860</v>
      </c>
      <c r="H101" s="12" t="s">
        <v>1759</v>
      </c>
      <c r="I101" s="12"/>
      <c r="J101" s="12"/>
      <c r="K101" s="12"/>
      <c r="L101" s="12"/>
      <c r="M101" s="12" t="s">
        <v>2315</v>
      </c>
      <c r="N101" s="12"/>
      <c r="O101" s="12" t="s">
        <v>2316</v>
      </c>
      <c r="P101" s="12" t="str">
        <f>HYPERLINK("https://ceds.ed.gov/cedselementdetails.aspx?termid=9315")</f>
        <v>https://ceds.ed.gov/cedselementdetails.aspx?termid=9315</v>
      </c>
      <c r="Q101" s="12" t="str">
        <f>HYPERLINK("https://ceds.ed.gov/elementComment.aspx?elementName=Developmental Evaluation Finding &amp;elementID=9315", "Click here to submit comment")</f>
        <v>Click here to submit comment</v>
      </c>
    </row>
    <row r="102" spans="1:17" ht="300" x14ac:dyDescent="0.25">
      <c r="A102" s="12" t="s">
        <v>7169</v>
      </c>
      <c r="B102" s="12" t="s">
        <v>7170</v>
      </c>
      <c r="C102" s="12" t="s">
        <v>7189</v>
      </c>
      <c r="D102" s="12" t="s">
        <v>7172</v>
      </c>
      <c r="E102" s="12" t="s">
        <v>2570</v>
      </c>
      <c r="F102" s="12" t="s">
        <v>2571</v>
      </c>
      <c r="G102" s="13" t="s">
        <v>6889</v>
      </c>
      <c r="H102" s="12" t="s">
        <v>2283</v>
      </c>
      <c r="I102" s="12"/>
      <c r="J102" s="12"/>
      <c r="K102" s="12"/>
      <c r="L102" s="12"/>
      <c r="M102" s="12" t="s">
        <v>2573</v>
      </c>
      <c r="N102" s="12"/>
      <c r="O102" s="12" t="s">
        <v>2574</v>
      </c>
      <c r="P102" s="12" t="str">
        <f>HYPERLINK("https://ceds.ed.gov/cedselementdetails.aspx?termid=9304")</f>
        <v>https://ceds.ed.gov/cedselementdetails.aspx?termid=9304</v>
      </c>
      <c r="Q102" s="12" t="str">
        <f>HYPERLINK("https://ceds.ed.gov/elementComment.aspx?elementName=Early Learning Program Eligibility Category &amp;elementID=9304", "Click here to submit comment")</f>
        <v>Click here to submit comment</v>
      </c>
    </row>
    <row r="103" spans="1:17" ht="60" x14ac:dyDescent="0.25">
      <c r="A103" s="18" t="s">
        <v>7169</v>
      </c>
      <c r="B103" s="18" t="s">
        <v>7170</v>
      </c>
      <c r="C103" s="18" t="s">
        <v>7188</v>
      </c>
      <c r="D103" s="18" t="s">
        <v>7172</v>
      </c>
      <c r="E103" s="18" t="s">
        <v>508</v>
      </c>
      <c r="F103" s="18" t="s">
        <v>509</v>
      </c>
      <c r="G103" s="20" t="s">
        <v>6757</v>
      </c>
      <c r="H103" s="18" t="s">
        <v>6401</v>
      </c>
      <c r="I103" s="18" t="s">
        <v>98</v>
      </c>
      <c r="J103" s="18"/>
      <c r="K103" s="18"/>
      <c r="L103" s="12" t="s">
        <v>510</v>
      </c>
      <c r="M103" s="18" t="s">
        <v>515</v>
      </c>
      <c r="N103" s="18"/>
      <c r="O103" s="18" t="s">
        <v>516</v>
      </c>
      <c r="P103" s="18" t="str">
        <f>HYPERLINK("https://ceds.ed.gov/cedselementdetails.aspx?termid=10003")</f>
        <v>https://ceds.ed.gov/cedselementdetails.aspx?termid=10003</v>
      </c>
      <c r="Q103" s="18" t="str">
        <f>HYPERLINK("https://ceds.ed.gov/elementComment.aspx?elementName=Assessment Early Learning Developmental Domain &amp;elementID=10003", "Click here to submit comment")</f>
        <v>Click here to submit comment</v>
      </c>
    </row>
    <row r="104" spans="1:17" x14ac:dyDescent="0.25">
      <c r="A104" s="18"/>
      <c r="B104" s="18"/>
      <c r="C104" s="18"/>
      <c r="D104" s="18"/>
      <c r="E104" s="18"/>
      <c r="F104" s="18"/>
      <c r="G104" s="18"/>
      <c r="H104" s="18"/>
      <c r="I104" s="18"/>
      <c r="J104" s="18"/>
      <c r="K104" s="18"/>
      <c r="L104" s="12"/>
      <c r="M104" s="18"/>
      <c r="N104" s="18"/>
      <c r="O104" s="18"/>
      <c r="P104" s="18"/>
      <c r="Q104" s="18"/>
    </row>
    <row r="105" spans="1:17" ht="30" x14ac:dyDescent="0.25">
      <c r="A105" s="18"/>
      <c r="B105" s="18"/>
      <c r="C105" s="18"/>
      <c r="D105" s="18"/>
      <c r="E105" s="18"/>
      <c r="F105" s="18"/>
      <c r="G105" s="18"/>
      <c r="H105" s="18"/>
      <c r="I105" s="18"/>
      <c r="J105" s="18"/>
      <c r="K105" s="18"/>
      <c r="L105" s="12" t="s">
        <v>511</v>
      </c>
      <c r="M105" s="18"/>
      <c r="N105" s="18"/>
      <c r="O105" s="18"/>
      <c r="P105" s="18"/>
      <c r="Q105" s="18"/>
    </row>
    <row r="106" spans="1:17" ht="45" x14ac:dyDescent="0.25">
      <c r="A106" s="18"/>
      <c r="B106" s="18"/>
      <c r="C106" s="18"/>
      <c r="D106" s="18"/>
      <c r="E106" s="18"/>
      <c r="F106" s="18"/>
      <c r="G106" s="18"/>
      <c r="H106" s="18"/>
      <c r="I106" s="18"/>
      <c r="J106" s="18"/>
      <c r="K106" s="18"/>
      <c r="L106" s="12" t="s">
        <v>512</v>
      </c>
      <c r="M106" s="18"/>
      <c r="N106" s="18"/>
      <c r="O106" s="18"/>
      <c r="P106" s="18"/>
      <c r="Q106" s="18"/>
    </row>
    <row r="107" spans="1:17" ht="75" x14ac:dyDescent="0.25">
      <c r="A107" s="18"/>
      <c r="B107" s="18"/>
      <c r="C107" s="18"/>
      <c r="D107" s="18"/>
      <c r="E107" s="18"/>
      <c r="F107" s="18"/>
      <c r="G107" s="18"/>
      <c r="H107" s="18"/>
      <c r="I107" s="18"/>
      <c r="J107" s="18"/>
      <c r="K107" s="18"/>
      <c r="L107" s="12" t="s">
        <v>513</v>
      </c>
      <c r="M107" s="18"/>
      <c r="N107" s="18"/>
      <c r="O107" s="18"/>
      <c r="P107" s="18"/>
      <c r="Q107" s="18"/>
    </row>
    <row r="108" spans="1:17" x14ac:dyDescent="0.25">
      <c r="A108" s="18"/>
      <c r="B108" s="18"/>
      <c r="C108" s="18"/>
      <c r="D108" s="18"/>
      <c r="E108" s="18"/>
      <c r="F108" s="18"/>
      <c r="G108" s="18"/>
      <c r="H108" s="18"/>
      <c r="I108" s="18"/>
      <c r="J108" s="18"/>
      <c r="K108" s="18"/>
      <c r="L108" s="12"/>
      <c r="M108" s="18"/>
      <c r="N108" s="18"/>
      <c r="O108" s="18"/>
      <c r="P108" s="18"/>
      <c r="Q108" s="18"/>
    </row>
    <row r="109" spans="1:17" ht="105" x14ac:dyDescent="0.25">
      <c r="A109" s="18"/>
      <c r="B109" s="18"/>
      <c r="C109" s="18"/>
      <c r="D109" s="18"/>
      <c r="E109" s="18"/>
      <c r="F109" s="18"/>
      <c r="G109" s="18"/>
      <c r="H109" s="18"/>
      <c r="I109" s="18"/>
      <c r="J109" s="18"/>
      <c r="K109" s="18"/>
      <c r="L109" s="12" t="s">
        <v>514</v>
      </c>
      <c r="M109" s="18"/>
      <c r="N109" s="18"/>
      <c r="O109" s="18"/>
      <c r="P109" s="18"/>
      <c r="Q109" s="18"/>
    </row>
    <row r="110" spans="1:17" ht="360" x14ac:dyDescent="0.25">
      <c r="A110" s="12" t="s">
        <v>7169</v>
      </c>
      <c r="B110" s="12" t="s">
        <v>7170</v>
      </c>
      <c r="C110" s="12" t="s">
        <v>7188</v>
      </c>
      <c r="D110" s="12" t="s">
        <v>7172</v>
      </c>
      <c r="E110" s="12" t="s">
        <v>1003</v>
      </c>
      <c r="F110" s="12" t="s">
        <v>1004</v>
      </c>
      <c r="G110" s="13" t="s">
        <v>6767</v>
      </c>
      <c r="H110" s="12" t="s">
        <v>6411</v>
      </c>
      <c r="I110" s="12"/>
      <c r="J110" s="12"/>
      <c r="K110" s="12"/>
      <c r="L110" s="12"/>
      <c r="M110" s="12" t="s">
        <v>1005</v>
      </c>
      <c r="N110" s="12"/>
      <c r="O110" s="12" t="s">
        <v>1006</v>
      </c>
      <c r="P110" s="12" t="str">
        <f>HYPERLINK("https://ceds.ed.gov/cedselementdetails.aspx?termid=9177")</f>
        <v>https://ceds.ed.gov/cedselementdetails.aspx?termid=9177</v>
      </c>
      <c r="Q110" s="12" t="str">
        <f>HYPERLINK("https://ceds.ed.gov/elementComment.aspx?elementName=Assessment Level for Which Designed &amp;elementID=9177", "Click here to submit comment")</f>
        <v>Click here to submit comment</v>
      </c>
    </row>
    <row r="111" spans="1:17" ht="45" x14ac:dyDescent="0.25">
      <c r="A111" s="12" t="s">
        <v>7169</v>
      </c>
      <c r="B111" s="12" t="s">
        <v>7170</v>
      </c>
      <c r="C111" s="12" t="s">
        <v>7189</v>
      </c>
      <c r="D111" s="12" t="s">
        <v>7172</v>
      </c>
      <c r="E111" s="12" t="s">
        <v>2575</v>
      </c>
      <c r="F111" s="12" t="s">
        <v>2576</v>
      </c>
      <c r="G111" s="12" t="s">
        <v>12</v>
      </c>
      <c r="H111" s="12"/>
      <c r="I111" s="12"/>
      <c r="J111" s="12" t="s">
        <v>73</v>
      </c>
      <c r="K111" s="12"/>
      <c r="L111" s="12"/>
      <c r="M111" s="12" t="s">
        <v>2577</v>
      </c>
      <c r="N111" s="12"/>
      <c r="O111" s="12" t="s">
        <v>2578</v>
      </c>
      <c r="P111" s="12" t="str">
        <f>HYPERLINK("https://ceds.ed.gov/cedselementdetails.aspx?termid=10305")</f>
        <v>https://ceds.ed.gov/cedselementdetails.aspx?termid=10305</v>
      </c>
      <c r="Q111" s="12" t="str">
        <f>HYPERLINK("https://ceds.ed.gov/elementComment.aspx?elementName=Early Learning Program Eligibility Expiration Date &amp;elementID=10305", "Click here to submit comment")</f>
        <v>Click here to submit comment</v>
      </c>
    </row>
    <row r="112" spans="1:17" ht="75" x14ac:dyDescent="0.25">
      <c r="A112" s="12" t="s">
        <v>7169</v>
      </c>
      <c r="B112" s="12" t="s">
        <v>7170</v>
      </c>
      <c r="C112" s="12" t="s">
        <v>7189</v>
      </c>
      <c r="D112" s="12" t="s">
        <v>7172</v>
      </c>
      <c r="E112" s="12" t="s">
        <v>2579</v>
      </c>
      <c r="F112" s="12" t="s">
        <v>2580</v>
      </c>
      <c r="G112" s="13" t="s">
        <v>6890</v>
      </c>
      <c r="H112" s="12"/>
      <c r="I112" s="12"/>
      <c r="J112" s="12"/>
      <c r="K112" s="12"/>
      <c r="L112" s="12"/>
      <c r="M112" s="12" t="s">
        <v>2581</v>
      </c>
      <c r="N112" s="12"/>
      <c r="O112" s="12" t="s">
        <v>2582</v>
      </c>
      <c r="P112" s="12" t="str">
        <f>HYPERLINK("https://ceds.ed.gov/cedselementdetails.aspx?termid=10306")</f>
        <v>https://ceds.ed.gov/cedselementdetails.aspx?termid=10306</v>
      </c>
      <c r="Q112" s="12" t="str">
        <f>HYPERLINK("https://ceds.ed.gov/elementComment.aspx?elementName=Early Learning Program Eligibility Status &amp;elementID=10306", "Click here to submit comment")</f>
        <v>Click here to submit comment</v>
      </c>
    </row>
    <row r="113" spans="1:17" ht="30" x14ac:dyDescent="0.25">
      <c r="A113" s="12" t="s">
        <v>7169</v>
      </c>
      <c r="B113" s="12" t="s">
        <v>7170</v>
      </c>
      <c r="C113" s="12" t="s">
        <v>7189</v>
      </c>
      <c r="D113" s="12" t="s">
        <v>7172</v>
      </c>
      <c r="E113" s="12" t="s">
        <v>2583</v>
      </c>
      <c r="F113" s="12" t="s">
        <v>2584</v>
      </c>
      <c r="G113" s="12" t="s">
        <v>12</v>
      </c>
      <c r="H113" s="12"/>
      <c r="I113" s="12"/>
      <c r="J113" s="12" t="s">
        <v>73</v>
      </c>
      <c r="K113" s="12"/>
      <c r="L113" s="12"/>
      <c r="M113" s="12" t="s">
        <v>2585</v>
      </c>
      <c r="N113" s="12"/>
      <c r="O113" s="12" t="s">
        <v>2586</v>
      </c>
      <c r="P113" s="12" t="str">
        <f>HYPERLINK("https://ceds.ed.gov/cedselementdetails.aspx?termid=10307")</f>
        <v>https://ceds.ed.gov/cedselementdetails.aspx?termid=10307</v>
      </c>
      <c r="Q113" s="12" t="str">
        <f>HYPERLINK("https://ceds.ed.gov/elementComment.aspx?elementName=Early Learning Program Eligibility Status Date &amp;elementID=10307", "Click here to submit comment")</f>
        <v>Click here to submit comment</v>
      </c>
    </row>
    <row r="114" spans="1:17" ht="135" x14ac:dyDescent="0.25">
      <c r="A114" s="12" t="s">
        <v>7169</v>
      </c>
      <c r="B114" s="12" t="s">
        <v>7170</v>
      </c>
      <c r="C114" s="12" t="s">
        <v>7190</v>
      </c>
      <c r="D114" s="12" t="s">
        <v>7172</v>
      </c>
      <c r="E114" s="12" t="s">
        <v>3676</v>
      </c>
      <c r="F114" s="12" t="s">
        <v>3677</v>
      </c>
      <c r="G114" s="13" t="s">
        <v>6988</v>
      </c>
      <c r="H114" s="12" t="s">
        <v>6577</v>
      </c>
      <c r="I114" s="12"/>
      <c r="J114" s="12"/>
      <c r="K114" s="12"/>
      <c r="L114" s="12"/>
      <c r="M114" s="12" t="s">
        <v>3678</v>
      </c>
      <c r="N114" s="12"/>
      <c r="O114" s="12" t="s">
        <v>3679</v>
      </c>
      <c r="P114" s="12" t="str">
        <f>HYPERLINK("https://ceds.ed.gov/cedselementdetails.aspx?termid=9316")</f>
        <v>https://ceds.ed.gov/cedselementdetails.aspx?termid=9316</v>
      </c>
      <c r="Q114" s="12" t="str">
        <f>HYPERLINK("https://ceds.ed.gov/elementComment.aspx?elementName=Language Type &amp;elementID=9316", "Click here to submit comment")</f>
        <v>Click here to submit comment</v>
      </c>
    </row>
    <row r="115" spans="1:17" ht="90" x14ac:dyDescent="0.25">
      <c r="A115" s="12" t="s">
        <v>7169</v>
      </c>
      <c r="B115" s="12" t="s">
        <v>7170</v>
      </c>
      <c r="C115" s="12" t="s">
        <v>7190</v>
      </c>
      <c r="D115" s="12" t="s">
        <v>7172</v>
      </c>
      <c r="E115" s="12" t="s">
        <v>3631</v>
      </c>
      <c r="F115" s="12" t="s">
        <v>3632</v>
      </c>
      <c r="G115" s="14" t="s">
        <v>999</v>
      </c>
      <c r="H115" s="12" t="s">
        <v>6577</v>
      </c>
      <c r="I115" s="12" t="s">
        <v>98</v>
      </c>
      <c r="J115" s="12"/>
      <c r="K115" s="12"/>
      <c r="L115" s="14" t="s">
        <v>1000</v>
      </c>
      <c r="M115" s="12" t="s">
        <v>3633</v>
      </c>
      <c r="N115" s="12"/>
      <c r="O115" s="12" t="s">
        <v>3634</v>
      </c>
      <c r="P115" s="12" t="str">
        <f>HYPERLINK("https://ceds.ed.gov/cedselementdetails.aspx?termid=9317")</f>
        <v>https://ceds.ed.gov/cedselementdetails.aspx?termid=9317</v>
      </c>
      <c r="Q115" s="12" t="str">
        <f>HYPERLINK("https://ceds.ed.gov/elementComment.aspx?elementName=ISO 639-2 Language Code &amp;elementID=9317", "Click here to submit comment")</f>
        <v>Click here to submit comment</v>
      </c>
    </row>
    <row r="116" spans="1:17" ht="105" x14ac:dyDescent="0.25">
      <c r="A116" s="12" t="s">
        <v>7169</v>
      </c>
      <c r="B116" s="12" t="s">
        <v>7170</v>
      </c>
      <c r="C116" s="12" t="s">
        <v>7190</v>
      </c>
      <c r="D116" s="12" t="s">
        <v>7172</v>
      </c>
      <c r="E116" s="12" t="s">
        <v>3635</v>
      </c>
      <c r="F116" s="12" t="s">
        <v>3632</v>
      </c>
      <c r="G116" s="14" t="s">
        <v>3636</v>
      </c>
      <c r="H116" s="12"/>
      <c r="I116" s="12" t="s">
        <v>1498</v>
      </c>
      <c r="J116" s="12"/>
      <c r="K116" s="12"/>
      <c r="L116" s="14" t="s">
        <v>3637</v>
      </c>
      <c r="M116" s="12" t="s">
        <v>3638</v>
      </c>
      <c r="N116" s="12"/>
      <c r="O116" s="12" t="s">
        <v>3639</v>
      </c>
      <c r="P116" s="12" t="str">
        <f>HYPERLINK("https://ceds.ed.gov/cedselementdetails.aspx?termid=10618")</f>
        <v>https://ceds.ed.gov/cedselementdetails.aspx?termid=10618</v>
      </c>
      <c r="Q116" s="12" t="str">
        <f>HYPERLINK("https://ceds.ed.gov/elementComment.aspx?elementName=ISO 639-3 Language Code &amp;elementID=10618", "Click here to submit comment")</f>
        <v>Click here to submit comment</v>
      </c>
    </row>
    <row r="117" spans="1:17" ht="409.5" x14ac:dyDescent="0.25">
      <c r="A117" s="12" t="s">
        <v>7169</v>
      </c>
      <c r="B117" s="12" t="s">
        <v>7170</v>
      </c>
      <c r="C117" s="12" t="s">
        <v>7190</v>
      </c>
      <c r="D117" s="12" t="s">
        <v>7172</v>
      </c>
      <c r="E117" s="12" t="s">
        <v>3640</v>
      </c>
      <c r="F117" s="12" t="s">
        <v>3641</v>
      </c>
      <c r="G117" s="13" t="s">
        <v>6983</v>
      </c>
      <c r="H117" s="12"/>
      <c r="I117" s="12" t="s">
        <v>1498</v>
      </c>
      <c r="J117" s="12"/>
      <c r="K117" s="12"/>
      <c r="L117" s="14" t="s">
        <v>3642</v>
      </c>
      <c r="M117" s="12" t="s">
        <v>3643</v>
      </c>
      <c r="N117" s="12"/>
      <c r="O117" s="12" t="s">
        <v>3644</v>
      </c>
      <c r="P117" s="12" t="str">
        <f>HYPERLINK("https://ceds.ed.gov/cedselementdetails.aspx?termid=10619")</f>
        <v>https://ceds.ed.gov/cedselementdetails.aspx?termid=10619</v>
      </c>
      <c r="Q117" s="12" t="str">
        <f>HYPERLINK("https://ceds.ed.gov/elementComment.aspx?elementName=ISO 639-5 Language Family &amp;elementID=10619", "Click here to submit comment")</f>
        <v>Click here to submit comment</v>
      </c>
    </row>
    <row r="118" spans="1:17" ht="45" x14ac:dyDescent="0.25">
      <c r="A118" s="12" t="s">
        <v>7169</v>
      </c>
      <c r="B118" s="12" t="s">
        <v>7170</v>
      </c>
      <c r="C118" s="12" t="s">
        <v>7191</v>
      </c>
      <c r="D118" s="12" t="s">
        <v>7172</v>
      </c>
      <c r="E118" s="12" t="s">
        <v>397</v>
      </c>
      <c r="F118" s="12" t="s">
        <v>398</v>
      </c>
      <c r="G118" s="12" t="s">
        <v>12</v>
      </c>
      <c r="H118" s="12" t="s">
        <v>6393</v>
      </c>
      <c r="I118" s="12"/>
      <c r="J118" s="12" t="s">
        <v>73</v>
      </c>
      <c r="K118" s="12"/>
      <c r="L118" s="12"/>
      <c r="M118" s="12" t="s">
        <v>399</v>
      </c>
      <c r="N118" s="12"/>
      <c r="O118" s="12" t="s">
        <v>400</v>
      </c>
      <c r="P118" s="12" t="str">
        <f>HYPERLINK("https://ceds.ed.gov/cedselementdetails.aspx?termid=9323")</f>
        <v>https://ceds.ed.gov/cedselementdetails.aspx?termid=9323</v>
      </c>
      <c r="Q118" s="12" t="str">
        <f>HYPERLINK("https://ceds.ed.gov/elementComment.aspx?elementName=Application Date &amp;elementID=9323", "Click here to submit comment")</f>
        <v>Click here to submit comment</v>
      </c>
    </row>
    <row r="119" spans="1:17" ht="255" x14ac:dyDescent="0.25">
      <c r="A119" s="12" t="s">
        <v>7169</v>
      </c>
      <c r="B119" s="12" t="s">
        <v>7170</v>
      </c>
      <c r="C119" s="12" t="s">
        <v>7191</v>
      </c>
      <c r="D119" s="12" t="s">
        <v>7172</v>
      </c>
      <c r="E119" s="12" t="s">
        <v>3268</v>
      </c>
      <c r="F119" s="12" t="s">
        <v>3269</v>
      </c>
      <c r="G119" s="13" t="s">
        <v>6952</v>
      </c>
      <c r="H119" s="12" t="s">
        <v>222</v>
      </c>
      <c r="I119" s="12"/>
      <c r="J119" s="12"/>
      <c r="K119" s="12"/>
      <c r="L119" s="12"/>
      <c r="M119" s="12" t="s">
        <v>3270</v>
      </c>
      <c r="N119" s="12"/>
      <c r="O119" s="12" t="s">
        <v>3271</v>
      </c>
      <c r="P119" s="12" t="str">
        <f>HYPERLINK("https://ceds.ed.gov/cedselementdetails.aspx?termid=9550")</f>
        <v>https://ceds.ed.gov/cedselementdetails.aspx?termid=9550</v>
      </c>
      <c r="Q119" s="12" t="str">
        <f>HYPERLINK("https://ceds.ed.gov/elementComment.aspx?elementName=IDEA Educational Environment for Early Childhood &amp;elementID=9550", "Click here to submit comment")</f>
        <v>Click here to submit comment</v>
      </c>
    </row>
    <row r="120" spans="1:17" ht="45" x14ac:dyDescent="0.25">
      <c r="A120" s="12" t="s">
        <v>7169</v>
      </c>
      <c r="B120" s="12" t="s">
        <v>7170</v>
      </c>
      <c r="C120" s="12" t="s">
        <v>7191</v>
      </c>
      <c r="D120" s="12" t="s">
        <v>7172</v>
      </c>
      <c r="E120" s="12" t="s">
        <v>2743</v>
      </c>
      <c r="F120" s="12" t="s">
        <v>2744</v>
      </c>
      <c r="G120" s="12" t="s">
        <v>12</v>
      </c>
      <c r="H120" s="12" t="s">
        <v>6393</v>
      </c>
      <c r="I120" s="12"/>
      <c r="J120" s="12" t="s">
        <v>73</v>
      </c>
      <c r="K120" s="12"/>
      <c r="L120" s="12"/>
      <c r="M120" s="12" t="s">
        <v>2745</v>
      </c>
      <c r="N120" s="12"/>
      <c r="O120" s="12" t="s">
        <v>2746</v>
      </c>
      <c r="P120" s="12" t="str">
        <f>HYPERLINK("https://ceds.ed.gov/cedselementdetails.aspx?termid=9324")</f>
        <v>https://ceds.ed.gov/cedselementdetails.aspx?termid=9324</v>
      </c>
      <c r="Q120" s="12" t="str">
        <f>HYPERLINK("https://ceds.ed.gov/elementComment.aspx?elementName=Enrollment Date &amp;elementID=9324", "Click here to submit comment")</f>
        <v>Click here to submit comment</v>
      </c>
    </row>
    <row r="121" spans="1:17" ht="195" x14ac:dyDescent="0.25">
      <c r="A121" s="12" t="s">
        <v>7169</v>
      </c>
      <c r="B121" s="12" t="s">
        <v>7170</v>
      </c>
      <c r="C121" s="12" t="s">
        <v>7191</v>
      </c>
      <c r="D121" s="12" t="s">
        <v>7172</v>
      </c>
      <c r="E121" s="12" t="s">
        <v>2747</v>
      </c>
      <c r="F121" s="12" t="s">
        <v>2748</v>
      </c>
      <c r="G121" s="12" t="s">
        <v>12</v>
      </c>
      <c r="H121" s="12" t="s">
        <v>6526</v>
      </c>
      <c r="I121" s="12"/>
      <c r="J121" s="12" t="s">
        <v>73</v>
      </c>
      <c r="K121" s="12"/>
      <c r="L121" s="12"/>
      <c r="M121" s="12" t="s">
        <v>2749</v>
      </c>
      <c r="N121" s="12"/>
      <c r="O121" s="12" t="s">
        <v>2750</v>
      </c>
      <c r="P121" s="12" t="str">
        <f>HYPERLINK("https://ceds.ed.gov/cedselementdetails.aspx?termid=9097")</f>
        <v>https://ceds.ed.gov/cedselementdetails.aspx?termid=9097</v>
      </c>
      <c r="Q121" s="12" t="str">
        <f>HYPERLINK("https://ceds.ed.gov/elementComment.aspx?elementName=Enrollment Entry Date &amp;elementID=9097", "Click here to submit comment")</f>
        <v>Click here to submit comment</v>
      </c>
    </row>
    <row r="122" spans="1:17" ht="60" x14ac:dyDescent="0.25">
      <c r="A122" s="12" t="s">
        <v>7169</v>
      </c>
      <c r="B122" s="12" t="s">
        <v>7170</v>
      </c>
      <c r="C122" s="12" t="s">
        <v>7191</v>
      </c>
      <c r="D122" s="12" t="s">
        <v>7172</v>
      </c>
      <c r="E122" s="12" t="s">
        <v>2751</v>
      </c>
      <c r="F122" s="12" t="s">
        <v>2752</v>
      </c>
      <c r="G122" s="12" t="s">
        <v>12</v>
      </c>
      <c r="H122" s="12" t="s">
        <v>25</v>
      </c>
      <c r="I122" s="12"/>
      <c r="J122" s="12" t="s">
        <v>73</v>
      </c>
      <c r="K122" s="12"/>
      <c r="L122" s="12"/>
      <c r="M122" s="12" t="s">
        <v>2753</v>
      </c>
      <c r="N122" s="12"/>
      <c r="O122" s="12" t="s">
        <v>2754</v>
      </c>
      <c r="P122" s="12" t="str">
        <f>HYPERLINK("https://ceds.ed.gov/cedselementdetails.aspx?termid=9107")</f>
        <v>https://ceds.ed.gov/cedselementdetails.aspx?termid=9107</v>
      </c>
      <c r="Q122" s="12" t="str">
        <f>HYPERLINK("https://ceds.ed.gov/elementComment.aspx?elementName=Enrollment Exit Date &amp;elementID=9107", "Click here to submit comment")</f>
        <v>Click here to submit comment</v>
      </c>
    </row>
    <row r="123" spans="1:17" ht="255" x14ac:dyDescent="0.25">
      <c r="A123" s="12" t="s">
        <v>7169</v>
      </c>
      <c r="B123" s="12" t="s">
        <v>7170</v>
      </c>
      <c r="C123" s="12" t="s">
        <v>7191</v>
      </c>
      <c r="D123" s="12" t="s">
        <v>7172</v>
      </c>
      <c r="E123" s="12" t="s">
        <v>4600</v>
      </c>
      <c r="F123" s="12" t="s">
        <v>4601</v>
      </c>
      <c r="G123" s="12" t="s">
        <v>12</v>
      </c>
      <c r="H123" s="12" t="s">
        <v>6610</v>
      </c>
      <c r="I123" s="12"/>
      <c r="J123" s="12" t="s">
        <v>1554</v>
      </c>
      <c r="K123" s="12"/>
      <c r="L123" s="12" t="s">
        <v>4602</v>
      </c>
      <c r="M123" s="12" t="s">
        <v>4603</v>
      </c>
      <c r="N123" s="12"/>
      <c r="O123" s="12" t="s">
        <v>4604</v>
      </c>
      <c r="P123" s="12" t="str">
        <f>HYPERLINK("https://ceds.ed.gov/cedselementdetails.aspx?termid=9202")</f>
        <v>https://ceds.ed.gov/cedselementdetails.aspx?termid=9202</v>
      </c>
      <c r="Q123" s="12" t="str">
        <f>HYPERLINK("https://ceds.ed.gov/elementComment.aspx?elementName=Number of Days in Attendance &amp;elementID=9202", "Click here to submit comment")</f>
        <v>Click here to submit comment</v>
      </c>
    </row>
    <row r="124" spans="1:17" ht="300" x14ac:dyDescent="0.25">
      <c r="A124" s="12" t="s">
        <v>7169</v>
      </c>
      <c r="B124" s="12" t="s">
        <v>7170</v>
      </c>
      <c r="C124" s="12" t="s">
        <v>7191</v>
      </c>
      <c r="D124" s="12" t="s">
        <v>7172</v>
      </c>
      <c r="E124" s="12" t="s">
        <v>4753</v>
      </c>
      <c r="F124" s="12" t="s">
        <v>4754</v>
      </c>
      <c r="G124" s="13" t="s">
        <v>7049</v>
      </c>
      <c r="H124" s="12" t="s">
        <v>6393</v>
      </c>
      <c r="I124" s="12"/>
      <c r="J124" s="12"/>
      <c r="K124" s="12"/>
      <c r="L124" s="12"/>
      <c r="M124" s="12" t="s">
        <v>4755</v>
      </c>
      <c r="N124" s="12"/>
      <c r="O124" s="12" t="s">
        <v>4756</v>
      </c>
      <c r="P124" s="12" t="str">
        <f>HYPERLINK("https://ceds.ed.gov/cedselementdetails.aspx?termid=9325")</f>
        <v>https://ceds.ed.gov/cedselementdetails.aspx?termid=9325</v>
      </c>
      <c r="Q124" s="12" t="str">
        <f>HYPERLINK("https://ceds.ed.gov/elementComment.aspx?elementName=Participation in School Food Service Programs &amp;elementID=9325", "Click here to submit comment")</f>
        <v>Click here to submit comment</v>
      </c>
    </row>
    <row r="125" spans="1:17" ht="409.5" x14ac:dyDescent="0.25">
      <c r="A125" s="12" t="s">
        <v>7169</v>
      </c>
      <c r="B125" s="12" t="s">
        <v>7170</v>
      </c>
      <c r="C125" s="12" t="s">
        <v>7191</v>
      </c>
      <c r="D125" s="12" t="s">
        <v>7172</v>
      </c>
      <c r="E125" s="12" t="s">
        <v>2788</v>
      </c>
      <c r="F125" s="12" t="s">
        <v>2789</v>
      </c>
      <c r="G125" s="13" t="s">
        <v>6912</v>
      </c>
      <c r="H125" s="12"/>
      <c r="I125" s="12"/>
      <c r="J125" s="12"/>
      <c r="K125" s="12"/>
      <c r="L125" s="12"/>
      <c r="M125" s="12" t="s">
        <v>2790</v>
      </c>
      <c r="N125" s="12"/>
      <c r="O125" s="12" t="s">
        <v>2791</v>
      </c>
      <c r="P125" s="12" t="str">
        <f>HYPERLINK("https://ceds.ed.gov/cedselementdetails.aspx?termid=9222")</f>
        <v>https://ceds.ed.gov/cedselementdetails.aspx?termid=9222</v>
      </c>
      <c r="Q125" s="12" t="str">
        <f>HYPERLINK("https://ceds.ed.gov/elementComment.aspx?elementName=Exit Reason &amp;elementID=9222", "Click here to submit comment")</f>
        <v>Click here to submit comment</v>
      </c>
    </row>
    <row r="126" spans="1:17" ht="240" x14ac:dyDescent="0.25">
      <c r="A126" s="12" t="s">
        <v>7169</v>
      </c>
      <c r="B126" s="12" t="s">
        <v>7170</v>
      </c>
      <c r="C126" s="12" t="s">
        <v>7191</v>
      </c>
      <c r="D126" s="12" t="s">
        <v>7176</v>
      </c>
      <c r="E126" s="12" t="s">
        <v>4668</v>
      </c>
      <c r="F126" s="12" t="s">
        <v>4669</v>
      </c>
      <c r="G126" s="13" t="s">
        <v>6739</v>
      </c>
      <c r="H126" s="12" t="s">
        <v>64</v>
      </c>
      <c r="I126" s="12"/>
      <c r="J126" s="12"/>
      <c r="K126" s="12"/>
      <c r="L126" s="12"/>
      <c r="M126" s="12" t="s">
        <v>4670</v>
      </c>
      <c r="N126" s="12"/>
      <c r="O126" s="12" t="s">
        <v>4671</v>
      </c>
      <c r="P126" s="12" t="str">
        <f>HYPERLINK("https://ceds.ed.gov/cedselementdetails.aspx?termid=9827")</f>
        <v>https://ceds.ed.gov/cedselementdetails.aspx?termid=9827</v>
      </c>
      <c r="Q126" s="12" t="str">
        <f>HYPERLINK("https://ceds.ed.gov/elementComment.aspx?elementName=Organization Identification System &amp;elementID=9827", "Click here to submit comment")</f>
        <v>Click here to submit comment</v>
      </c>
    </row>
    <row r="127" spans="1:17" ht="60" x14ac:dyDescent="0.25">
      <c r="A127" s="18" t="s">
        <v>7169</v>
      </c>
      <c r="B127" s="18" t="s">
        <v>7170</v>
      </c>
      <c r="C127" s="18" t="s">
        <v>7191</v>
      </c>
      <c r="D127" s="18" t="s">
        <v>7176</v>
      </c>
      <c r="E127" s="18" t="s">
        <v>5394</v>
      </c>
      <c r="F127" s="18" t="s">
        <v>5395</v>
      </c>
      <c r="G127" s="18" t="s">
        <v>12</v>
      </c>
      <c r="H127" s="18"/>
      <c r="I127" s="18"/>
      <c r="J127" s="18" t="s">
        <v>142</v>
      </c>
      <c r="K127" s="18"/>
      <c r="L127" s="12" t="s">
        <v>5396</v>
      </c>
      <c r="M127" s="18" t="s">
        <v>5397</v>
      </c>
      <c r="N127" s="18"/>
      <c r="O127" s="18" t="s">
        <v>5398</v>
      </c>
      <c r="P127" s="18" t="str">
        <f>HYPERLINK("https://ceds.ed.gov/cedselementdetails.aspx?termid=10438")</f>
        <v>https://ceds.ed.gov/cedselementdetails.aspx?termid=10438</v>
      </c>
      <c r="Q127" s="18" t="str">
        <f>HYPERLINK("https://ceds.ed.gov/elementComment.aspx?elementName=Responsible Organization Identifier &amp;elementID=10438", "Click here to submit comment")</f>
        <v>Click here to submit comment</v>
      </c>
    </row>
    <row r="128" spans="1:17" x14ac:dyDescent="0.25">
      <c r="A128" s="18"/>
      <c r="B128" s="18"/>
      <c r="C128" s="18"/>
      <c r="D128" s="18"/>
      <c r="E128" s="18"/>
      <c r="F128" s="18"/>
      <c r="G128" s="18"/>
      <c r="H128" s="18"/>
      <c r="I128" s="18"/>
      <c r="J128" s="18"/>
      <c r="K128" s="18"/>
      <c r="L128" s="12"/>
      <c r="M128" s="18"/>
      <c r="N128" s="18"/>
      <c r="O128" s="18"/>
      <c r="P128" s="18"/>
      <c r="Q128" s="18"/>
    </row>
    <row r="129" spans="1:17" ht="105" x14ac:dyDescent="0.25">
      <c r="A129" s="18"/>
      <c r="B129" s="18"/>
      <c r="C129" s="18"/>
      <c r="D129" s="18"/>
      <c r="E129" s="18"/>
      <c r="F129" s="18"/>
      <c r="G129" s="18"/>
      <c r="H129" s="18"/>
      <c r="I129" s="18"/>
      <c r="J129" s="18"/>
      <c r="K129" s="18"/>
      <c r="L129" s="12" t="s">
        <v>143</v>
      </c>
      <c r="M129" s="18"/>
      <c r="N129" s="18"/>
      <c r="O129" s="18"/>
      <c r="P129" s="18"/>
      <c r="Q129" s="18"/>
    </row>
    <row r="130" spans="1:17" x14ac:dyDescent="0.25">
      <c r="A130" s="18"/>
      <c r="B130" s="18"/>
      <c r="C130" s="18"/>
      <c r="D130" s="18"/>
      <c r="E130" s="18"/>
      <c r="F130" s="18"/>
      <c r="G130" s="18"/>
      <c r="H130" s="18"/>
      <c r="I130" s="18"/>
      <c r="J130" s="18"/>
      <c r="K130" s="18"/>
      <c r="L130" s="12"/>
      <c r="M130" s="18"/>
      <c r="N130" s="18"/>
      <c r="O130" s="18"/>
      <c r="P130" s="18"/>
      <c r="Q130" s="18"/>
    </row>
    <row r="131" spans="1:17" ht="90" x14ac:dyDescent="0.25">
      <c r="A131" s="18"/>
      <c r="B131" s="18"/>
      <c r="C131" s="18"/>
      <c r="D131" s="18"/>
      <c r="E131" s="18"/>
      <c r="F131" s="18"/>
      <c r="G131" s="18"/>
      <c r="H131" s="18"/>
      <c r="I131" s="18"/>
      <c r="J131" s="18"/>
      <c r="K131" s="18"/>
      <c r="L131" s="12" t="s">
        <v>144</v>
      </c>
      <c r="M131" s="18"/>
      <c r="N131" s="18"/>
      <c r="O131" s="18"/>
      <c r="P131" s="18"/>
      <c r="Q131" s="18"/>
    </row>
    <row r="132" spans="1:17" ht="120" x14ac:dyDescent="0.25">
      <c r="A132" s="12" t="s">
        <v>7169</v>
      </c>
      <c r="B132" s="12" t="s">
        <v>7170</v>
      </c>
      <c r="C132" s="12" t="s">
        <v>7191</v>
      </c>
      <c r="D132" s="12" t="s">
        <v>7176</v>
      </c>
      <c r="E132" s="12" t="s">
        <v>5405</v>
      </c>
      <c r="F132" s="12" t="s">
        <v>5406</v>
      </c>
      <c r="G132" s="13" t="s">
        <v>7098</v>
      </c>
      <c r="H132" s="12"/>
      <c r="I132" s="12"/>
      <c r="J132" s="12"/>
      <c r="K132" s="12"/>
      <c r="L132" s="12" t="s">
        <v>5396</v>
      </c>
      <c r="M132" s="12" t="s">
        <v>5407</v>
      </c>
      <c r="N132" s="12"/>
      <c r="O132" s="12" t="s">
        <v>5408</v>
      </c>
      <c r="P132" s="12" t="str">
        <f>HYPERLINK("https://ceds.ed.gov/cedselementdetails.aspx?termid=10439")</f>
        <v>https://ceds.ed.gov/cedselementdetails.aspx?termid=10439</v>
      </c>
      <c r="Q132" s="12" t="str">
        <f>HYPERLINK("https://ceds.ed.gov/elementComment.aspx?elementName=Responsible Organization Type &amp;elementID=10439", "Click here to submit comment")</f>
        <v>Click here to submit comment</v>
      </c>
    </row>
    <row r="133" spans="1:17" ht="409.5" x14ac:dyDescent="0.25">
      <c r="A133" s="12" t="s">
        <v>7169</v>
      </c>
      <c r="B133" s="12" t="s">
        <v>7170</v>
      </c>
      <c r="C133" s="12" t="s">
        <v>7192</v>
      </c>
      <c r="D133" s="12" t="s">
        <v>7172</v>
      </c>
      <c r="E133" s="12" t="s">
        <v>2523</v>
      </c>
      <c r="F133" s="12" t="s">
        <v>2524</v>
      </c>
      <c r="G133" s="13" t="s">
        <v>6882</v>
      </c>
      <c r="H133" s="12"/>
      <c r="I133" s="12"/>
      <c r="J133" s="12"/>
      <c r="K133" s="12"/>
      <c r="L133" s="12"/>
      <c r="M133" s="12" t="s">
        <v>2525</v>
      </c>
      <c r="N133" s="12"/>
      <c r="O133" s="12" t="s">
        <v>2526</v>
      </c>
      <c r="P133" s="12" t="str">
        <f>HYPERLINK("https://ceds.ed.gov/cedselementdetails.aspx?termid=10294")</f>
        <v>https://ceds.ed.gov/cedselementdetails.aspx?termid=10294</v>
      </c>
      <c r="Q133" s="12" t="str">
        <f>HYPERLINK("https://ceds.ed.gov/elementComment.aspx?elementName=Early Learning Federal Funding Type &amp;elementID=10294", "Click here to submit comment")</f>
        <v>Click here to submit comment</v>
      </c>
    </row>
    <row r="134" spans="1:17" ht="120" x14ac:dyDescent="0.25">
      <c r="A134" s="12" t="s">
        <v>7169</v>
      </c>
      <c r="B134" s="12" t="s">
        <v>7170</v>
      </c>
      <c r="C134" s="12" t="s">
        <v>7192</v>
      </c>
      <c r="D134" s="12" t="s">
        <v>7172</v>
      </c>
      <c r="E134" s="12" t="s">
        <v>2543</v>
      </c>
      <c r="F134" s="12" t="s">
        <v>2544</v>
      </c>
      <c r="G134" s="13" t="s">
        <v>6885</v>
      </c>
      <c r="H134" s="12"/>
      <c r="I134" s="12"/>
      <c r="J134" s="12"/>
      <c r="K134" s="12"/>
      <c r="L134" s="12"/>
      <c r="M134" s="12" t="s">
        <v>2545</v>
      </c>
      <c r="N134" s="12"/>
      <c r="O134" s="12" t="s">
        <v>2546</v>
      </c>
      <c r="P134" s="12" t="str">
        <f>HYPERLINK("https://ceds.ed.gov/cedselementdetails.aspx?termid=10302")</f>
        <v>https://ceds.ed.gov/cedselementdetails.aspx?termid=10302</v>
      </c>
      <c r="Q134" s="12" t="str">
        <f>HYPERLINK("https://ceds.ed.gov/elementComment.aspx?elementName=Early Learning Other Federal Funding Sources &amp;elementID=10302", "Click here to submit comment")</f>
        <v>Click here to submit comment</v>
      </c>
    </row>
    <row r="135" spans="1:17" ht="75" x14ac:dyDescent="0.25">
      <c r="A135" s="12" t="s">
        <v>7169</v>
      </c>
      <c r="B135" s="12" t="s">
        <v>7170</v>
      </c>
      <c r="C135" s="12" t="s">
        <v>7192</v>
      </c>
      <c r="D135" s="12" t="s">
        <v>7172</v>
      </c>
      <c r="E135" s="12" t="s">
        <v>2842</v>
      </c>
      <c r="F135" s="12" t="s">
        <v>2843</v>
      </c>
      <c r="G135" s="12" t="s">
        <v>12</v>
      </c>
      <c r="H135" s="12" t="s">
        <v>222</v>
      </c>
      <c r="I135" s="12"/>
      <c r="J135" s="12"/>
      <c r="K135" s="12"/>
      <c r="L135" s="12"/>
      <c r="M135" s="12" t="s">
        <v>2844</v>
      </c>
      <c r="N135" s="12"/>
      <c r="O135" s="12" t="s">
        <v>2845</v>
      </c>
      <c r="P135" s="12" t="str">
        <f>HYPERLINK("https://ceds.ed.gov/cedselementdetails.aspx?termid=9538")</f>
        <v>https://ceds.ed.gov/cedselementdetails.aspx?termid=9538</v>
      </c>
      <c r="Q135" s="12" t="str">
        <f>HYPERLINK("https://ceds.ed.gov/elementComment.aspx?elementName=Federal Program Code &amp;elementID=9538", "Click here to submit comment")</f>
        <v>Click here to submit comment</v>
      </c>
    </row>
    <row r="136" spans="1:17" ht="345" x14ac:dyDescent="0.25">
      <c r="A136" s="12" t="s">
        <v>7169</v>
      </c>
      <c r="B136" s="12" t="s">
        <v>7170</v>
      </c>
      <c r="C136" s="12" t="s">
        <v>7193</v>
      </c>
      <c r="D136" s="12" t="s">
        <v>7172</v>
      </c>
      <c r="E136" s="12" t="s">
        <v>2460</v>
      </c>
      <c r="F136" s="12" t="s">
        <v>2461</v>
      </c>
      <c r="G136" s="13" t="s">
        <v>6876</v>
      </c>
      <c r="H136" s="12" t="s">
        <v>1759</v>
      </c>
      <c r="I136" s="12"/>
      <c r="J136" s="12"/>
      <c r="K136" s="12"/>
      <c r="L136" s="12"/>
      <c r="M136" s="12" t="s">
        <v>2462</v>
      </c>
      <c r="N136" s="12"/>
      <c r="O136" s="12" t="s">
        <v>2463</v>
      </c>
      <c r="P136" s="12" t="str">
        <f>HYPERLINK("https://ceds.ed.gov/cedselementdetails.aspx?termid=9321")</f>
        <v>https://ceds.ed.gov/cedselementdetails.aspx?termid=9321</v>
      </c>
      <c r="Q136" s="12" t="str">
        <f>HYPERLINK("https://ceds.ed.gov/elementComment.aspx?elementName=Early Childhood Services Received &amp;elementID=9321", "Click here to submit comment")</f>
        <v>Click here to submit comment</v>
      </c>
    </row>
    <row r="137" spans="1:17" ht="90" x14ac:dyDescent="0.25">
      <c r="A137" s="12" t="s">
        <v>7169</v>
      </c>
      <c r="B137" s="12" t="s">
        <v>7170</v>
      </c>
      <c r="C137" s="12" t="s">
        <v>7193</v>
      </c>
      <c r="D137" s="12" t="s">
        <v>7172</v>
      </c>
      <c r="E137" s="12" t="s">
        <v>5773</v>
      </c>
      <c r="F137" s="12" t="s">
        <v>5774</v>
      </c>
      <c r="G137" s="12" t="s">
        <v>12</v>
      </c>
      <c r="H137" s="12"/>
      <c r="I137" s="12"/>
      <c r="J137" s="12" t="s">
        <v>5775</v>
      </c>
      <c r="K137" s="12"/>
      <c r="L137" s="12"/>
      <c r="M137" s="12" t="s">
        <v>5776</v>
      </c>
      <c r="N137" s="12" t="s">
        <v>5777</v>
      </c>
      <c r="O137" s="12" t="s">
        <v>5778</v>
      </c>
      <c r="P137" s="12" t="str">
        <f>HYPERLINK("https://ceds.ed.gov/cedselementdetails.aspx?termid=10208")</f>
        <v>https://ceds.ed.gov/cedselementdetails.aspx?termid=10208</v>
      </c>
      <c r="Q137" s="12" t="str">
        <f>HYPERLINK("https://ceds.ed.gov/elementComment.aspx?elementName=Special Education Full Time Equivalency &amp;elementID=10208", "Click here to submit comment")</f>
        <v>Click here to submit comment</v>
      </c>
    </row>
    <row r="138" spans="1:17" ht="60" x14ac:dyDescent="0.25">
      <c r="A138" s="12" t="s">
        <v>7169</v>
      </c>
      <c r="B138" s="12" t="s">
        <v>7170</v>
      </c>
      <c r="C138" s="12" t="s">
        <v>7193</v>
      </c>
      <c r="D138" s="12" t="s">
        <v>7172</v>
      </c>
      <c r="E138" s="12" t="s">
        <v>5647</v>
      </c>
      <c r="F138" s="12" t="s">
        <v>5648</v>
      </c>
      <c r="G138" s="12" t="s">
        <v>12</v>
      </c>
      <c r="H138" s="12"/>
      <c r="I138" s="12"/>
      <c r="J138" s="12" t="s">
        <v>73</v>
      </c>
      <c r="K138" s="12"/>
      <c r="L138" s="12"/>
      <c r="M138" s="12" t="s">
        <v>5649</v>
      </c>
      <c r="N138" s="12"/>
      <c r="O138" s="12" t="s">
        <v>5650</v>
      </c>
      <c r="P138" s="12" t="str">
        <f>HYPERLINK("https://ceds.ed.gov/cedselementdetails.aspx?termid=9326")</f>
        <v>https://ceds.ed.gov/cedselementdetails.aspx?termid=9326</v>
      </c>
      <c r="Q138" s="12" t="str">
        <f>HYPERLINK("https://ceds.ed.gov/elementComment.aspx?elementName=Service Entry Date &amp;elementID=9326", "Click here to submit comment")</f>
        <v>Click here to submit comment</v>
      </c>
    </row>
    <row r="139" spans="1:17" ht="60" x14ac:dyDescent="0.25">
      <c r="A139" s="12" t="s">
        <v>7169</v>
      </c>
      <c r="B139" s="12" t="s">
        <v>7170</v>
      </c>
      <c r="C139" s="12" t="s">
        <v>7193</v>
      </c>
      <c r="D139" s="12" t="s">
        <v>7172</v>
      </c>
      <c r="E139" s="12" t="s">
        <v>5651</v>
      </c>
      <c r="F139" s="12" t="s">
        <v>5652</v>
      </c>
      <c r="G139" s="12" t="s">
        <v>12</v>
      </c>
      <c r="H139" s="12"/>
      <c r="I139" s="12"/>
      <c r="J139" s="12" t="s">
        <v>73</v>
      </c>
      <c r="K139" s="12"/>
      <c r="L139" s="12"/>
      <c r="M139" s="12" t="s">
        <v>5653</v>
      </c>
      <c r="N139" s="12"/>
      <c r="O139" s="12" t="s">
        <v>5654</v>
      </c>
      <c r="P139" s="12" t="str">
        <f>HYPERLINK("https://ceds.ed.gov/cedselementdetails.aspx?termid=9327")</f>
        <v>https://ceds.ed.gov/cedselementdetails.aspx?termid=9327</v>
      </c>
      <c r="Q139" s="12" t="str">
        <f>HYPERLINK("https://ceds.ed.gov/elementComment.aspx?elementName=Service Exit Date &amp;elementID=9327", "Click here to submit comment")</f>
        <v>Click here to submit comment</v>
      </c>
    </row>
    <row r="140" spans="1:17" ht="60" x14ac:dyDescent="0.25">
      <c r="A140" s="12" t="s">
        <v>7169</v>
      </c>
      <c r="B140" s="12" t="s">
        <v>7170</v>
      </c>
      <c r="C140" s="12" t="s">
        <v>7193</v>
      </c>
      <c r="D140" s="12" t="s">
        <v>7172</v>
      </c>
      <c r="E140" s="12" t="s">
        <v>2447</v>
      </c>
      <c r="F140" s="12" t="s">
        <v>2448</v>
      </c>
      <c r="G140" s="12" t="s">
        <v>6364</v>
      </c>
      <c r="H140" s="12"/>
      <c r="I140" s="12"/>
      <c r="J140" s="12"/>
      <c r="K140" s="12"/>
      <c r="L140" s="12"/>
      <c r="M140" s="12" t="s">
        <v>2450</v>
      </c>
      <c r="N140" s="12"/>
      <c r="O140" s="12" t="s">
        <v>2451</v>
      </c>
      <c r="P140" s="12" t="str">
        <f>HYPERLINK("https://ceds.ed.gov/cedselementdetails.aspx?termid=10570")</f>
        <v>https://ceds.ed.gov/cedselementdetails.aspx?termid=10570</v>
      </c>
      <c r="Q140" s="12" t="str">
        <f>HYPERLINK("https://ceds.ed.gov/elementComment.aspx?elementName=Early Childhood Education and Assistance Program Eligibility &amp;elementID=10570", "Click here to submit comment")</f>
        <v>Click here to submit comment</v>
      </c>
    </row>
    <row r="141" spans="1:17" ht="345" x14ac:dyDescent="0.25">
      <c r="A141" s="12" t="s">
        <v>7169</v>
      </c>
      <c r="B141" s="12" t="s">
        <v>7170</v>
      </c>
      <c r="C141" s="12" t="s">
        <v>7193</v>
      </c>
      <c r="D141" s="12" t="s">
        <v>7172</v>
      </c>
      <c r="E141" s="12" t="s">
        <v>2456</v>
      </c>
      <c r="F141" s="12" t="s">
        <v>2457</v>
      </c>
      <c r="G141" s="13" t="s">
        <v>6876</v>
      </c>
      <c r="H141" s="12"/>
      <c r="I141" s="12"/>
      <c r="J141" s="12"/>
      <c r="K141" s="12"/>
      <c r="L141" s="12"/>
      <c r="M141" s="12" t="s">
        <v>2458</v>
      </c>
      <c r="N141" s="12"/>
      <c r="O141" s="12" t="s">
        <v>2459</v>
      </c>
      <c r="P141" s="12" t="str">
        <f>HYPERLINK("https://ceds.ed.gov/cedselementdetails.aspx?termid=10529")</f>
        <v>https://ceds.ed.gov/cedselementdetails.aspx?termid=10529</v>
      </c>
      <c r="Q141" s="12" t="str">
        <f>HYPERLINK("https://ceds.ed.gov/elementComment.aspx?elementName=Early Childhood Services Offered &amp;elementID=10529", "Click here to submit comment")</f>
        <v>Click here to submit comment</v>
      </c>
    </row>
    <row r="142" spans="1:17" ht="120" x14ac:dyDescent="0.25">
      <c r="A142" s="12" t="s">
        <v>7169</v>
      </c>
      <c r="B142" s="12" t="s">
        <v>7170</v>
      </c>
      <c r="C142" s="12" t="s">
        <v>7193</v>
      </c>
      <c r="D142" s="12" t="s">
        <v>7172</v>
      </c>
      <c r="E142" s="12" t="s">
        <v>2607</v>
      </c>
      <c r="F142" s="12" t="s">
        <v>2608</v>
      </c>
      <c r="G142" s="13" t="s">
        <v>6893</v>
      </c>
      <c r="H142" s="12"/>
      <c r="I142" s="12"/>
      <c r="J142" s="12"/>
      <c r="K142" s="12"/>
      <c r="L142" s="12"/>
      <c r="M142" s="12" t="s">
        <v>2609</v>
      </c>
      <c r="N142" s="12"/>
      <c r="O142" s="12" t="s">
        <v>2610</v>
      </c>
      <c r="P142" s="12" t="str">
        <f>HYPERLINK("https://ceds.ed.gov/cedselementdetails.aspx?termid=10583")</f>
        <v>https://ceds.ed.gov/cedselementdetails.aspx?termid=10583</v>
      </c>
      <c r="Q142" s="12" t="str">
        <f>HYPERLINK("https://ceds.ed.gov/elementComment.aspx?elementName=Early Learning Service Type &amp;elementID=10583", "Click here to submit comment")</f>
        <v>Click here to submit comment</v>
      </c>
    </row>
    <row r="143" spans="1:17" ht="30" x14ac:dyDescent="0.25">
      <c r="A143" s="12" t="s">
        <v>7169</v>
      </c>
      <c r="B143" s="12" t="s">
        <v>7170</v>
      </c>
      <c r="C143" s="12" t="s">
        <v>7193</v>
      </c>
      <c r="D143" s="12" t="s">
        <v>7172</v>
      </c>
      <c r="E143" s="12" t="s">
        <v>2662</v>
      </c>
      <c r="F143" s="12" t="s">
        <v>2663</v>
      </c>
      <c r="G143" s="12" t="s">
        <v>12</v>
      </c>
      <c r="H143" s="12"/>
      <c r="I143" s="12"/>
      <c r="J143" s="12" t="s">
        <v>794</v>
      </c>
      <c r="K143" s="12"/>
      <c r="L143" s="12"/>
      <c r="M143" s="12" t="s">
        <v>2664</v>
      </c>
      <c r="N143" s="12"/>
      <c r="O143" s="12" t="s">
        <v>2665</v>
      </c>
      <c r="P143" s="12" t="str">
        <f>HYPERLINK("https://ceds.ed.gov/cedselementdetails.aspx?termid=10597")</f>
        <v>https://ceds.ed.gov/cedselementdetails.aspx?termid=10597</v>
      </c>
      <c r="Q143" s="12" t="str">
        <f>HYPERLINK("https://ceds.ed.gov/elementComment.aspx?elementName=Eligibility Priority Points &amp;elementID=10597", "Click here to submit comment")</f>
        <v>Click here to submit comment</v>
      </c>
    </row>
    <row r="144" spans="1:17" ht="90" x14ac:dyDescent="0.25">
      <c r="A144" s="12" t="s">
        <v>7169</v>
      </c>
      <c r="B144" s="12" t="s">
        <v>7170</v>
      </c>
      <c r="C144" s="12" t="s">
        <v>7193</v>
      </c>
      <c r="D144" s="12" t="s">
        <v>7172</v>
      </c>
      <c r="E144" s="12" t="s">
        <v>3051</v>
      </c>
      <c r="F144" s="12" t="s">
        <v>3052</v>
      </c>
      <c r="G144" s="13" t="s">
        <v>6933</v>
      </c>
      <c r="H144" s="12"/>
      <c r="I144" s="12"/>
      <c r="J144" s="12"/>
      <c r="K144" s="12"/>
      <c r="L144" s="12"/>
      <c r="M144" s="12" t="s">
        <v>3053</v>
      </c>
      <c r="N144" s="12"/>
      <c r="O144" s="12" t="s">
        <v>3054</v>
      </c>
      <c r="P144" s="12" t="str">
        <f>HYPERLINK("https://ceds.ed.gov/cedselementdetails.aspx?termid=10323")</f>
        <v>https://ceds.ed.gov/cedselementdetails.aspx?termid=10323</v>
      </c>
      <c r="Q144" s="12" t="str">
        <f>HYPERLINK("https://ceds.ed.gov/elementComment.aspx?elementName=Frequency of Service &amp;elementID=10323", "Click here to submit comment")</f>
        <v>Click here to submit comment</v>
      </c>
    </row>
    <row r="145" spans="1:17" ht="30" x14ac:dyDescent="0.25">
      <c r="A145" s="12" t="s">
        <v>7169</v>
      </c>
      <c r="B145" s="12" t="s">
        <v>7170</v>
      </c>
      <c r="C145" s="12" t="s">
        <v>7193</v>
      </c>
      <c r="D145" s="12" t="s">
        <v>7172</v>
      </c>
      <c r="E145" s="12" t="s">
        <v>3456</v>
      </c>
      <c r="F145" s="12" t="s">
        <v>3457</v>
      </c>
      <c r="G145" s="12" t="s">
        <v>12</v>
      </c>
      <c r="H145" s="12"/>
      <c r="I145" s="12"/>
      <c r="J145" s="12" t="s">
        <v>1554</v>
      </c>
      <c r="K145" s="12"/>
      <c r="L145" s="12"/>
      <c r="M145" s="12" t="s">
        <v>3458</v>
      </c>
      <c r="N145" s="12"/>
      <c r="O145" s="12" t="s">
        <v>3459</v>
      </c>
      <c r="P145" s="12" t="str">
        <f>HYPERLINK("https://ceds.ed.gov/cedselementdetails.aspx?termid=10493")</f>
        <v>https://ceds.ed.gov/cedselementdetails.aspx?termid=10493</v>
      </c>
      <c r="Q145" s="12" t="str">
        <f>HYPERLINK("https://ceds.ed.gov/elementComment.aspx?elementName=Individualized Program Planned Service Duration &amp;elementID=10493", "Click here to submit comment")</f>
        <v>Click here to submit comment</v>
      </c>
    </row>
    <row r="146" spans="1:17" ht="150" x14ac:dyDescent="0.25">
      <c r="A146" s="12" t="s">
        <v>7169</v>
      </c>
      <c r="B146" s="12" t="s">
        <v>7170</v>
      </c>
      <c r="C146" s="12" t="s">
        <v>7193</v>
      </c>
      <c r="D146" s="12" t="s">
        <v>7172</v>
      </c>
      <c r="E146" s="12" t="s">
        <v>3460</v>
      </c>
      <c r="F146" s="12" t="s">
        <v>3461</v>
      </c>
      <c r="G146" s="13" t="s">
        <v>6970</v>
      </c>
      <c r="H146" s="12"/>
      <c r="I146" s="12"/>
      <c r="J146" s="12"/>
      <c r="K146" s="12"/>
      <c r="L146" s="12"/>
      <c r="M146" s="12" t="s">
        <v>3462</v>
      </c>
      <c r="N146" s="12"/>
      <c r="O146" s="12" t="s">
        <v>3463</v>
      </c>
      <c r="P146" s="12" t="str">
        <f>HYPERLINK("https://ceds.ed.gov/cedselementdetails.aspx?termid=10492")</f>
        <v>https://ceds.ed.gov/cedselementdetails.aspx?termid=10492</v>
      </c>
      <c r="Q146" s="12" t="str">
        <f>HYPERLINK("https://ceds.ed.gov/elementComment.aspx?elementName=Individualized Program Planned Service Frequency &amp;elementID=10492", "Click here to submit comment")</f>
        <v>Click here to submit comment</v>
      </c>
    </row>
    <row r="147" spans="1:17" ht="30" x14ac:dyDescent="0.25">
      <c r="A147" s="12" t="s">
        <v>7169</v>
      </c>
      <c r="B147" s="12" t="s">
        <v>7170</v>
      </c>
      <c r="C147" s="12" t="s">
        <v>7193</v>
      </c>
      <c r="D147" s="12" t="s">
        <v>7172</v>
      </c>
      <c r="E147" s="12" t="s">
        <v>3464</v>
      </c>
      <c r="F147" s="12" t="s">
        <v>3465</v>
      </c>
      <c r="G147" s="12" t="s">
        <v>12</v>
      </c>
      <c r="H147" s="12"/>
      <c r="I147" s="12"/>
      <c r="J147" s="12" t="s">
        <v>73</v>
      </c>
      <c r="K147" s="12"/>
      <c r="L147" s="12" t="s">
        <v>3466</v>
      </c>
      <c r="M147" s="12" t="s">
        <v>3467</v>
      </c>
      <c r="N147" s="12"/>
      <c r="O147" s="12" t="s">
        <v>3468</v>
      </c>
      <c r="P147" s="12" t="str">
        <f>HYPERLINK("https://ceds.ed.gov/cedselementdetails.aspx?termid=10350")</f>
        <v>https://ceds.ed.gov/cedselementdetails.aspx?termid=10350</v>
      </c>
      <c r="Q147" s="12" t="str">
        <f>HYPERLINK("https://ceds.ed.gov/elementComment.aspx?elementName=Individualized Program Planned Service Start Date &amp;elementID=10350", "Click here to submit comment")</f>
        <v>Click here to submit comment</v>
      </c>
    </row>
    <row r="148" spans="1:17" ht="300" x14ac:dyDescent="0.25">
      <c r="A148" s="12" t="s">
        <v>7169</v>
      </c>
      <c r="B148" s="12" t="s">
        <v>7170</v>
      </c>
      <c r="C148" s="12" t="s">
        <v>7193</v>
      </c>
      <c r="D148" s="12" t="s">
        <v>7172</v>
      </c>
      <c r="E148" s="12" t="s">
        <v>3469</v>
      </c>
      <c r="F148" s="12" t="s">
        <v>3470</v>
      </c>
      <c r="G148" s="13" t="s">
        <v>6971</v>
      </c>
      <c r="H148" s="12"/>
      <c r="I148" s="12"/>
      <c r="J148" s="12"/>
      <c r="K148" s="12"/>
      <c r="L148" s="12"/>
      <c r="M148" s="12" t="s">
        <v>3471</v>
      </c>
      <c r="N148" s="12"/>
      <c r="O148" s="12" t="s">
        <v>3472</v>
      </c>
      <c r="P148" s="12" t="str">
        <f>HYPERLINK("https://ceds.ed.gov/cedselementdetails.aspx?termid=10352")</f>
        <v>https://ceds.ed.gov/cedselementdetails.aspx?termid=10352</v>
      </c>
      <c r="Q148" s="12" t="str">
        <f>HYPERLINK("https://ceds.ed.gov/elementComment.aspx?elementName=Individualized Program Planned Service Type &amp;elementID=10352", "Click here to submit comment")</f>
        <v>Click here to submit comment</v>
      </c>
    </row>
    <row r="149" spans="1:17" ht="285" x14ac:dyDescent="0.25">
      <c r="A149" s="12" t="s">
        <v>7169</v>
      </c>
      <c r="B149" s="12" t="s">
        <v>7170</v>
      </c>
      <c r="C149" s="12" t="s">
        <v>7193</v>
      </c>
      <c r="D149" s="12" t="s">
        <v>7172</v>
      </c>
      <c r="E149" s="12" t="s">
        <v>3501</v>
      </c>
      <c r="F149" s="12" t="s">
        <v>3502</v>
      </c>
      <c r="G149" s="13" t="s">
        <v>6974</v>
      </c>
      <c r="H149" s="12" t="s">
        <v>6393</v>
      </c>
      <c r="I149" s="12"/>
      <c r="J149" s="12"/>
      <c r="K149" s="12"/>
      <c r="L149" s="12"/>
      <c r="M149" s="12" t="s">
        <v>3503</v>
      </c>
      <c r="N149" s="12"/>
      <c r="O149" s="12" t="s">
        <v>3504</v>
      </c>
      <c r="P149" s="12" t="str">
        <f>HYPERLINK("https://ceds.ed.gov/cedselementdetails.aspx?termid=9320")</f>
        <v>https://ceds.ed.gov/cedselementdetails.aspx?termid=9320</v>
      </c>
      <c r="Q149" s="12" t="str">
        <f>HYPERLINK("https://ceds.ed.gov/elementComment.aspx?elementName=Individualized Program Type &amp;elementID=9320", "Click here to submit comment")</f>
        <v>Click here to submit comment</v>
      </c>
    </row>
    <row r="150" spans="1:17" ht="30" x14ac:dyDescent="0.25">
      <c r="A150" s="12" t="s">
        <v>7169</v>
      </c>
      <c r="B150" s="12" t="s">
        <v>7170</v>
      </c>
      <c r="C150" s="12" t="s">
        <v>7193</v>
      </c>
      <c r="D150" s="12" t="s">
        <v>7172</v>
      </c>
      <c r="E150" s="12" t="s">
        <v>5305</v>
      </c>
      <c r="F150" s="12" t="s">
        <v>5306</v>
      </c>
      <c r="G150" s="12" t="s">
        <v>12</v>
      </c>
      <c r="H150" s="12"/>
      <c r="I150" s="12"/>
      <c r="J150" s="12" t="s">
        <v>327</v>
      </c>
      <c r="K150" s="12"/>
      <c r="L150" s="12"/>
      <c r="M150" s="12" t="s">
        <v>5307</v>
      </c>
      <c r="N150" s="12"/>
      <c r="O150" s="12" t="s">
        <v>5308</v>
      </c>
      <c r="P150" s="12" t="str">
        <f>HYPERLINK("https://ceds.ed.gov/cedselementdetails.aspx?termid=10460")</f>
        <v>https://ceds.ed.gov/cedselementdetails.aspx?termid=10460</v>
      </c>
      <c r="Q150" s="12" t="str">
        <f>HYPERLINK("https://ceds.ed.gov/elementComment.aspx?elementName=Reason for Declined Services &amp;elementID=10460", "Click here to submit comment")</f>
        <v>Click here to submit comment</v>
      </c>
    </row>
    <row r="151" spans="1:17" ht="30" x14ac:dyDescent="0.25">
      <c r="A151" s="12" t="s">
        <v>7169</v>
      </c>
      <c r="B151" s="12" t="s">
        <v>7170</v>
      </c>
      <c r="C151" s="12" t="s">
        <v>7193</v>
      </c>
      <c r="D151" s="12" t="s">
        <v>7172</v>
      </c>
      <c r="E151" s="12" t="s">
        <v>5643</v>
      </c>
      <c r="F151" s="12" t="s">
        <v>5644</v>
      </c>
      <c r="G151" s="12" t="s">
        <v>12</v>
      </c>
      <c r="H151" s="12"/>
      <c r="I151" s="12"/>
      <c r="J151" s="12" t="s">
        <v>73</v>
      </c>
      <c r="K151" s="12"/>
      <c r="L151" s="12"/>
      <c r="M151" s="12" t="s">
        <v>5645</v>
      </c>
      <c r="N151" s="12"/>
      <c r="O151" s="12" t="s">
        <v>5646</v>
      </c>
      <c r="P151" s="12" t="str">
        <f>HYPERLINK("https://ceds.ed.gov/cedselementdetails.aspx?termid=10616")</f>
        <v>https://ceds.ed.gov/cedselementdetails.aspx?termid=10616</v>
      </c>
      <c r="Q151" s="12" t="str">
        <f>HYPERLINK("https://ceds.ed.gov/elementComment.aspx?elementName=Service Date &amp;elementID=10616", "Click here to submit comment")</f>
        <v>Click here to submit comment</v>
      </c>
    </row>
    <row r="152" spans="1:17" ht="409.5" x14ac:dyDescent="0.25">
      <c r="A152" s="12" t="s">
        <v>7169</v>
      </c>
      <c r="B152" s="12" t="s">
        <v>7170</v>
      </c>
      <c r="C152" s="12" t="s">
        <v>7193</v>
      </c>
      <c r="D152" s="12" t="s">
        <v>7172</v>
      </c>
      <c r="E152" s="12" t="s">
        <v>5769</v>
      </c>
      <c r="F152" s="12" t="s">
        <v>5770</v>
      </c>
      <c r="G152" s="13" t="s">
        <v>7116</v>
      </c>
      <c r="H152" s="12" t="s">
        <v>222</v>
      </c>
      <c r="I152" s="12"/>
      <c r="J152" s="12"/>
      <c r="K152" s="12"/>
      <c r="L152" s="12"/>
      <c r="M152" s="12" t="s">
        <v>5771</v>
      </c>
      <c r="N152" s="12"/>
      <c r="O152" s="12" t="s">
        <v>5772</v>
      </c>
      <c r="P152" s="12" t="str">
        <f>HYPERLINK("https://ceds.ed.gov/cedselementdetails.aspx?termid=9260")</f>
        <v>https://ceds.ed.gov/cedselementdetails.aspx?termid=9260</v>
      </c>
      <c r="Q152" s="12" t="str">
        <f>HYPERLINK("https://ceds.ed.gov/elementComment.aspx?elementName=Special Education Exit Reason &amp;elementID=9260", "Click here to submit comment")</f>
        <v>Click here to submit comment</v>
      </c>
    </row>
    <row r="153" spans="1:17" ht="45" x14ac:dyDescent="0.25">
      <c r="A153" s="12" t="s">
        <v>7169</v>
      </c>
      <c r="B153" s="12" t="s">
        <v>7170</v>
      </c>
      <c r="C153" s="12" t="s">
        <v>7194</v>
      </c>
      <c r="D153" s="12" t="s">
        <v>7172</v>
      </c>
      <c r="E153" s="12" t="s">
        <v>397</v>
      </c>
      <c r="F153" s="12" t="s">
        <v>398</v>
      </c>
      <c r="G153" s="12" t="s">
        <v>12</v>
      </c>
      <c r="H153" s="12" t="s">
        <v>6393</v>
      </c>
      <c r="I153" s="12"/>
      <c r="J153" s="12" t="s">
        <v>73</v>
      </c>
      <c r="K153" s="12"/>
      <c r="L153" s="12"/>
      <c r="M153" s="12" t="s">
        <v>399</v>
      </c>
      <c r="N153" s="12"/>
      <c r="O153" s="12" t="s">
        <v>400</v>
      </c>
      <c r="P153" s="12" t="str">
        <f>HYPERLINK("https://ceds.ed.gov/cedselementdetails.aspx?termid=9323")</f>
        <v>https://ceds.ed.gov/cedselementdetails.aspx?termid=9323</v>
      </c>
      <c r="Q153" s="12" t="str">
        <f>HYPERLINK("https://ceds.ed.gov/elementComment.aspx?elementName=Application Date &amp;elementID=9323", "Click here to submit comment")</f>
        <v>Click here to submit comment</v>
      </c>
    </row>
    <row r="154" spans="1:17" ht="30" x14ac:dyDescent="0.25">
      <c r="A154" s="12" t="s">
        <v>7169</v>
      </c>
      <c r="B154" s="12" t="s">
        <v>7170</v>
      </c>
      <c r="C154" s="12" t="s">
        <v>7194</v>
      </c>
      <c r="D154" s="12" t="s">
        <v>7172</v>
      </c>
      <c r="E154" s="12" t="s">
        <v>2515</v>
      </c>
      <c r="F154" s="12" t="s">
        <v>2516</v>
      </c>
      <c r="G154" s="12" t="s">
        <v>12</v>
      </c>
      <c r="H154" s="12"/>
      <c r="I154" s="12"/>
      <c r="J154" s="12" t="s">
        <v>73</v>
      </c>
      <c r="K154" s="12"/>
      <c r="L154" s="12"/>
      <c r="M154" s="12" t="s">
        <v>2517</v>
      </c>
      <c r="N154" s="12"/>
      <c r="O154" s="12" t="s">
        <v>2518</v>
      </c>
      <c r="P154" s="12" t="str">
        <f>HYPERLINK("https://ceds.ed.gov/cedselementdetails.aspx?termid=10571")</f>
        <v>https://ceds.ed.gov/cedselementdetails.aspx?termid=10571</v>
      </c>
      <c r="Q154" s="12" t="str">
        <f>HYPERLINK("https://ceds.ed.gov/elementComment.aspx?elementName=Early Learning Enrollment Application Verification Date &amp;elementID=10571", "Click here to submit comment")</f>
        <v>Click here to submit comment</v>
      </c>
    </row>
    <row r="155" spans="1:17" ht="105" x14ac:dyDescent="0.25">
      <c r="A155" s="18" t="s">
        <v>7169</v>
      </c>
      <c r="B155" s="18" t="s">
        <v>7170</v>
      </c>
      <c r="C155" s="18" t="s">
        <v>7194</v>
      </c>
      <c r="D155" s="18" t="s">
        <v>7172</v>
      </c>
      <c r="E155" s="18" t="s">
        <v>2503</v>
      </c>
      <c r="F155" s="18" t="s">
        <v>2504</v>
      </c>
      <c r="G155" s="18" t="s">
        <v>12</v>
      </c>
      <c r="H155" s="18"/>
      <c r="I155" s="18"/>
      <c r="J155" s="18" t="s">
        <v>142</v>
      </c>
      <c r="K155" s="18"/>
      <c r="L155" s="12" t="s">
        <v>143</v>
      </c>
      <c r="M155" s="18" t="s">
        <v>2505</v>
      </c>
      <c r="N155" s="18"/>
      <c r="O155" s="18" t="s">
        <v>2506</v>
      </c>
      <c r="P155" s="18" t="str">
        <f>HYPERLINK("https://ceds.ed.gov/cedselementdetails.aspx?termid=10572")</f>
        <v>https://ceds.ed.gov/cedselementdetails.aspx?termid=10572</v>
      </c>
      <c r="Q155" s="18" t="str">
        <f>HYPERLINK("https://ceds.ed.gov/elementComment.aspx?elementName=Early Learning Enrollment Application Document Identifier &amp;elementID=10572", "Click here to submit comment")</f>
        <v>Click here to submit comment</v>
      </c>
    </row>
    <row r="156" spans="1:17" x14ac:dyDescent="0.25">
      <c r="A156" s="18"/>
      <c r="B156" s="18"/>
      <c r="C156" s="18"/>
      <c r="D156" s="18"/>
      <c r="E156" s="18"/>
      <c r="F156" s="18"/>
      <c r="G156" s="18"/>
      <c r="H156" s="18"/>
      <c r="I156" s="18"/>
      <c r="J156" s="18"/>
      <c r="K156" s="18"/>
      <c r="L156" s="12"/>
      <c r="M156" s="18"/>
      <c r="N156" s="18"/>
      <c r="O156" s="18"/>
      <c r="P156" s="18"/>
      <c r="Q156" s="18"/>
    </row>
    <row r="157" spans="1:17" ht="90" x14ac:dyDescent="0.25">
      <c r="A157" s="18"/>
      <c r="B157" s="18"/>
      <c r="C157" s="18"/>
      <c r="D157" s="18"/>
      <c r="E157" s="18"/>
      <c r="F157" s="18"/>
      <c r="G157" s="18"/>
      <c r="H157" s="18"/>
      <c r="I157" s="18"/>
      <c r="J157" s="18"/>
      <c r="K157" s="18"/>
      <c r="L157" s="12" t="s">
        <v>144</v>
      </c>
      <c r="M157" s="18"/>
      <c r="N157" s="18"/>
      <c r="O157" s="18"/>
      <c r="P157" s="18"/>
      <c r="Q157" s="18"/>
    </row>
    <row r="158" spans="1:17" ht="30" x14ac:dyDescent="0.25">
      <c r="A158" s="12" t="s">
        <v>7169</v>
      </c>
      <c r="B158" s="12" t="s">
        <v>7170</v>
      </c>
      <c r="C158" s="12" t="s">
        <v>7194</v>
      </c>
      <c r="D158" s="12" t="s">
        <v>7172</v>
      </c>
      <c r="E158" s="12" t="s">
        <v>2507</v>
      </c>
      <c r="F158" s="12" t="s">
        <v>2508</v>
      </c>
      <c r="G158" s="12" t="s">
        <v>12</v>
      </c>
      <c r="H158" s="12"/>
      <c r="I158" s="12"/>
      <c r="J158" s="12" t="s">
        <v>99</v>
      </c>
      <c r="K158" s="12"/>
      <c r="L158" s="12"/>
      <c r="M158" s="12" t="s">
        <v>2509</v>
      </c>
      <c r="N158" s="12"/>
      <c r="O158" s="12" t="s">
        <v>2510</v>
      </c>
      <c r="P158" s="12" t="str">
        <f>HYPERLINK("https://ceds.ed.gov/cedselementdetails.aspx?termid=10573")</f>
        <v>https://ceds.ed.gov/cedselementdetails.aspx?termid=10573</v>
      </c>
      <c r="Q158" s="12" t="str">
        <f>HYPERLINK("https://ceds.ed.gov/elementComment.aspx?elementName=Early Learning Enrollment Application Document Name &amp;elementID=10573", "Click here to submit comment")</f>
        <v>Click here to submit comment</v>
      </c>
    </row>
    <row r="159" spans="1:17" ht="30" x14ac:dyDescent="0.25">
      <c r="A159" s="12" t="s">
        <v>7169</v>
      </c>
      <c r="B159" s="12" t="s">
        <v>7170</v>
      </c>
      <c r="C159" s="12" t="s">
        <v>7194</v>
      </c>
      <c r="D159" s="12" t="s">
        <v>7172</v>
      </c>
      <c r="E159" s="12" t="s">
        <v>2511</v>
      </c>
      <c r="F159" s="12" t="s">
        <v>2512</v>
      </c>
      <c r="G159" s="12" t="s">
        <v>12</v>
      </c>
      <c r="H159" s="12"/>
      <c r="I159" s="12"/>
      <c r="J159" s="12" t="s">
        <v>794</v>
      </c>
      <c r="K159" s="12"/>
      <c r="L159" s="12"/>
      <c r="M159" s="12" t="s">
        <v>2513</v>
      </c>
      <c r="N159" s="12"/>
      <c r="O159" s="12" t="s">
        <v>2514</v>
      </c>
      <c r="P159" s="12" t="str">
        <f>HYPERLINK("https://ceds.ed.gov/cedselementdetails.aspx?termid=10574")</f>
        <v>https://ceds.ed.gov/cedselementdetails.aspx?termid=10574</v>
      </c>
      <c r="Q159" s="12" t="str">
        <f>HYPERLINK("https://ceds.ed.gov/elementComment.aspx?elementName=Early Learning Enrollment Application Document Type &amp;elementID=10574", "Click here to submit comment")</f>
        <v>Click here to submit comment</v>
      </c>
    </row>
    <row r="160" spans="1:17" ht="105" x14ac:dyDescent="0.25">
      <c r="A160" s="18" t="s">
        <v>7169</v>
      </c>
      <c r="B160" s="18" t="s">
        <v>7170</v>
      </c>
      <c r="C160" s="18" t="s">
        <v>7194</v>
      </c>
      <c r="D160" s="18" t="s">
        <v>7172</v>
      </c>
      <c r="E160" s="18" t="s">
        <v>2468</v>
      </c>
      <c r="F160" s="18" t="s">
        <v>2469</v>
      </c>
      <c r="G160" s="18" t="s">
        <v>12</v>
      </c>
      <c r="H160" s="18"/>
      <c r="I160" s="18"/>
      <c r="J160" s="18" t="s">
        <v>142</v>
      </c>
      <c r="K160" s="18"/>
      <c r="L160" s="12" t="s">
        <v>143</v>
      </c>
      <c r="M160" s="18" t="s">
        <v>2471</v>
      </c>
      <c r="N160" s="18"/>
      <c r="O160" s="18" t="s">
        <v>2472</v>
      </c>
      <c r="P160" s="18" t="str">
        <f>HYPERLINK("https://ceds.ed.gov/cedselementdetails.aspx?termid=10576")</f>
        <v>https://ceds.ed.gov/cedselementdetails.aspx?termid=10576</v>
      </c>
      <c r="Q160" s="18" t="str">
        <f>HYPERLINK("https://ceds.ed.gov/elementComment.aspx?elementName=Early Learning Application Identifier &amp;elementID=10576", "Click here to submit comment")</f>
        <v>Click here to submit comment</v>
      </c>
    </row>
    <row r="161" spans="1:17" x14ac:dyDescent="0.25">
      <c r="A161" s="18"/>
      <c r="B161" s="18"/>
      <c r="C161" s="18"/>
      <c r="D161" s="18"/>
      <c r="E161" s="18"/>
      <c r="F161" s="18"/>
      <c r="G161" s="18"/>
      <c r="H161" s="18"/>
      <c r="I161" s="18"/>
      <c r="J161" s="18"/>
      <c r="K161" s="18"/>
      <c r="L161" s="12"/>
      <c r="M161" s="18"/>
      <c r="N161" s="18"/>
      <c r="O161" s="18"/>
      <c r="P161" s="18"/>
      <c r="Q161" s="18"/>
    </row>
    <row r="162" spans="1:17" ht="90" x14ac:dyDescent="0.25">
      <c r="A162" s="18"/>
      <c r="B162" s="18"/>
      <c r="C162" s="18"/>
      <c r="D162" s="18"/>
      <c r="E162" s="18"/>
      <c r="F162" s="18"/>
      <c r="G162" s="18"/>
      <c r="H162" s="18"/>
      <c r="I162" s="18"/>
      <c r="J162" s="18"/>
      <c r="K162" s="18"/>
      <c r="L162" s="12" t="s">
        <v>144</v>
      </c>
      <c r="M162" s="18"/>
      <c r="N162" s="18"/>
      <c r="O162" s="18"/>
      <c r="P162" s="18"/>
      <c r="Q162" s="18"/>
    </row>
    <row r="163" spans="1:17" ht="45" x14ac:dyDescent="0.25">
      <c r="A163" s="12" t="s">
        <v>7169</v>
      </c>
      <c r="B163" s="12" t="s">
        <v>7170</v>
      </c>
      <c r="C163" s="12" t="s">
        <v>7194</v>
      </c>
      <c r="D163" s="12" t="s">
        <v>7172</v>
      </c>
      <c r="E163" s="12" t="s">
        <v>2473</v>
      </c>
      <c r="F163" s="12" t="s">
        <v>2474</v>
      </c>
      <c r="G163" s="12" t="s">
        <v>6364</v>
      </c>
      <c r="H163" s="12"/>
      <c r="I163" s="12"/>
      <c r="J163" s="12"/>
      <c r="K163" s="12"/>
      <c r="L163" s="12"/>
      <c r="M163" s="12" t="s">
        <v>2475</v>
      </c>
      <c r="N163" s="12"/>
      <c r="O163" s="12" t="s">
        <v>2476</v>
      </c>
      <c r="P163" s="12" t="str">
        <f>HYPERLINK("https://ceds.ed.gov/cedselementdetails.aspx?termid=10578")</f>
        <v>https://ceds.ed.gov/cedselementdetails.aspx?termid=10578</v>
      </c>
      <c r="Q163" s="12" t="str">
        <f>HYPERLINK("https://ceds.ed.gov/elementComment.aspx?elementName=Early Learning Application Required Document &amp;elementID=10578", "Click here to submit comment")</f>
        <v>Click here to submit comment</v>
      </c>
    </row>
    <row r="164" spans="1:17" ht="30" x14ac:dyDescent="0.25">
      <c r="A164" s="12" t="s">
        <v>7169</v>
      </c>
      <c r="B164" s="12" t="s">
        <v>7170</v>
      </c>
      <c r="C164" s="12" t="s">
        <v>7194</v>
      </c>
      <c r="D164" s="12" t="s">
        <v>7172</v>
      </c>
      <c r="E164" s="12" t="s">
        <v>2519</v>
      </c>
      <c r="F164" s="12" t="s">
        <v>2520</v>
      </c>
      <c r="G164" s="12" t="s">
        <v>12</v>
      </c>
      <c r="H164" s="12"/>
      <c r="I164" s="12"/>
      <c r="J164" s="12" t="s">
        <v>794</v>
      </c>
      <c r="K164" s="12"/>
      <c r="L164" s="12"/>
      <c r="M164" s="12" t="s">
        <v>2521</v>
      </c>
      <c r="N164" s="12"/>
      <c r="O164" s="12" t="s">
        <v>2522</v>
      </c>
      <c r="P164" s="12" t="str">
        <f>HYPERLINK("https://ceds.ed.gov/cedselementdetails.aspx?termid=10579")</f>
        <v>https://ceds.ed.gov/cedselementdetails.aspx?termid=10579</v>
      </c>
      <c r="Q164" s="12" t="str">
        <f>HYPERLINK("https://ceds.ed.gov/elementComment.aspx?elementName=Early Learning Enrollment Application Verification Reason Type &amp;elementID=10579", "Click here to submit comment")</f>
        <v>Click here to submit comment</v>
      </c>
    </row>
    <row r="165" spans="1:17" ht="30" x14ac:dyDescent="0.25">
      <c r="A165" s="12" t="s">
        <v>7169</v>
      </c>
      <c r="B165" s="12" t="s">
        <v>7170</v>
      </c>
      <c r="C165" s="12" t="s">
        <v>7194</v>
      </c>
      <c r="D165" s="12" t="s">
        <v>7172</v>
      </c>
      <c r="E165" s="12" t="s">
        <v>5737</v>
      </c>
      <c r="F165" s="12" t="s">
        <v>5738</v>
      </c>
      <c r="G165" s="12" t="s">
        <v>12</v>
      </c>
      <c r="H165" s="12"/>
      <c r="I165" s="12"/>
      <c r="J165" s="12" t="s">
        <v>68</v>
      </c>
      <c r="K165" s="12"/>
      <c r="L165" s="12"/>
      <c r="M165" s="12" t="s">
        <v>5739</v>
      </c>
      <c r="N165" s="12"/>
      <c r="O165" s="12" t="s">
        <v>5740</v>
      </c>
      <c r="P165" s="12" t="str">
        <f>HYPERLINK("https://ceds.ed.gov/cedselementdetails.aspx?termid=10608")</f>
        <v>https://ceds.ed.gov/cedselementdetails.aspx?termid=10608</v>
      </c>
      <c r="Q165" s="12" t="str">
        <f>HYPERLINK("https://ceds.ed.gov/elementComment.aspx?elementName=Site Preference Rank &amp;elementID=10608", "Click here to submit comment")</f>
        <v>Click here to submit comment</v>
      </c>
    </row>
    <row r="166" spans="1:17" ht="30" x14ac:dyDescent="0.25">
      <c r="A166" s="12" t="s">
        <v>7169</v>
      </c>
      <c r="B166" s="12" t="s">
        <v>7170</v>
      </c>
      <c r="C166" s="12" t="s">
        <v>7195</v>
      </c>
      <c r="D166" s="12" t="s">
        <v>7172</v>
      </c>
      <c r="E166" s="12" t="s">
        <v>5659</v>
      </c>
      <c r="F166" s="12" t="s">
        <v>5660</v>
      </c>
      <c r="G166" s="12" t="s">
        <v>12</v>
      </c>
      <c r="H166" s="12"/>
      <c r="I166" s="12"/>
      <c r="J166" s="12" t="s">
        <v>68</v>
      </c>
      <c r="K166" s="12"/>
      <c r="L166" s="12"/>
      <c r="M166" s="12" t="s">
        <v>5661</v>
      </c>
      <c r="N166" s="12"/>
      <c r="O166" s="12" t="s">
        <v>5662</v>
      </c>
      <c r="P166" s="12" t="str">
        <f>HYPERLINK("https://ceds.ed.gov/cedselementdetails.aspx?termid=10603")</f>
        <v>https://ceds.ed.gov/cedselementdetails.aspx?termid=10603</v>
      </c>
      <c r="Q166" s="12" t="str">
        <f>HYPERLINK("https://ceds.ed.gov/elementComment.aspx?elementName=Service Partner Description &amp;elementID=10603", "Click here to submit comment")</f>
        <v>Click here to submit comment</v>
      </c>
    </row>
    <row r="167" spans="1:17" ht="75" x14ac:dyDescent="0.25">
      <c r="A167" s="12" t="s">
        <v>7169</v>
      </c>
      <c r="B167" s="12" t="s">
        <v>7170</v>
      </c>
      <c r="C167" s="12" t="s">
        <v>7195</v>
      </c>
      <c r="D167" s="12" t="s">
        <v>7172</v>
      </c>
      <c r="E167" s="12" t="s">
        <v>5663</v>
      </c>
      <c r="F167" s="12" t="s">
        <v>5664</v>
      </c>
      <c r="G167" s="12" t="s">
        <v>12</v>
      </c>
      <c r="H167" s="12"/>
      <c r="I167" s="12"/>
      <c r="J167" s="12" t="s">
        <v>794</v>
      </c>
      <c r="K167" s="12"/>
      <c r="L167" s="12"/>
      <c r="M167" s="12" t="s">
        <v>5665</v>
      </c>
      <c r="N167" s="12"/>
      <c r="O167" s="12" t="s">
        <v>5666</v>
      </c>
      <c r="P167" s="12" t="str">
        <f>HYPERLINK("https://ceds.ed.gov/cedselementdetails.aspx?termid=10606")</f>
        <v>https://ceds.ed.gov/cedselementdetails.aspx?termid=10606</v>
      </c>
      <c r="Q167" s="12" t="str">
        <f>HYPERLINK("https://ceds.ed.gov/elementComment.aspx?elementName=Service Partner Name &amp;elementID=10606", "Click here to submit comment")</f>
        <v>Click here to submit comment</v>
      </c>
    </row>
    <row r="168" spans="1:17" ht="120" x14ac:dyDescent="0.25">
      <c r="A168" s="12" t="s">
        <v>7169</v>
      </c>
      <c r="B168" s="12" t="s">
        <v>7170</v>
      </c>
      <c r="C168" s="12" t="s">
        <v>7196</v>
      </c>
      <c r="D168" s="12" t="s">
        <v>7172</v>
      </c>
      <c r="E168" s="12" t="s">
        <v>3444</v>
      </c>
      <c r="F168" s="12" t="s">
        <v>3445</v>
      </c>
      <c r="G168" s="13" t="s">
        <v>6969</v>
      </c>
      <c r="H168" s="12"/>
      <c r="I168" s="12"/>
      <c r="J168" s="12"/>
      <c r="K168" s="12"/>
      <c r="L168" s="12"/>
      <c r="M168" s="12" t="s">
        <v>3446</v>
      </c>
      <c r="N168" s="12"/>
      <c r="O168" s="12" t="s">
        <v>3447</v>
      </c>
      <c r="P168" s="12" t="str">
        <f>HYPERLINK("https://ceds.ed.gov/cedselementdetails.aspx?termid=10196")</f>
        <v>https://ceds.ed.gov/cedselementdetails.aspx?termid=10196</v>
      </c>
      <c r="Q168" s="12" t="str">
        <f>HYPERLINK("https://ceds.ed.gov/elementComment.aspx?elementName=Individualized Program Date Type &amp;elementID=10196", "Click here to submit comment")</f>
        <v>Click here to submit comment</v>
      </c>
    </row>
    <row r="169" spans="1:17" ht="45" x14ac:dyDescent="0.25">
      <c r="A169" s="12" t="s">
        <v>7169</v>
      </c>
      <c r="B169" s="12" t="s">
        <v>7170</v>
      </c>
      <c r="C169" s="12" t="s">
        <v>7196</v>
      </c>
      <c r="D169" s="12" t="s">
        <v>7172</v>
      </c>
      <c r="E169" s="12" t="s">
        <v>3440</v>
      </c>
      <c r="F169" s="12" t="s">
        <v>3441</v>
      </c>
      <c r="G169" s="12" t="s">
        <v>12</v>
      </c>
      <c r="H169" s="12"/>
      <c r="I169" s="12"/>
      <c r="J169" s="12" t="s">
        <v>73</v>
      </c>
      <c r="K169" s="12"/>
      <c r="L169" s="12"/>
      <c r="M169" s="12" t="s">
        <v>3442</v>
      </c>
      <c r="N169" s="12"/>
      <c r="O169" s="12" t="s">
        <v>3443</v>
      </c>
      <c r="P169" s="12" t="str">
        <f>HYPERLINK("https://ceds.ed.gov/cedselementdetails.aspx?termid=10197")</f>
        <v>https://ceds.ed.gov/cedselementdetails.aspx?termid=10197</v>
      </c>
      <c r="Q169" s="12" t="str">
        <f>HYPERLINK("https://ceds.ed.gov/elementComment.aspx?elementName=Individualized Program Date &amp;elementID=10197", "Click here to submit comment")</f>
        <v>Click here to submit comment</v>
      </c>
    </row>
    <row r="170" spans="1:17" ht="60" x14ac:dyDescent="0.25">
      <c r="A170" s="12" t="s">
        <v>7169</v>
      </c>
      <c r="B170" s="12" t="s">
        <v>7170</v>
      </c>
      <c r="C170" s="12" t="s">
        <v>7196</v>
      </c>
      <c r="D170" s="12" t="s">
        <v>7172</v>
      </c>
      <c r="E170" s="12" t="s">
        <v>3452</v>
      </c>
      <c r="F170" s="12" t="s">
        <v>3453</v>
      </c>
      <c r="G170" s="12" t="s">
        <v>12</v>
      </c>
      <c r="H170" s="12"/>
      <c r="I170" s="12"/>
      <c r="J170" s="12" t="s">
        <v>620</v>
      </c>
      <c r="K170" s="12"/>
      <c r="L170" s="12"/>
      <c r="M170" s="12" t="s">
        <v>3454</v>
      </c>
      <c r="N170" s="12"/>
      <c r="O170" s="12" t="s">
        <v>3455</v>
      </c>
      <c r="P170" s="12" t="str">
        <f>HYPERLINK("https://ceds.ed.gov/cedselementdetails.aspx?termid=10198")</f>
        <v>https://ceds.ed.gov/cedselementdetails.aspx?termid=10198</v>
      </c>
      <c r="Q170" s="12" t="str">
        <f>HYPERLINK("https://ceds.ed.gov/elementComment.aspx?elementName=Individualized Program NonInclusion Minutes Per Week &amp;elementID=10198", "Click here to submit comment")</f>
        <v>Click here to submit comment</v>
      </c>
    </row>
    <row r="171" spans="1:17" ht="60" x14ac:dyDescent="0.25">
      <c r="A171" s="12" t="s">
        <v>7169</v>
      </c>
      <c r="B171" s="12" t="s">
        <v>7170</v>
      </c>
      <c r="C171" s="12" t="s">
        <v>7196</v>
      </c>
      <c r="D171" s="12" t="s">
        <v>7172</v>
      </c>
      <c r="E171" s="12" t="s">
        <v>3448</v>
      </c>
      <c r="F171" s="12" t="s">
        <v>3449</v>
      </c>
      <c r="G171" s="12" t="s">
        <v>12</v>
      </c>
      <c r="H171" s="12"/>
      <c r="I171" s="12"/>
      <c r="J171" s="12" t="s">
        <v>620</v>
      </c>
      <c r="K171" s="12"/>
      <c r="L171" s="12"/>
      <c r="M171" s="12" t="s">
        <v>3450</v>
      </c>
      <c r="N171" s="12"/>
      <c r="O171" s="12" t="s">
        <v>3451</v>
      </c>
      <c r="P171" s="12" t="str">
        <f>HYPERLINK("https://ceds.ed.gov/cedselementdetails.aspx?termid=10199")</f>
        <v>https://ceds.ed.gov/cedselementdetails.aspx?termid=10199</v>
      </c>
      <c r="Q171" s="12" t="str">
        <f>HYPERLINK("https://ceds.ed.gov/elementComment.aspx?elementName=Individualized Program Inclusion Minutes Per Week &amp;elementID=10199", "Click here to submit comment")</f>
        <v>Click here to submit comment</v>
      </c>
    </row>
    <row r="172" spans="1:17" ht="75" x14ac:dyDescent="0.25">
      <c r="A172" s="12" t="s">
        <v>7169</v>
      </c>
      <c r="B172" s="12" t="s">
        <v>7170</v>
      </c>
      <c r="C172" s="12" t="s">
        <v>7196</v>
      </c>
      <c r="D172" s="12" t="s">
        <v>7172</v>
      </c>
      <c r="E172" s="12" t="s">
        <v>3497</v>
      </c>
      <c r="F172" s="12" t="s">
        <v>3498</v>
      </c>
      <c r="G172" s="13" t="s">
        <v>6973</v>
      </c>
      <c r="H172" s="12"/>
      <c r="I172" s="12"/>
      <c r="J172" s="12"/>
      <c r="K172" s="12"/>
      <c r="L172" s="12"/>
      <c r="M172" s="12" t="s">
        <v>3499</v>
      </c>
      <c r="N172" s="12"/>
      <c r="O172" s="12" t="s">
        <v>3500</v>
      </c>
      <c r="P172" s="12" t="str">
        <f>HYPERLINK("https://ceds.ed.gov/cedselementdetails.aspx?termid=10200")</f>
        <v>https://ceds.ed.gov/cedselementdetails.aspx?termid=10200</v>
      </c>
      <c r="Q172" s="12" t="str">
        <f>HYPERLINK("https://ceds.ed.gov/elementComment.aspx?elementName=Individualized Program Transition Plan Type &amp;elementID=10200", "Click here to submit comment")</f>
        <v>Click here to submit comment</v>
      </c>
    </row>
    <row r="173" spans="1:17" ht="285" x14ac:dyDescent="0.25">
      <c r="A173" s="12" t="s">
        <v>7169</v>
      </c>
      <c r="B173" s="12" t="s">
        <v>7170</v>
      </c>
      <c r="C173" s="12" t="s">
        <v>7196</v>
      </c>
      <c r="D173" s="12" t="s">
        <v>7172</v>
      </c>
      <c r="E173" s="12" t="s">
        <v>3501</v>
      </c>
      <c r="F173" s="12" t="s">
        <v>3502</v>
      </c>
      <c r="G173" s="13" t="s">
        <v>6974</v>
      </c>
      <c r="H173" s="12" t="s">
        <v>6393</v>
      </c>
      <c r="I173" s="12"/>
      <c r="J173" s="12"/>
      <c r="K173" s="12"/>
      <c r="L173" s="12"/>
      <c r="M173" s="12" t="s">
        <v>3503</v>
      </c>
      <c r="N173" s="12"/>
      <c r="O173" s="12" t="s">
        <v>3504</v>
      </c>
      <c r="P173" s="12" t="str">
        <f>HYPERLINK("https://ceds.ed.gov/cedselementdetails.aspx?termid=9320")</f>
        <v>https://ceds.ed.gov/cedselementdetails.aspx?termid=9320</v>
      </c>
      <c r="Q173" s="12" t="str">
        <f>HYPERLINK("https://ceds.ed.gov/elementComment.aspx?elementName=Individualized Program Type &amp;elementID=9320", "Click here to submit comment")</f>
        <v>Click here to submit comment</v>
      </c>
    </row>
    <row r="174" spans="1:17" ht="45" x14ac:dyDescent="0.25">
      <c r="A174" s="12" t="s">
        <v>7169</v>
      </c>
      <c r="B174" s="12" t="s">
        <v>7170</v>
      </c>
      <c r="C174" s="12" t="s">
        <v>7196</v>
      </c>
      <c r="D174" s="12" t="s">
        <v>7172</v>
      </c>
      <c r="E174" s="12" t="s">
        <v>3473</v>
      </c>
      <c r="F174" s="12" t="s">
        <v>3474</v>
      </c>
      <c r="G174" s="12" t="s">
        <v>12</v>
      </c>
      <c r="H174" s="12"/>
      <c r="I174" s="12"/>
      <c r="J174" s="12" t="s">
        <v>73</v>
      </c>
      <c r="K174" s="12"/>
      <c r="L174" s="12"/>
      <c r="M174" s="12" t="s">
        <v>3475</v>
      </c>
      <c r="N174" s="12"/>
      <c r="O174" s="12" t="s">
        <v>3476</v>
      </c>
      <c r="P174" s="12" t="str">
        <f>HYPERLINK("https://ceds.ed.gov/cedselementdetails.aspx?termid=10201")</f>
        <v>https://ceds.ed.gov/cedselementdetails.aspx?termid=10201</v>
      </c>
      <c r="Q174" s="12" t="str">
        <f>HYPERLINK("https://ceds.ed.gov/elementComment.aspx?elementName=Individualized Program Service Plan Date &amp;elementID=10201", "Click here to submit comment")</f>
        <v>Click here to submit comment</v>
      </c>
    </row>
    <row r="175" spans="1:17" ht="255" x14ac:dyDescent="0.25">
      <c r="A175" s="12" t="s">
        <v>7169</v>
      </c>
      <c r="B175" s="12" t="s">
        <v>7170</v>
      </c>
      <c r="C175" s="12" t="s">
        <v>7196</v>
      </c>
      <c r="D175" s="12" t="s">
        <v>7172</v>
      </c>
      <c r="E175" s="12" t="s">
        <v>3477</v>
      </c>
      <c r="F175" s="12" t="s">
        <v>3478</v>
      </c>
      <c r="G175" s="13" t="s">
        <v>6972</v>
      </c>
      <c r="H175" s="12"/>
      <c r="I175" s="12"/>
      <c r="J175" s="12"/>
      <c r="K175" s="12"/>
      <c r="L175" s="12"/>
      <c r="M175" s="12" t="s">
        <v>3479</v>
      </c>
      <c r="N175" s="12"/>
      <c r="O175" s="12" t="s">
        <v>3480</v>
      </c>
      <c r="P175" s="12" t="str">
        <f>HYPERLINK("https://ceds.ed.gov/cedselementdetails.aspx?termid=10202")</f>
        <v>https://ceds.ed.gov/cedselementdetails.aspx?termid=10202</v>
      </c>
      <c r="Q175" s="12" t="str">
        <f>HYPERLINK("https://ceds.ed.gov/elementComment.aspx?elementName=Individualized Program Service Plan Meeting Location &amp;elementID=10202", "Click here to submit comment")</f>
        <v>Click here to submit comment</v>
      </c>
    </row>
    <row r="176" spans="1:17" ht="30" x14ac:dyDescent="0.25">
      <c r="A176" s="12" t="s">
        <v>7169</v>
      </c>
      <c r="B176" s="12" t="s">
        <v>7170</v>
      </c>
      <c r="C176" s="12" t="s">
        <v>7196</v>
      </c>
      <c r="D176" s="12" t="s">
        <v>7172</v>
      </c>
      <c r="E176" s="12" t="s">
        <v>3481</v>
      </c>
      <c r="F176" s="12" t="s">
        <v>3482</v>
      </c>
      <c r="G176" s="12" t="s">
        <v>12</v>
      </c>
      <c r="H176" s="12"/>
      <c r="I176" s="12"/>
      <c r="J176" s="12" t="s">
        <v>327</v>
      </c>
      <c r="K176" s="12"/>
      <c r="L176" s="12"/>
      <c r="M176" s="12" t="s">
        <v>3483</v>
      </c>
      <c r="N176" s="12"/>
      <c r="O176" s="12" t="s">
        <v>3484</v>
      </c>
      <c r="P176" s="12" t="str">
        <f>HYPERLINK("https://ceds.ed.gov/cedselementdetails.aspx?termid=10203")</f>
        <v>https://ceds.ed.gov/cedselementdetails.aspx?termid=10203</v>
      </c>
      <c r="Q176" s="12" t="str">
        <f>HYPERLINK("https://ceds.ed.gov/elementComment.aspx?elementName=Individualized Program Service Plan Meeting Participants &amp;elementID=10203", "Click here to submit comment")</f>
        <v>Click here to submit comment</v>
      </c>
    </row>
    <row r="177" spans="1:17" ht="30" x14ac:dyDescent="0.25">
      <c r="A177" s="12" t="s">
        <v>7169</v>
      </c>
      <c r="B177" s="12" t="s">
        <v>7170</v>
      </c>
      <c r="C177" s="12" t="s">
        <v>7196</v>
      </c>
      <c r="D177" s="12" t="s">
        <v>7172</v>
      </c>
      <c r="E177" s="12" t="s">
        <v>3493</v>
      </c>
      <c r="F177" s="12" t="s">
        <v>3494</v>
      </c>
      <c r="G177" s="12" t="s">
        <v>12</v>
      </c>
      <c r="H177" s="12"/>
      <c r="I177" s="12"/>
      <c r="J177" s="12" t="s">
        <v>327</v>
      </c>
      <c r="K177" s="12"/>
      <c r="L177" s="12"/>
      <c r="M177" s="12" t="s">
        <v>3495</v>
      </c>
      <c r="N177" s="12"/>
      <c r="O177" s="12" t="s">
        <v>3496</v>
      </c>
      <c r="P177" s="12" t="str">
        <f>HYPERLINK("https://ceds.ed.gov/cedselementdetails.aspx?termid=10204")</f>
        <v>https://ceds.ed.gov/cedselementdetails.aspx?termid=10204</v>
      </c>
      <c r="Q177" s="12" t="str">
        <f>HYPERLINK("https://ceds.ed.gov/elementComment.aspx?elementName=Individualized Program Service Plan Signed By &amp;elementID=10204", "Click here to submit comment")</f>
        <v>Click here to submit comment</v>
      </c>
    </row>
    <row r="178" spans="1:17" ht="30" x14ac:dyDescent="0.25">
      <c r="A178" s="12" t="s">
        <v>7169</v>
      </c>
      <c r="B178" s="12" t="s">
        <v>7170</v>
      </c>
      <c r="C178" s="12" t="s">
        <v>7196</v>
      </c>
      <c r="D178" s="12" t="s">
        <v>7172</v>
      </c>
      <c r="E178" s="12" t="s">
        <v>3489</v>
      </c>
      <c r="F178" s="12" t="s">
        <v>3490</v>
      </c>
      <c r="G178" s="12" t="s">
        <v>12</v>
      </c>
      <c r="H178" s="12"/>
      <c r="I178" s="12"/>
      <c r="J178" s="12" t="s">
        <v>73</v>
      </c>
      <c r="K178" s="12"/>
      <c r="L178" s="12"/>
      <c r="M178" s="12" t="s">
        <v>3491</v>
      </c>
      <c r="N178" s="12"/>
      <c r="O178" s="12" t="s">
        <v>3492</v>
      </c>
      <c r="P178" s="12" t="str">
        <f>HYPERLINK("https://ceds.ed.gov/cedselementdetails.aspx?termid=10205")</f>
        <v>https://ceds.ed.gov/cedselementdetails.aspx?termid=10205</v>
      </c>
      <c r="Q178" s="12" t="str">
        <f>HYPERLINK("https://ceds.ed.gov/elementComment.aspx?elementName=Individualized Program Service Plan Signature Date &amp;elementID=10205", "Click here to submit comment")</f>
        <v>Click here to submit comment</v>
      </c>
    </row>
    <row r="179" spans="1:17" ht="45" x14ac:dyDescent="0.25">
      <c r="A179" s="12" t="s">
        <v>7169</v>
      </c>
      <c r="B179" s="12" t="s">
        <v>7170</v>
      </c>
      <c r="C179" s="12" t="s">
        <v>7196</v>
      </c>
      <c r="D179" s="12" t="s">
        <v>7172</v>
      </c>
      <c r="E179" s="12" t="s">
        <v>3485</v>
      </c>
      <c r="F179" s="12" t="s">
        <v>3486</v>
      </c>
      <c r="G179" s="12" t="s">
        <v>12</v>
      </c>
      <c r="H179" s="12"/>
      <c r="I179" s="12"/>
      <c r="J179" s="12" t="s">
        <v>73</v>
      </c>
      <c r="K179" s="12"/>
      <c r="L179" s="12"/>
      <c r="M179" s="12" t="s">
        <v>3487</v>
      </c>
      <c r="N179" s="12"/>
      <c r="O179" s="12" t="s">
        <v>3488</v>
      </c>
      <c r="P179" s="12" t="str">
        <f>HYPERLINK("https://ceds.ed.gov/cedselementdetails.aspx?termid=10207")</f>
        <v>https://ceds.ed.gov/cedselementdetails.aspx?termid=10207</v>
      </c>
      <c r="Q179" s="12" t="str">
        <f>HYPERLINK("https://ceds.ed.gov/elementComment.aspx?elementName=Individualized Program Service Plan Reevaluation Date &amp;elementID=10207", "Click here to submit comment")</f>
        <v>Click here to submit comment</v>
      </c>
    </row>
    <row r="180" spans="1:17" ht="60" x14ac:dyDescent="0.25">
      <c r="A180" s="12" t="s">
        <v>7169</v>
      </c>
      <c r="B180" s="12" t="s">
        <v>7170</v>
      </c>
      <c r="C180" s="12" t="s">
        <v>7196</v>
      </c>
      <c r="D180" s="12" t="s">
        <v>7172</v>
      </c>
      <c r="E180" s="12" t="s">
        <v>3276</v>
      </c>
      <c r="F180" s="12" t="s">
        <v>3277</v>
      </c>
      <c r="G180" s="13" t="s">
        <v>6954</v>
      </c>
      <c r="H180" s="12"/>
      <c r="I180" s="12"/>
      <c r="J180" s="12"/>
      <c r="K180" s="12"/>
      <c r="L180" s="12"/>
      <c r="M180" s="12" t="s">
        <v>3279</v>
      </c>
      <c r="N180" s="12"/>
      <c r="O180" s="12" t="s">
        <v>3280</v>
      </c>
      <c r="P180" s="12" t="str">
        <f>HYPERLINK("https://ceds.ed.gov/cedselementdetails.aspx?termid=10473")</f>
        <v>https://ceds.ed.gov/cedselementdetails.aspx?termid=10473</v>
      </c>
      <c r="Q180" s="12" t="str">
        <f>HYPERLINK("https://ceds.ed.gov/elementComment.aspx?elementName=IDEA IEP Status &amp;elementID=10473", "Click here to submit comment")</f>
        <v>Click here to submit comment</v>
      </c>
    </row>
    <row r="181" spans="1:17" ht="90" x14ac:dyDescent="0.25">
      <c r="A181" s="12" t="s">
        <v>7169</v>
      </c>
      <c r="B181" s="12" t="s">
        <v>7170</v>
      </c>
      <c r="C181" s="12" t="s">
        <v>7196</v>
      </c>
      <c r="D181" s="12" t="s">
        <v>7172</v>
      </c>
      <c r="E181" s="12" t="s">
        <v>3297</v>
      </c>
      <c r="F181" s="12" t="s">
        <v>3298</v>
      </c>
      <c r="G181" s="13" t="s">
        <v>6957</v>
      </c>
      <c r="H181" s="12"/>
      <c r="I181" s="12" t="s">
        <v>1498</v>
      </c>
      <c r="J181" s="12"/>
      <c r="K181" s="12"/>
      <c r="L181" s="14" t="s">
        <v>3299</v>
      </c>
      <c r="M181" s="12" t="s">
        <v>3300</v>
      </c>
      <c r="N181" s="12"/>
      <c r="O181" s="12" t="s">
        <v>3301</v>
      </c>
      <c r="P181" s="12" t="str">
        <f>HYPERLINK("https://ceds.ed.gov/cedselementdetails.aspx?termid=10637")</f>
        <v>https://ceds.ed.gov/cedselementdetails.aspx?termid=10637</v>
      </c>
      <c r="Q181" s="12" t="str">
        <f>HYPERLINK("https://ceds.ed.gov/elementComment.aspx?elementName=IDEA Part C Eligibility Category &amp;elementID=10637", "Click here to submit comment")</f>
        <v>Click here to submit comment</v>
      </c>
    </row>
    <row r="182" spans="1:17" ht="45" x14ac:dyDescent="0.25">
      <c r="A182" s="12" t="s">
        <v>7169</v>
      </c>
      <c r="B182" s="12" t="s">
        <v>7170</v>
      </c>
      <c r="C182" s="12" t="s">
        <v>7196</v>
      </c>
      <c r="D182" s="12" t="s">
        <v>7172</v>
      </c>
      <c r="E182" s="12" t="s">
        <v>1675</v>
      </c>
      <c r="F182" s="12" t="s">
        <v>1676</v>
      </c>
      <c r="G182" s="12" t="s">
        <v>12</v>
      </c>
      <c r="H182" s="12"/>
      <c r="I182" s="12"/>
      <c r="J182" s="12" t="s">
        <v>73</v>
      </c>
      <c r="K182" s="12"/>
      <c r="L182" s="12"/>
      <c r="M182" s="12" t="s">
        <v>1677</v>
      </c>
      <c r="N182" s="12"/>
      <c r="O182" s="12" t="s">
        <v>1678</v>
      </c>
      <c r="P182" s="12" t="str">
        <f>HYPERLINK("https://ceds.ed.gov/cedselementdetails.aspx?termid=10255")</f>
        <v>https://ceds.ed.gov/cedselementdetails.aspx?termid=10255</v>
      </c>
      <c r="Q182" s="12" t="str">
        <f>HYPERLINK("https://ceds.ed.gov/elementComment.aspx?elementName=Career Education Plan Date &amp;elementID=10255", "Click here to submit comment")</f>
        <v>Click here to submit comment</v>
      </c>
    </row>
    <row r="183" spans="1:17" ht="75" x14ac:dyDescent="0.25">
      <c r="A183" s="12" t="s">
        <v>7169</v>
      </c>
      <c r="B183" s="12" t="s">
        <v>7170</v>
      </c>
      <c r="C183" s="12" t="s">
        <v>7196</v>
      </c>
      <c r="D183" s="12" t="s">
        <v>7172</v>
      </c>
      <c r="E183" s="12" t="s">
        <v>1679</v>
      </c>
      <c r="F183" s="12" t="s">
        <v>1680</v>
      </c>
      <c r="G183" s="13" t="s">
        <v>6808</v>
      </c>
      <c r="H183" s="12"/>
      <c r="I183" s="12"/>
      <c r="J183" s="12"/>
      <c r="K183" s="12"/>
      <c r="L183" s="12"/>
      <c r="M183" s="12" t="s">
        <v>1681</v>
      </c>
      <c r="N183" s="12"/>
      <c r="O183" s="12" t="s">
        <v>1682</v>
      </c>
      <c r="P183" s="12" t="str">
        <f>HYPERLINK("https://ceds.ed.gov/cedselementdetails.aspx?termid=10256")</f>
        <v>https://ceds.ed.gov/cedselementdetails.aspx?termid=10256</v>
      </c>
      <c r="Q183" s="12" t="str">
        <f>HYPERLINK("https://ceds.ed.gov/elementComment.aspx?elementName=Career Education Plan Type &amp;elementID=10256", "Click here to submit comment")</f>
        <v>Click here to submit comment</v>
      </c>
    </row>
    <row r="184" spans="1:17" ht="45" x14ac:dyDescent="0.25">
      <c r="A184" s="12" t="s">
        <v>7169</v>
      </c>
      <c r="B184" s="12" t="s">
        <v>7170</v>
      </c>
      <c r="C184" s="12" t="s">
        <v>7196</v>
      </c>
      <c r="D184" s="12" t="s">
        <v>7172</v>
      </c>
      <c r="E184" s="12" t="s">
        <v>4397</v>
      </c>
      <c r="F184" s="12" t="s">
        <v>4398</v>
      </c>
      <c r="G184" s="13" t="s">
        <v>7027</v>
      </c>
      <c r="H184" s="12"/>
      <c r="I184" s="12"/>
      <c r="J184" s="12" t="s">
        <v>99</v>
      </c>
      <c r="K184" s="12"/>
      <c r="L184" s="12"/>
      <c r="M184" s="12" t="s">
        <v>4399</v>
      </c>
      <c r="N184" s="12"/>
      <c r="O184" s="12" t="s">
        <v>4400</v>
      </c>
      <c r="P184" s="12" t="str">
        <f>HYPERLINK("https://ceds.ed.gov/cedselementdetails.aspx?termid=10482")</f>
        <v>https://ceds.ed.gov/cedselementdetails.aspx?termid=10482</v>
      </c>
      <c r="Q184" s="12" t="str">
        <f>HYPERLINK("https://ceds.ed.gov/elementComment.aspx?elementName=Method of Service Delivery &amp;elementID=10482", "Click here to submit comment")</f>
        <v>Click here to submit comment</v>
      </c>
    </row>
    <row r="185" spans="1:17" ht="45" x14ac:dyDescent="0.25">
      <c r="A185" s="12" t="s">
        <v>7169</v>
      </c>
      <c r="B185" s="12" t="s">
        <v>7170</v>
      </c>
      <c r="C185" s="12" t="s">
        <v>7197</v>
      </c>
      <c r="D185" s="12" t="s">
        <v>7172</v>
      </c>
      <c r="E185" s="12" t="s">
        <v>3793</v>
      </c>
      <c r="F185" s="12" t="s">
        <v>3794</v>
      </c>
      <c r="G185" s="12" t="s">
        <v>12</v>
      </c>
      <c r="H185" s="12"/>
      <c r="I185" s="12"/>
      <c r="J185" s="12" t="s">
        <v>68</v>
      </c>
      <c r="K185" s="12"/>
      <c r="L185" s="12"/>
      <c r="M185" s="12" t="s">
        <v>3795</v>
      </c>
      <c r="N185" s="12"/>
      <c r="O185" s="12" t="s">
        <v>3796</v>
      </c>
      <c r="P185" s="12" t="str">
        <f>HYPERLINK("https://ceds.ed.gov/cedselementdetails.aspx?termid=9903")</f>
        <v>https://ceds.ed.gov/cedselementdetails.aspx?termid=9903</v>
      </c>
      <c r="Q185" s="12" t="str">
        <f>HYPERLINK("https://ceds.ed.gov/elementComment.aspx?elementName=Learning Goal Description &amp;elementID=9903", "Click here to submit comment")</f>
        <v>Click here to submit comment</v>
      </c>
    </row>
    <row r="186" spans="1:17" ht="30" x14ac:dyDescent="0.25">
      <c r="A186" s="12" t="s">
        <v>7169</v>
      </c>
      <c r="B186" s="12" t="s">
        <v>7170</v>
      </c>
      <c r="C186" s="12" t="s">
        <v>7197</v>
      </c>
      <c r="D186" s="12" t="s">
        <v>7172</v>
      </c>
      <c r="E186" s="12" t="s">
        <v>3802</v>
      </c>
      <c r="F186" s="12" t="s">
        <v>3803</v>
      </c>
      <c r="G186" s="12" t="s">
        <v>12</v>
      </c>
      <c r="H186" s="12"/>
      <c r="I186" s="12"/>
      <c r="J186" s="12" t="s">
        <v>73</v>
      </c>
      <c r="K186" s="12"/>
      <c r="L186" s="12"/>
      <c r="M186" s="12" t="s">
        <v>3804</v>
      </c>
      <c r="N186" s="12"/>
      <c r="O186" s="12" t="s">
        <v>3805</v>
      </c>
      <c r="P186" s="12" t="str">
        <f>HYPERLINK("https://ceds.ed.gov/cedselementdetails.aspx?termid=10169")</f>
        <v>https://ceds.ed.gov/cedselementdetails.aspx?termid=10169</v>
      </c>
      <c r="Q186" s="12" t="str">
        <f>HYPERLINK("https://ceds.ed.gov/elementComment.aspx?elementName=Learning Goal Start Date &amp;elementID=10169", "Click here to submit comment")</f>
        <v>Click here to submit comment</v>
      </c>
    </row>
    <row r="187" spans="1:17" ht="135" x14ac:dyDescent="0.25">
      <c r="A187" s="12" t="s">
        <v>7169</v>
      </c>
      <c r="B187" s="12" t="s">
        <v>7170</v>
      </c>
      <c r="C187" s="12" t="s">
        <v>7197</v>
      </c>
      <c r="D187" s="12" t="s">
        <v>7172</v>
      </c>
      <c r="E187" s="12" t="s">
        <v>3806</v>
      </c>
      <c r="F187" s="12" t="s">
        <v>3807</v>
      </c>
      <c r="G187" s="12" t="s">
        <v>12</v>
      </c>
      <c r="H187" s="12"/>
      <c r="I187" s="12"/>
      <c r="J187" s="12" t="s">
        <v>68</v>
      </c>
      <c r="K187" s="12"/>
      <c r="L187" s="12"/>
      <c r="M187" s="12" t="s">
        <v>3808</v>
      </c>
      <c r="N187" s="12"/>
      <c r="O187" s="12" t="s">
        <v>3809</v>
      </c>
      <c r="P187" s="12" t="str">
        <f>HYPERLINK("https://ceds.ed.gov/cedselementdetails.aspx?termid=9902")</f>
        <v>https://ceds.ed.gov/cedselementdetails.aspx?termid=9902</v>
      </c>
      <c r="Q187" s="12" t="str">
        <f>HYPERLINK("https://ceds.ed.gov/elementComment.aspx?elementName=Learning Goal Success Criteria &amp;elementID=9902", "Click here to submit comment")</f>
        <v>Click here to submit comment</v>
      </c>
    </row>
    <row r="188" spans="1:17" ht="45" x14ac:dyDescent="0.25">
      <c r="A188" s="12" t="s">
        <v>7169</v>
      </c>
      <c r="B188" s="12" t="s">
        <v>7170</v>
      </c>
      <c r="C188" s="12" t="s">
        <v>7198</v>
      </c>
      <c r="D188" s="12" t="s">
        <v>7172</v>
      </c>
      <c r="E188" s="12" t="s">
        <v>2230</v>
      </c>
      <c r="F188" s="12" t="s">
        <v>2231</v>
      </c>
      <c r="G188" s="12" t="s">
        <v>12</v>
      </c>
      <c r="H188" s="12"/>
      <c r="I188" s="12"/>
      <c r="J188" s="12" t="s">
        <v>73</v>
      </c>
      <c r="K188" s="12"/>
      <c r="L188" s="12"/>
      <c r="M188" s="12" t="s">
        <v>2233</v>
      </c>
      <c r="N188" s="12"/>
      <c r="O188" s="12" t="s">
        <v>2234</v>
      </c>
      <c r="P188" s="12" t="str">
        <f>HYPERLINK("https://ceds.ed.gov/cedselementdetails.aspx?termid=10335")</f>
        <v>https://ceds.ed.gov/cedselementdetails.aspx?termid=10335</v>
      </c>
      <c r="Q188" s="12" t="str">
        <f>HYPERLINK("https://ceds.ed.gov/elementComment.aspx?elementName=Date of Transition Plan &amp;elementID=10335", "Click here to submit comment")</f>
        <v>Click here to submit comment</v>
      </c>
    </row>
    <row r="189" spans="1:17" ht="45" x14ac:dyDescent="0.25">
      <c r="A189" s="12" t="s">
        <v>7169</v>
      </c>
      <c r="B189" s="12" t="s">
        <v>7170</v>
      </c>
      <c r="C189" s="12" t="s">
        <v>7198</v>
      </c>
      <c r="D189" s="12" t="s">
        <v>7172</v>
      </c>
      <c r="E189" s="12" t="s">
        <v>3293</v>
      </c>
      <c r="F189" s="12" t="s">
        <v>3294</v>
      </c>
      <c r="G189" s="12" t="s">
        <v>6364</v>
      </c>
      <c r="H189" s="12"/>
      <c r="I189" s="12"/>
      <c r="J189" s="12"/>
      <c r="K189" s="12"/>
      <c r="L189" s="12"/>
      <c r="M189" s="12" t="s">
        <v>3295</v>
      </c>
      <c r="N189" s="12"/>
      <c r="O189" s="12" t="s">
        <v>3296</v>
      </c>
      <c r="P189" s="12" t="str">
        <f>HYPERLINK("https://ceds.ed.gov/cedselementdetails.aspx?termid=10327")</f>
        <v>https://ceds.ed.gov/cedselementdetails.aspx?termid=10327</v>
      </c>
      <c r="Q189" s="12" t="str">
        <f>HYPERLINK("https://ceds.ed.gov/elementComment.aspx?elementName=IDEA Part B 619 Potential Eligibility Indicator &amp;elementID=10327", "Click here to submit comment")</f>
        <v>Click here to submit comment</v>
      </c>
    </row>
    <row r="190" spans="1:17" ht="90" x14ac:dyDescent="0.25">
      <c r="A190" s="12" t="s">
        <v>7169</v>
      </c>
      <c r="B190" s="12" t="s">
        <v>7170</v>
      </c>
      <c r="C190" s="12" t="s">
        <v>7198</v>
      </c>
      <c r="D190" s="12" t="s">
        <v>7172</v>
      </c>
      <c r="E190" s="12" t="s">
        <v>3302</v>
      </c>
      <c r="F190" s="12" t="s">
        <v>3303</v>
      </c>
      <c r="G190" s="12" t="s">
        <v>12</v>
      </c>
      <c r="H190" s="12"/>
      <c r="I190" s="12"/>
      <c r="J190" s="12" t="s">
        <v>73</v>
      </c>
      <c r="K190" s="12"/>
      <c r="L190" s="12"/>
      <c r="M190" s="12" t="s">
        <v>3304</v>
      </c>
      <c r="N190" s="12"/>
      <c r="O190" s="12" t="s">
        <v>3305</v>
      </c>
      <c r="P190" s="12" t="str">
        <f>HYPERLINK("https://ceds.ed.gov/cedselementdetails.aspx?termid=10472")</f>
        <v>https://ceds.ed.gov/cedselementdetails.aspx?termid=10472</v>
      </c>
      <c r="Q190" s="12" t="str">
        <f>HYPERLINK("https://ceds.ed.gov/elementComment.aspx?elementName=IDEA Part C to Part B Notification Date &amp;elementID=10472", "Click here to submit comment")</f>
        <v>Click here to submit comment</v>
      </c>
    </row>
    <row r="191" spans="1:17" ht="75" x14ac:dyDescent="0.25">
      <c r="A191" s="12" t="s">
        <v>7169</v>
      </c>
      <c r="B191" s="12" t="s">
        <v>7170</v>
      </c>
      <c r="C191" s="12" t="s">
        <v>7198</v>
      </c>
      <c r="D191" s="12" t="s">
        <v>7172</v>
      </c>
      <c r="E191" s="12" t="s">
        <v>3306</v>
      </c>
      <c r="F191" s="12" t="s">
        <v>3307</v>
      </c>
      <c r="G191" s="12" t="s">
        <v>12</v>
      </c>
      <c r="H191" s="12"/>
      <c r="I191" s="12"/>
      <c r="J191" s="12" t="s">
        <v>73</v>
      </c>
      <c r="K191" s="12"/>
      <c r="L191" s="12"/>
      <c r="M191" s="12" t="s">
        <v>3308</v>
      </c>
      <c r="N191" s="12"/>
      <c r="O191" s="12" t="s">
        <v>3309</v>
      </c>
      <c r="P191" s="12" t="str">
        <f>HYPERLINK("https://ceds.ed.gov/cedselementdetails.aspx?termid=10331")</f>
        <v>https://ceds.ed.gov/cedselementdetails.aspx?termid=10331</v>
      </c>
      <c r="Q191" s="12" t="str">
        <f>HYPERLINK("https://ceds.ed.gov/elementComment.aspx?elementName=IDEA Part C to Part B Notification Opt Out Date &amp;elementID=10331", "Click here to submit comment")</f>
        <v>Click here to submit comment</v>
      </c>
    </row>
    <row r="192" spans="1:17" ht="75" x14ac:dyDescent="0.25">
      <c r="A192" s="12" t="s">
        <v>7169</v>
      </c>
      <c r="B192" s="12" t="s">
        <v>7170</v>
      </c>
      <c r="C192" s="12" t="s">
        <v>7198</v>
      </c>
      <c r="D192" s="12" t="s">
        <v>7172</v>
      </c>
      <c r="E192" s="12" t="s">
        <v>3310</v>
      </c>
      <c r="F192" s="12" t="s">
        <v>3311</v>
      </c>
      <c r="G192" s="12" t="s">
        <v>6364</v>
      </c>
      <c r="H192" s="12"/>
      <c r="I192" s="12"/>
      <c r="J192" s="12"/>
      <c r="K192" s="12"/>
      <c r="L192" s="12"/>
      <c r="M192" s="12" t="s">
        <v>3312</v>
      </c>
      <c r="N192" s="12"/>
      <c r="O192" s="12" t="s">
        <v>3313</v>
      </c>
      <c r="P192" s="12" t="str">
        <f>HYPERLINK("https://ceds.ed.gov/cedselementdetails.aspx?termid=10330")</f>
        <v>https://ceds.ed.gov/cedselementdetails.aspx?termid=10330</v>
      </c>
      <c r="Q192" s="12" t="str">
        <f>HYPERLINK("https://ceds.ed.gov/elementComment.aspx?elementName=IDEA Part C to Part B Notification Opt Out Indicator &amp;elementID=10330", "Click here to submit comment")</f>
        <v>Click here to submit comment</v>
      </c>
    </row>
    <row r="193" spans="1:17" ht="105" x14ac:dyDescent="0.25">
      <c r="A193" s="12" t="s">
        <v>7169</v>
      </c>
      <c r="B193" s="12" t="s">
        <v>7170</v>
      </c>
      <c r="C193" s="12" t="s">
        <v>7198</v>
      </c>
      <c r="D193" s="12" t="s">
        <v>7172</v>
      </c>
      <c r="E193" s="12" t="s">
        <v>5309</v>
      </c>
      <c r="F193" s="12" t="s">
        <v>5310</v>
      </c>
      <c r="G193" s="13" t="s">
        <v>7091</v>
      </c>
      <c r="H193" s="12"/>
      <c r="I193" s="12"/>
      <c r="J193" s="12"/>
      <c r="K193" s="12"/>
      <c r="L193" s="12"/>
      <c r="M193" s="12" t="s">
        <v>5311</v>
      </c>
      <c r="N193" s="12"/>
      <c r="O193" s="12" t="s">
        <v>5312</v>
      </c>
      <c r="P193" s="12" t="str">
        <f>HYPERLINK("https://ceds.ed.gov/cedselementdetails.aspx?termid=10494")</f>
        <v>https://ceds.ed.gov/cedselementdetails.aspx?termid=10494</v>
      </c>
      <c r="Q193" s="12" t="str">
        <f>HYPERLINK("https://ceds.ed.gov/elementComment.aspx?elementName=Reason for Delay of Transition Conference &amp;elementID=10494", "Click here to submit comment")</f>
        <v>Click here to submit comment</v>
      </c>
    </row>
    <row r="194" spans="1:17" ht="60" x14ac:dyDescent="0.25">
      <c r="A194" s="12" t="s">
        <v>7169</v>
      </c>
      <c r="B194" s="12" t="s">
        <v>7170</v>
      </c>
      <c r="C194" s="12" t="s">
        <v>7198</v>
      </c>
      <c r="D194" s="12" t="s">
        <v>7172</v>
      </c>
      <c r="E194" s="12" t="s">
        <v>6220</v>
      </c>
      <c r="F194" s="12" t="s">
        <v>6221</v>
      </c>
      <c r="G194" s="12" t="s">
        <v>12</v>
      </c>
      <c r="H194" s="12"/>
      <c r="I194" s="12"/>
      <c r="J194" s="12" t="s">
        <v>73</v>
      </c>
      <c r="K194" s="12"/>
      <c r="L194" s="12"/>
      <c r="M194" s="12" t="s">
        <v>6222</v>
      </c>
      <c r="N194" s="12"/>
      <c r="O194" s="12" t="s">
        <v>6223</v>
      </c>
      <c r="P194" s="12" t="str">
        <f>HYPERLINK("https://ceds.ed.gov/cedselementdetails.aspx?termid=10333")</f>
        <v>https://ceds.ed.gov/cedselementdetails.aspx?termid=10333</v>
      </c>
      <c r="Q194" s="12" t="str">
        <f>HYPERLINK("https://ceds.ed.gov/elementComment.aspx?elementName=Transition Conference Date &amp;elementID=10333", "Click here to submit comment")</f>
        <v>Click here to submit comment</v>
      </c>
    </row>
    <row r="195" spans="1:17" ht="60" x14ac:dyDescent="0.25">
      <c r="A195" s="12" t="s">
        <v>7169</v>
      </c>
      <c r="B195" s="12" t="s">
        <v>7170</v>
      </c>
      <c r="C195" s="12" t="s">
        <v>7198</v>
      </c>
      <c r="D195" s="12" t="s">
        <v>7172</v>
      </c>
      <c r="E195" s="12" t="s">
        <v>6224</v>
      </c>
      <c r="F195" s="12" t="s">
        <v>6225</v>
      </c>
      <c r="G195" s="12" t="s">
        <v>12</v>
      </c>
      <c r="H195" s="12"/>
      <c r="I195" s="12"/>
      <c r="J195" s="12" t="s">
        <v>73</v>
      </c>
      <c r="K195" s="12"/>
      <c r="L195" s="12"/>
      <c r="M195" s="12" t="s">
        <v>6226</v>
      </c>
      <c r="N195" s="12"/>
      <c r="O195" s="12" t="s">
        <v>6227</v>
      </c>
      <c r="P195" s="12" t="str">
        <f>HYPERLINK("https://ceds.ed.gov/cedselementdetails.aspx?termid=10334")</f>
        <v>https://ceds.ed.gov/cedselementdetails.aspx?termid=10334</v>
      </c>
      <c r="Q195" s="12" t="str">
        <f>HYPERLINK("https://ceds.ed.gov/elementComment.aspx?elementName=Transition Conference Decline Date &amp;elementID=10334", "Click here to submit comment")</f>
        <v>Click here to submit comment</v>
      </c>
    </row>
    <row r="196" spans="1:17" ht="45" x14ac:dyDescent="0.25">
      <c r="A196" s="12" t="s">
        <v>7169</v>
      </c>
      <c r="B196" s="12" t="s">
        <v>7170</v>
      </c>
      <c r="C196" s="12" t="s">
        <v>7199</v>
      </c>
      <c r="D196" s="12" t="s">
        <v>7172</v>
      </c>
      <c r="E196" s="12" t="s">
        <v>1768</v>
      </c>
      <c r="F196" s="12" t="s">
        <v>1769</v>
      </c>
      <c r="G196" s="12" t="s">
        <v>6364</v>
      </c>
      <c r="H196" s="12"/>
      <c r="I196" s="12"/>
      <c r="J196" s="12"/>
      <c r="K196" s="12"/>
      <c r="L196" s="12"/>
      <c r="M196" s="12" t="s">
        <v>1771</v>
      </c>
      <c r="N196" s="12" t="s">
        <v>1772</v>
      </c>
      <c r="O196" s="12" t="s">
        <v>1773</v>
      </c>
      <c r="P196" s="12" t="str">
        <f>HYPERLINK("https://ceds.ed.gov/cedselementdetails.aspx?termid=10476")</f>
        <v>https://ceds.ed.gov/cedselementdetails.aspx?termid=10476</v>
      </c>
      <c r="Q196" s="12" t="str">
        <f>HYPERLINK("https://ceds.ed.gov/elementComment.aspx?elementName=Child Outcomes Summary Progress A Indicator &amp;elementID=10476", "Click here to submit comment")</f>
        <v>Click here to submit comment</v>
      </c>
    </row>
    <row r="197" spans="1:17" ht="60" x14ac:dyDescent="0.25">
      <c r="A197" s="12" t="s">
        <v>7169</v>
      </c>
      <c r="B197" s="12" t="s">
        <v>7170</v>
      </c>
      <c r="C197" s="12" t="s">
        <v>7199</v>
      </c>
      <c r="D197" s="12" t="s">
        <v>7172</v>
      </c>
      <c r="E197" s="12" t="s">
        <v>1774</v>
      </c>
      <c r="F197" s="12" t="s">
        <v>1775</v>
      </c>
      <c r="G197" s="12" t="s">
        <v>6364</v>
      </c>
      <c r="H197" s="12"/>
      <c r="I197" s="12"/>
      <c r="J197" s="12"/>
      <c r="K197" s="12"/>
      <c r="L197" s="12"/>
      <c r="M197" s="12" t="s">
        <v>1776</v>
      </c>
      <c r="N197" s="12" t="s">
        <v>1777</v>
      </c>
      <c r="O197" s="12" t="s">
        <v>1778</v>
      </c>
      <c r="P197" s="12" t="str">
        <f>HYPERLINK("https://ceds.ed.gov/cedselementdetails.aspx?termid=10477")</f>
        <v>https://ceds.ed.gov/cedselementdetails.aspx?termid=10477</v>
      </c>
      <c r="Q197" s="12" t="str">
        <f>HYPERLINK("https://ceds.ed.gov/elementComment.aspx?elementName=Child Outcomes Summary Progress B Indicator &amp;elementID=10477", "Click here to submit comment")</f>
        <v>Click here to submit comment</v>
      </c>
    </row>
    <row r="198" spans="1:17" ht="45" x14ac:dyDescent="0.25">
      <c r="A198" s="12" t="s">
        <v>7169</v>
      </c>
      <c r="B198" s="12" t="s">
        <v>7170</v>
      </c>
      <c r="C198" s="12" t="s">
        <v>7199</v>
      </c>
      <c r="D198" s="12" t="s">
        <v>7172</v>
      </c>
      <c r="E198" s="12" t="s">
        <v>1779</v>
      </c>
      <c r="F198" s="12" t="s">
        <v>1780</v>
      </c>
      <c r="G198" s="12" t="s">
        <v>6364</v>
      </c>
      <c r="H198" s="12"/>
      <c r="I198" s="12"/>
      <c r="J198" s="12"/>
      <c r="K198" s="12"/>
      <c r="L198" s="12"/>
      <c r="M198" s="12" t="s">
        <v>1781</v>
      </c>
      <c r="N198" s="12" t="s">
        <v>1782</v>
      </c>
      <c r="O198" s="12" t="s">
        <v>1783</v>
      </c>
      <c r="P198" s="12" t="str">
        <f>HYPERLINK("https://ceds.ed.gov/cedselementdetails.aspx?termid=10478")</f>
        <v>https://ceds.ed.gov/cedselementdetails.aspx?termid=10478</v>
      </c>
      <c r="Q198" s="12" t="str">
        <f>HYPERLINK("https://ceds.ed.gov/elementComment.aspx?elementName=Child Outcomes Summary Progress C Indicator &amp;elementID=10478", "Click here to submit comment")</f>
        <v>Click here to submit comment</v>
      </c>
    </row>
    <row r="199" spans="1:17" ht="330" x14ac:dyDescent="0.25">
      <c r="A199" s="12" t="s">
        <v>7169</v>
      </c>
      <c r="B199" s="12" t="s">
        <v>7170</v>
      </c>
      <c r="C199" s="12" t="s">
        <v>7199</v>
      </c>
      <c r="D199" s="12" t="s">
        <v>7172</v>
      </c>
      <c r="E199" s="12" t="s">
        <v>1784</v>
      </c>
      <c r="F199" s="12" t="s">
        <v>1785</v>
      </c>
      <c r="G199" s="13" t="s">
        <v>6817</v>
      </c>
      <c r="H199" s="12"/>
      <c r="I199" s="12"/>
      <c r="J199" s="12"/>
      <c r="K199" s="12"/>
      <c r="L199" s="12"/>
      <c r="M199" s="12" t="s">
        <v>1786</v>
      </c>
      <c r="N199" s="12" t="s">
        <v>1787</v>
      </c>
      <c r="O199" s="12" t="s">
        <v>1788</v>
      </c>
      <c r="P199" s="12" t="str">
        <f>HYPERLINK("https://ceds.ed.gov/cedselementdetails.aspx?termid=10479")</f>
        <v>https://ceds.ed.gov/cedselementdetails.aspx?termid=10479</v>
      </c>
      <c r="Q199" s="12" t="str">
        <f>HYPERLINK("https://ceds.ed.gov/elementComment.aspx?elementName=Child Outcomes Summary Rating A &amp;elementID=10479", "Click here to submit comment")</f>
        <v>Click here to submit comment</v>
      </c>
    </row>
    <row r="200" spans="1:17" ht="330" x14ac:dyDescent="0.25">
      <c r="A200" s="12" t="s">
        <v>7169</v>
      </c>
      <c r="B200" s="12" t="s">
        <v>7170</v>
      </c>
      <c r="C200" s="12" t="s">
        <v>7199</v>
      </c>
      <c r="D200" s="12" t="s">
        <v>7172</v>
      </c>
      <c r="E200" s="12" t="s">
        <v>1789</v>
      </c>
      <c r="F200" s="12" t="s">
        <v>1790</v>
      </c>
      <c r="G200" s="13" t="s">
        <v>6817</v>
      </c>
      <c r="H200" s="12"/>
      <c r="I200" s="12"/>
      <c r="J200" s="12"/>
      <c r="K200" s="12"/>
      <c r="L200" s="12"/>
      <c r="M200" s="12" t="s">
        <v>1791</v>
      </c>
      <c r="N200" s="12" t="s">
        <v>1792</v>
      </c>
      <c r="O200" s="12" t="s">
        <v>1793</v>
      </c>
      <c r="P200" s="12" t="str">
        <f>HYPERLINK("https://ceds.ed.gov/cedselementdetails.aspx?termid=10480")</f>
        <v>https://ceds.ed.gov/cedselementdetails.aspx?termid=10480</v>
      </c>
      <c r="Q200" s="12" t="str">
        <f>HYPERLINK("https://ceds.ed.gov/elementComment.aspx?elementName=Child Outcomes Summary Rating B &amp;elementID=10480", "Click here to submit comment")</f>
        <v>Click here to submit comment</v>
      </c>
    </row>
    <row r="201" spans="1:17" ht="330" x14ac:dyDescent="0.25">
      <c r="A201" s="12" t="s">
        <v>7169</v>
      </c>
      <c r="B201" s="12" t="s">
        <v>7170</v>
      </c>
      <c r="C201" s="12" t="s">
        <v>7199</v>
      </c>
      <c r="D201" s="12" t="s">
        <v>7172</v>
      </c>
      <c r="E201" s="12" t="s">
        <v>1794</v>
      </c>
      <c r="F201" s="12" t="s">
        <v>1795</v>
      </c>
      <c r="G201" s="13" t="s">
        <v>6817</v>
      </c>
      <c r="H201" s="12"/>
      <c r="I201" s="12"/>
      <c r="J201" s="12"/>
      <c r="K201" s="12"/>
      <c r="L201" s="12"/>
      <c r="M201" s="12" t="s">
        <v>1796</v>
      </c>
      <c r="N201" s="12" t="s">
        <v>1797</v>
      </c>
      <c r="O201" s="12" t="s">
        <v>1798</v>
      </c>
      <c r="P201" s="12" t="str">
        <f>HYPERLINK("https://ceds.ed.gov/cedselementdetails.aspx?termid=10481")</f>
        <v>https://ceds.ed.gov/cedselementdetails.aspx?termid=10481</v>
      </c>
      <c r="Q201" s="12" t="str">
        <f>HYPERLINK("https://ceds.ed.gov/elementComment.aspx?elementName=Child Outcomes Summary Rating C &amp;elementID=10481", "Click here to submit comment")</f>
        <v>Click here to submit comment</v>
      </c>
    </row>
    <row r="202" spans="1:17" ht="75" x14ac:dyDescent="0.25">
      <c r="A202" s="12" t="s">
        <v>7169</v>
      </c>
      <c r="B202" s="12" t="s">
        <v>7170</v>
      </c>
      <c r="C202" s="12" t="s">
        <v>7199</v>
      </c>
      <c r="D202" s="12" t="s">
        <v>7176</v>
      </c>
      <c r="E202" s="12" t="s">
        <v>2547</v>
      </c>
      <c r="F202" s="12" t="s">
        <v>2548</v>
      </c>
      <c r="G202" s="13" t="s">
        <v>6886</v>
      </c>
      <c r="H202" s="12"/>
      <c r="I202" s="12"/>
      <c r="J202" s="12"/>
      <c r="K202" s="12"/>
      <c r="L202" s="12"/>
      <c r="M202" s="12" t="s">
        <v>2550</v>
      </c>
      <c r="N202" s="12"/>
      <c r="O202" s="12" t="s">
        <v>2551</v>
      </c>
      <c r="P202" s="12" t="str">
        <f>HYPERLINK("https://ceds.ed.gov/cedselementdetails.aspx?termid=10303")</f>
        <v>https://ceds.ed.gov/cedselementdetails.aspx?termid=10303</v>
      </c>
      <c r="Q202" s="12" t="str">
        <f>HYPERLINK("https://ceds.ed.gov/elementComment.aspx?elementName=Early Learning Outcome Measurement Level &amp;elementID=10303", "Click here to submit comment")</f>
        <v>Click here to submit comment</v>
      </c>
    </row>
    <row r="203" spans="1:17" ht="75" x14ac:dyDescent="0.25">
      <c r="A203" s="12" t="s">
        <v>7169</v>
      </c>
      <c r="B203" s="12" t="s">
        <v>7170</v>
      </c>
      <c r="C203" s="12" t="s">
        <v>7199</v>
      </c>
      <c r="D203" s="12" t="s">
        <v>7176</v>
      </c>
      <c r="E203" s="12" t="s">
        <v>2552</v>
      </c>
      <c r="F203" s="12" t="s">
        <v>2553</v>
      </c>
      <c r="G203" s="13" t="s">
        <v>6887</v>
      </c>
      <c r="H203" s="12"/>
      <c r="I203" s="12"/>
      <c r="J203" s="12"/>
      <c r="K203" s="12"/>
      <c r="L203" s="12"/>
      <c r="M203" s="12" t="s">
        <v>2554</v>
      </c>
      <c r="N203" s="12"/>
      <c r="O203" s="12" t="s">
        <v>2555</v>
      </c>
      <c r="P203" s="12" t="str">
        <f>HYPERLINK("https://ceds.ed.gov/cedselementdetails.aspx?termid=10475")</f>
        <v>https://ceds.ed.gov/cedselementdetails.aspx?termid=10475</v>
      </c>
      <c r="Q203" s="12" t="str">
        <f>HYPERLINK("https://ceds.ed.gov/elementComment.aspx?elementName=Early Learning Outcome Time Point &amp;elementID=10475", "Click here to submit comment")</f>
        <v>Click here to submit comment</v>
      </c>
    </row>
    <row r="204" spans="1:17" ht="409.5" x14ac:dyDescent="0.25">
      <c r="A204" s="12" t="s">
        <v>7169</v>
      </c>
      <c r="B204" s="12" t="s">
        <v>7170</v>
      </c>
      <c r="C204" s="12" t="s">
        <v>7200</v>
      </c>
      <c r="D204" s="12" t="s">
        <v>7176</v>
      </c>
      <c r="E204" s="12" t="s">
        <v>5197</v>
      </c>
      <c r="F204" s="12" t="s">
        <v>5198</v>
      </c>
      <c r="G204" s="13" t="s">
        <v>7082</v>
      </c>
      <c r="H204" s="12" t="s">
        <v>6369</v>
      </c>
      <c r="I204" s="12"/>
      <c r="J204" s="12"/>
      <c r="K204" s="12"/>
      <c r="L204" s="12"/>
      <c r="M204" s="12" t="s">
        <v>5199</v>
      </c>
      <c r="N204" s="12"/>
      <c r="O204" s="12" t="s">
        <v>5200</v>
      </c>
      <c r="P204" s="12" t="str">
        <f>HYPERLINK("https://ceds.ed.gov/cedselementdetails.aspx?termid=9225")</f>
        <v>https://ceds.ed.gov/cedselementdetails.aspx?termid=9225</v>
      </c>
      <c r="Q204" s="12" t="str">
        <f>HYPERLINK("https://ceds.ed.gov/elementComment.aspx?elementName=Program Type &amp;elementID=9225", "Click here to submit comment")</f>
        <v>Click here to submit comment</v>
      </c>
    </row>
    <row r="205" spans="1:17" ht="210" x14ac:dyDescent="0.25">
      <c r="A205" s="12" t="s">
        <v>7169</v>
      </c>
      <c r="B205" s="12" t="s">
        <v>7170</v>
      </c>
      <c r="C205" s="12" t="s">
        <v>7200</v>
      </c>
      <c r="D205" s="12" t="s">
        <v>7172</v>
      </c>
      <c r="E205" s="12" t="s">
        <v>2452</v>
      </c>
      <c r="F205" s="12" t="s">
        <v>2453</v>
      </c>
      <c r="G205" s="13" t="s">
        <v>6875</v>
      </c>
      <c r="H205" s="12" t="s">
        <v>64</v>
      </c>
      <c r="I205" s="12"/>
      <c r="J205" s="12"/>
      <c r="K205" s="12"/>
      <c r="L205" s="12"/>
      <c r="M205" s="12" t="s">
        <v>2454</v>
      </c>
      <c r="N205" s="12"/>
      <c r="O205" s="12" t="s">
        <v>2455</v>
      </c>
      <c r="P205" s="12" t="str">
        <f>HYPERLINK("https://ceds.ed.gov/cedselementdetails.aspx?termid=9829")</f>
        <v>https://ceds.ed.gov/cedselementdetails.aspx?termid=9829</v>
      </c>
      <c r="Q205" s="12" t="str">
        <f>HYPERLINK("https://ceds.ed.gov/elementComment.aspx?elementName=Early Childhood Program Enrollment Type &amp;elementID=9829", "Click here to submit comment")</f>
        <v>Click here to submit comment</v>
      </c>
    </row>
    <row r="206" spans="1:17" ht="135" x14ac:dyDescent="0.25">
      <c r="A206" s="12" t="s">
        <v>7169</v>
      </c>
      <c r="B206" s="12" t="s">
        <v>7170</v>
      </c>
      <c r="C206" s="12" t="s">
        <v>7200</v>
      </c>
      <c r="D206" s="12" t="s">
        <v>7176</v>
      </c>
      <c r="E206" s="12" t="s">
        <v>5168</v>
      </c>
      <c r="F206" s="12" t="s">
        <v>5169</v>
      </c>
      <c r="G206" s="13" t="s">
        <v>7080</v>
      </c>
      <c r="H206" s="12" t="s">
        <v>2017</v>
      </c>
      <c r="I206" s="12"/>
      <c r="J206" s="12"/>
      <c r="K206" s="12"/>
      <c r="L206" s="12"/>
      <c r="M206" s="12" t="s">
        <v>5170</v>
      </c>
      <c r="N206" s="12"/>
      <c r="O206" s="12" t="s">
        <v>5171</v>
      </c>
      <c r="P206" s="12" t="str">
        <f>HYPERLINK("https://ceds.ed.gov/cedselementdetails.aspx?termid=10209")</f>
        <v>https://ceds.ed.gov/cedselementdetails.aspx?termid=10209</v>
      </c>
      <c r="Q206" s="12" t="str">
        <f>HYPERLINK("https://ceds.ed.gov/elementComment.aspx?elementName=Program Participation Status &amp;elementID=10209", "Click here to submit comment")</f>
        <v>Click here to submit comment</v>
      </c>
    </row>
    <row r="207" spans="1:17" ht="60" x14ac:dyDescent="0.25">
      <c r="A207" s="12" t="s">
        <v>7169</v>
      </c>
      <c r="B207" s="12" t="s">
        <v>7170</v>
      </c>
      <c r="C207" s="12" t="s">
        <v>7200</v>
      </c>
      <c r="D207" s="12" t="s">
        <v>7176</v>
      </c>
      <c r="E207" s="12" t="s">
        <v>5164</v>
      </c>
      <c r="F207" s="12" t="s">
        <v>5165</v>
      </c>
      <c r="G207" s="12" t="s">
        <v>12</v>
      </c>
      <c r="H207" s="12" t="s">
        <v>6646</v>
      </c>
      <c r="I207" s="12"/>
      <c r="J207" s="12" t="s">
        <v>73</v>
      </c>
      <c r="K207" s="12"/>
      <c r="L207" s="12"/>
      <c r="M207" s="12" t="s">
        <v>5166</v>
      </c>
      <c r="N207" s="12"/>
      <c r="O207" s="12" t="s">
        <v>5167</v>
      </c>
      <c r="P207" s="12" t="str">
        <f>HYPERLINK("https://ceds.ed.gov/cedselementdetails.aspx?termid=9583")</f>
        <v>https://ceds.ed.gov/cedselementdetails.aspx?termid=9583</v>
      </c>
      <c r="Q207" s="12" t="str">
        <f>HYPERLINK("https://ceds.ed.gov/elementComment.aspx?elementName=Program Participation Start Date &amp;elementID=9583", "Click here to submit comment")</f>
        <v>Click here to submit comment</v>
      </c>
    </row>
    <row r="208" spans="1:17" ht="45" x14ac:dyDescent="0.25">
      <c r="A208" s="12" t="s">
        <v>7169</v>
      </c>
      <c r="B208" s="12" t="s">
        <v>7170</v>
      </c>
      <c r="C208" s="12" t="s">
        <v>7200</v>
      </c>
      <c r="D208" s="12" t="s">
        <v>7176</v>
      </c>
      <c r="E208" s="12" t="s">
        <v>5161</v>
      </c>
      <c r="F208" s="12" t="s">
        <v>1684</v>
      </c>
      <c r="G208" s="12" t="s">
        <v>12</v>
      </c>
      <c r="H208" s="12" t="s">
        <v>6645</v>
      </c>
      <c r="I208" s="12"/>
      <c r="J208" s="12" t="s">
        <v>73</v>
      </c>
      <c r="K208" s="12"/>
      <c r="L208" s="12"/>
      <c r="M208" s="12" t="s">
        <v>5162</v>
      </c>
      <c r="N208" s="12"/>
      <c r="O208" s="12" t="s">
        <v>5163</v>
      </c>
      <c r="P208" s="12" t="str">
        <f>HYPERLINK("https://ceds.ed.gov/cedselementdetails.aspx?termid=9584")</f>
        <v>https://ceds.ed.gov/cedselementdetails.aspx?termid=9584</v>
      </c>
      <c r="Q208" s="12" t="str">
        <f>HYPERLINK("https://ceds.ed.gov/elementComment.aspx?elementName=Program Participation Exit Date &amp;elementID=9584", "Click here to submit comment")</f>
        <v>Click here to submit comment</v>
      </c>
    </row>
    <row r="209" spans="1:17" ht="409.5" x14ac:dyDescent="0.25">
      <c r="A209" s="12" t="s">
        <v>7169</v>
      </c>
      <c r="B209" s="12" t="s">
        <v>7170</v>
      </c>
      <c r="C209" s="12" t="s">
        <v>7200</v>
      </c>
      <c r="D209" s="12" t="s">
        <v>7176</v>
      </c>
      <c r="E209" s="12" t="s">
        <v>2788</v>
      </c>
      <c r="F209" s="12" t="s">
        <v>2789</v>
      </c>
      <c r="G209" s="13" t="s">
        <v>6912</v>
      </c>
      <c r="H209" s="12"/>
      <c r="I209" s="12"/>
      <c r="J209" s="12"/>
      <c r="K209" s="12"/>
      <c r="L209" s="12"/>
      <c r="M209" s="12" t="s">
        <v>2790</v>
      </c>
      <c r="N209" s="12"/>
      <c r="O209" s="12" t="s">
        <v>2791</v>
      </c>
      <c r="P209" s="12" t="str">
        <f>HYPERLINK("https://ceds.ed.gov/cedselementdetails.aspx?termid=9222")</f>
        <v>https://ceds.ed.gov/cedselementdetails.aspx?termid=9222</v>
      </c>
      <c r="Q209" s="12" t="str">
        <f>HYPERLINK("https://ceds.ed.gov/elementComment.aspx?elementName=Exit Reason &amp;elementID=9222", "Click here to submit comment")</f>
        <v>Click here to submit comment</v>
      </c>
    </row>
    <row r="210" spans="1:17" ht="135" x14ac:dyDescent="0.25">
      <c r="A210" s="12" t="s">
        <v>7169</v>
      </c>
      <c r="B210" s="12" t="s">
        <v>7170</v>
      </c>
      <c r="C210" s="12" t="s">
        <v>7200</v>
      </c>
      <c r="D210" s="12" t="s">
        <v>7172</v>
      </c>
      <c r="E210" s="12" t="s">
        <v>1868</v>
      </c>
      <c r="F210" s="12" t="s">
        <v>1869</v>
      </c>
      <c r="G210" s="13" t="s">
        <v>6822</v>
      </c>
      <c r="H210" s="12"/>
      <c r="I210" s="12"/>
      <c r="J210" s="12"/>
      <c r="K210" s="12"/>
      <c r="L210" s="12"/>
      <c r="M210" s="12" t="s">
        <v>1870</v>
      </c>
      <c r="N210" s="12"/>
      <c r="O210" s="12" t="s">
        <v>1871</v>
      </c>
      <c r="P210" s="12" t="str">
        <f>HYPERLINK("https://ceds.ed.gov/cedselementdetails.aspx?termid=10614")</f>
        <v>https://ceds.ed.gov/cedselementdetails.aspx?termid=10614</v>
      </c>
      <c r="Q210" s="12" t="str">
        <f>HYPERLINK("https://ceds.ed.gov/elementComment.aspx?elementName=Community-based Type &amp;elementID=10614", "Click here to submit comment")</f>
        <v>Click here to submit comment</v>
      </c>
    </row>
    <row r="211" spans="1:17" ht="45" x14ac:dyDescent="0.25">
      <c r="A211" s="12" t="s">
        <v>7169</v>
      </c>
      <c r="B211" s="12" t="s">
        <v>7170</v>
      </c>
      <c r="C211" s="12" t="s">
        <v>7200</v>
      </c>
      <c r="D211" s="12" t="s">
        <v>7172</v>
      </c>
      <c r="E211" s="12" t="s">
        <v>3428</v>
      </c>
      <c r="F211" s="12" t="s">
        <v>3429</v>
      </c>
      <c r="G211" s="12" t="s">
        <v>6364</v>
      </c>
      <c r="H211" s="12"/>
      <c r="I211" s="12"/>
      <c r="J211" s="12"/>
      <c r="K211" s="12"/>
      <c r="L211" s="12"/>
      <c r="M211" s="12" t="s">
        <v>3430</v>
      </c>
      <c r="N211" s="12"/>
      <c r="O211" s="12" t="s">
        <v>3431</v>
      </c>
      <c r="P211" s="12" t="str">
        <f>HYPERLINK("https://ceds.ed.gov/cedselementdetails.aspx?termid=10615")</f>
        <v>https://ceds.ed.gov/cedselementdetails.aspx?termid=10615</v>
      </c>
      <c r="Q211" s="12" t="str">
        <f>HYPERLINK("https://ceds.ed.gov/elementComment.aspx?elementName=Inclusive Setting Indicator &amp;elementID=10615", "Click here to submit comment")</f>
        <v>Click here to submit comment</v>
      </c>
    </row>
    <row r="212" spans="1:17" ht="240" x14ac:dyDescent="0.25">
      <c r="A212" s="12" t="s">
        <v>7169</v>
      </c>
      <c r="B212" s="12" t="s">
        <v>7170</v>
      </c>
      <c r="C212" s="12" t="s">
        <v>7200</v>
      </c>
      <c r="D212" s="12" t="s">
        <v>7176</v>
      </c>
      <c r="E212" s="12" t="s">
        <v>4668</v>
      </c>
      <c r="F212" s="12" t="s">
        <v>4669</v>
      </c>
      <c r="G212" s="13" t="s">
        <v>6739</v>
      </c>
      <c r="H212" s="12" t="s">
        <v>64</v>
      </c>
      <c r="I212" s="12"/>
      <c r="J212" s="12"/>
      <c r="K212" s="12"/>
      <c r="L212" s="12"/>
      <c r="M212" s="12" t="s">
        <v>4670</v>
      </c>
      <c r="N212" s="12"/>
      <c r="O212" s="12" t="s">
        <v>4671</v>
      </c>
      <c r="P212" s="12" t="str">
        <f>HYPERLINK("https://ceds.ed.gov/cedselementdetails.aspx?termid=9827")</f>
        <v>https://ceds.ed.gov/cedselementdetails.aspx?termid=9827</v>
      </c>
      <c r="Q212" s="12" t="str">
        <f>HYPERLINK("https://ceds.ed.gov/elementComment.aspx?elementName=Organization Identification System &amp;elementID=9827", "Click here to submit comment")</f>
        <v>Click here to submit comment</v>
      </c>
    </row>
    <row r="213" spans="1:17" ht="105" x14ac:dyDescent="0.25">
      <c r="A213" s="18" t="s">
        <v>7169</v>
      </c>
      <c r="B213" s="18" t="s">
        <v>7170</v>
      </c>
      <c r="C213" s="18" t="s">
        <v>7200</v>
      </c>
      <c r="D213" s="18" t="s">
        <v>7176</v>
      </c>
      <c r="E213" s="18" t="s">
        <v>5141</v>
      </c>
      <c r="F213" s="18" t="s">
        <v>5142</v>
      </c>
      <c r="G213" s="18" t="s">
        <v>12</v>
      </c>
      <c r="H213" s="18" t="s">
        <v>2017</v>
      </c>
      <c r="I213" s="18"/>
      <c r="J213" s="18" t="s">
        <v>142</v>
      </c>
      <c r="K213" s="18"/>
      <c r="L213" s="12" t="s">
        <v>143</v>
      </c>
      <c r="M213" s="18" t="s">
        <v>5143</v>
      </c>
      <c r="N213" s="18"/>
      <c r="O213" s="18" t="s">
        <v>5144</v>
      </c>
      <c r="P213" s="18" t="str">
        <f>HYPERLINK("https://ceds.ed.gov/cedselementdetails.aspx?termid=9618")</f>
        <v>https://ceds.ed.gov/cedselementdetails.aspx?termid=9618</v>
      </c>
      <c r="Q213" s="18" t="str">
        <f>HYPERLINK("https://ceds.ed.gov/elementComment.aspx?elementName=Program Identifier &amp;elementID=9618", "Click here to submit comment")</f>
        <v>Click here to submit comment</v>
      </c>
    </row>
    <row r="214" spans="1:17" x14ac:dyDescent="0.25">
      <c r="A214" s="18"/>
      <c r="B214" s="18"/>
      <c r="C214" s="18"/>
      <c r="D214" s="18"/>
      <c r="E214" s="18"/>
      <c r="F214" s="18"/>
      <c r="G214" s="18"/>
      <c r="H214" s="18"/>
      <c r="I214" s="18"/>
      <c r="J214" s="18"/>
      <c r="K214" s="18"/>
      <c r="L214" s="12"/>
      <c r="M214" s="18"/>
      <c r="N214" s="18"/>
      <c r="O214" s="18"/>
      <c r="P214" s="18"/>
      <c r="Q214" s="18"/>
    </row>
    <row r="215" spans="1:17" ht="90" x14ac:dyDescent="0.25">
      <c r="A215" s="18"/>
      <c r="B215" s="18"/>
      <c r="C215" s="18"/>
      <c r="D215" s="18"/>
      <c r="E215" s="18"/>
      <c r="F215" s="18"/>
      <c r="G215" s="18"/>
      <c r="H215" s="18"/>
      <c r="I215" s="18"/>
      <c r="J215" s="18"/>
      <c r="K215" s="18"/>
      <c r="L215" s="12" t="s">
        <v>144</v>
      </c>
      <c r="M215" s="18"/>
      <c r="N215" s="18"/>
      <c r="O215" s="18"/>
      <c r="P215" s="18"/>
      <c r="Q215" s="18"/>
    </row>
    <row r="216" spans="1:17" ht="60" x14ac:dyDescent="0.25">
      <c r="A216" s="12" t="s">
        <v>7169</v>
      </c>
      <c r="B216" s="12" t="s">
        <v>7170</v>
      </c>
      <c r="C216" s="12" t="s">
        <v>7200</v>
      </c>
      <c r="D216" s="12" t="s">
        <v>7176</v>
      </c>
      <c r="E216" s="12" t="s">
        <v>5157</v>
      </c>
      <c r="F216" s="12" t="s">
        <v>5158</v>
      </c>
      <c r="G216" s="12" t="s">
        <v>12</v>
      </c>
      <c r="H216" s="12" t="s">
        <v>2017</v>
      </c>
      <c r="I216" s="12"/>
      <c r="J216" s="12" t="s">
        <v>99</v>
      </c>
      <c r="K216" s="12"/>
      <c r="L216" s="12"/>
      <c r="M216" s="12" t="s">
        <v>5159</v>
      </c>
      <c r="N216" s="12"/>
      <c r="O216" s="12" t="s">
        <v>5160</v>
      </c>
      <c r="P216" s="12" t="str">
        <f>HYPERLINK("https://ceds.ed.gov/cedselementdetails.aspx?termid=9619")</f>
        <v>https://ceds.ed.gov/cedselementdetails.aspx?termid=9619</v>
      </c>
      <c r="Q216" s="12" t="str">
        <f>HYPERLINK("https://ceds.ed.gov/elementComment.aspx?elementName=Program Name &amp;elementID=9619", "Click here to submit comment")</f>
        <v>Click here to submit comment</v>
      </c>
    </row>
    <row r="217" spans="1:17" ht="60" x14ac:dyDescent="0.25">
      <c r="A217" s="18" t="s">
        <v>7169</v>
      </c>
      <c r="B217" s="18" t="s">
        <v>7170</v>
      </c>
      <c r="C217" s="18" t="s">
        <v>7200</v>
      </c>
      <c r="D217" s="18" t="s">
        <v>7176</v>
      </c>
      <c r="E217" s="18" t="s">
        <v>5394</v>
      </c>
      <c r="F217" s="18" t="s">
        <v>5395</v>
      </c>
      <c r="G217" s="18" t="s">
        <v>12</v>
      </c>
      <c r="H217" s="18"/>
      <c r="I217" s="18"/>
      <c r="J217" s="18" t="s">
        <v>142</v>
      </c>
      <c r="K217" s="18"/>
      <c r="L217" s="12" t="s">
        <v>5396</v>
      </c>
      <c r="M217" s="18" t="s">
        <v>5397</v>
      </c>
      <c r="N217" s="18"/>
      <c r="O217" s="18" t="s">
        <v>5398</v>
      </c>
      <c r="P217" s="18" t="str">
        <f>HYPERLINK("https://ceds.ed.gov/cedselementdetails.aspx?termid=10438")</f>
        <v>https://ceds.ed.gov/cedselementdetails.aspx?termid=10438</v>
      </c>
      <c r="Q217" s="18" t="str">
        <f>HYPERLINK("https://ceds.ed.gov/elementComment.aspx?elementName=Responsible Organization Identifier &amp;elementID=10438", "Click here to submit comment")</f>
        <v>Click here to submit comment</v>
      </c>
    </row>
    <row r="218" spans="1:17" x14ac:dyDescent="0.25">
      <c r="A218" s="18"/>
      <c r="B218" s="18"/>
      <c r="C218" s="18"/>
      <c r="D218" s="18"/>
      <c r="E218" s="18"/>
      <c r="F218" s="18"/>
      <c r="G218" s="18"/>
      <c r="H218" s="18"/>
      <c r="I218" s="18"/>
      <c r="J218" s="18"/>
      <c r="K218" s="18"/>
      <c r="L218" s="12"/>
      <c r="M218" s="18"/>
      <c r="N218" s="18"/>
      <c r="O218" s="18"/>
      <c r="P218" s="18"/>
      <c r="Q218" s="18"/>
    </row>
    <row r="219" spans="1:17" ht="105" x14ac:dyDescent="0.25">
      <c r="A219" s="18"/>
      <c r="B219" s="18"/>
      <c r="C219" s="18"/>
      <c r="D219" s="18"/>
      <c r="E219" s="18"/>
      <c r="F219" s="18"/>
      <c r="G219" s="18"/>
      <c r="H219" s="18"/>
      <c r="I219" s="18"/>
      <c r="J219" s="18"/>
      <c r="K219" s="18"/>
      <c r="L219" s="12" t="s">
        <v>143</v>
      </c>
      <c r="M219" s="18"/>
      <c r="N219" s="18"/>
      <c r="O219" s="18"/>
      <c r="P219" s="18"/>
      <c r="Q219" s="18"/>
    </row>
    <row r="220" spans="1:17" x14ac:dyDescent="0.25">
      <c r="A220" s="18"/>
      <c r="B220" s="18"/>
      <c r="C220" s="18"/>
      <c r="D220" s="18"/>
      <c r="E220" s="18"/>
      <c r="F220" s="18"/>
      <c r="G220" s="18"/>
      <c r="H220" s="18"/>
      <c r="I220" s="18"/>
      <c r="J220" s="18"/>
      <c r="K220" s="18"/>
      <c r="L220" s="12"/>
      <c r="M220" s="18"/>
      <c r="N220" s="18"/>
      <c r="O220" s="18"/>
      <c r="P220" s="18"/>
      <c r="Q220" s="18"/>
    </row>
    <row r="221" spans="1:17" ht="90" x14ac:dyDescent="0.25">
      <c r="A221" s="18"/>
      <c r="B221" s="18"/>
      <c r="C221" s="18"/>
      <c r="D221" s="18"/>
      <c r="E221" s="18"/>
      <c r="F221" s="18"/>
      <c r="G221" s="18"/>
      <c r="H221" s="18"/>
      <c r="I221" s="18"/>
      <c r="J221" s="18"/>
      <c r="K221" s="18"/>
      <c r="L221" s="12" t="s">
        <v>144</v>
      </c>
      <c r="M221" s="18"/>
      <c r="N221" s="18"/>
      <c r="O221" s="18"/>
      <c r="P221" s="18"/>
      <c r="Q221" s="18"/>
    </row>
    <row r="222" spans="1:17" ht="120" x14ac:dyDescent="0.25">
      <c r="A222" s="12" t="s">
        <v>7169</v>
      </c>
      <c r="B222" s="12" t="s">
        <v>7170</v>
      </c>
      <c r="C222" s="12" t="s">
        <v>7200</v>
      </c>
      <c r="D222" s="12" t="s">
        <v>7176</v>
      </c>
      <c r="E222" s="12" t="s">
        <v>5405</v>
      </c>
      <c r="F222" s="12" t="s">
        <v>5406</v>
      </c>
      <c r="G222" s="13" t="s">
        <v>7098</v>
      </c>
      <c r="H222" s="12"/>
      <c r="I222" s="12"/>
      <c r="J222" s="12"/>
      <c r="K222" s="12"/>
      <c r="L222" s="12" t="s">
        <v>5396</v>
      </c>
      <c r="M222" s="12" t="s">
        <v>5407</v>
      </c>
      <c r="N222" s="12"/>
      <c r="O222" s="12" t="s">
        <v>5408</v>
      </c>
      <c r="P222" s="12" t="str">
        <f>HYPERLINK("https://ceds.ed.gov/cedselementdetails.aspx?termid=10439")</f>
        <v>https://ceds.ed.gov/cedselementdetails.aspx?termid=10439</v>
      </c>
      <c r="Q222" s="12" t="str">
        <f>HYPERLINK("https://ceds.ed.gov/elementComment.aspx?elementName=Responsible Organization Type &amp;elementID=10439", "Click here to submit comment")</f>
        <v>Click here to submit comment</v>
      </c>
    </row>
    <row r="223" spans="1:17" ht="210" x14ac:dyDescent="0.25">
      <c r="A223" s="12" t="s">
        <v>7169</v>
      </c>
      <c r="B223" s="12" t="s">
        <v>7170</v>
      </c>
      <c r="C223" s="12" t="s">
        <v>7201</v>
      </c>
      <c r="D223" s="12" t="s">
        <v>7176</v>
      </c>
      <c r="E223" s="12" t="s">
        <v>4930</v>
      </c>
      <c r="F223" s="12" t="s">
        <v>4931</v>
      </c>
      <c r="G223" s="13" t="s">
        <v>7064</v>
      </c>
      <c r="H223" s="12" t="s">
        <v>6633</v>
      </c>
      <c r="I223" s="12"/>
      <c r="J223" s="12"/>
      <c r="K223" s="12"/>
      <c r="L223" s="12"/>
      <c r="M223" s="12" t="s">
        <v>4932</v>
      </c>
      <c r="N223" s="12"/>
      <c r="O223" s="12" t="s">
        <v>4933</v>
      </c>
      <c r="P223" s="12" t="str">
        <f>HYPERLINK("https://ceds.ed.gov/cedselementdetails.aspx?termid=9218")</f>
        <v>https://ceds.ed.gov/cedselementdetails.aspx?termid=9218</v>
      </c>
      <c r="Q223" s="12" t="str">
        <f>HYPERLINK("https://ceds.ed.gov/elementComment.aspx?elementName=Primary Disability Type &amp;elementID=9218", "Click here to submit comment")</f>
        <v>Click here to submit comment</v>
      </c>
    </row>
    <row r="224" spans="1:17" ht="60" x14ac:dyDescent="0.25">
      <c r="A224" s="12" t="s">
        <v>7169</v>
      </c>
      <c r="B224" s="12" t="s">
        <v>7170</v>
      </c>
      <c r="C224" s="12" t="s">
        <v>7201</v>
      </c>
      <c r="D224" s="12" t="s">
        <v>7176</v>
      </c>
      <c r="E224" s="12" t="s">
        <v>1557</v>
      </c>
      <c r="F224" s="12" t="s">
        <v>1558</v>
      </c>
      <c r="G224" s="12" t="s">
        <v>6364</v>
      </c>
      <c r="H224" s="12" t="s">
        <v>4</v>
      </c>
      <c r="I224" s="12"/>
      <c r="J224" s="12"/>
      <c r="K224" s="12"/>
      <c r="L224" s="12"/>
      <c r="M224" s="12" t="s">
        <v>1559</v>
      </c>
      <c r="N224" s="12"/>
      <c r="O224" s="12" t="s">
        <v>1560</v>
      </c>
      <c r="P224" s="12" t="str">
        <f>HYPERLINK("https://ceds.ed.gov/cedselementdetails.aspx?termid=9031")</f>
        <v>https://ceds.ed.gov/cedselementdetails.aspx?termid=9031</v>
      </c>
      <c r="Q224" s="12" t="str">
        <f>HYPERLINK("https://ceds.ed.gov/elementComment.aspx?elementName=Awaiting Initial IDEA Evaluation Status &amp;elementID=9031", "Click here to submit comment")</f>
        <v>Click here to submit comment</v>
      </c>
    </row>
    <row r="225" spans="1:17" ht="255" x14ac:dyDescent="0.25">
      <c r="A225" s="12" t="s">
        <v>7169</v>
      </c>
      <c r="B225" s="12" t="s">
        <v>7170</v>
      </c>
      <c r="C225" s="12" t="s">
        <v>7201</v>
      </c>
      <c r="D225" s="12" t="s">
        <v>7176</v>
      </c>
      <c r="E225" s="12" t="s">
        <v>2340</v>
      </c>
      <c r="F225" s="12" t="s">
        <v>2341</v>
      </c>
      <c r="G225" s="13" t="s">
        <v>6863</v>
      </c>
      <c r="H225" s="12"/>
      <c r="I225" s="12"/>
      <c r="J225" s="12"/>
      <c r="K225" s="12"/>
      <c r="L225" s="12" t="s">
        <v>2342</v>
      </c>
      <c r="M225" s="12" t="s">
        <v>2343</v>
      </c>
      <c r="N225" s="12"/>
      <c r="O225" s="12" t="s">
        <v>2344</v>
      </c>
      <c r="P225" s="12" t="str">
        <f>HYPERLINK("https://ceds.ed.gov/cedselementdetails.aspx?termid=10286")</f>
        <v>https://ceds.ed.gov/cedselementdetails.aspx?termid=10286</v>
      </c>
      <c r="Q225" s="12" t="str">
        <f>HYPERLINK("https://ceds.ed.gov/elementComment.aspx?elementName=Disability Condition Type &amp;elementID=10286", "Click here to submit comment")</f>
        <v>Click here to submit comment</v>
      </c>
    </row>
    <row r="226" spans="1:17" ht="180" x14ac:dyDescent="0.25">
      <c r="A226" s="12" t="s">
        <v>7169</v>
      </c>
      <c r="B226" s="12" t="s">
        <v>7170</v>
      </c>
      <c r="C226" s="12" t="s">
        <v>7201</v>
      </c>
      <c r="D226" s="12" t="s">
        <v>7176</v>
      </c>
      <c r="E226" s="12" t="s">
        <v>2345</v>
      </c>
      <c r="F226" s="12" t="s">
        <v>2346</v>
      </c>
      <c r="G226" s="13" t="s">
        <v>6864</v>
      </c>
      <c r="H226" s="12"/>
      <c r="I226" s="12"/>
      <c r="J226" s="12"/>
      <c r="K226" s="12"/>
      <c r="L226" s="12" t="s">
        <v>2342</v>
      </c>
      <c r="M226" s="12" t="s">
        <v>2347</v>
      </c>
      <c r="N226" s="12"/>
      <c r="O226" s="12" t="s">
        <v>2348</v>
      </c>
      <c r="P226" s="12" t="str">
        <f>HYPERLINK("https://ceds.ed.gov/cedselementdetails.aspx?termid=10287")</f>
        <v>https://ceds.ed.gov/cedselementdetails.aspx?termid=10287</v>
      </c>
      <c r="Q226" s="12" t="str">
        <f>HYPERLINK("https://ceds.ed.gov/elementComment.aspx?elementName=Disability Determination Source Type &amp;elementID=10287", "Click here to submit comment")</f>
        <v>Click here to submit comment</v>
      </c>
    </row>
    <row r="227" spans="1:17" ht="45" x14ac:dyDescent="0.25">
      <c r="A227" s="12" t="s">
        <v>7169</v>
      </c>
      <c r="B227" s="12" t="s">
        <v>7170</v>
      </c>
      <c r="C227" s="12" t="s">
        <v>7201</v>
      </c>
      <c r="D227" s="12" t="s">
        <v>7176</v>
      </c>
      <c r="E227" s="12" t="s">
        <v>2349</v>
      </c>
      <c r="F227" s="12" t="s">
        <v>2350</v>
      </c>
      <c r="G227" s="12" t="s">
        <v>6364</v>
      </c>
      <c r="H227" s="12" t="s">
        <v>222</v>
      </c>
      <c r="I227" s="12"/>
      <c r="J227" s="12"/>
      <c r="K227" s="12"/>
      <c r="L227" s="12"/>
      <c r="M227" s="12" t="s">
        <v>2351</v>
      </c>
      <c r="N227" s="12"/>
      <c r="O227" s="12" t="s">
        <v>2352</v>
      </c>
      <c r="P227" s="12" t="str">
        <f>HYPERLINK("https://ceds.ed.gov/cedselementdetails.aspx?termid=9569")</f>
        <v>https://ceds.ed.gov/cedselementdetails.aspx?termid=9569</v>
      </c>
      <c r="Q227" s="12" t="str">
        <f>HYPERLINK("https://ceds.ed.gov/elementComment.aspx?elementName=Disability Status &amp;elementID=9569", "Click here to submit comment")</f>
        <v>Click here to submit comment</v>
      </c>
    </row>
    <row r="228" spans="1:17" ht="255" x14ac:dyDescent="0.25">
      <c r="A228" s="12" t="s">
        <v>7169</v>
      </c>
      <c r="B228" s="12" t="s">
        <v>7170</v>
      </c>
      <c r="C228" s="12" t="s">
        <v>7201</v>
      </c>
      <c r="D228" s="12" t="s">
        <v>7176</v>
      </c>
      <c r="E228" s="12" t="s">
        <v>3268</v>
      </c>
      <c r="F228" s="12" t="s">
        <v>3269</v>
      </c>
      <c r="G228" s="13" t="s">
        <v>6952</v>
      </c>
      <c r="H228" s="12" t="s">
        <v>222</v>
      </c>
      <c r="I228" s="12"/>
      <c r="J228" s="12"/>
      <c r="K228" s="12"/>
      <c r="L228" s="12"/>
      <c r="M228" s="12" t="s">
        <v>3270</v>
      </c>
      <c r="N228" s="12"/>
      <c r="O228" s="12" t="s">
        <v>3271</v>
      </c>
      <c r="P228" s="12" t="str">
        <f>HYPERLINK("https://ceds.ed.gov/cedselementdetails.aspx?termid=9550")</f>
        <v>https://ceds.ed.gov/cedselementdetails.aspx?termid=9550</v>
      </c>
      <c r="Q228" s="12" t="str">
        <f>HYPERLINK("https://ceds.ed.gov/elementComment.aspx?elementName=IDEA Educational Environment for Early Childhood &amp;elementID=9550", "Click here to submit comment")</f>
        <v>Click here to submit comment</v>
      </c>
    </row>
    <row r="229" spans="1:17" ht="285" x14ac:dyDescent="0.25">
      <c r="A229" s="12" t="s">
        <v>7169</v>
      </c>
      <c r="B229" s="12" t="s">
        <v>7170</v>
      </c>
      <c r="C229" s="12" t="s">
        <v>7201</v>
      </c>
      <c r="D229" s="12" t="s">
        <v>7176</v>
      </c>
      <c r="E229" s="12" t="s">
        <v>3281</v>
      </c>
      <c r="F229" s="12" t="s">
        <v>3282</v>
      </c>
      <c r="G229" s="12" t="s">
        <v>6364</v>
      </c>
      <c r="H229" s="12" t="s">
        <v>6568</v>
      </c>
      <c r="I229" s="12"/>
      <c r="J229" s="12"/>
      <c r="K229" s="12"/>
      <c r="L229" s="12"/>
      <c r="M229" s="12" t="s">
        <v>3283</v>
      </c>
      <c r="N229" s="12"/>
      <c r="O229" s="12" t="s">
        <v>3284</v>
      </c>
      <c r="P229" s="12" t="str">
        <f>HYPERLINK("https://ceds.ed.gov/cedselementdetails.aspx?termid=9151")</f>
        <v>https://ceds.ed.gov/cedselementdetails.aspx?termid=9151</v>
      </c>
      <c r="Q229" s="12" t="str">
        <f>HYPERLINK("https://ceds.ed.gov/elementComment.aspx?elementName=IDEA Indicator &amp;elementID=9151", "Click here to submit comment")</f>
        <v>Click here to submit comment</v>
      </c>
    </row>
    <row r="230" spans="1:17" ht="409.5" x14ac:dyDescent="0.25">
      <c r="A230" s="12" t="s">
        <v>7169</v>
      </c>
      <c r="B230" s="12" t="s">
        <v>7170</v>
      </c>
      <c r="C230" s="12" t="s">
        <v>7201</v>
      </c>
      <c r="D230" s="12" t="s">
        <v>7176</v>
      </c>
      <c r="E230" s="12" t="s">
        <v>4296</v>
      </c>
      <c r="F230" s="12" t="s">
        <v>4297</v>
      </c>
      <c r="G230" s="12" t="s">
        <v>6364</v>
      </c>
      <c r="H230" s="12" t="s">
        <v>6438</v>
      </c>
      <c r="I230" s="12"/>
      <c r="J230" s="12"/>
      <c r="K230" s="12"/>
      <c r="L230" s="12"/>
      <c r="M230" s="12" t="s">
        <v>4298</v>
      </c>
      <c r="N230" s="12" t="s">
        <v>4299</v>
      </c>
      <c r="O230" s="12" t="s">
        <v>4300</v>
      </c>
      <c r="P230" s="12" t="str">
        <f>HYPERLINK("https://ceds.ed.gov/cedselementdetails.aspx?termid=9180")</f>
        <v>https://ceds.ed.gov/cedselementdetails.aspx?termid=9180</v>
      </c>
      <c r="Q230" s="12" t="str">
        <f>HYPERLINK("https://ceds.ed.gov/elementComment.aspx?elementName=Limited English Proficiency Status &amp;elementID=9180", "Click here to submit comment")</f>
        <v>Click here to submit comment</v>
      </c>
    </row>
    <row r="231" spans="1:17" ht="90" x14ac:dyDescent="0.25">
      <c r="A231" s="12" t="s">
        <v>7169</v>
      </c>
      <c r="B231" s="12" t="s">
        <v>7170</v>
      </c>
      <c r="C231" s="12" t="s">
        <v>7201</v>
      </c>
      <c r="D231" s="12" t="s">
        <v>7176</v>
      </c>
      <c r="E231" s="12" t="s">
        <v>5635</v>
      </c>
      <c r="F231" s="12" t="s">
        <v>5636</v>
      </c>
      <c r="G231" s="12" t="s">
        <v>6364</v>
      </c>
      <c r="H231" s="12" t="s">
        <v>6568</v>
      </c>
      <c r="I231" s="12"/>
      <c r="J231" s="12"/>
      <c r="K231" s="12"/>
      <c r="L231" s="12"/>
      <c r="M231" s="12" t="s">
        <v>5637</v>
      </c>
      <c r="N231" s="12"/>
      <c r="O231" s="12" t="s">
        <v>5638</v>
      </c>
      <c r="P231" s="12" t="str">
        <f>HYPERLINK("https://ceds.ed.gov/cedselementdetails.aspx?termid=9249")</f>
        <v>https://ceds.ed.gov/cedselementdetails.aspx?termid=9249</v>
      </c>
      <c r="Q231" s="12" t="str">
        <f>HYPERLINK("https://ceds.ed.gov/elementComment.aspx?elementName=Section 504 Status &amp;elementID=9249", "Click here to submit comment")</f>
        <v>Click here to submit comment</v>
      </c>
    </row>
    <row r="232" spans="1:17" ht="45" x14ac:dyDescent="0.25">
      <c r="A232" s="12" t="s">
        <v>7169</v>
      </c>
      <c r="B232" s="12" t="s">
        <v>7202</v>
      </c>
      <c r="C232" s="12"/>
      <c r="D232" s="12" t="s">
        <v>7172</v>
      </c>
      <c r="E232" s="12" t="s">
        <v>3424</v>
      </c>
      <c r="F232" s="12" t="s">
        <v>3425</v>
      </c>
      <c r="G232" s="12" t="s">
        <v>6364</v>
      </c>
      <c r="H232" s="12"/>
      <c r="I232" s="12"/>
      <c r="J232" s="12"/>
      <c r="K232" s="12"/>
      <c r="L232" s="12"/>
      <c r="M232" s="12" t="s">
        <v>3426</v>
      </c>
      <c r="N232" s="12"/>
      <c r="O232" s="12" t="s">
        <v>3427</v>
      </c>
      <c r="P232" s="12" t="str">
        <f>HYPERLINK("https://ceds.ed.gov/cedselementdetails.aspx?termid=10591")</f>
        <v>https://ceds.ed.gov/cedselementdetails.aspx?termid=10591</v>
      </c>
      <c r="Q232" s="12" t="str">
        <f>HYPERLINK("https://ceds.ed.gov/elementComment.aspx?elementName=Included in Counted Family Size &amp;elementID=10591", "Click here to submit comment")</f>
        <v>Click here to submit comment</v>
      </c>
    </row>
    <row r="233" spans="1:17" ht="195" x14ac:dyDescent="0.25">
      <c r="A233" s="12" t="s">
        <v>7169</v>
      </c>
      <c r="B233" s="12" t="s">
        <v>7202</v>
      </c>
      <c r="C233" s="12" t="s">
        <v>7171</v>
      </c>
      <c r="D233" s="12" t="s">
        <v>7172</v>
      </c>
      <c r="E233" s="12" t="s">
        <v>3017</v>
      </c>
      <c r="F233" s="12" t="s">
        <v>3018</v>
      </c>
      <c r="G233" s="12" t="s">
        <v>12</v>
      </c>
      <c r="H233" s="12" t="s">
        <v>6540</v>
      </c>
      <c r="I233" s="12"/>
      <c r="J233" s="12" t="s">
        <v>1349</v>
      </c>
      <c r="K233" s="12"/>
      <c r="L233" s="12" t="s">
        <v>3019</v>
      </c>
      <c r="M233" s="12" t="s">
        <v>3020</v>
      </c>
      <c r="N233" s="12"/>
      <c r="O233" s="12" t="s">
        <v>3021</v>
      </c>
      <c r="P233" s="12" t="str">
        <f>HYPERLINK("https://ceds.ed.gov/cedselementdetails.aspx?termid=9115")</f>
        <v>https://ceds.ed.gov/cedselementdetails.aspx?termid=9115</v>
      </c>
      <c r="Q233" s="12" t="str">
        <f>HYPERLINK("https://ceds.ed.gov/elementComment.aspx?elementName=First Name &amp;elementID=9115", "Click here to submit comment")</f>
        <v>Click here to submit comment</v>
      </c>
    </row>
    <row r="234" spans="1:17" x14ac:dyDescent="0.25">
      <c r="A234" s="18" t="s">
        <v>7169</v>
      </c>
      <c r="B234" s="18" t="s">
        <v>7202</v>
      </c>
      <c r="C234" s="18" t="s">
        <v>7171</v>
      </c>
      <c r="D234" s="18" t="s">
        <v>7172</v>
      </c>
      <c r="E234" s="18" t="s">
        <v>4405</v>
      </c>
      <c r="F234" s="18" t="s">
        <v>4406</v>
      </c>
      <c r="G234" s="18" t="s">
        <v>12</v>
      </c>
      <c r="H234" s="18" t="s">
        <v>6540</v>
      </c>
      <c r="I234" s="18"/>
      <c r="J234" s="18" t="s">
        <v>1349</v>
      </c>
      <c r="K234" s="18"/>
      <c r="L234" s="12" t="s">
        <v>3078</v>
      </c>
      <c r="M234" s="18" t="s">
        <v>4407</v>
      </c>
      <c r="N234" s="18"/>
      <c r="O234" s="18" t="s">
        <v>4408</v>
      </c>
      <c r="P234" s="18" t="str">
        <f>HYPERLINK("https://ceds.ed.gov/cedselementdetails.aspx?termid=9184")</f>
        <v>https://ceds.ed.gov/cedselementdetails.aspx?termid=9184</v>
      </c>
      <c r="Q234" s="18" t="str">
        <f>HYPERLINK("https://ceds.ed.gov/elementComment.aspx?elementName=Middle Name &amp;elementID=9184", "Click here to submit comment")</f>
        <v>Click here to submit comment</v>
      </c>
    </row>
    <row r="235" spans="1:17" ht="90" x14ac:dyDescent="0.25">
      <c r="A235" s="18"/>
      <c r="B235" s="18"/>
      <c r="C235" s="18"/>
      <c r="D235" s="18"/>
      <c r="E235" s="18"/>
      <c r="F235" s="18"/>
      <c r="G235" s="18"/>
      <c r="H235" s="18"/>
      <c r="I235" s="18"/>
      <c r="J235" s="18"/>
      <c r="K235" s="18"/>
      <c r="L235" s="12" t="s">
        <v>3079</v>
      </c>
      <c r="M235" s="18"/>
      <c r="N235" s="18"/>
      <c r="O235" s="18"/>
      <c r="P235" s="18"/>
      <c r="Q235" s="18"/>
    </row>
    <row r="236" spans="1:17" x14ac:dyDescent="0.25">
      <c r="A236" s="18" t="s">
        <v>7169</v>
      </c>
      <c r="B236" s="18" t="s">
        <v>7202</v>
      </c>
      <c r="C236" s="18" t="s">
        <v>7171</v>
      </c>
      <c r="D236" s="18" t="s">
        <v>7172</v>
      </c>
      <c r="E236" s="18" t="s">
        <v>3684</v>
      </c>
      <c r="F236" s="18" t="s">
        <v>3685</v>
      </c>
      <c r="G236" s="18" t="s">
        <v>12</v>
      </c>
      <c r="H236" s="18" t="s">
        <v>6540</v>
      </c>
      <c r="I236" s="18"/>
      <c r="J236" s="18" t="s">
        <v>1349</v>
      </c>
      <c r="K236" s="18"/>
      <c r="L236" s="12" t="s">
        <v>3078</v>
      </c>
      <c r="M236" s="18" t="s">
        <v>3686</v>
      </c>
      <c r="N236" s="18" t="s">
        <v>3687</v>
      </c>
      <c r="O236" s="18" t="s">
        <v>3688</v>
      </c>
      <c r="P236" s="18" t="str">
        <f>HYPERLINK("https://ceds.ed.gov/cedselementdetails.aspx?termid=9172")</f>
        <v>https://ceds.ed.gov/cedselementdetails.aspx?termid=9172</v>
      </c>
      <c r="Q236" s="18" t="str">
        <f>HYPERLINK("https://ceds.ed.gov/elementComment.aspx?elementName=Last or Surname &amp;elementID=9172", "Click here to submit comment")</f>
        <v>Click here to submit comment</v>
      </c>
    </row>
    <row r="237" spans="1:17" ht="90" x14ac:dyDescent="0.25">
      <c r="A237" s="18"/>
      <c r="B237" s="18"/>
      <c r="C237" s="18"/>
      <c r="D237" s="18"/>
      <c r="E237" s="18"/>
      <c r="F237" s="18"/>
      <c r="G237" s="18"/>
      <c r="H237" s="18"/>
      <c r="I237" s="18"/>
      <c r="J237" s="18"/>
      <c r="K237" s="18"/>
      <c r="L237" s="12" t="s">
        <v>3079</v>
      </c>
      <c r="M237" s="18"/>
      <c r="N237" s="18"/>
      <c r="O237" s="18"/>
      <c r="P237" s="18"/>
      <c r="Q237" s="18"/>
    </row>
    <row r="238" spans="1:17" x14ac:dyDescent="0.25">
      <c r="A238" s="18" t="s">
        <v>7169</v>
      </c>
      <c r="B238" s="18" t="s">
        <v>7202</v>
      </c>
      <c r="C238" s="18" t="s">
        <v>7171</v>
      </c>
      <c r="D238" s="18" t="s">
        <v>7172</v>
      </c>
      <c r="E238" s="18" t="s">
        <v>3076</v>
      </c>
      <c r="F238" s="18" t="s">
        <v>3077</v>
      </c>
      <c r="G238" s="18" t="s">
        <v>12</v>
      </c>
      <c r="H238" s="18" t="s">
        <v>6543</v>
      </c>
      <c r="I238" s="18"/>
      <c r="J238" s="18" t="s">
        <v>2143</v>
      </c>
      <c r="K238" s="18"/>
      <c r="L238" s="12" t="s">
        <v>3078</v>
      </c>
      <c r="M238" s="18" t="s">
        <v>3080</v>
      </c>
      <c r="N238" s="18"/>
      <c r="O238" s="18" t="s">
        <v>3081</v>
      </c>
      <c r="P238" s="18" t="str">
        <f>HYPERLINK("https://ceds.ed.gov/cedselementdetails.aspx?termid=9121")</f>
        <v>https://ceds.ed.gov/cedselementdetails.aspx?termid=9121</v>
      </c>
      <c r="Q238" s="18" t="str">
        <f>HYPERLINK("https://ceds.ed.gov/elementComment.aspx?elementName=Generation Code or Suffix &amp;elementID=9121", "Click here to submit comment")</f>
        <v>Click here to submit comment</v>
      </c>
    </row>
    <row r="239" spans="1:17" ht="90" x14ac:dyDescent="0.25">
      <c r="A239" s="18"/>
      <c r="B239" s="18"/>
      <c r="C239" s="18"/>
      <c r="D239" s="18"/>
      <c r="E239" s="18"/>
      <c r="F239" s="18"/>
      <c r="G239" s="18"/>
      <c r="H239" s="18"/>
      <c r="I239" s="18"/>
      <c r="J239" s="18"/>
      <c r="K239" s="18"/>
      <c r="L239" s="12" t="s">
        <v>3079</v>
      </c>
      <c r="M239" s="18"/>
      <c r="N239" s="18"/>
      <c r="O239" s="18"/>
      <c r="P239" s="18"/>
      <c r="Q239" s="18"/>
    </row>
    <row r="240" spans="1:17" ht="105" x14ac:dyDescent="0.25">
      <c r="A240" s="12" t="s">
        <v>7169</v>
      </c>
      <c r="B240" s="12" t="s">
        <v>7202</v>
      </c>
      <c r="C240" s="12" t="s">
        <v>7171</v>
      </c>
      <c r="D240" s="12" t="s">
        <v>7172</v>
      </c>
      <c r="E240" s="12" t="s">
        <v>4835</v>
      </c>
      <c r="F240" s="12" t="s">
        <v>4836</v>
      </c>
      <c r="G240" s="12" t="s">
        <v>12</v>
      </c>
      <c r="H240" s="12" t="s">
        <v>6627</v>
      </c>
      <c r="I240" s="12"/>
      <c r="J240" s="12" t="s">
        <v>92</v>
      </c>
      <c r="K240" s="12"/>
      <c r="L240" s="12"/>
      <c r="M240" s="12" t="s">
        <v>4837</v>
      </c>
      <c r="N240" s="12" t="s">
        <v>4838</v>
      </c>
      <c r="O240" s="12" t="s">
        <v>4839</v>
      </c>
      <c r="P240" s="12" t="str">
        <f>HYPERLINK("https://ceds.ed.gov/cedselementdetails.aspx?termid=9212")</f>
        <v>https://ceds.ed.gov/cedselementdetails.aspx?termid=9212</v>
      </c>
      <c r="Q240" s="12" t="str">
        <f>HYPERLINK("https://ceds.ed.gov/elementComment.aspx?elementName=Personal Title or Prefix &amp;elementID=9212", "Click here to submit comment")</f>
        <v>Click here to submit comment</v>
      </c>
    </row>
    <row r="241" spans="1:17" ht="165" x14ac:dyDescent="0.25">
      <c r="A241" s="12" t="s">
        <v>7169</v>
      </c>
      <c r="B241" s="12" t="s">
        <v>7202</v>
      </c>
      <c r="C241" s="12" t="s">
        <v>7173</v>
      </c>
      <c r="D241" s="12" t="s">
        <v>7172</v>
      </c>
      <c r="E241" s="12" t="s">
        <v>4724</v>
      </c>
      <c r="F241" s="12" t="s">
        <v>4725</v>
      </c>
      <c r="G241" s="13" t="s">
        <v>7046</v>
      </c>
      <c r="H241" s="12" t="s">
        <v>6619</v>
      </c>
      <c r="I241" s="12"/>
      <c r="J241" s="12" t="s">
        <v>92</v>
      </c>
      <c r="K241" s="12"/>
      <c r="L241" s="12"/>
      <c r="M241" s="12" t="s">
        <v>4726</v>
      </c>
      <c r="N241" s="12"/>
      <c r="O241" s="12" t="s">
        <v>4727</v>
      </c>
      <c r="P241" s="12" t="str">
        <f>HYPERLINK("https://ceds.ed.gov/cedselementdetails.aspx?termid=9627")</f>
        <v>https://ceds.ed.gov/cedselementdetails.aspx?termid=9627</v>
      </c>
      <c r="Q241" s="12" t="str">
        <f>HYPERLINK("https://ceds.ed.gov/elementComment.aspx?elementName=Other Name Type &amp;elementID=9627", "Click here to submit comment")</f>
        <v>Click here to submit comment</v>
      </c>
    </row>
    <row r="242" spans="1:17" ht="30" x14ac:dyDescent="0.25">
      <c r="A242" s="12" t="s">
        <v>7169</v>
      </c>
      <c r="B242" s="12" t="s">
        <v>7202</v>
      </c>
      <c r="C242" s="12" t="s">
        <v>7173</v>
      </c>
      <c r="D242" s="12" t="s">
        <v>7172</v>
      </c>
      <c r="E242" s="12" t="s">
        <v>4705</v>
      </c>
      <c r="F242" s="12" t="s">
        <v>4706</v>
      </c>
      <c r="G242" s="12" t="s">
        <v>12</v>
      </c>
      <c r="H242" s="12"/>
      <c r="I242" s="12"/>
      <c r="J242" s="12" t="s">
        <v>1349</v>
      </c>
      <c r="K242" s="12"/>
      <c r="L242" s="12" t="s">
        <v>4707</v>
      </c>
      <c r="M242" s="12" t="s">
        <v>4708</v>
      </c>
      <c r="N242" s="12"/>
      <c r="O242" s="12" t="s">
        <v>4709</v>
      </c>
      <c r="P242" s="12" t="str">
        <f>HYPERLINK("https://ceds.ed.gov/cedselementdetails.aspx?termid=10486")</f>
        <v>https://ceds.ed.gov/cedselementdetails.aspx?termid=10486</v>
      </c>
      <c r="Q242" s="12" t="str">
        <f>HYPERLINK("https://ceds.ed.gov/elementComment.aspx?elementName=Other First Name &amp;elementID=10486", "Click here to submit comment")</f>
        <v>Click here to submit comment</v>
      </c>
    </row>
    <row r="243" spans="1:17" ht="30" x14ac:dyDescent="0.25">
      <c r="A243" s="12" t="s">
        <v>7169</v>
      </c>
      <c r="B243" s="12" t="s">
        <v>7202</v>
      </c>
      <c r="C243" s="12" t="s">
        <v>7173</v>
      </c>
      <c r="D243" s="12" t="s">
        <v>7172</v>
      </c>
      <c r="E243" s="12" t="s">
        <v>4710</v>
      </c>
      <c r="F243" s="12" t="s">
        <v>4711</v>
      </c>
      <c r="G243" s="12" t="s">
        <v>12</v>
      </c>
      <c r="H243" s="12"/>
      <c r="I243" s="12"/>
      <c r="J243" s="12" t="s">
        <v>1349</v>
      </c>
      <c r="K243" s="12"/>
      <c r="L243" s="12" t="s">
        <v>4712</v>
      </c>
      <c r="M243" s="12" t="s">
        <v>4713</v>
      </c>
      <c r="N243" s="12"/>
      <c r="O243" s="12" t="s">
        <v>4714</v>
      </c>
      <c r="P243" s="12" t="str">
        <f>HYPERLINK("https://ceds.ed.gov/cedselementdetails.aspx?termid=10485")</f>
        <v>https://ceds.ed.gov/cedselementdetails.aspx?termid=10485</v>
      </c>
      <c r="Q243" s="12" t="str">
        <f>HYPERLINK("https://ceds.ed.gov/elementComment.aspx?elementName=Other Last Name &amp;elementID=10485", "Click here to submit comment")</f>
        <v>Click here to submit comment</v>
      </c>
    </row>
    <row r="244" spans="1:17" ht="30" x14ac:dyDescent="0.25">
      <c r="A244" s="12" t="s">
        <v>7169</v>
      </c>
      <c r="B244" s="12" t="s">
        <v>7202</v>
      </c>
      <c r="C244" s="12" t="s">
        <v>7173</v>
      </c>
      <c r="D244" s="12" t="s">
        <v>7172</v>
      </c>
      <c r="E244" s="12" t="s">
        <v>4715</v>
      </c>
      <c r="F244" s="12" t="s">
        <v>4716</v>
      </c>
      <c r="G244" s="12" t="s">
        <v>12</v>
      </c>
      <c r="H244" s="12"/>
      <c r="I244" s="12"/>
      <c r="J244" s="12" t="s">
        <v>1349</v>
      </c>
      <c r="K244" s="12"/>
      <c r="L244" s="12" t="s">
        <v>4717</v>
      </c>
      <c r="M244" s="12" t="s">
        <v>4718</v>
      </c>
      <c r="N244" s="12"/>
      <c r="O244" s="12" t="s">
        <v>4719</v>
      </c>
      <c r="P244" s="12" t="str">
        <f>HYPERLINK("https://ceds.ed.gov/cedselementdetails.aspx?termid=10487")</f>
        <v>https://ceds.ed.gov/cedselementdetails.aspx?termid=10487</v>
      </c>
      <c r="Q244" s="12" t="str">
        <f>HYPERLINK("https://ceds.ed.gov/elementComment.aspx?elementName=Other Middle Name &amp;elementID=10487", "Click here to submit comment")</f>
        <v>Click here to submit comment</v>
      </c>
    </row>
    <row r="245" spans="1:17" ht="150" x14ac:dyDescent="0.25">
      <c r="A245" s="12" t="s">
        <v>7169</v>
      </c>
      <c r="B245" s="12" t="s">
        <v>7202</v>
      </c>
      <c r="C245" s="12" t="s">
        <v>7173</v>
      </c>
      <c r="D245" s="12" t="s">
        <v>7172</v>
      </c>
      <c r="E245" s="12" t="s">
        <v>4720</v>
      </c>
      <c r="F245" s="12" t="s">
        <v>4721</v>
      </c>
      <c r="G245" s="12" t="s">
        <v>12</v>
      </c>
      <c r="H245" s="12" t="s">
        <v>6543</v>
      </c>
      <c r="I245" s="12"/>
      <c r="J245" s="12" t="s">
        <v>142</v>
      </c>
      <c r="K245" s="12"/>
      <c r="L245" s="12"/>
      <c r="M245" s="12" t="s">
        <v>4722</v>
      </c>
      <c r="N245" s="12"/>
      <c r="O245" s="12" t="s">
        <v>4723</v>
      </c>
      <c r="P245" s="12" t="str">
        <f>HYPERLINK("https://ceds.ed.gov/cedselementdetails.aspx?termid=9206")</f>
        <v>https://ceds.ed.gov/cedselementdetails.aspx?termid=9206</v>
      </c>
      <c r="Q245" s="12" t="str">
        <f>HYPERLINK("https://ceds.ed.gov/elementComment.aspx?elementName=Other Name &amp;elementID=9206", "Click here to submit comment")</f>
        <v>Click here to submit comment</v>
      </c>
    </row>
    <row r="246" spans="1:17" ht="375" x14ac:dyDescent="0.25">
      <c r="A246" s="12" t="s">
        <v>7169</v>
      </c>
      <c r="B246" s="12" t="s">
        <v>7202</v>
      </c>
      <c r="C246" s="12" t="s">
        <v>7174</v>
      </c>
      <c r="D246" s="12" t="s">
        <v>7176</v>
      </c>
      <c r="E246" s="12" t="s">
        <v>4807</v>
      </c>
      <c r="F246" s="12" t="s">
        <v>4808</v>
      </c>
      <c r="G246" s="13" t="s">
        <v>7051</v>
      </c>
      <c r="H246" s="12"/>
      <c r="I246" s="12"/>
      <c r="J246" s="12"/>
      <c r="K246" s="12"/>
      <c r="L246" s="12"/>
      <c r="M246" s="12" t="s">
        <v>4809</v>
      </c>
      <c r="N246" s="12"/>
      <c r="O246" s="12" t="s">
        <v>4810</v>
      </c>
      <c r="P246" s="12" t="str">
        <f>HYPERLINK("https://ceds.ed.gov/cedselementdetails.aspx?termid=10550")</f>
        <v>https://ceds.ed.gov/cedselementdetails.aspx?termid=10550</v>
      </c>
      <c r="Q246" s="12" t="str">
        <f>HYPERLINK("https://ceds.ed.gov/elementComment.aspx?elementName=Person Identification System &amp;elementID=10550", "Click here to submit comment")</f>
        <v>Click here to submit comment</v>
      </c>
    </row>
    <row r="247" spans="1:17" ht="105" x14ac:dyDescent="0.25">
      <c r="A247" s="18" t="s">
        <v>7169</v>
      </c>
      <c r="B247" s="18" t="s">
        <v>7202</v>
      </c>
      <c r="C247" s="18" t="s">
        <v>7174</v>
      </c>
      <c r="D247" s="18" t="s">
        <v>7176</v>
      </c>
      <c r="E247" s="18" t="s">
        <v>4811</v>
      </c>
      <c r="F247" s="18" t="s">
        <v>4812</v>
      </c>
      <c r="G247" s="18" t="s">
        <v>12</v>
      </c>
      <c r="H247" s="18"/>
      <c r="I247" s="18"/>
      <c r="J247" s="18" t="s">
        <v>142</v>
      </c>
      <c r="K247" s="18"/>
      <c r="L247" s="12" t="s">
        <v>143</v>
      </c>
      <c r="M247" s="18" t="s">
        <v>4813</v>
      </c>
      <c r="N247" s="18"/>
      <c r="O247" s="18" t="s">
        <v>4814</v>
      </c>
      <c r="P247" s="18" t="str">
        <f>HYPERLINK("https://ceds.ed.gov/cedselementdetails.aspx?termid=10551")</f>
        <v>https://ceds.ed.gov/cedselementdetails.aspx?termid=10551</v>
      </c>
      <c r="Q247" s="18" t="str">
        <f>HYPERLINK("https://ceds.ed.gov/elementComment.aspx?elementName=Person Identifier &amp;elementID=10551", "Click here to submit comment")</f>
        <v>Click here to submit comment</v>
      </c>
    </row>
    <row r="248" spans="1:17" x14ac:dyDescent="0.25">
      <c r="A248" s="18"/>
      <c r="B248" s="18"/>
      <c r="C248" s="18"/>
      <c r="D248" s="18"/>
      <c r="E248" s="18"/>
      <c r="F248" s="18"/>
      <c r="G248" s="18"/>
      <c r="H248" s="18"/>
      <c r="I248" s="18"/>
      <c r="J248" s="18"/>
      <c r="K248" s="18"/>
      <c r="L248" s="12"/>
      <c r="M248" s="18"/>
      <c r="N248" s="18"/>
      <c r="O248" s="18"/>
      <c r="P248" s="18"/>
      <c r="Q248" s="18"/>
    </row>
    <row r="249" spans="1:17" ht="90" x14ac:dyDescent="0.25">
      <c r="A249" s="18"/>
      <c r="B249" s="18"/>
      <c r="C249" s="18"/>
      <c r="D249" s="18"/>
      <c r="E249" s="18"/>
      <c r="F249" s="18"/>
      <c r="G249" s="18"/>
      <c r="H249" s="18"/>
      <c r="I249" s="18"/>
      <c r="J249" s="18"/>
      <c r="K249" s="18"/>
      <c r="L249" s="12" t="s">
        <v>144</v>
      </c>
      <c r="M249" s="18"/>
      <c r="N249" s="18"/>
      <c r="O249" s="18"/>
      <c r="P249" s="18"/>
      <c r="Q249" s="18"/>
    </row>
    <row r="250" spans="1:17" ht="165" x14ac:dyDescent="0.25">
      <c r="A250" s="12" t="s">
        <v>7169</v>
      </c>
      <c r="B250" s="12" t="s">
        <v>7202</v>
      </c>
      <c r="C250" s="12" t="s">
        <v>7203</v>
      </c>
      <c r="D250" s="12" t="s">
        <v>7172</v>
      </c>
      <c r="E250" s="12" t="s">
        <v>2225</v>
      </c>
      <c r="F250" s="12" t="s">
        <v>2226</v>
      </c>
      <c r="G250" s="13" t="s">
        <v>6853</v>
      </c>
      <c r="H250" s="12" t="s">
        <v>6393</v>
      </c>
      <c r="I250" s="12"/>
      <c r="J250" s="12"/>
      <c r="K250" s="12"/>
      <c r="L250" s="12"/>
      <c r="M250" s="12" t="s">
        <v>2228</v>
      </c>
      <c r="N250" s="12"/>
      <c r="O250" s="12" t="s">
        <v>2229</v>
      </c>
      <c r="P250" s="12" t="str">
        <f>HYPERLINK("https://ceds.ed.gov/cedselementdetails.aspx?termid=9328")</f>
        <v>https://ceds.ed.gov/cedselementdetails.aspx?termid=9328</v>
      </c>
      <c r="Q250" s="12" t="str">
        <f>HYPERLINK("https://ceds.ed.gov/elementComment.aspx?elementName=Custodial Parent or Guardian Indicator &amp;elementID=9328", "Click here to submit comment")</f>
        <v>Click here to submit comment</v>
      </c>
    </row>
    <row r="251" spans="1:17" ht="225" x14ac:dyDescent="0.25">
      <c r="A251" s="12" t="s">
        <v>7169</v>
      </c>
      <c r="B251" s="12" t="s">
        <v>7202</v>
      </c>
      <c r="C251" s="12" t="s">
        <v>7203</v>
      </c>
      <c r="D251" s="12" t="s">
        <v>7172</v>
      </c>
      <c r="E251" s="12" t="s">
        <v>1760</v>
      </c>
      <c r="F251" s="12" t="s">
        <v>1761</v>
      </c>
      <c r="G251" s="13" t="s">
        <v>6816</v>
      </c>
      <c r="H251" s="12" t="s">
        <v>6450</v>
      </c>
      <c r="I251" s="12"/>
      <c r="J251" s="12"/>
      <c r="K251" s="12"/>
      <c r="L251" s="12"/>
      <c r="M251" s="12" t="s">
        <v>1762</v>
      </c>
      <c r="N251" s="12"/>
      <c r="O251" s="12" t="s">
        <v>1763</v>
      </c>
      <c r="P251" s="12" t="str">
        <f>HYPERLINK("https://ceds.ed.gov/cedselementdetails.aspx?termid=9782")</f>
        <v>https://ceds.ed.gov/cedselementdetails.aspx?termid=9782</v>
      </c>
      <c r="Q251" s="12" t="str">
        <f>HYPERLINK("https://ceds.ed.gov/elementComment.aspx?elementName=Child Identification System &amp;elementID=9782", "Click here to submit comment")</f>
        <v>Click here to submit comment</v>
      </c>
    </row>
    <row r="252" spans="1:17" ht="409.5" x14ac:dyDescent="0.25">
      <c r="A252" s="12" t="s">
        <v>7169</v>
      </c>
      <c r="B252" s="12" t="s">
        <v>7202</v>
      </c>
      <c r="C252" s="12" t="s">
        <v>7203</v>
      </c>
      <c r="D252" s="12" t="s">
        <v>7172</v>
      </c>
      <c r="E252" s="12" t="s">
        <v>4827</v>
      </c>
      <c r="F252" s="12" t="s">
        <v>4828</v>
      </c>
      <c r="G252" s="13" t="s">
        <v>7052</v>
      </c>
      <c r="H252" s="12" t="s">
        <v>1578</v>
      </c>
      <c r="I252" s="12"/>
      <c r="J252" s="12"/>
      <c r="K252" s="12"/>
      <c r="L252" s="12"/>
      <c r="M252" s="12" t="s">
        <v>4829</v>
      </c>
      <c r="N252" s="12"/>
      <c r="O252" s="12" t="s">
        <v>4830</v>
      </c>
      <c r="P252" s="12" t="str">
        <f>HYPERLINK("https://ceds.ed.gov/cedselementdetails.aspx?termid=9415")</f>
        <v>https://ceds.ed.gov/cedselementdetails.aspx?termid=9415</v>
      </c>
      <c r="Q252" s="12" t="str">
        <f>HYPERLINK("https://ceds.ed.gov/elementComment.aspx?elementName=Person Relationship to Learner Type &amp;elementID=9415", "Click here to submit comment")</f>
        <v>Click here to submit comment</v>
      </c>
    </row>
    <row r="253" spans="1:17" ht="45" x14ac:dyDescent="0.25">
      <c r="A253" s="12" t="s">
        <v>7169</v>
      </c>
      <c r="B253" s="12" t="s">
        <v>7202</v>
      </c>
      <c r="C253" s="12" t="s">
        <v>7203</v>
      </c>
      <c r="D253" s="12" t="s">
        <v>7172</v>
      </c>
      <c r="E253" s="12" t="s">
        <v>2670</v>
      </c>
      <c r="F253" s="12" t="s">
        <v>2671</v>
      </c>
      <c r="G253" s="12" t="s">
        <v>6364</v>
      </c>
      <c r="H253" s="12"/>
      <c r="I253" s="12"/>
      <c r="J253" s="12"/>
      <c r="K253" s="12"/>
      <c r="L253" s="12"/>
      <c r="M253" s="12" t="s">
        <v>2672</v>
      </c>
      <c r="N253" s="12"/>
      <c r="O253" s="12" t="s">
        <v>2673</v>
      </c>
      <c r="P253" s="12" t="str">
        <f>HYPERLINK("https://ceds.ed.gov/cedselementdetails.aspx?termid=10308")</f>
        <v>https://ceds.ed.gov/cedselementdetails.aspx?termid=10308</v>
      </c>
      <c r="Q253" s="12" t="str">
        <f>HYPERLINK("https://ceds.ed.gov/elementComment.aspx?elementName=Emergency Contact Indicator &amp;elementID=10308", "Click here to submit comment")</f>
        <v>Click here to submit comment</v>
      </c>
    </row>
    <row r="254" spans="1:17" ht="45" x14ac:dyDescent="0.25">
      <c r="A254" s="12" t="s">
        <v>7169</v>
      </c>
      <c r="B254" s="12" t="s">
        <v>7202</v>
      </c>
      <c r="C254" s="12" t="s">
        <v>7203</v>
      </c>
      <c r="D254" s="12" t="s">
        <v>7172</v>
      </c>
      <c r="E254" s="12" t="s">
        <v>3424</v>
      </c>
      <c r="F254" s="12" t="s">
        <v>3425</v>
      </c>
      <c r="G254" s="12" t="s">
        <v>6364</v>
      </c>
      <c r="H254" s="12"/>
      <c r="I254" s="12"/>
      <c r="J254" s="12"/>
      <c r="K254" s="12"/>
      <c r="L254" s="12"/>
      <c r="M254" s="12" t="s">
        <v>3426</v>
      </c>
      <c r="N254" s="12"/>
      <c r="O254" s="12" t="s">
        <v>3427</v>
      </c>
      <c r="P254" s="12" t="str">
        <f>HYPERLINK("https://ceds.ed.gov/cedselementdetails.aspx?termid=10591")</f>
        <v>https://ceds.ed.gov/cedselementdetails.aspx?termid=10591</v>
      </c>
      <c r="Q254" s="12" t="str">
        <f>HYPERLINK("https://ceds.ed.gov/elementComment.aspx?elementName=Included in Counted Family Size &amp;elementID=10591", "Click here to submit comment")</f>
        <v>Click here to submit comment</v>
      </c>
    </row>
    <row r="255" spans="1:17" ht="45" x14ac:dyDescent="0.25">
      <c r="A255" s="12" t="s">
        <v>7169</v>
      </c>
      <c r="B255" s="12" t="s">
        <v>7202</v>
      </c>
      <c r="C255" s="12" t="s">
        <v>7203</v>
      </c>
      <c r="D255" s="12" t="s">
        <v>7172</v>
      </c>
      <c r="E255" s="12" t="s">
        <v>4815</v>
      </c>
      <c r="F255" s="12" t="s">
        <v>4816</v>
      </c>
      <c r="G255" s="12" t="s">
        <v>12</v>
      </c>
      <c r="H255" s="12"/>
      <c r="I255" s="12"/>
      <c r="J255" s="12" t="s">
        <v>620</v>
      </c>
      <c r="K255" s="12"/>
      <c r="L255" s="12"/>
      <c r="M255" s="12" t="s">
        <v>4817</v>
      </c>
      <c r="N255" s="12"/>
      <c r="O255" s="12" t="s">
        <v>4818</v>
      </c>
      <c r="P255" s="12" t="str">
        <f>HYPERLINK("https://ceds.ed.gov/cedselementdetails.aspx?termid=10392")</f>
        <v>https://ceds.ed.gov/cedselementdetails.aspx?termid=10392</v>
      </c>
      <c r="Q255" s="12" t="str">
        <f>HYPERLINK("https://ceds.ed.gov/elementComment.aspx?elementName=Person Relationship to Learner Contact Priority Number &amp;elementID=10392", "Click here to submit comment")</f>
        <v>Click here to submit comment</v>
      </c>
    </row>
    <row r="256" spans="1:17" ht="60" x14ac:dyDescent="0.25">
      <c r="A256" s="12" t="s">
        <v>7169</v>
      </c>
      <c r="B256" s="12" t="s">
        <v>7202</v>
      </c>
      <c r="C256" s="12" t="s">
        <v>7203</v>
      </c>
      <c r="D256" s="12" t="s">
        <v>7172</v>
      </c>
      <c r="E256" s="12" t="s">
        <v>4819</v>
      </c>
      <c r="F256" s="12" t="s">
        <v>4820</v>
      </c>
      <c r="G256" s="12" t="s">
        <v>12</v>
      </c>
      <c r="H256" s="12"/>
      <c r="I256" s="12"/>
      <c r="J256" s="12" t="s">
        <v>327</v>
      </c>
      <c r="K256" s="12"/>
      <c r="L256" s="12"/>
      <c r="M256" s="12" t="s">
        <v>4821</v>
      </c>
      <c r="N256" s="12"/>
      <c r="O256" s="12" t="s">
        <v>4822</v>
      </c>
      <c r="P256" s="12" t="str">
        <f>HYPERLINK("https://ceds.ed.gov/cedselementdetails.aspx?termid=10393")</f>
        <v>https://ceds.ed.gov/cedselementdetails.aspx?termid=10393</v>
      </c>
      <c r="Q256" s="12" t="str">
        <f>HYPERLINK("https://ceds.ed.gov/elementComment.aspx?elementName=Person Relationship to Learner Contact Restrictions Description &amp;elementID=10393", "Click here to submit comment")</f>
        <v>Click here to submit comment</v>
      </c>
    </row>
    <row r="257" spans="1:17" ht="45" x14ac:dyDescent="0.25">
      <c r="A257" s="12" t="s">
        <v>7169</v>
      </c>
      <c r="B257" s="12" t="s">
        <v>7202</v>
      </c>
      <c r="C257" s="12" t="s">
        <v>7203</v>
      </c>
      <c r="D257" s="12" t="s">
        <v>7172</v>
      </c>
      <c r="E257" s="12" t="s">
        <v>4823</v>
      </c>
      <c r="F257" s="12" t="s">
        <v>4824</v>
      </c>
      <c r="G257" s="12" t="s">
        <v>6364</v>
      </c>
      <c r="H257" s="12"/>
      <c r="I257" s="12"/>
      <c r="J257" s="12"/>
      <c r="K257" s="12"/>
      <c r="L257" s="12"/>
      <c r="M257" s="12" t="s">
        <v>4825</v>
      </c>
      <c r="N257" s="12"/>
      <c r="O257" s="12" t="s">
        <v>4826</v>
      </c>
      <c r="P257" s="12" t="str">
        <f>HYPERLINK("https://ceds.ed.gov/cedselementdetails.aspx?termid=10394")</f>
        <v>https://ceds.ed.gov/cedselementdetails.aspx?termid=10394</v>
      </c>
      <c r="Q257" s="12" t="str">
        <f>HYPERLINK("https://ceds.ed.gov/elementComment.aspx?elementName=Person Relationship to Learner Lives With Indicator &amp;elementID=10394", "Click here to submit comment")</f>
        <v>Click here to submit comment</v>
      </c>
    </row>
    <row r="258" spans="1:17" ht="90" x14ac:dyDescent="0.25">
      <c r="A258" s="12" t="s">
        <v>7169</v>
      </c>
      <c r="B258" s="12" t="s">
        <v>7202</v>
      </c>
      <c r="C258" s="12" t="s">
        <v>7203</v>
      </c>
      <c r="D258" s="12" t="s">
        <v>7172</v>
      </c>
      <c r="E258" s="12" t="s">
        <v>4926</v>
      </c>
      <c r="F258" s="12" t="s">
        <v>4927</v>
      </c>
      <c r="G258" s="12" t="s">
        <v>6364</v>
      </c>
      <c r="H258" s="12"/>
      <c r="I258" s="12"/>
      <c r="J258" s="12"/>
      <c r="K258" s="12"/>
      <c r="L258" s="12"/>
      <c r="M258" s="12" t="s">
        <v>4928</v>
      </c>
      <c r="N258" s="12"/>
      <c r="O258" s="12" t="s">
        <v>4929</v>
      </c>
      <c r="P258" s="12" t="str">
        <f>HYPERLINK("https://ceds.ed.gov/cedselementdetails.aspx?termid=10397")</f>
        <v>https://ceds.ed.gov/cedselementdetails.aspx?termid=10397</v>
      </c>
      <c r="Q258" s="12" t="str">
        <f>HYPERLINK("https://ceds.ed.gov/elementComment.aspx?elementName=Primary Contact Indicator &amp;elementID=10397", "Click here to submit comment")</f>
        <v>Click here to submit comment</v>
      </c>
    </row>
    <row r="259" spans="1:17" ht="210" x14ac:dyDescent="0.25">
      <c r="A259" s="12" t="s">
        <v>7169</v>
      </c>
      <c r="B259" s="12" t="s">
        <v>7202</v>
      </c>
      <c r="C259" s="12" t="s">
        <v>7175</v>
      </c>
      <c r="D259" s="12" t="s">
        <v>7172</v>
      </c>
      <c r="E259" s="12" t="s">
        <v>193</v>
      </c>
      <c r="F259" s="12" t="s">
        <v>194</v>
      </c>
      <c r="G259" s="13" t="s">
        <v>6726</v>
      </c>
      <c r="H259" s="12" t="s">
        <v>6380</v>
      </c>
      <c r="I259" s="12"/>
      <c r="J259" s="12" t="s">
        <v>92</v>
      </c>
      <c r="K259" s="12"/>
      <c r="L259" s="12"/>
      <c r="M259" s="12" t="s">
        <v>195</v>
      </c>
      <c r="N259" s="12"/>
      <c r="O259" s="12" t="s">
        <v>196</v>
      </c>
      <c r="P259" s="12" t="str">
        <f>HYPERLINK("https://ceds.ed.gov/cedselementdetails.aspx?termid=9358")</f>
        <v>https://ceds.ed.gov/cedselementdetails.aspx?termid=9358</v>
      </c>
      <c r="Q259" s="12" t="str">
        <f>HYPERLINK("https://ceds.ed.gov/elementComment.aspx?elementName=Address Type for Learner or Family &amp;elementID=9358", "Click here to submit comment")</f>
        <v>Click here to submit comment</v>
      </c>
    </row>
    <row r="260" spans="1:17" ht="225" x14ac:dyDescent="0.25">
      <c r="A260" s="12" t="s">
        <v>7169</v>
      </c>
      <c r="B260" s="12" t="s">
        <v>7202</v>
      </c>
      <c r="C260" s="12" t="s">
        <v>7175</v>
      </c>
      <c r="D260" s="12" t="s">
        <v>7172</v>
      </c>
      <c r="E260" s="12" t="s">
        <v>189</v>
      </c>
      <c r="F260" s="12" t="s">
        <v>190</v>
      </c>
      <c r="G260" s="12" t="s">
        <v>12</v>
      </c>
      <c r="H260" s="12" t="s">
        <v>6377</v>
      </c>
      <c r="I260" s="12"/>
      <c r="J260" s="12" t="s">
        <v>142</v>
      </c>
      <c r="K260" s="12"/>
      <c r="L260" s="12"/>
      <c r="M260" s="12" t="s">
        <v>191</v>
      </c>
      <c r="N260" s="12"/>
      <c r="O260" s="12" t="s">
        <v>192</v>
      </c>
      <c r="P260" s="12" t="str">
        <f>HYPERLINK("https://ceds.ed.gov/cedselementdetails.aspx?termid=9269")</f>
        <v>https://ceds.ed.gov/cedselementdetails.aspx?termid=9269</v>
      </c>
      <c r="Q260" s="12" t="str">
        <f>HYPERLINK("https://ceds.ed.gov/elementComment.aspx?elementName=Address Street Number and Name &amp;elementID=9269", "Click here to submit comment")</f>
        <v>Click here to submit comment</v>
      </c>
    </row>
    <row r="261" spans="1:17" ht="225" x14ac:dyDescent="0.25">
      <c r="A261" s="12" t="s">
        <v>7169</v>
      </c>
      <c r="B261" s="12" t="s">
        <v>7202</v>
      </c>
      <c r="C261" s="12" t="s">
        <v>7175</v>
      </c>
      <c r="D261" s="12" t="s">
        <v>7172</v>
      </c>
      <c r="E261" s="12" t="s">
        <v>172</v>
      </c>
      <c r="F261" s="12" t="s">
        <v>173</v>
      </c>
      <c r="G261" s="12" t="s">
        <v>12</v>
      </c>
      <c r="H261" s="12" t="s">
        <v>6377</v>
      </c>
      <c r="I261" s="12"/>
      <c r="J261" s="12" t="s">
        <v>92</v>
      </c>
      <c r="K261" s="12"/>
      <c r="L261" s="12"/>
      <c r="M261" s="12" t="s">
        <v>174</v>
      </c>
      <c r="N261" s="12"/>
      <c r="O261" s="12" t="s">
        <v>175</v>
      </c>
      <c r="P261" s="12" t="str">
        <f>HYPERLINK("https://ceds.ed.gov/cedselementdetails.aspx?termid=9019")</f>
        <v>https://ceds.ed.gov/cedselementdetails.aspx?termid=9019</v>
      </c>
      <c r="Q261" s="12" t="str">
        <f>HYPERLINK("https://ceds.ed.gov/elementComment.aspx?elementName=Address Apartment Room or Suite Number &amp;elementID=9019", "Click here to submit comment")</f>
        <v>Click here to submit comment</v>
      </c>
    </row>
    <row r="262" spans="1:17" ht="225" x14ac:dyDescent="0.25">
      <c r="A262" s="12" t="s">
        <v>7169</v>
      </c>
      <c r="B262" s="12" t="s">
        <v>7202</v>
      </c>
      <c r="C262" s="12" t="s">
        <v>7175</v>
      </c>
      <c r="D262" s="12" t="s">
        <v>7172</v>
      </c>
      <c r="E262" s="12" t="s">
        <v>176</v>
      </c>
      <c r="F262" s="12" t="s">
        <v>177</v>
      </c>
      <c r="G262" s="12" t="s">
        <v>12</v>
      </c>
      <c r="H262" s="12" t="s">
        <v>6377</v>
      </c>
      <c r="I262" s="12"/>
      <c r="J262" s="12" t="s">
        <v>92</v>
      </c>
      <c r="K262" s="12"/>
      <c r="L262" s="12"/>
      <c r="M262" s="12" t="s">
        <v>178</v>
      </c>
      <c r="N262" s="12"/>
      <c r="O262" s="12" t="s">
        <v>179</v>
      </c>
      <c r="P262" s="12" t="str">
        <f>HYPERLINK("https://ceds.ed.gov/cedselementdetails.aspx?termid=9040")</f>
        <v>https://ceds.ed.gov/cedselementdetails.aspx?termid=9040</v>
      </c>
      <c r="Q262" s="12" t="str">
        <f>HYPERLINK("https://ceds.ed.gov/elementComment.aspx?elementName=Address City &amp;elementID=9040", "Click here to submit comment")</f>
        <v>Click here to submit comment</v>
      </c>
    </row>
    <row r="263" spans="1:17" ht="409.5" x14ac:dyDescent="0.25">
      <c r="A263" s="12" t="s">
        <v>7169</v>
      </c>
      <c r="B263" s="12" t="s">
        <v>7202</v>
      </c>
      <c r="C263" s="12" t="s">
        <v>7175</v>
      </c>
      <c r="D263" s="12" t="s">
        <v>7172</v>
      </c>
      <c r="E263" s="12" t="s">
        <v>5898</v>
      </c>
      <c r="F263" s="12" t="s">
        <v>5899</v>
      </c>
      <c r="G263" s="13" t="s">
        <v>7120</v>
      </c>
      <c r="H263" s="12" t="s">
        <v>6678</v>
      </c>
      <c r="I263" s="12"/>
      <c r="J263" s="12"/>
      <c r="K263" s="12"/>
      <c r="L263" s="12"/>
      <c r="M263" s="12" t="s">
        <v>5900</v>
      </c>
      <c r="N263" s="12"/>
      <c r="O263" s="12" t="s">
        <v>5901</v>
      </c>
      <c r="P263" s="12" t="str">
        <f>HYPERLINK("https://ceds.ed.gov/cedselementdetails.aspx?termid=9267")</f>
        <v>https://ceds.ed.gov/cedselementdetails.aspx?termid=9267</v>
      </c>
      <c r="Q263" s="12" t="str">
        <f>HYPERLINK("https://ceds.ed.gov/elementComment.aspx?elementName=State Abbreviation &amp;elementID=9267", "Click here to submit comment")</f>
        <v>Click here to submit comment</v>
      </c>
    </row>
    <row r="264" spans="1:17" ht="225" x14ac:dyDescent="0.25">
      <c r="A264" s="12" t="s">
        <v>7169</v>
      </c>
      <c r="B264" s="12" t="s">
        <v>7202</v>
      </c>
      <c r="C264" s="12" t="s">
        <v>7175</v>
      </c>
      <c r="D264" s="12" t="s">
        <v>7172</v>
      </c>
      <c r="E264" s="12" t="s">
        <v>184</v>
      </c>
      <c r="F264" s="12" t="s">
        <v>185</v>
      </c>
      <c r="G264" s="12" t="s">
        <v>12</v>
      </c>
      <c r="H264" s="12" t="s">
        <v>6377</v>
      </c>
      <c r="I264" s="12"/>
      <c r="J264" s="12" t="s">
        <v>186</v>
      </c>
      <c r="K264" s="12"/>
      <c r="L264" s="12"/>
      <c r="M264" s="12" t="s">
        <v>187</v>
      </c>
      <c r="N264" s="12"/>
      <c r="O264" s="12" t="s">
        <v>188</v>
      </c>
      <c r="P264" s="12" t="str">
        <f>HYPERLINK("https://ceds.ed.gov/cedselementdetails.aspx?termid=9214")</f>
        <v>https://ceds.ed.gov/cedselementdetails.aspx?termid=9214</v>
      </c>
      <c r="Q264" s="12" t="str">
        <f>HYPERLINK("https://ceds.ed.gov/elementComment.aspx?elementName=Address Postal Code &amp;elementID=9214", "Click here to submit comment")</f>
        <v>Click here to submit comment</v>
      </c>
    </row>
    <row r="265" spans="1:17" ht="225" x14ac:dyDescent="0.25">
      <c r="A265" s="12" t="s">
        <v>7169</v>
      </c>
      <c r="B265" s="12" t="s">
        <v>7202</v>
      </c>
      <c r="C265" s="12" t="s">
        <v>7175</v>
      </c>
      <c r="D265" s="12" t="s">
        <v>7172</v>
      </c>
      <c r="E265" s="12" t="s">
        <v>180</v>
      </c>
      <c r="F265" s="12" t="s">
        <v>181</v>
      </c>
      <c r="G265" s="12" t="s">
        <v>12</v>
      </c>
      <c r="H265" s="12" t="s">
        <v>6377</v>
      </c>
      <c r="I265" s="12"/>
      <c r="J265" s="12" t="s">
        <v>92</v>
      </c>
      <c r="K265" s="12"/>
      <c r="L265" s="12"/>
      <c r="M265" s="12" t="s">
        <v>182</v>
      </c>
      <c r="N265" s="12"/>
      <c r="O265" s="12" t="s">
        <v>183</v>
      </c>
      <c r="P265" s="12" t="str">
        <f>HYPERLINK("https://ceds.ed.gov/cedselementdetails.aspx?termid=9190")</f>
        <v>https://ceds.ed.gov/cedselementdetails.aspx?termid=9190</v>
      </c>
      <c r="Q265" s="12" t="str">
        <f>HYPERLINK("https://ceds.ed.gov/elementComment.aspx?elementName=Address County Name &amp;elementID=9190", "Click here to submit comment")</f>
        <v>Click here to submit comment</v>
      </c>
    </row>
    <row r="266" spans="1:17" ht="409.5" x14ac:dyDescent="0.25">
      <c r="A266" s="12" t="s">
        <v>7169</v>
      </c>
      <c r="B266" s="12" t="s">
        <v>7202</v>
      </c>
      <c r="C266" s="12" t="s">
        <v>7175</v>
      </c>
      <c r="D266" s="12" t="s">
        <v>7172</v>
      </c>
      <c r="E266" s="12" t="s">
        <v>1934</v>
      </c>
      <c r="F266" s="12" t="s">
        <v>1935</v>
      </c>
      <c r="G266" s="13" t="s">
        <v>6829</v>
      </c>
      <c r="H266" s="12" t="s">
        <v>6467</v>
      </c>
      <c r="I266" s="12" t="s">
        <v>98</v>
      </c>
      <c r="J266" s="12"/>
      <c r="K266" s="12"/>
      <c r="L266" s="14" t="s">
        <v>1936</v>
      </c>
      <c r="M266" s="12" t="s">
        <v>1937</v>
      </c>
      <c r="N266" s="12"/>
      <c r="O266" s="12" t="s">
        <v>1938</v>
      </c>
      <c r="P266" s="12" t="str">
        <f>HYPERLINK("https://ceds.ed.gov/cedselementdetails.aspx?termid=9050")</f>
        <v>https://ceds.ed.gov/cedselementdetails.aspx?termid=9050</v>
      </c>
      <c r="Q266" s="12" t="str">
        <f>HYPERLINK("https://ceds.ed.gov/elementComment.aspx?elementName=Country Code &amp;elementID=9050", "Click here to submit comment")</f>
        <v>Click here to submit comment</v>
      </c>
    </row>
    <row r="267" spans="1:17" ht="75" x14ac:dyDescent="0.25">
      <c r="A267" s="12" t="s">
        <v>7169</v>
      </c>
      <c r="B267" s="12" t="s">
        <v>7202</v>
      </c>
      <c r="C267" s="12" t="s">
        <v>7175</v>
      </c>
      <c r="D267" s="12" t="s">
        <v>7176</v>
      </c>
      <c r="E267" s="12" t="s">
        <v>3693</v>
      </c>
      <c r="F267" s="12" t="s">
        <v>3694</v>
      </c>
      <c r="G267" s="12" t="s">
        <v>12</v>
      </c>
      <c r="H267" s="12"/>
      <c r="I267" s="12"/>
      <c r="J267" s="12" t="s">
        <v>1201</v>
      </c>
      <c r="K267" s="12"/>
      <c r="L267" s="12"/>
      <c r="M267" s="12" t="s">
        <v>3695</v>
      </c>
      <c r="N267" s="12"/>
      <c r="O267" s="12" t="s">
        <v>3693</v>
      </c>
      <c r="P267" s="12" t="str">
        <f>HYPERLINK("https://ceds.ed.gov/cedselementdetails.aspx?termid=9599")</f>
        <v>https://ceds.ed.gov/cedselementdetails.aspx?termid=9599</v>
      </c>
      <c r="Q267" s="12" t="str">
        <f>HYPERLINK("https://ceds.ed.gov/elementComment.aspx?elementName=Latitude &amp;elementID=9599", "Click here to submit comment")</f>
        <v>Click here to submit comment</v>
      </c>
    </row>
    <row r="268" spans="1:17" ht="75" x14ac:dyDescent="0.25">
      <c r="A268" s="12" t="s">
        <v>7169</v>
      </c>
      <c r="B268" s="12" t="s">
        <v>7202</v>
      </c>
      <c r="C268" s="12" t="s">
        <v>7175</v>
      </c>
      <c r="D268" s="12" t="s">
        <v>7176</v>
      </c>
      <c r="E268" s="12" t="s">
        <v>4361</v>
      </c>
      <c r="F268" s="12" t="s">
        <v>4362</v>
      </c>
      <c r="G268" s="12" t="s">
        <v>12</v>
      </c>
      <c r="H268" s="12"/>
      <c r="I268" s="12"/>
      <c r="J268" s="12" t="s">
        <v>1201</v>
      </c>
      <c r="K268" s="12"/>
      <c r="L268" s="12"/>
      <c r="M268" s="12" t="s">
        <v>4363</v>
      </c>
      <c r="N268" s="12"/>
      <c r="O268" s="12" t="s">
        <v>4361</v>
      </c>
      <c r="P268" s="12" t="str">
        <f>HYPERLINK("https://ceds.ed.gov/cedselementdetails.aspx?termid=9600")</f>
        <v>https://ceds.ed.gov/cedselementdetails.aspx?termid=9600</v>
      </c>
      <c r="Q268" s="12" t="str">
        <f>HYPERLINK("https://ceds.ed.gov/elementComment.aspx?elementName=Longitude &amp;elementID=9600", "Click here to submit comment")</f>
        <v>Click here to submit comment</v>
      </c>
    </row>
    <row r="269" spans="1:17" ht="90" x14ac:dyDescent="0.25">
      <c r="A269" s="12" t="s">
        <v>7169</v>
      </c>
      <c r="B269" s="12" t="s">
        <v>7202</v>
      </c>
      <c r="C269" s="12" t="s">
        <v>7177</v>
      </c>
      <c r="D269" s="12" t="s">
        <v>7172</v>
      </c>
      <c r="E269" s="12" t="s">
        <v>6107</v>
      </c>
      <c r="F269" s="12" t="s">
        <v>6108</v>
      </c>
      <c r="G269" s="13" t="s">
        <v>7135</v>
      </c>
      <c r="H269" s="12" t="s">
        <v>6369</v>
      </c>
      <c r="I269" s="12"/>
      <c r="J269" s="12" t="s">
        <v>1950</v>
      </c>
      <c r="K269" s="12"/>
      <c r="L269" s="12"/>
      <c r="M269" s="12" t="s">
        <v>6109</v>
      </c>
      <c r="N269" s="12"/>
      <c r="O269" s="12" t="s">
        <v>6110</v>
      </c>
      <c r="P269" s="12" t="str">
        <f>HYPERLINK("https://ceds.ed.gov/cedselementdetails.aspx?termid=9280")</f>
        <v>https://ceds.ed.gov/cedselementdetails.aspx?termid=9280</v>
      </c>
      <c r="Q269" s="12" t="str">
        <f>HYPERLINK("https://ceds.ed.gov/elementComment.aspx?elementName=Telephone Number Type &amp;elementID=9280", "Click here to submit comment")</f>
        <v>Click here to submit comment</v>
      </c>
    </row>
    <row r="270" spans="1:17" ht="90" x14ac:dyDescent="0.25">
      <c r="A270" s="12" t="s">
        <v>7169</v>
      </c>
      <c r="B270" s="12" t="s">
        <v>7202</v>
      </c>
      <c r="C270" s="12" t="s">
        <v>7177</v>
      </c>
      <c r="D270" s="12" t="s">
        <v>7172</v>
      </c>
      <c r="E270" s="12" t="s">
        <v>4934</v>
      </c>
      <c r="F270" s="12" t="s">
        <v>4935</v>
      </c>
      <c r="G270" s="12" t="s">
        <v>6364</v>
      </c>
      <c r="H270" s="12" t="s">
        <v>6369</v>
      </c>
      <c r="I270" s="12"/>
      <c r="J270" s="12"/>
      <c r="K270" s="12"/>
      <c r="L270" s="12"/>
      <c r="M270" s="12" t="s">
        <v>4936</v>
      </c>
      <c r="N270" s="12"/>
      <c r="O270" s="12" t="s">
        <v>4937</v>
      </c>
      <c r="P270" s="12" t="str">
        <f>HYPERLINK("https://ceds.ed.gov/cedselementdetails.aspx?termid=9219")</f>
        <v>https://ceds.ed.gov/cedselementdetails.aspx?termid=9219</v>
      </c>
      <c r="Q270" s="12" t="str">
        <f>HYPERLINK("https://ceds.ed.gov/elementComment.aspx?elementName=Primary Telephone Number Indicator &amp;elementID=9219", "Click here to submit comment")</f>
        <v>Click here to submit comment</v>
      </c>
    </row>
    <row r="271" spans="1:17" ht="90" x14ac:dyDescent="0.25">
      <c r="A271" s="12" t="s">
        <v>7169</v>
      </c>
      <c r="B271" s="12" t="s">
        <v>7202</v>
      </c>
      <c r="C271" s="12" t="s">
        <v>7177</v>
      </c>
      <c r="D271" s="12" t="s">
        <v>7172</v>
      </c>
      <c r="E271" s="12" t="s">
        <v>6102</v>
      </c>
      <c r="F271" s="12" t="s">
        <v>6103</v>
      </c>
      <c r="G271" s="12" t="s">
        <v>12</v>
      </c>
      <c r="H271" s="12" t="s">
        <v>6369</v>
      </c>
      <c r="I271" s="12"/>
      <c r="J271" s="12" t="s">
        <v>6104</v>
      </c>
      <c r="K271" s="12"/>
      <c r="L271" s="12"/>
      <c r="M271" s="12" t="s">
        <v>6105</v>
      </c>
      <c r="N271" s="12"/>
      <c r="O271" s="12" t="s">
        <v>6106</v>
      </c>
      <c r="P271" s="12" t="str">
        <f>HYPERLINK("https://ceds.ed.gov/cedselementdetails.aspx?termid=9279")</f>
        <v>https://ceds.ed.gov/cedselementdetails.aspx?termid=9279</v>
      </c>
      <c r="Q271" s="12" t="str">
        <f>HYPERLINK("https://ceds.ed.gov/elementComment.aspx?elementName=Telephone Number &amp;elementID=9279", "Click here to submit comment")</f>
        <v>Click here to submit comment</v>
      </c>
    </row>
    <row r="272" spans="1:17" ht="90" x14ac:dyDescent="0.25">
      <c r="A272" s="12" t="s">
        <v>7169</v>
      </c>
      <c r="B272" s="12" t="s">
        <v>7202</v>
      </c>
      <c r="C272" s="12" t="s">
        <v>7204</v>
      </c>
      <c r="D272" s="12" t="s">
        <v>7172</v>
      </c>
      <c r="E272" s="12" t="s">
        <v>2653</v>
      </c>
      <c r="F272" s="12" t="s">
        <v>2654</v>
      </c>
      <c r="G272" s="13" t="s">
        <v>6898</v>
      </c>
      <c r="H272" s="12" t="s">
        <v>6369</v>
      </c>
      <c r="I272" s="12"/>
      <c r="J272" s="12"/>
      <c r="K272" s="12"/>
      <c r="L272" s="12"/>
      <c r="M272" s="12" t="s">
        <v>2655</v>
      </c>
      <c r="N272" s="12" t="s">
        <v>2656</v>
      </c>
      <c r="O272" s="12" t="s">
        <v>2657</v>
      </c>
      <c r="P272" s="12" t="str">
        <f>HYPERLINK("https://ceds.ed.gov/cedselementdetails.aspx?termid=9089")</f>
        <v>https://ceds.ed.gov/cedselementdetails.aspx?termid=9089</v>
      </c>
      <c r="Q272" s="12" t="str">
        <f>HYPERLINK("https://ceds.ed.gov/elementComment.aspx?elementName=Electronic Mail Address Type &amp;elementID=9089", "Click here to submit comment")</f>
        <v>Click here to submit comment</v>
      </c>
    </row>
    <row r="273" spans="1:17" ht="90" x14ac:dyDescent="0.25">
      <c r="A273" s="12" t="s">
        <v>7169</v>
      </c>
      <c r="B273" s="12" t="s">
        <v>7202</v>
      </c>
      <c r="C273" s="12" t="s">
        <v>7204</v>
      </c>
      <c r="D273" s="12" t="s">
        <v>7172</v>
      </c>
      <c r="E273" s="12" t="s">
        <v>2647</v>
      </c>
      <c r="F273" s="12" t="s">
        <v>2648</v>
      </c>
      <c r="G273" s="12" t="s">
        <v>12</v>
      </c>
      <c r="H273" s="12" t="s">
        <v>6369</v>
      </c>
      <c r="I273" s="12"/>
      <c r="J273" s="12" t="s">
        <v>2649</v>
      </c>
      <c r="K273" s="12"/>
      <c r="L273" s="12"/>
      <c r="M273" s="12" t="s">
        <v>2650</v>
      </c>
      <c r="N273" s="12" t="s">
        <v>2651</v>
      </c>
      <c r="O273" s="12" t="s">
        <v>2652</v>
      </c>
      <c r="P273" s="12" t="str">
        <f>HYPERLINK("https://ceds.ed.gov/cedselementdetails.aspx?termid=9088")</f>
        <v>https://ceds.ed.gov/cedselementdetails.aspx?termid=9088</v>
      </c>
      <c r="Q273" s="12" t="str">
        <f>HYPERLINK("https://ceds.ed.gov/elementComment.aspx?elementName=Electronic Mail Address &amp;elementID=9088", "Click here to submit comment")</f>
        <v>Click here to submit comment</v>
      </c>
    </row>
    <row r="274" spans="1:17" ht="240" x14ac:dyDescent="0.25">
      <c r="A274" s="12" t="s">
        <v>7169</v>
      </c>
      <c r="B274" s="12" t="s">
        <v>7202</v>
      </c>
      <c r="C274" s="12" t="s">
        <v>7178</v>
      </c>
      <c r="D274" s="12" t="s">
        <v>7172</v>
      </c>
      <c r="E274" s="12" t="s">
        <v>1571</v>
      </c>
      <c r="F274" s="12" t="s">
        <v>1572</v>
      </c>
      <c r="G274" s="12" t="s">
        <v>12</v>
      </c>
      <c r="H274" s="12" t="s">
        <v>6432</v>
      </c>
      <c r="I274" s="12"/>
      <c r="J274" s="12" t="s">
        <v>73</v>
      </c>
      <c r="K274" s="12"/>
      <c r="L274" s="12"/>
      <c r="M274" s="12" t="s">
        <v>1573</v>
      </c>
      <c r="N274" s="12"/>
      <c r="O274" s="12" t="s">
        <v>1571</v>
      </c>
      <c r="P274" s="12" t="str">
        <f>HYPERLINK("https://ceds.ed.gov/cedselementdetails.aspx?termid=9033")</f>
        <v>https://ceds.ed.gov/cedselementdetails.aspx?termid=9033</v>
      </c>
      <c r="Q274" s="12" t="str">
        <f>HYPERLINK("https://ceds.ed.gov/elementComment.aspx?elementName=Birthdate &amp;elementID=9033", "Click here to submit comment")</f>
        <v>Click here to submit comment</v>
      </c>
    </row>
    <row r="275" spans="1:17" ht="255" x14ac:dyDescent="0.25">
      <c r="A275" s="12" t="s">
        <v>7169</v>
      </c>
      <c r="B275" s="12" t="s">
        <v>7202</v>
      </c>
      <c r="C275" s="12" t="s">
        <v>7178</v>
      </c>
      <c r="D275" s="12" t="s">
        <v>7176</v>
      </c>
      <c r="E275" s="12" t="s">
        <v>5711</v>
      </c>
      <c r="F275" s="12" t="s">
        <v>5712</v>
      </c>
      <c r="G275" s="13" t="s">
        <v>7112</v>
      </c>
      <c r="H275" s="12" t="s">
        <v>6666</v>
      </c>
      <c r="I275" s="12"/>
      <c r="J275" s="12"/>
      <c r="K275" s="12"/>
      <c r="L275" s="12" t="s">
        <v>5713</v>
      </c>
      <c r="M275" s="12" t="s">
        <v>5714</v>
      </c>
      <c r="N275" s="12"/>
      <c r="O275" s="12" t="s">
        <v>5711</v>
      </c>
      <c r="P275" s="12" t="str">
        <f>HYPERLINK("https://ceds.ed.gov/cedselementdetails.aspx?termid=9255")</f>
        <v>https://ceds.ed.gov/cedselementdetails.aspx?termid=9255</v>
      </c>
      <c r="Q275" s="12" t="str">
        <f>HYPERLINK("https://ceds.ed.gov/elementComment.aspx?elementName=Sex &amp;elementID=9255", "Click here to submit comment")</f>
        <v>Click here to submit comment</v>
      </c>
    </row>
    <row r="276" spans="1:17" ht="120" x14ac:dyDescent="0.25">
      <c r="A276" s="12" t="s">
        <v>7169</v>
      </c>
      <c r="B276" s="12" t="s">
        <v>7202</v>
      </c>
      <c r="C276" s="12" t="s">
        <v>7178</v>
      </c>
      <c r="D276" s="12" t="s">
        <v>7176</v>
      </c>
      <c r="E276" s="12" t="s">
        <v>5884</v>
      </c>
      <c r="F276" s="12" t="s">
        <v>5885</v>
      </c>
      <c r="G276" s="12" t="s">
        <v>12</v>
      </c>
      <c r="H276" s="12" t="s">
        <v>37</v>
      </c>
      <c r="I276" s="12"/>
      <c r="J276" s="12" t="s">
        <v>5886</v>
      </c>
      <c r="K276" s="12"/>
      <c r="L276" s="12"/>
      <c r="M276" s="12" t="s">
        <v>5887</v>
      </c>
      <c r="N276" s="12"/>
      <c r="O276" s="12" t="s">
        <v>5888</v>
      </c>
      <c r="P276" s="12" t="str">
        <f>HYPERLINK("https://ceds.ed.gov/cedselementdetails.aspx?termid=9707")</f>
        <v>https://ceds.ed.gov/cedselementdetails.aspx?termid=9707</v>
      </c>
      <c r="Q276" s="12" t="str">
        <f>HYPERLINK("https://ceds.ed.gov/elementComment.aspx?elementName=Standard Occupational Classification &amp;elementID=9707", "Click here to submit comment")</f>
        <v>Click here to submit comment</v>
      </c>
    </row>
    <row r="277" spans="1:17" ht="409.5" x14ac:dyDescent="0.25">
      <c r="A277" s="12" t="s">
        <v>7169</v>
      </c>
      <c r="B277" s="12" t="s">
        <v>7202</v>
      </c>
      <c r="C277" s="12" t="s">
        <v>7205</v>
      </c>
      <c r="D277" s="12" t="s">
        <v>7172</v>
      </c>
      <c r="E277" s="12" t="s">
        <v>3213</v>
      </c>
      <c r="F277" s="12" t="s">
        <v>3214</v>
      </c>
      <c r="G277" s="13" t="s">
        <v>6786</v>
      </c>
      <c r="H277" s="12" t="s">
        <v>6561</v>
      </c>
      <c r="I277" s="12"/>
      <c r="J277" s="12"/>
      <c r="K277" s="12"/>
      <c r="L277" s="12"/>
      <c r="M277" s="12" t="s">
        <v>3215</v>
      </c>
      <c r="N277" s="12"/>
      <c r="O277" s="12" t="s">
        <v>3216</v>
      </c>
      <c r="P277" s="12" t="str">
        <f>HYPERLINK("https://ceds.ed.gov/cedselementdetails.aspx?termid=9141")</f>
        <v>https://ceds.ed.gov/cedselementdetails.aspx?termid=9141</v>
      </c>
      <c r="Q277" s="12" t="str">
        <f>HYPERLINK("https://ceds.ed.gov/elementComment.aspx?elementName=Highest Level of Education Completed &amp;elementID=9141", "Click here to submit comment")</f>
        <v>Click here to submit comment</v>
      </c>
    </row>
    <row r="278" spans="1:17" ht="210" x14ac:dyDescent="0.25">
      <c r="A278" s="12" t="s">
        <v>7169</v>
      </c>
      <c r="B278" s="12" t="s">
        <v>7202</v>
      </c>
      <c r="C278" s="12" t="s">
        <v>7206</v>
      </c>
      <c r="D278" s="12" t="s">
        <v>7172</v>
      </c>
      <c r="E278" s="12" t="s">
        <v>3582</v>
      </c>
      <c r="F278" s="12" t="s">
        <v>3583</v>
      </c>
      <c r="G278" s="13" t="s">
        <v>6855</v>
      </c>
      <c r="H278" s="12" t="s">
        <v>2283</v>
      </c>
      <c r="I278" s="12"/>
      <c r="J278" s="12"/>
      <c r="K278" s="12"/>
      <c r="L278" s="12" t="s">
        <v>2280</v>
      </c>
      <c r="M278" s="12" t="s">
        <v>3584</v>
      </c>
      <c r="N278" s="12"/>
      <c r="O278" s="12" t="s">
        <v>3585</v>
      </c>
      <c r="P278" s="12" t="str">
        <f>HYPERLINK("https://ceds.ed.gov/cedselementdetails.aspx?termid=9334")</f>
        <v>https://ceds.ed.gov/cedselementdetails.aspx?termid=9334</v>
      </c>
      <c r="Q278" s="12" t="str">
        <f>HYPERLINK("https://ceds.ed.gov/elementComment.aspx?elementName=Insurance Coverage &amp;elementID=9334", "Click here to submit comment")</f>
        <v>Click here to submit comment</v>
      </c>
    </row>
    <row r="279" spans="1:17" ht="210" x14ac:dyDescent="0.25">
      <c r="A279" s="12" t="s">
        <v>7169</v>
      </c>
      <c r="B279" s="12" t="s">
        <v>7202</v>
      </c>
      <c r="C279" s="12" t="s">
        <v>7206</v>
      </c>
      <c r="D279" s="12" t="s">
        <v>7172</v>
      </c>
      <c r="E279" s="12" t="s">
        <v>2278</v>
      </c>
      <c r="F279" s="12" t="s">
        <v>2279</v>
      </c>
      <c r="G279" s="13" t="s">
        <v>6855</v>
      </c>
      <c r="H279" s="12" t="s">
        <v>2283</v>
      </c>
      <c r="I279" s="12"/>
      <c r="J279" s="12"/>
      <c r="K279" s="12"/>
      <c r="L279" s="12" t="s">
        <v>2280</v>
      </c>
      <c r="M279" s="12" t="s">
        <v>2281</v>
      </c>
      <c r="N279" s="12"/>
      <c r="O279" s="12" t="s">
        <v>2282</v>
      </c>
      <c r="P279" s="12" t="str">
        <f>HYPERLINK("https://ceds.ed.gov/cedselementdetails.aspx?termid=9335")</f>
        <v>https://ceds.ed.gov/cedselementdetails.aspx?termid=9335</v>
      </c>
      <c r="Q279" s="12" t="str">
        <f>HYPERLINK("https://ceds.ed.gov/elementComment.aspx?elementName=Dental Insurance Coverage Type &amp;elementID=9335", "Click here to submit comment")</f>
        <v>Click here to submit comment</v>
      </c>
    </row>
    <row r="280" spans="1:17" ht="105" x14ac:dyDescent="0.25">
      <c r="A280" s="18" t="s">
        <v>7169</v>
      </c>
      <c r="B280" s="18" t="s">
        <v>7207</v>
      </c>
      <c r="C280" s="18" t="s">
        <v>7208</v>
      </c>
      <c r="D280" s="18" t="s">
        <v>7176</v>
      </c>
      <c r="E280" s="18" t="s">
        <v>2831</v>
      </c>
      <c r="F280" s="18" t="s">
        <v>2832</v>
      </c>
      <c r="G280" s="18" t="s">
        <v>12</v>
      </c>
      <c r="H280" s="18" t="s">
        <v>6450</v>
      </c>
      <c r="I280" s="18"/>
      <c r="J280" s="18" t="s">
        <v>142</v>
      </c>
      <c r="K280" s="18"/>
      <c r="L280" s="12" t="s">
        <v>143</v>
      </c>
      <c r="M280" s="18" t="s">
        <v>2834</v>
      </c>
      <c r="N280" s="18"/>
      <c r="O280" s="18" t="s">
        <v>2835</v>
      </c>
      <c r="P280" s="18" t="str">
        <f>HYPERLINK("https://ceds.ed.gov/cedselementdetails.aspx?termid=9784")</f>
        <v>https://ceds.ed.gov/cedselementdetails.aspx?termid=9784</v>
      </c>
      <c r="Q280" s="18" t="str">
        <f>HYPERLINK("https://ceds.ed.gov/elementComment.aspx?elementName=Family Identifier &amp;elementID=9784", "Click here to submit comment")</f>
        <v>Click here to submit comment</v>
      </c>
    </row>
    <row r="281" spans="1:17" x14ac:dyDescent="0.25">
      <c r="A281" s="18"/>
      <c r="B281" s="18"/>
      <c r="C281" s="18"/>
      <c r="D281" s="18"/>
      <c r="E281" s="18"/>
      <c r="F281" s="18"/>
      <c r="G281" s="18"/>
      <c r="H281" s="18"/>
      <c r="I281" s="18"/>
      <c r="J281" s="18"/>
      <c r="K281" s="18"/>
      <c r="L281" s="12"/>
      <c r="M281" s="18"/>
      <c r="N281" s="18"/>
      <c r="O281" s="18"/>
      <c r="P281" s="18"/>
      <c r="Q281" s="18"/>
    </row>
    <row r="282" spans="1:17" ht="90" x14ac:dyDescent="0.25">
      <c r="A282" s="18"/>
      <c r="B282" s="18"/>
      <c r="C282" s="18"/>
      <c r="D282" s="18"/>
      <c r="E282" s="18"/>
      <c r="F282" s="18"/>
      <c r="G282" s="18"/>
      <c r="H282" s="18"/>
      <c r="I282" s="18"/>
      <c r="J282" s="18"/>
      <c r="K282" s="18"/>
      <c r="L282" s="12" t="s">
        <v>144</v>
      </c>
      <c r="M282" s="18"/>
      <c r="N282" s="18"/>
      <c r="O282" s="18"/>
      <c r="P282" s="18"/>
      <c r="Q282" s="18"/>
    </row>
    <row r="283" spans="1:17" ht="195" x14ac:dyDescent="0.25">
      <c r="A283" s="12" t="s">
        <v>7169</v>
      </c>
      <c r="B283" s="12" t="s">
        <v>7207</v>
      </c>
      <c r="C283" s="12" t="s">
        <v>7209</v>
      </c>
      <c r="D283" s="12" t="s">
        <v>7172</v>
      </c>
      <c r="E283" s="12" t="s">
        <v>4625</v>
      </c>
      <c r="F283" s="12" t="s">
        <v>4626</v>
      </c>
      <c r="G283" s="12" t="s">
        <v>12</v>
      </c>
      <c r="H283" s="12" t="s">
        <v>2283</v>
      </c>
      <c r="I283" s="12"/>
      <c r="J283" s="12" t="s">
        <v>317</v>
      </c>
      <c r="K283" s="12"/>
      <c r="L283" s="12"/>
      <c r="M283" s="12" t="s">
        <v>4627</v>
      </c>
      <c r="N283" s="12"/>
      <c r="O283" s="12" t="s">
        <v>4628</v>
      </c>
      <c r="P283" s="12" t="str">
        <f>HYPERLINK("https://ceds.ed.gov/cedselementdetails.aspx?termid=9329")</f>
        <v>https://ceds.ed.gov/cedselementdetails.aspx?termid=9329</v>
      </c>
      <c r="Q283" s="12" t="str">
        <f>HYPERLINK("https://ceds.ed.gov/elementComment.aspx?elementName=Number of People in Family &amp;elementID=9329", "Click here to submit comment")</f>
        <v>Click here to submit comment</v>
      </c>
    </row>
    <row r="284" spans="1:17" ht="30" x14ac:dyDescent="0.25">
      <c r="A284" s="12" t="s">
        <v>7169</v>
      </c>
      <c r="B284" s="12" t="s">
        <v>7207</v>
      </c>
      <c r="C284" s="12" t="s">
        <v>7209</v>
      </c>
      <c r="D284" s="12" t="s">
        <v>7172</v>
      </c>
      <c r="E284" s="12" t="s">
        <v>4629</v>
      </c>
      <c r="F284" s="12" t="s">
        <v>4630</v>
      </c>
      <c r="G284" s="12" t="s">
        <v>12</v>
      </c>
      <c r="H284" s="12" t="s">
        <v>2283</v>
      </c>
      <c r="I284" s="12"/>
      <c r="J284" s="12" t="s">
        <v>317</v>
      </c>
      <c r="K284" s="12"/>
      <c r="L284" s="12"/>
      <c r="M284" s="12" t="s">
        <v>4631</v>
      </c>
      <c r="N284" s="12"/>
      <c r="O284" s="12" t="s">
        <v>4632</v>
      </c>
      <c r="P284" s="12" t="str">
        <f>HYPERLINK("https://ceds.ed.gov/cedselementdetails.aspx?termid=9330")</f>
        <v>https://ceds.ed.gov/cedselementdetails.aspx?termid=9330</v>
      </c>
      <c r="Q284" s="12" t="str">
        <f>HYPERLINK("https://ceds.ed.gov/elementComment.aspx?elementName=Number of People in Household &amp;elementID=9330", "Click here to submit comment")</f>
        <v>Click here to submit comment</v>
      </c>
    </row>
    <row r="285" spans="1:17" ht="409.5" x14ac:dyDescent="0.25">
      <c r="A285" s="12" t="s">
        <v>7169</v>
      </c>
      <c r="B285" s="12" t="s">
        <v>7207</v>
      </c>
      <c r="C285" s="12" t="s">
        <v>7209</v>
      </c>
      <c r="D285" s="12" t="s">
        <v>7172</v>
      </c>
      <c r="E285" s="12" t="s">
        <v>2836</v>
      </c>
      <c r="F285" s="12" t="s">
        <v>2837</v>
      </c>
      <c r="G285" s="12" t="s">
        <v>12</v>
      </c>
      <c r="H285" s="12" t="s">
        <v>6393</v>
      </c>
      <c r="I285" s="12"/>
      <c r="J285" s="12" t="s">
        <v>1554</v>
      </c>
      <c r="K285" s="12"/>
      <c r="L285" s="12" t="s">
        <v>2839</v>
      </c>
      <c r="M285" s="12" t="s">
        <v>2840</v>
      </c>
      <c r="N285" s="12"/>
      <c r="O285" s="12" t="s">
        <v>2841</v>
      </c>
      <c r="P285" s="12" t="str">
        <f>HYPERLINK("https://ceds.ed.gov/cedselementdetails.aspx?termid=9331")</f>
        <v>https://ceds.ed.gov/cedselementdetails.aspx?termid=9331</v>
      </c>
      <c r="Q285" s="12" t="str">
        <f>HYPERLINK("https://ceds.ed.gov/elementComment.aspx?elementName=Family Income &amp;elementID=9331", "Click here to submit comment")</f>
        <v>Click here to submit comment</v>
      </c>
    </row>
    <row r="286" spans="1:17" ht="180" x14ac:dyDescent="0.25">
      <c r="A286" s="12" t="s">
        <v>7169</v>
      </c>
      <c r="B286" s="12" t="s">
        <v>7207</v>
      </c>
      <c r="C286" s="12" t="s">
        <v>7209</v>
      </c>
      <c r="D286" s="12" t="s">
        <v>7172</v>
      </c>
      <c r="E286" s="12" t="s">
        <v>5757</v>
      </c>
      <c r="F286" s="12" t="s">
        <v>5758</v>
      </c>
      <c r="G286" s="13" t="s">
        <v>7113</v>
      </c>
      <c r="H286" s="12" t="s">
        <v>6393</v>
      </c>
      <c r="I286" s="12"/>
      <c r="J286" s="12"/>
      <c r="K286" s="12"/>
      <c r="L286" s="12"/>
      <c r="M286" s="12" t="s">
        <v>5759</v>
      </c>
      <c r="N286" s="12"/>
      <c r="O286" s="12" t="s">
        <v>5760</v>
      </c>
      <c r="P286" s="12" t="str">
        <f>HYPERLINK("https://ceds.ed.gov/cedselementdetails.aspx?termid=9332")</f>
        <v>https://ceds.ed.gov/cedselementdetails.aspx?termid=9332</v>
      </c>
      <c r="Q286" s="12" t="str">
        <f>HYPERLINK("https://ceds.ed.gov/elementComment.aspx?elementName=Source of Family Income &amp;elementID=9332", "Click here to submit comment")</f>
        <v>Click here to submit comment</v>
      </c>
    </row>
    <row r="287" spans="1:17" ht="60" x14ac:dyDescent="0.25">
      <c r="A287" s="12" t="s">
        <v>7169</v>
      </c>
      <c r="B287" s="12" t="s">
        <v>7207</v>
      </c>
      <c r="C287" s="12" t="s">
        <v>7209</v>
      </c>
      <c r="D287" s="12" t="s">
        <v>7172</v>
      </c>
      <c r="E287" s="12" t="s">
        <v>3432</v>
      </c>
      <c r="F287" s="12" t="s">
        <v>3433</v>
      </c>
      <c r="G287" s="13" t="s">
        <v>6967</v>
      </c>
      <c r="H287" s="12"/>
      <c r="I287" s="12"/>
      <c r="J287" s="12"/>
      <c r="K287" s="12"/>
      <c r="L287" s="12"/>
      <c r="M287" s="12" t="s">
        <v>3434</v>
      </c>
      <c r="N287" s="12"/>
      <c r="O287" s="12" t="s">
        <v>3435</v>
      </c>
      <c r="P287" s="12" t="str">
        <f>HYPERLINK("https://ceds.ed.gov/cedselementdetails.aspx?termid=9333")</f>
        <v>https://ceds.ed.gov/cedselementdetails.aspx?termid=9333</v>
      </c>
      <c r="Q287" s="12" t="str">
        <f>HYPERLINK("https://ceds.ed.gov/elementComment.aspx?elementName=Income Calculation Method &amp;elementID=9333", "Click here to submit comment")</f>
        <v>Click here to submit comment</v>
      </c>
    </row>
    <row r="288" spans="1:17" ht="75" x14ac:dyDescent="0.25">
      <c r="A288" s="12" t="s">
        <v>7169</v>
      </c>
      <c r="B288" s="12" t="s">
        <v>7207</v>
      </c>
      <c r="C288" s="12" t="s">
        <v>7209</v>
      </c>
      <c r="D288" s="12" t="s">
        <v>7172</v>
      </c>
      <c r="E288" s="12" t="s">
        <v>5213</v>
      </c>
      <c r="F288" s="12" t="s">
        <v>5214</v>
      </c>
      <c r="G288" s="13" t="s">
        <v>7085</v>
      </c>
      <c r="H288" s="12" t="s">
        <v>2283</v>
      </c>
      <c r="I288" s="12"/>
      <c r="J288" s="12"/>
      <c r="K288" s="12"/>
      <c r="L288" s="12"/>
      <c r="M288" s="12" t="s">
        <v>5215</v>
      </c>
      <c r="N288" s="12"/>
      <c r="O288" s="12" t="s">
        <v>5216</v>
      </c>
      <c r="P288" s="12" t="str">
        <f>HYPERLINK("https://ceds.ed.gov/cedselementdetails.aspx?termid=9305")</f>
        <v>https://ceds.ed.gov/cedselementdetails.aspx?termid=9305</v>
      </c>
      <c r="Q288" s="12" t="str">
        <f>HYPERLINK("https://ceds.ed.gov/elementComment.aspx?elementName=Proof of Residency Type &amp;elementID=9305", "Click here to submit comment")</f>
        <v>Click here to submit comment</v>
      </c>
    </row>
    <row r="289" spans="1:17" ht="45" x14ac:dyDescent="0.25">
      <c r="A289" s="12" t="s">
        <v>7169</v>
      </c>
      <c r="B289" s="12" t="s">
        <v>7207</v>
      </c>
      <c r="C289" s="12" t="s">
        <v>7209</v>
      </c>
      <c r="D289" s="12" t="s">
        <v>7172</v>
      </c>
      <c r="E289" s="12" t="s">
        <v>3424</v>
      </c>
      <c r="F289" s="12" t="s">
        <v>3425</v>
      </c>
      <c r="G289" s="12" t="s">
        <v>6364</v>
      </c>
      <c r="H289" s="12"/>
      <c r="I289" s="12"/>
      <c r="J289" s="12"/>
      <c r="K289" s="12"/>
      <c r="L289" s="12"/>
      <c r="M289" s="12" t="s">
        <v>3426</v>
      </c>
      <c r="N289" s="12"/>
      <c r="O289" s="12" t="s">
        <v>3427</v>
      </c>
      <c r="P289" s="12" t="str">
        <f>HYPERLINK("https://ceds.ed.gov/cedselementdetails.aspx?termid=10591")</f>
        <v>https://ceds.ed.gov/cedselementdetails.aspx?termid=10591</v>
      </c>
      <c r="Q289" s="12" t="str">
        <f>HYPERLINK("https://ceds.ed.gov/elementComment.aspx?elementName=Included in Counted Family Size &amp;elementID=10591", "Click here to submit comment")</f>
        <v>Click here to submit comment</v>
      </c>
    </row>
    <row r="290" spans="1:17" ht="60" x14ac:dyDescent="0.25">
      <c r="A290" s="12" t="s">
        <v>7169</v>
      </c>
      <c r="B290" s="12" t="s">
        <v>7210</v>
      </c>
      <c r="C290" s="12"/>
      <c r="D290" s="12" t="s">
        <v>7176</v>
      </c>
      <c r="E290" s="12" t="s">
        <v>4684</v>
      </c>
      <c r="F290" s="12" t="s">
        <v>4685</v>
      </c>
      <c r="G290" s="13" t="s">
        <v>7044</v>
      </c>
      <c r="H290" s="12"/>
      <c r="I290" s="12"/>
      <c r="J290" s="12"/>
      <c r="K290" s="12"/>
      <c r="L290" s="12"/>
      <c r="M290" s="12" t="s">
        <v>4686</v>
      </c>
      <c r="N290" s="12"/>
      <c r="O290" s="12" t="s">
        <v>4687</v>
      </c>
      <c r="P290" s="12" t="str">
        <f>HYPERLINK("https://ceds.ed.gov/cedselementdetails.aspx?termid=10387")</f>
        <v>https://ceds.ed.gov/cedselementdetails.aspx?termid=10387</v>
      </c>
      <c r="Q290" s="12" t="str">
        <f>HYPERLINK("https://ceds.ed.gov/elementComment.aspx?elementName=Organization Operational Status &amp;elementID=10387", "Click here to submit comment")</f>
        <v>Click here to submit comment</v>
      </c>
    </row>
    <row r="291" spans="1:17" ht="240" x14ac:dyDescent="0.25">
      <c r="A291" s="12" t="s">
        <v>7169</v>
      </c>
      <c r="B291" s="12" t="s">
        <v>7210</v>
      </c>
      <c r="C291" s="12" t="s">
        <v>7208</v>
      </c>
      <c r="D291" s="12" t="s">
        <v>7176</v>
      </c>
      <c r="E291" s="12" t="s">
        <v>4668</v>
      </c>
      <c r="F291" s="12" t="s">
        <v>4669</v>
      </c>
      <c r="G291" s="13" t="s">
        <v>6739</v>
      </c>
      <c r="H291" s="12" t="s">
        <v>64</v>
      </c>
      <c r="I291" s="12"/>
      <c r="J291" s="12"/>
      <c r="K291" s="12"/>
      <c r="L291" s="12"/>
      <c r="M291" s="12" t="s">
        <v>4670</v>
      </c>
      <c r="N291" s="12"/>
      <c r="O291" s="12" t="s">
        <v>4671</v>
      </c>
      <c r="P291" s="12" t="str">
        <f>HYPERLINK("https://ceds.ed.gov/cedselementdetails.aspx?termid=9827")</f>
        <v>https://ceds.ed.gov/cedselementdetails.aspx?termid=9827</v>
      </c>
      <c r="Q291" s="12" t="str">
        <f>HYPERLINK("https://ceds.ed.gov/elementComment.aspx?elementName=Organization Identification System &amp;elementID=9827", "Click here to submit comment")</f>
        <v>Click here to submit comment</v>
      </c>
    </row>
    <row r="292" spans="1:17" ht="105" x14ac:dyDescent="0.25">
      <c r="A292" s="18" t="s">
        <v>7169</v>
      </c>
      <c r="B292" s="18" t="s">
        <v>7210</v>
      </c>
      <c r="C292" s="18" t="s">
        <v>7208</v>
      </c>
      <c r="D292" s="18" t="s">
        <v>7176</v>
      </c>
      <c r="E292" s="18" t="s">
        <v>4672</v>
      </c>
      <c r="F292" s="18" t="s">
        <v>4673</v>
      </c>
      <c r="G292" s="18" t="s">
        <v>12</v>
      </c>
      <c r="H292" s="18" t="s">
        <v>64</v>
      </c>
      <c r="I292" s="18"/>
      <c r="J292" s="18" t="s">
        <v>142</v>
      </c>
      <c r="K292" s="18"/>
      <c r="L292" s="12" t="s">
        <v>143</v>
      </c>
      <c r="M292" s="18" t="s">
        <v>4674</v>
      </c>
      <c r="N292" s="18"/>
      <c r="O292" s="18" t="s">
        <v>4675</v>
      </c>
      <c r="P292" s="18" t="str">
        <f>HYPERLINK("https://ceds.ed.gov/cedselementdetails.aspx?termid=9825")</f>
        <v>https://ceds.ed.gov/cedselementdetails.aspx?termid=9825</v>
      </c>
      <c r="Q292" s="18" t="str">
        <f>HYPERLINK("https://ceds.ed.gov/elementComment.aspx?elementName=Organization Identifier &amp;elementID=9825", "Click here to submit comment")</f>
        <v>Click here to submit comment</v>
      </c>
    </row>
    <row r="293" spans="1:17" x14ac:dyDescent="0.25">
      <c r="A293" s="18"/>
      <c r="B293" s="18"/>
      <c r="C293" s="18"/>
      <c r="D293" s="18"/>
      <c r="E293" s="18"/>
      <c r="F293" s="18"/>
      <c r="G293" s="18"/>
      <c r="H293" s="18"/>
      <c r="I293" s="18"/>
      <c r="J293" s="18"/>
      <c r="K293" s="18"/>
      <c r="L293" s="12"/>
      <c r="M293" s="18"/>
      <c r="N293" s="18"/>
      <c r="O293" s="18"/>
      <c r="P293" s="18"/>
      <c r="Q293" s="18"/>
    </row>
    <row r="294" spans="1:17" ht="90" x14ac:dyDescent="0.25">
      <c r="A294" s="18"/>
      <c r="B294" s="18"/>
      <c r="C294" s="18"/>
      <c r="D294" s="18"/>
      <c r="E294" s="18"/>
      <c r="F294" s="18"/>
      <c r="G294" s="18"/>
      <c r="H294" s="18"/>
      <c r="I294" s="18"/>
      <c r="J294" s="18"/>
      <c r="K294" s="18"/>
      <c r="L294" s="12" t="s">
        <v>144</v>
      </c>
      <c r="M294" s="18"/>
      <c r="N294" s="18"/>
      <c r="O294" s="18"/>
      <c r="P294" s="18"/>
      <c r="Q294" s="18"/>
    </row>
    <row r="295" spans="1:17" ht="409.5" x14ac:dyDescent="0.25">
      <c r="A295" s="12" t="s">
        <v>7169</v>
      </c>
      <c r="B295" s="12" t="s">
        <v>7210</v>
      </c>
      <c r="C295" s="12" t="s">
        <v>7208</v>
      </c>
      <c r="D295" s="12" t="s">
        <v>7176</v>
      </c>
      <c r="E295" s="12" t="s">
        <v>4692</v>
      </c>
      <c r="F295" s="12" t="s">
        <v>4693</v>
      </c>
      <c r="G295" s="13" t="s">
        <v>7045</v>
      </c>
      <c r="H295" s="12"/>
      <c r="I295" s="12" t="s">
        <v>98</v>
      </c>
      <c r="J295" s="12" t="s">
        <v>142</v>
      </c>
      <c r="K295" s="12"/>
      <c r="L295" s="12" t="s">
        <v>4694</v>
      </c>
      <c r="M295" s="12" t="s">
        <v>4695</v>
      </c>
      <c r="N295" s="12"/>
      <c r="O295" s="12" t="s">
        <v>4696</v>
      </c>
      <c r="P295" s="12" t="str">
        <f>HYPERLINK("https://ceds.ed.gov/cedselementdetails.aspx?termid=10165")</f>
        <v>https://ceds.ed.gov/cedselementdetails.aspx?termid=10165</v>
      </c>
      <c r="Q295" s="12" t="str">
        <f>HYPERLINK("https://ceds.ed.gov/elementComment.aspx?elementName=Organization Type &amp;elementID=10165", "Click here to submit comment")</f>
        <v>Click here to submit comment</v>
      </c>
    </row>
    <row r="296" spans="1:17" ht="45" x14ac:dyDescent="0.25">
      <c r="A296" s="12" t="s">
        <v>7169</v>
      </c>
      <c r="B296" s="12" t="s">
        <v>7210</v>
      </c>
      <c r="C296" s="12" t="s">
        <v>7208</v>
      </c>
      <c r="D296" s="12" t="s">
        <v>7176</v>
      </c>
      <c r="E296" s="12" t="s">
        <v>4680</v>
      </c>
      <c r="F296" s="12" t="s">
        <v>4681</v>
      </c>
      <c r="G296" s="12" t="s">
        <v>12</v>
      </c>
      <c r="H296" s="12" t="s">
        <v>205</v>
      </c>
      <c r="I296" s="12"/>
      <c r="J296" s="12" t="s">
        <v>99</v>
      </c>
      <c r="K296" s="12"/>
      <c r="L296" s="12"/>
      <c r="M296" s="12" t="s">
        <v>4682</v>
      </c>
      <c r="N296" s="12"/>
      <c r="O296" s="12" t="s">
        <v>4683</v>
      </c>
      <c r="P296" s="12" t="str">
        <f>HYPERLINK("https://ceds.ed.gov/cedselementdetails.aspx?termid=9204")</f>
        <v>https://ceds.ed.gov/cedselementdetails.aspx?termid=9204</v>
      </c>
      <c r="Q296" s="12" t="str">
        <f>HYPERLINK("https://ceds.ed.gov/elementComment.aspx?elementName=Organization Name &amp;elementID=9204", "Click here to submit comment")</f>
        <v>Click here to submit comment</v>
      </c>
    </row>
    <row r="297" spans="1:17" ht="409.5" x14ac:dyDescent="0.25">
      <c r="A297" s="12" t="s">
        <v>7169</v>
      </c>
      <c r="B297" s="12" t="s">
        <v>7210</v>
      </c>
      <c r="C297" s="12" t="s">
        <v>7208</v>
      </c>
      <c r="D297" s="12" t="s">
        <v>7176</v>
      </c>
      <c r="E297" s="12" t="s">
        <v>5910</v>
      </c>
      <c r="F297" s="12" t="s">
        <v>5911</v>
      </c>
      <c r="G297" s="13" t="s">
        <v>7122</v>
      </c>
      <c r="H297" s="12" t="s">
        <v>6681</v>
      </c>
      <c r="I297" s="12"/>
      <c r="J297" s="12"/>
      <c r="K297" s="12"/>
      <c r="L297" s="12"/>
      <c r="M297" s="12" t="s">
        <v>5912</v>
      </c>
      <c r="N297" s="12"/>
      <c r="O297" s="12" t="s">
        <v>5913</v>
      </c>
      <c r="P297" s="12" t="str">
        <f>HYPERLINK("https://ceds.ed.gov/cedselementdetails.aspx?termid=9414")</f>
        <v>https://ceds.ed.gov/cedselementdetails.aspx?termid=9414</v>
      </c>
      <c r="Q297" s="12" t="str">
        <f>HYPERLINK("https://ceds.ed.gov/elementComment.aspx?elementName=State ANSI Code &amp;elementID=9414", "Click here to submit comment")</f>
        <v>Click here to submit comment</v>
      </c>
    </row>
    <row r="298" spans="1:17" ht="90" x14ac:dyDescent="0.25">
      <c r="A298" s="12" t="s">
        <v>7169</v>
      </c>
      <c r="B298" s="12" t="s">
        <v>7210</v>
      </c>
      <c r="C298" s="12" t="s">
        <v>7211</v>
      </c>
      <c r="D298" s="12" t="s">
        <v>7176</v>
      </c>
      <c r="E298" s="12" t="s">
        <v>4844</v>
      </c>
      <c r="F298" s="12" t="s">
        <v>4845</v>
      </c>
      <c r="G298" s="12" t="s">
        <v>12</v>
      </c>
      <c r="H298" s="12" t="s">
        <v>6369</v>
      </c>
      <c r="I298" s="12"/>
      <c r="J298" s="12" t="s">
        <v>1386</v>
      </c>
      <c r="K298" s="12"/>
      <c r="L298" s="12"/>
      <c r="M298" s="12" t="s">
        <v>4846</v>
      </c>
      <c r="N298" s="12"/>
      <c r="O298" s="12" t="s">
        <v>4847</v>
      </c>
      <c r="P298" s="12" t="str">
        <f>HYPERLINK("https://ceds.ed.gov/cedselementdetails.aspx?termid=9213")</f>
        <v>https://ceds.ed.gov/cedselementdetails.aspx?termid=9213</v>
      </c>
      <c r="Q298" s="12" t="str">
        <f>HYPERLINK("https://ceds.ed.gov/elementComment.aspx?elementName=Position Title &amp;elementID=9213", "Click here to submit comment")</f>
        <v>Click here to submit comment</v>
      </c>
    </row>
    <row r="299" spans="1:17" ht="90" x14ac:dyDescent="0.25">
      <c r="A299" s="12" t="s">
        <v>7169</v>
      </c>
      <c r="B299" s="12" t="s">
        <v>7210</v>
      </c>
      <c r="C299" s="12" t="s">
        <v>7211</v>
      </c>
      <c r="D299" s="12" t="s">
        <v>7176</v>
      </c>
      <c r="E299" s="12" t="s">
        <v>4926</v>
      </c>
      <c r="F299" s="12" t="s">
        <v>4927</v>
      </c>
      <c r="G299" s="12" t="s">
        <v>6364</v>
      </c>
      <c r="H299" s="12"/>
      <c r="I299" s="12"/>
      <c r="J299" s="12"/>
      <c r="K299" s="12"/>
      <c r="L299" s="12"/>
      <c r="M299" s="12" t="s">
        <v>4928</v>
      </c>
      <c r="N299" s="12"/>
      <c r="O299" s="12" t="s">
        <v>4929</v>
      </c>
      <c r="P299" s="12" t="str">
        <f>HYPERLINK("https://ceds.ed.gov/cedselementdetails.aspx?termid=10397")</f>
        <v>https://ceds.ed.gov/cedselementdetails.aspx?termid=10397</v>
      </c>
      <c r="Q299" s="12" t="str">
        <f>HYPERLINK("https://ceds.ed.gov/elementComment.aspx?elementName=Primary Contact Indicator &amp;elementID=10397", "Click here to submit comment")</f>
        <v>Click here to submit comment</v>
      </c>
    </row>
    <row r="300" spans="1:17" ht="30" x14ac:dyDescent="0.25">
      <c r="A300" s="12" t="s">
        <v>7169</v>
      </c>
      <c r="B300" s="12" t="s">
        <v>7210</v>
      </c>
      <c r="C300" s="12" t="s">
        <v>7211</v>
      </c>
      <c r="D300" s="12" t="s">
        <v>7172</v>
      </c>
      <c r="E300" s="12" t="s">
        <v>6313</v>
      </c>
      <c r="F300" s="12" t="s">
        <v>6314</v>
      </c>
      <c r="G300" s="12" t="s">
        <v>12</v>
      </c>
      <c r="H300" s="12" t="s">
        <v>222</v>
      </c>
      <c r="I300" s="12"/>
      <c r="J300" s="12" t="s">
        <v>68</v>
      </c>
      <c r="K300" s="12"/>
      <c r="L300" s="12"/>
      <c r="M300" s="12" t="s">
        <v>6315</v>
      </c>
      <c r="N300" s="12"/>
      <c r="O300" s="12" t="s">
        <v>6316</v>
      </c>
      <c r="P300" s="12" t="str">
        <f>HYPERLINK("https://ceds.ed.gov/cedselementdetails.aspx?termid=9300")</f>
        <v>https://ceds.ed.gov/cedselementdetails.aspx?termid=9300</v>
      </c>
      <c r="Q300" s="12" t="str">
        <f>HYPERLINK("https://ceds.ed.gov/elementComment.aspx?elementName=Web Site Address &amp;elementID=9300", "Click here to submit comment")</f>
        <v>Click here to submit comment</v>
      </c>
    </row>
    <row r="301" spans="1:17" ht="195" x14ac:dyDescent="0.25">
      <c r="A301" s="12" t="s">
        <v>7169</v>
      </c>
      <c r="B301" s="12" t="s">
        <v>7210</v>
      </c>
      <c r="C301" s="12" t="s">
        <v>7212</v>
      </c>
      <c r="D301" s="12" t="s">
        <v>7176</v>
      </c>
      <c r="E301" s="12" t="s">
        <v>3017</v>
      </c>
      <c r="F301" s="12" t="s">
        <v>3018</v>
      </c>
      <c r="G301" s="12" t="s">
        <v>12</v>
      </c>
      <c r="H301" s="12" t="s">
        <v>6540</v>
      </c>
      <c r="I301" s="12"/>
      <c r="J301" s="12" t="s">
        <v>1349</v>
      </c>
      <c r="K301" s="12"/>
      <c r="L301" s="12" t="s">
        <v>3019</v>
      </c>
      <c r="M301" s="12" t="s">
        <v>3020</v>
      </c>
      <c r="N301" s="12"/>
      <c r="O301" s="12" t="s">
        <v>3021</v>
      </c>
      <c r="P301" s="12" t="str">
        <f>HYPERLINK("https://ceds.ed.gov/cedselementdetails.aspx?termid=9115")</f>
        <v>https://ceds.ed.gov/cedselementdetails.aspx?termid=9115</v>
      </c>
      <c r="Q301" s="12" t="str">
        <f>HYPERLINK("https://ceds.ed.gov/elementComment.aspx?elementName=First Name &amp;elementID=9115", "Click here to submit comment")</f>
        <v>Click here to submit comment</v>
      </c>
    </row>
    <row r="302" spans="1:17" x14ac:dyDescent="0.25">
      <c r="A302" s="18" t="s">
        <v>7169</v>
      </c>
      <c r="B302" s="18" t="s">
        <v>7210</v>
      </c>
      <c r="C302" s="18" t="s">
        <v>7212</v>
      </c>
      <c r="D302" s="18" t="s">
        <v>7176</v>
      </c>
      <c r="E302" s="18" t="s">
        <v>4405</v>
      </c>
      <c r="F302" s="18" t="s">
        <v>4406</v>
      </c>
      <c r="G302" s="18" t="s">
        <v>12</v>
      </c>
      <c r="H302" s="18" t="s">
        <v>6540</v>
      </c>
      <c r="I302" s="18"/>
      <c r="J302" s="18" t="s">
        <v>1349</v>
      </c>
      <c r="K302" s="18"/>
      <c r="L302" s="12" t="s">
        <v>3078</v>
      </c>
      <c r="M302" s="18" t="s">
        <v>4407</v>
      </c>
      <c r="N302" s="18"/>
      <c r="O302" s="18" t="s">
        <v>4408</v>
      </c>
      <c r="P302" s="18" t="str">
        <f>HYPERLINK("https://ceds.ed.gov/cedselementdetails.aspx?termid=9184")</f>
        <v>https://ceds.ed.gov/cedselementdetails.aspx?termid=9184</v>
      </c>
      <c r="Q302" s="18" t="str">
        <f>HYPERLINK("https://ceds.ed.gov/elementComment.aspx?elementName=Middle Name &amp;elementID=9184", "Click here to submit comment")</f>
        <v>Click here to submit comment</v>
      </c>
    </row>
    <row r="303" spans="1:17" ht="90" x14ac:dyDescent="0.25">
      <c r="A303" s="18"/>
      <c r="B303" s="18"/>
      <c r="C303" s="18"/>
      <c r="D303" s="18"/>
      <c r="E303" s="18"/>
      <c r="F303" s="18"/>
      <c r="G303" s="18"/>
      <c r="H303" s="18"/>
      <c r="I303" s="18"/>
      <c r="J303" s="18"/>
      <c r="K303" s="18"/>
      <c r="L303" s="12" t="s">
        <v>3079</v>
      </c>
      <c r="M303" s="18"/>
      <c r="N303" s="18"/>
      <c r="O303" s="18"/>
      <c r="P303" s="18"/>
      <c r="Q303" s="18"/>
    </row>
    <row r="304" spans="1:17" x14ac:dyDescent="0.25">
      <c r="A304" s="18" t="s">
        <v>7169</v>
      </c>
      <c r="B304" s="18" t="s">
        <v>7210</v>
      </c>
      <c r="C304" s="18" t="s">
        <v>7212</v>
      </c>
      <c r="D304" s="18" t="s">
        <v>7176</v>
      </c>
      <c r="E304" s="18" t="s">
        <v>3684</v>
      </c>
      <c r="F304" s="18" t="s">
        <v>3685</v>
      </c>
      <c r="G304" s="18" t="s">
        <v>12</v>
      </c>
      <c r="H304" s="18" t="s">
        <v>6540</v>
      </c>
      <c r="I304" s="18"/>
      <c r="J304" s="18" t="s">
        <v>1349</v>
      </c>
      <c r="K304" s="18"/>
      <c r="L304" s="12" t="s">
        <v>3078</v>
      </c>
      <c r="M304" s="18" t="s">
        <v>3686</v>
      </c>
      <c r="N304" s="18" t="s">
        <v>3687</v>
      </c>
      <c r="O304" s="18" t="s">
        <v>3688</v>
      </c>
      <c r="P304" s="18" t="str">
        <f>HYPERLINK("https://ceds.ed.gov/cedselementdetails.aspx?termid=9172")</f>
        <v>https://ceds.ed.gov/cedselementdetails.aspx?termid=9172</v>
      </c>
      <c r="Q304" s="18" t="str">
        <f>HYPERLINK("https://ceds.ed.gov/elementComment.aspx?elementName=Last or Surname &amp;elementID=9172", "Click here to submit comment")</f>
        <v>Click here to submit comment</v>
      </c>
    </row>
    <row r="305" spans="1:17" ht="90" x14ac:dyDescent="0.25">
      <c r="A305" s="18"/>
      <c r="B305" s="18"/>
      <c r="C305" s="18"/>
      <c r="D305" s="18"/>
      <c r="E305" s="18"/>
      <c r="F305" s="18"/>
      <c r="G305" s="18"/>
      <c r="H305" s="18"/>
      <c r="I305" s="18"/>
      <c r="J305" s="18"/>
      <c r="K305" s="18"/>
      <c r="L305" s="12" t="s">
        <v>3079</v>
      </c>
      <c r="M305" s="18"/>
      <c r="N305" s="18"/>
      <c r="O305" s="18"/>
      <c r="P305" s="18"/>
      <c r="Q305" s="18"/>
    </row>
    <row r="306" spans="1:17" x14ac:dyDescent="0.25">
      <c r="A306" s="18" t="s">
        <v>7169</v>
      </c>
      <c r="B306" s="18" t="s">
        <v>7210</v>
      </c>
      <c r="C306" s="18" t="s">
        <v>7212</v>
      </c>
      <c r="D306" s="18" t="s">
        <v>7176</v>
      </c>
      <c r="E306" s="18" t="s">
        <v>3076</v>
      </c>
      <c r="F306" s="18" t="s">
        <v>3077</v>
      </c>
      <c r="G306" s="18" t="s">
        <v>12</v>
      </c>
      <c r="H306" s="18" t="s">
        <v>6543</v>
      </c>
      <c r="I306" s="18"/>
      <c r="J306" s="18" t="s">
        <v>2143</v>
      </c>
      <c r="K306" s="18"/>
      <c r="L306" s="12" t="s">
        <v>3078</v>
      </c>
      <c r="M306" s="18" t="s">
        <v>3080</v>
      </c>
      <c r="N306" s="18"/>
      <c r="O306" s="18" t="s">
        <v>3081</v>
      </c>
      <c r="P306" s="18" t="str">
        <f>HYPERLINK("https://ceds.ed.gov/cedselementdetails.aspx?termid=9121")</f>
        <v>https://ceds.ed.gov/cedselementdetails.aspx?termid=9121</v>
      </c>
      <c r="Q306" s="18" t="str">
        <f>HYPERLINK("https://ceds.ed.gov/elementComment.aspx?elementName=Generation Code or Suffix &amp;elementID=9121", "Click here to submit comment")</f>
        <v>Click here to submit comment</v>
      </c>
    </row>
    <row r="307" spans="1:17" ht="90" x14ac:dyDescent="0.25">
      <c r="A307" s="18"/>
      <c r="B307" s="18"/>
      <c r="C307" s="18"/>
      <c r="D307" s="18"/>
      <c r="E307" s="18"/>
      <c r="F307" s="18"/>
      <c r="G307" s="18"/>
      <c r="H307" s="18"/>
      <c r="I307" s="18"/>
      <c r="J307" s="18"/>
      <c r="K307" s="18"/>
      <c r="L307" s="12" t="s">
        <v>3079</v>
      </c>
      <c r="M307" s="18"/>
      <c r="N307" s="18"/>
      <c r="O307" s="18"/>
      <c r="P307" s="18"/>
      <c r="Q307" s="18"/>
    </row>
    <row r="308" spans="1:17" ht="105" x14ac:dyDescent="0.25">
      <c r="A308" s="12" t="s">
        <v>7169</v>
      </c>
      <c r="B308" s="12" t="s">
        <v>7210</v>
      </c>
      <c r="C308" s="12" t="s">
        <v>7212</v>
      </c>
      <c r="D308" s="12" t="s">
        <v>7176</v>
      </c>
      <c r="E308" s="12" t="s">
        <v>4835</v>
      </c>
      <c r="F308" s="12" t="s">
        <v>4836</v>
      </c>
      <c r="G308" s="12" t="s">
        <v>12</v>
      </c>
      <c r="H308" s="12" t="s">
        <v>6627</v>
      </c>
      <c r="I308" s="12"/>
      <c r="J308" s="12" t="s">
        <v>92</v>
      </c>
      <c r="K308" s="12"/>
      <c r="L308" s="12"/>
      <c r="M308" s="12" t="s">
        <v>4837</v>
      </c>
      <c r="N308" s="12" t="s">
        <v>4838</v>
      </c>
      <c r="O308" s="12" t="s">
        <v>4839</v>
      </c>
      <c r="P308" s="12" t="str">
        <f>HYPERLINK("https://ceds.ed.gov/cedselementdetails.aspx?termid=9212")</f>
        <v>https://ceds.ed.gov/cedselementdetails.aspx?termid=9212</v>
      </c>
      <c r="Q308" s="12" t="str">
        <f>HYPERLINK("https://ceds.ed.gov/elementComment.aspx?elementName=Personal Title or Prefix &amp;elementID=9212", "Click here to submit comment")</f>
        <v>Click here to submit comment</v>
      </c>
    </row>
    <row r="309" spans="1:17" ht="90" x14ac:dyDescent="0.25">
      <c r="A309" s="12" t="s">
        <v>7169</v>
      </c>
      <c r="B309" s="12" t="s">
        <v>7210</v>
      </c>
      <c r="C309" s="12" t="s">
        <v>7175</v>
      </c>
      <c r="D309" s="12" t="s">
        <v>7172</v>
      </c>
      <c r="E309" s="12" t="s">
        <v>197</v>
      </c>
      <c r="F309" s="12" t="s">
        <v>198</v>
      </c>
      <c r="G309" s="13" t="s">
        <v>6727</v>
      </c>
      <c r="H309" s="12" t="s">
        <v>6369</v>
      </c>
      <c r="I309" s="12"/>
      <c r="J309" s="12" t="s">
        <v>92</v>
      </c>
      <c r="K309" s="12"/>
      <c r="L309" s="12"/>
      <c r="M309" s="12" t="s">
        <v>199</v>
      </c>
      <c r="N309" s="12"/>
      <c r="O309" s="12" t="s">
        <v>200</v>
      </c>
      <c r="P309" s="12" t="str">
        <f>HYPERLINK("https://ceds.ed.gov/cedselementdetails.aspx?termid=9644")</f>
        <v>https://ceds.ed.gov/cedselementdetails.aspx?termid=9644</v>
      </c>
      <c r="Q309" s="12" t="str">
        <f>HYPERLINK("https://ceds.ed.gov/elementComment.aspx?elementName=Address Type for Organization &amp;elementID=9644", "Click here to submit comment")</f>
        <v>Click here to submit comment</v>
      </c>
    </row>
    <row r="310" spans="1:17" ht="225" x14ac:dyDescent="0.25">
      <c r="A310" s="12" t="s">
        <v>7169</v>
      </c>
      <c r="B310" s="12" t="s">
        <v>7210</v>
      </c>
      <c r="C310" s="12" t="s">
        <v>7175</v>
      </c>
      <c r="D310" s="12" t="s">
        <v>7172</v>
      </c>
      <c r="E310" s="12" t="s">
        <v>189</v>
      </c>
      <c r="F310" s="12" t="s">
        <v>190</v>
      </c>
      <c r="G310" s="12" t="s">
        <v>12</v>
      </c>
      <c r="H310" s="12" t="s">
        <v>6377</v>
      </c>
      <c r="I310" s="12"/>
      <c r="J310" s="12" t="s">
        <v>142</v>
      </c>
      <c r="K310" s="12"/>
      <c r="L310" s="12"/>
      <c r="M310" s="12" t="s">
        <v>191</v>
      </c>
      <c r="N310" s="12"/>
      <c r="O310" s="12" t="s">
        <v>192</v>
      </c>
      <c r="P310" s="12" t="str">
        <f>HYPERLINK("https://ceds.ed.gov/cedselementdetails.aspx?termid=9269")</f>
        <v>https://ceds.ed.gov/cedselementdetails.aspx?termid=9269</v>
      </c>
      <c r="Q310" s="12" t="str">
        <f>HYPERLINK("https://ceds.ed.gov/elementComment.aspx?elementName=Address Street Number and Name &amp;elementID=9269", "Click here to submit comment")</f>
        <v>Click here to submit comment</v>
      </c>
    </row>
    <row r="311" spans="1:17" ht="225" x14ac:dyDescent="0.25">
      <c r="A311" s="12" t="s">
        <v>7169</v>
      </c>
      <c r="B311" s="12" t="s">
        <v>7210</v>
      </c>
      <c r="C311" s="12" t="s">
        <v>7175</v>
      </c>
      <c r="D311" s="12" t="s">
        <v>7172</v>
      </c>
      <c r="E311" s="12" t="s">
        <v>172</v>
      </c>
      <c r="F311" s="12" t="s">
        <v>173</v>
      </c>
      <c r="G311" s="12" t="s">
        <v>12</v>
      </c>
      <c r="H311" s="12" t="s">
        <v>6377</v>
      </c>
      <c r="I311" s="12"/>
      <c r="J311" s="12" t="s">
        <v>92</v>
      </c>
      <c r="K311" s="12"/>
      <c r="L311" s="12"/>
      <c r="M311" s="12" t="s">
        <v>174</v>
      </c>
      <c r="N311" s="12"/>
      <c r="O311" s="12" t="s">
        <v>175</v>
      </c>
      <c r="P311" s="12" t="str">
        <f>HYPERLINK("https://ceds.ed.gov/cedselementdetails.aspx?termid=9019")</f>
        <v>https://ceds.ed.gov/cedselementdetails.aspx?termid=9019</v>
      </c>
      <c r="Q311" s="12" t="str">
        <f>HYPERLINK("https://ceds.ed.gov/elementComment.aspx?elementName=Address Apartment Room or Suite Number &amp;elementID=9019", "Click here to submit comment")</f>
        <v>Click here to submit comment</v>
      </c>
    </row>
    <row r="312" spans="1:17" ht="225" x14ac:dyDescent="0.25">
      <c r="A312" s="12" t="s">
        <v>7169</v>
      </c>
      <c r="B312" s="12" t="s">
        <v>7210</v>
      </c>
      <c r="C312" s="12" t="s">
        <v>7175</v>
      </c>
      <c r="D312" s="12" t="s">
        <v>7172</v>
      </c>
      <c r="E312" s="12" t="s">
        <v>176</v>
      </c>
      <c r="F312" s="12" t="s">
        <v>177</v>
      </c>
      <c r="G312" s="12" t="s">
        <v>12</v>
      </c>
      <c r="H312" s="12" t="s">
        <v>6377</v>
      </c>
      <c r="I312" s="12"/>
      <c r="J312" s="12" t="s">
        <v>92</v>
      </c>
      <c r="K312" s="12"/>
      <c r="L312" s="12"/>
      <c r="M312" s="12" t="s">
        <v>178</v>
      </c>
      <c r="N312" s="12"/>
      <c r="O312" s="12" t="s">
        <v>179</v>
      </c>
      <c r="P312" s="12" t="str">
        <f>HYPERLINK("https://ceds.ed.gov/cedselementdetails.aspx?termid=9040")</f>
        <v>https://ceds.ed.gov/cedselementdetails.aspx?termid=9040</v>
      </c>
      <c r="Q312" s="12" t="str">
        <f>HYPERLINK("https://ceds.ed.gov/elementComment.aspx?elementName=Address City &amp;elementID=9040", "Click here to submit comment")</f>
        <v>Click here to submit comment</v>
      </c>
    </row>
    <row r="313" spans="1:17" ht="409.5" x14ac:dyDescent="0.25">
      <c r="A313" s="12" t="s">
        <v>7169</v>
      </c>
      <c r="B313" s="12" t="s">
        <v>7210</v>
      </c>
      <c r="C313" s="12" t="s">
        <v>7175</v>
      </c>
      <c r="D313" s="12" t="s">
        <v>7172</v>
      </c>
      <c r="E313" s="12" t="s">
        <v>5898</v>
      </c>
      <c r="F313" s="12" t="s">
        <v>5899</v>
      </c>
      <c r="G313" s="13" t="s">
        <v>7120</v>
      </c>
      <c r="H313" s="12" t="s">
        <v>6678</v>
      </c>
      <c r="I313" s="12"/>
      <c r="J313" s="12"/>
      <c r="K313" s="12"/>
      <c r="L313" s="12"/>
      <c r="M313" s="12" t="s">
        <v>5900</v>
      </c>
      <c r="N313" s="12"/>
      <c r="O313" s="12" t="s">
        <v>5901</v>
      </c>
      <c r="P313" s="12" t="str">
        <f>HYPERLINK("https://ceds.ed.gov/cedselementdetails.aspx?termid=9267")</f>
        <v>https://ceds.ed.gov/cedselementdetails.aspx?termid=9267</v>
      </c>
      <c r="Q313" s="12" t="str">
        <f>HYPERLINK("https://ceds.ed.gov/elementComment.aspx?elementName=State Abbreviation &amp;elementID=9267", "Click here to submit comment")</f>
        <v>Click here to submit comment</v>
      </c>
    </row>
    <row r="314" spans="1:17" ht="225" x14ac:dyDescent="0.25">
      <c r="A314" s="12" t="s">
        <v>7169</v>
      </c>
      <c r="B314" s="12" t="s">
        <v>7210</v>
      </c>
      <c r="C314" s="12" t="s">
        <v>7175</v>
      </c>
      <c r="D314" s="12" t="s">
        <v>7172</v>
      </c>
      <c r="E314" s="12" t="s">
        <v>184</v>
      </c>
      <c r="F314" s="12" t="s">
        <v>185</v>
      </c>
      <c r="G314" s="12" t="s">
        <v>12</v>
      </c>
      <c r="H314" s="12" t="s">
        <v>6377</v>
      </c>
      <c r="I314" s="12"/>
      <c r="J314" s="12" t="s">
        <v>186</v>
      </c>
      <c r="K314" s="12"/>
      <c r="L314" s="12"/>
      <c r="M314" s="12" t="s">
        <v>187</v>
      </c>
      <c r="N314" s="12"/>
      <c r="O314" s="12" t="s">
        <v>188</v>
      </c>
      <c r="P314" s="12" t="str">
        <f>HYPERLINK("https://ceds.ed.gov/cedselementdetails.aspx?termid=9214")</f>
        <v>https://ceds.ed.gov/cedselementdetails.aspx?termid=9214</v>
      </c>
      <c r="Q314" s="12" t="str">
        <f>HYPERLINK("https://ceds.ed.gov/elementComment.aspx?elementName=Address Postal Code &amp;elementID=9214", "Click here to submit comment")</f>
        <v>Click here to submit comment</v>
      </c>
    </row>
    <row r="315" spans="1:17" ht="225" x14ac:dyDescent="0.25">
      <c r="A315" s="12" t="s">
        <v>7169</v>
      </c>
      <c r="B315" s="12" t="s">
        <v>7210</v>
      </c>
      <c r="C315" s="12" t="s">
        <v>7175</v>
      </c>
      <c r="D315" s="12" t="s">
        <v>7172</v>
      </c>
      <c r="E315" s="12" t="s">
        <v>180</v>
      </c>
      <c r="F315" s="12" t="s">
        <v>181</v>
      </c>
      <c r="G315" s="12" t="s">
        <v>12</v>
      </c>
      <c r="H315" s="12" t="s">
        <v>6377</v>
      </c>
      <c r="I315" s="12"/>
      <c r="J315" s="12" t="s">
        <v>92</v>
      </c>
      <c r="K315" s="12"/>
      <c r="L315" s="12"/>
      <c r="M315" s="12" t="s">
        <v>182</v>
      </c>
      <c r="N315" s="12"/>
      <c r="O315" s="12" t="s">
        <v>183</v>
      </c>
      <c r="P315" s="12" t="str">
        <f>HYPERLINK("https://ceds.ed.gov/cedselementdetails.aspx?termid=9190")</f>
        <v>https://ceds.ed.gov/cedselementdetails.aspx?termid=9190</v>
      </c>
      <c r="Q315" s="12" t="str">
        <f>HYPERLINK("https://ceds.ed.gov/elementComment.aspx?elementName=Address County Name &amp;elementID=9190", "Click here to submit comment")</f>
        <v>Click here to submit comment</v>
      </c>
    </row>
    <row r="316" spans="1:17" ht="180" x14ac:dyDescent="0.25">
      <c r="A316" s="12" t="s">
        <v>7169</v>
      </c>
      <c r="B316" s="12" t="s">
        <v>7210</v>
      </c>
      <c r="C316" s="12" t="s">
        <v>7175</v>
      </c>
      <c r="D316" s="12" t="s">
        <v>7172</v>
      </c>
      <c r="E316" s="12" t="s">
        <v>1943</v>
      </c>
      <c r="F316" s="12" t="s">
        <v>1944</v>
      </c>
      <c r="G316" s="12" t="s">
        <v>12</v>
      </c>
      <c r="H316" s="12"/>
      <c r="I316" s="12"/>
      <c r="J316" s="12" t="s">
        <v>1945</v>
      </c>
      <c r="K316" s="12"/>
      <c r="L316" s="12"/>
      <c r="M316" s="12" t="s">
        <v>1946</v>
      </c>
      <c r="N316" s="12"/>
      <c r="O316" s="12" t="s">
        <v>1947</v>
      </c>
      <c r="P316" s="12" t="str">
        <f>HYPERLINK("https://ceds.ed.gov/cedselementdetails.aspx?termid=10176")</f>
        <v>https://ceds.ed.gov/cedselementdetails.aspx?termid=10176</v>
      </c>
      <c r="Q316" s="12" t="str">
        <f>HYPERLINK("https://ceds.ed.gov/elementComment.aspx?elementName=County ANSI Code &amp;elementID=10176", "Click here to submit comment")</f>
        <v>Click here to submit comment</v>
      </c>
    </row>
    <row r="317" spans="1:17" ht="409.5" x14ac:dyDescent="0.25">
      <c r="A317" s="12" t="s">
        <v>7169</v>
      </c>
      <c r="B317" s="12" t="s">
        <v>7210</v>
      </c>
      <c r="C317" s="12" t="s">
        <v>7175</v>
      </c>
      <c r="D317" s="12" t="s">
        <v>7176</v>
      </c>
      <c r="E317" s="12" t="s">
        <v>1934</v>
      </c>
      <c r="F317" s="12" t="s">
        <v>1935</v>
      </c>
      <c r="G317" s="13" t="s">
        <v>6829</v>
      </c>
      <c r="H317" s="12" t="s">
        <v>6467</v>
      </c>
      <c r="I317" s="12" t="s">
        <v>98</v>
      </c>
      <c r="J317" s="12"/>
      <c r="K317" s="12"/>
      <c r="L317" s="14" t="s">
        <v>1936</v>
      </c>
      <c r="M317" s="12" t="s">
        <v>1937</v>
      </c>
      <c r="N317" s="12"/>
      <c r="O317" s="12" t="s">
        <v>1938</v>
      </c>
      <c r="P317" s="12" t="str">
        <f>HYPERLINK("https://ceds.ed.gov/cedselementdetails.aspx?termid=9050")</f>
        <v>https://ceds.ed.gov/cedselementdetails.aspx?termid=9050</v>
      </c>
      <c r="Q317" s="12" t="str">
        <f>HYPERLINK("https://ceds.ed.gov/elementComment.aspx?elementName=Country Code &amp;elementID=9050", "Click here to submit comment")</f>
        <v>Click here to submit comment</v>
      </c>
    </row>
    <row r="318" spans="1:17" ht="75" x14ac:dyDescent="0.25">
      <c r="A318" s="12" t="s">
        <v>7169</v>
      </c>
      <c r="B318" s="12" t="s">
        <v>7210</v>
      </c>
      <c r="C318" s="12" t="s">
        <v>7175</v>
      </c>
      <c r="D318" s="12" t="s">
        <v>7176</v>
      </c>
      <c r="E318" s="12" t="s">
        <v>3693</v>
      </c>
      <c r="F318" s="12" t="s">
        <v>3694</v>
      </c>
      <c r="G318" s="12" t="s">
        <v>12</v>
      </c>
      <c r="H318" s="12"/>
      <c r="I318" s="12"/>
      <c r="J318" s="12" t="s">
        <v>1201</v>
      </c>
      <c r="K318" s="12"/>
      <c r="L318" s="12"/>
      <c r="M318" s="12" t="s">
        <v>3695</v>
      </c>
      <c r="N318" s="12"/>
      <c r="O318" s="12" t="s">
        <v>3693</v>
      </c>
      <c r="P318" s="12" t="str">
        <f>HYPERLINK("https://ceds.ed.gov/cedselementdetails.aspx?termid=9599")</f>
        <v>https://ceds.ed.gov/cedselementdetails.aspx?termid=9599</v>
      </c>
      <c r="Q318" s="12" t="str">
        <f>HYPERLINK("https://ceds.ed.gov/elementComment.aspx?elementName=Latitude &amp;elementID=9599", "Click here to submit comment")</f>
        <v>Click here to submit comment</v>
      </c>
    </row>
    <row r="319" spans="1:17" ht="75" x14ac:dyDescent="0.25">
      <c r="A319" s="12" t="s">
        <v>7169</v>
      </c>
      <c r="B319" s="12" t="s">
        <v>7210</v>
      </c>
      <c r="C319" s="12" t="s">
        <v>7175</v>
      </c>
      <c r="D319" s="12" t="s">
        <v>7176</v>
      </c>
      <c r="E319" s="12" t="s">
        <v>4361</v>
      </c>
      <c r="F319" s="12" t="s">
        <v>4362</v>
      </c>
      <c r="G319" s="12" t="s">
        <v>12</v>
      </c>
      <c r="H319" s="12"/>
      <c r="I319" s="12"/>
      <c r="J319" s="12" t="s">
        <v>1201</v>
      </c>
      <c r="K319" s="12"/>
      <c r="L319" s="12"/>
      <c r="M319" s="12" t="s">
        <v>4363</v>
      </c>
      <c r="N319" s="12"/>
      <c r="O319" s="12" t="s">
        <v>4361</v>
      </c>
      <c r="P319" s="12" t="str">
        <f>HYPERLINK("https://ceds.ed.gov/cedselementdetails.aspx?termid=9600")</f>
        <v>https://ceds.ed.gov/cedselementdetails.aspx?termid=9600</v>
      </c>
      <c r="Q319" s="12" t="str">
        <f>HYPERLINK("https://ceds.ed.gov/elementComment.aspx?elementName=Longitude &amp;elementID=9600", "Click here to submit comment")</f>
        <v>Click here to submit comment</v>
      </c>
    </row>
    <row r="320" spans="1:17" ht="90" x14ac:dyDescent="0.25">
      <c r="A320" s="12" t="s">
        <v>7169</v>
      </c>
      <c r="B320" s="12" t="s">
        <v>7210</v>
      </c>
      <c r="C320" s="12" t="s">
        <v>7177</v>
      </c>
      <c r="D320" s="12" t="s">
        <v>7176</v>
      </c>
      <c r="E320" s="12" t="s">
        <v>6107</v>
      </c>
      <c r="F320" s="12" t="s">
        <v>6108</v>
      </c>
      <c r="G320" s="13" t="s">
        <v>7135</v>
      </c>
      <c r="H320" s="12" t="s">
        <v>6369</v>
      </c>
      <c r="I320" s="12"/>
      <c r="J320" s="12" t="s">
        <v>1950</v>
      </c>
      <c r="K320" s="12"/>
      <c r="L320" s="12"/>
      <c r="M320" s="12" t="s">
        <v>6109</v>
      </c>
      <c r="N320" s="12"/>
      <c r="O320" s="12" t="s">
        <v>6110</v>
      </c>
      <c r="P320" s="12" t="str">
        <f>HYPERLINK("https://ceds.ed.gov/cedselementdetails.aspx?termid=9280")</f>
        <v>https://ceds.ed.gov/cedselementdetails.aspx?termid=9280</v>
      </c>
      <c r="Q320" s="12" t="str">
        <f>HYPERLINK("https://ceds.ed.gov/elementComment.aspx?elementName=Telephone Number Type &amp;elementID=9280", "Click here to submit comment")</f>
        <v>Click here to submit comment</v>
      </c>
    </row>
    <row r="321" spans="1:17" ht="90" x14ac:dyDescent="0.25">
      <c r="A321" s="12" t="s">
        <v>7169</v>
      </c>
      <c r="B321" s="12" t="s">
        <v>7210</v>
      </c>
      <c r="C321" s="12" t="s">
        <v>7177</v>
      </c>
      <c r="D321" s="12" t="s">
        <v>7172</v>
      </c>
      <c r="E321" s="12" t="s">
        <v>4934</v>
      </c>
      <c r="F321" s="12" t="s">
        <v>4935</v>
      </c>
      <c r="G321" s="12" t="s">
        <v>6364</v>
      </c>
      <c r="H321" s="12" t="s">
        <v>6369</v>
      </c>
      <c r="I321" s="12"/>
      <c r="J321" s="12"/>
      <c r="K321" s="12"/>
      <c r="L321" s="12"/>
      <c r="M321" s="12" t="s">
        <v>4936</v>
      </c>
      <c r="N321" s="12"/>
      <c r="O321" s="12" t="s">
        <v>4937</v>
      </c>
      <c r="P321" s="12" t="str">
        <f>HYPERLINK("https://ceds.ed.gov/cedselementdetails.aspx?termid=9219")</f>
        <v>https://ceds.ed.gov/cedselementdetails.aspx?termid=9219</v>
      </c>
      <c r="Q321" s="12" t="str">
        <f>HYPERLINK("https://ceds.ed.gov/elementComment.aspx?elementName=Primary Telephone Number Indicator &amp;elementID=9219", "Click here to submit comment")</f>
        <v>Click here to submit comment</v>
      </c>
    </row>
    <row r="322" spans="1:17" ht="90" x14ac:dyDescent="0.25">
      <c r="A322" s="12" t="s">
        <v>7169</v>
      </c>
      <c r="B322" s="12" t="s">
        <v>7210</v>
      </c>
      <c r="C322" s="12" t="s">
        <v>7177</v>
      </c>
      <c r="D322" s="12" t="s">
        <v>7172</v>
      </c>
      <c r="E322" s="12" t="s">
        <v>6102</v>
      </c>
      <c r="F322" s="12" t="s">
        <v>6103</v>
      </c>
      <c r="G322" s="12" t="s">
        <v>12</v>
      </c>
      <c r="H322" s="12" t="s">
        <v>6369</v>
      </c>
      <c r="I322" s="12"/>
      <c r="J322" s="12" t="s">
        <v>6104</v>
      </c>
      <c r="K322" s="12"/>
      <c r="L322" s="12"/>
      <c r="M322" s="12" t="s">
        <v>6105</v>
      </c>
      <c r="N322" s="12"/>
      <c r="O322" s="12" t="s">
        <v>6106</v>
      </c>
      <c r="P322" s="12" t="str">
        <f>HYPERLINK("https://ceds.ed.gov/cedselementdetails.aspx?termid=9279")</f>
        <v>https://ceds.ed.gov/cedselementdetails.aspx?termid=9279</v>
      </c>
      <c r="Q322" s="12" t="str">
        <f>HYPERLINK("https://ceds.ed.gov/elementComment.aspx?elementName=Telephone Number &amp;elementID=9279", "Click here to submit comment")</f>
        <v>Click here to submit comment</v>
      </c>
    </row>
    <row r="323" spans="1:17" ht="90" x14ac:dyDescent="0.25">
      <c r="A323" s="12" t="s">
        <v>7169</v>
      </c>
      <c r="B323" s="12" t="s">
        <v>7210</v>
      </c>
      <c r="C323" s="12" t="s">
        <v>7204</v>
      </c>
      <c r="D323" s="12" t="s">
        <v>7172</v>
      </c>
      <c r="E323" s="12" t="s">
        <v>2653</v>
      </c>
      <c r="F323" s="12" t="s">
        <v>2654</v>
      </c>
      <c r="G323" s="13" t="s">
        <v>6898</v>
      </c>
      <c r="H323" s="12" t="s">
        <v>6369</v>
      </c>
      <c r="I323" s="12"/>
      <c r="J323" s="12"/>
      <c r="K323" s="12"/>
      <c r="L323" s="12"/>
      <c r="M323" s="12" t="s">
        <v>2655</v>
      </c>
      <c r="N323" s="12" t="s">
        <v>2656</v>
      </c>
      <c r="O323" s="12" t="s">
        <v>2657</v>
      </c>
      <c r="P323" s="12" t="str">
        <f>HYPERLINK("https://ceds.ed.gov/cedselementdetails.aspx?termid=9089")</f>
        <v>https://ceds.ed.gov/cedselementdetails.aspx?termid=9089</v>
      </c>
      <c r="Q323" s="12" t="str">
        <f>HYPERLINK("https://ceds.ed.gov/elementComment.aspx?elementName=Electronic Mail Address Type &amp;elementID=9089", "Click here to submit comment")</f>
        <v>Click here to submit comment</v>
      </c>
    </row>
    <row r="324" spans="1:17" ht="90" x14ac:dyDescent="0.25">
      <c r="A324" s="12" t="s">
        <v>7169</v>
      </c>
      <c r="B324" s="12" t="s">
        <v>7210</v>
      </c>
      <c r="C324" s="12" t="s">
        <v>7204</v>
      </c>
      <c r="D324" s="12" t="s">
        <v>7172</v>
      </c>
      <c r="E324" s="12" t="s">
        <v>2647</v>
      </c>
      <c r="F324" s="12" t="s">
        <v>2648</v>
      </c>
      <c r="G324" s="12" t="s">
        <v>12</v>
      </c>
      <c r="H324" s="12" t="s">
        <v>6369</v>
      </c>
      <c r="I324" s="12"/>
      <c r="J324" s="12" t="s">
        <v>2649</v>
      </c>
      <c r="K324" s="12"/>
      <c r="L324" s="12"/>
      <c r="M324" s="12" t="s">
        <v>2650</v>
      </c>
      <c r="N324" s="12" t="s">
        <v>2651</v>
      </c>
      <c r="O324" s="12" t="s">
        <v>2652</v>
      </c>
      <c r="P324" s="12" t="str">
        <f>HYPERLINK("https://ceds.ed.gov/cedselementdetails.aspx?termid=9088")</f>
        <v>https://ceds.ed.gov/cedselementdetails.aspx?termid=9088</v>
      </c>
      <c r="Q324" s="12" t="str">
        <f>HYPERLINK("https://ceds.ed.gov/elementComment.aspx?elementName=Electronic Mail Address &amp;elementID=9088", "Click here to submit comment")</f>
        <v>Click here to submit comment</v>
      </c>
    </row>
    <row r="325" spans="1:17" ht="30" x14ac:dyDescent="0.25">
      <c r="A325" s="12" t="s">
        <v>7169</v>
      </c>
      <c r="B325" s="12" t="s">
        <v>7210</v>
      </c>
      <c r="C325" s="12" t="s">
        <v>7213</v>
      </c>
      <c r="D325" s="12" t="s">
        <v>7176</v>
      </c>
      <c r="E325" s="12" t="s">
        <v>4705</v>
      </c>
      <c r="F325" s="12" t="s">
        <v>4706</v>
      </c>
      <c r="G325" s="12" t="s">
        <v>12</v>
      </c>
      <c r="H325" s="12"/>
      <c r="I325" s="12"/>
      <c r="J325" s="12" t="s">
        <v>1349</v>
      </c>
      <c r="K325" s="12"/>
      <c r="L325" s="12" t="s">
        <v>4707</v>
      </c>
      <c r="M325" s="12" t="s">
        <v>4708</v>
      </c>
      <c r="N325" s="12"/>
      <c r="O325" s="12" t="s">
        <v>4709</v>
      </c>
      <c r="P325" s="12" t="str">
        <f>HYPERLINK("https://ceds.ed.gov/cedselementdetails.aspx?termid=10486")</f>
        <v>https://ceds.ed.gov/cedselementdetails.aspx?termid=10486</v>
      </c>
      <c r="Q325" s="12" t="str">
        <f>HYPERLINK("https://ceds.ed.gov/elementComment.aspx?elementName=Other First Name &amp;elementID=10486", "Click here to submit comment")</f>
        <v>Click here to submit comment</v>
      </c>
    </row>
    <row r="326" spans="1:17" ht="30" x14ac:dyDescent="0.25">
      <c r="A326" s="12" t="s">
        <v>7169</v>
      </c>
      <c r="B326" s="12" t="s">
        <v>7210</v>
      </c>
      <c r="C326" s="12" t="s">
        <v>7213</v>
      </c>
      <c r="D326" s="12" t="s">
        <v>7176</v>
      </c>
      <c r="E326" s="12" t="s">
        <v>4710</v>
      </c>
      <c r="F326" s="12" t="s">
        <v>4711</v>
      </c>
      <c r="G326" s="12" t="s">
        <v>12</v>
      </c>
      <c r="H326" s="12"/>
      <c r="I326" s="12"/>
      <c r="J326" s="12" t="s">
        <v>1349</v>
      </c>
      <c r="K326" s="12"/>
      <c r="L326" s="12" t="s">
        <v>4712</v>
      </c>
      <c r="M326" s="12" t="s">
        <v>4713</v>
      </c>
      <c r="N326" s="12"/>
      <c r="O326" s="12" t="s">
        <v>4714</v>
      </c>
      <c r="P326" s="12" t="str">
        <f>HYPERLINK("https://ceds.ed.gov/cedselementdetails.aspx?termid=10485")</f>
        <v>https://ceds.ed.gov/cedselementdetails.aspx?termid=10485</v>
      </c>
      <c r="Q326" s="12" t="str">
        <f>HYPERLINK("https://ceds.ed.gov/elementComment.aspx?elementName=Other Last Name &amp;elementID=10485", "Click here to submit comment")</f>
        <v>Click here to submit comment</v>
      </c>
    </row>
    <row r="327" spans="1:17" ht="30" x14ac:dyDescent="0.25">
      <c r="A327" s="12" t="s">
        <v>7169</v>
      </c>
      <c r="B327" s="12" t="s">
        <v>7210</v>
      </c>
      <c r="C327" s="12" t="s">
        <v>7213</v>
      </c>
      <c r="D327" s="12" t="s">
        <v>7176</v>
      </c>
      <c r="E327" s="12" t="s">
        <v>4715</v>
      </c>
      <c r="F327" s="12" t="s">
        <v>4716</v>
      </c>
      <c r="G327" s="12" t="s">
        <v>12</v>
      </c>
      <c r="H327" s="12"/>
      <c r="I327" s="12"/>
      <c r="J327" s="12" t="s">
        <v>1349</v>
      </c>
      <c r="K327" s="12"/>
      <c r="L327" s="12" t="s">
        <v>4717</v>
      </c>
      <c r="M327" s="12" t="s">
        <v>4718</v>
      </c>
      <c r="N327" s="12"/>
      <c r="O327" s="12" t="s">
        <v>4719</v>
      </c>
      <c r="P327" s="12" t="str">
        <f>HYPERLINK("https://ceds.ed.gov/cedselementdetails.aspx?termid=10487")</f>
        <v>https://ceds.ed.gov/cedselementdetails.aspx?termid=10487</v>
      </c>
      <c r="Q327" s="12" t="str">
        <f>HYPERLINK("https://ceds.ed.gov/elementComment.aspx?elementName=Other Middle Name &amp;elementID=10487", "Click here to submit comment")</f>
        <v>Click here to submit comment</v>
      </c>
    </row>
    <row r="328" spans="1:17" ht="150" x14ac:dyDescent="0.25">
      <c r="A328" s="12" t="s">
        <v>7169</v>
      </c>
      <c r="B328" s="12" t="s">
        <v>7210</v>
      </c>
      <c r="C328" s="12" t="s">
        <v>7213</v>
      </c>
      <c r="D328" s="12" t="s">
        <v>7176</v>
      </c>
      <c r="E328" s="12" t="s">
        <v>4720</v>
      </c>
      <c r="F328" s="12" t="s">
        <v>4721</v>
      </c>
      <c r="G328" s="12" t="s">
        <v>12</v>
      </c>
      <c r="H328" s="12" t="s">
        <v>6543</v>
      </c>
      <c r="I328" s="12"/>
      <c r="J328" s="12" t="s">
        <v>142</v>
      </c>
      <c r="K328" s="12"/>
      <c r="L328" s="12"/>
      <c r="M328" s="12" t="s">
        <v>4722</v>
      </c>
      <c r="N328" s="12"/>
      <c r="O328" s="12" t="s">
        <v>4723</v>
      </c>
      <c r="P328" s="12" t="str">
        <f>HYPERLINK("https://ceds.ed.gov/cedselementdetails.aspx?termid=9206")</f>
        <v>https://ceds.ed.gov/cedselementdetails.aspx?termid=9206</v>
      </c>
      <c r="Q328" s="12" t="str">
        <f>HYPERLINK("https://ceds.ed.gov/elementComment.aspx?elementName=Other Name &amp;elementID=9206", "Click here to submit comment")</f>
        <v>Click here to submit comment</v>
      </c>
    </row>
    <row r="329" spans="1:17" ht="165" x14ac:dyDescent="0.25">
      <c r="A329" s="12" t="s">
        <v>7169</v>
      </c>
      <c r="B329" s="12" t="s">
        <v>7210</v>
      </c>
      <c r="C329" s="12" t="s">
        <v>7213</v>
      </c>
      <c r="D329" s="12" t="s">
        <v>7176</v>
      </c>
      <c r="E329" s="12" t="s">
        <v>4724</v>
      </c>
      <c r="F329" s="12" t="s">
        <v>4725</v>
      </c>
      <c r="G329" s="13" t="s">
        <v>7046</v>
      </c>
      <c r="H329" s="12" t="s">
        <v>6619</v>
      </c>
      <c r="I329" s="12"/>
      <c r="J329" s="12" t="s">
        <v>92</v>
      </c>
      <c r="K329" s="12"/>
      <c r="L329" s="12"/>
      <c r="M329" s="12" t="s">
        <v>4726</v>
      </c>
      <c r="N329" s="12"/>
      <c r="O329" s="12" t="s">
        <v>4727</v>
      </c>
      <c r="P329" s="12" t="str">
        <f>HYPERLINK("https://ceds.ed.gov/cedselementdetails.aspx?termid=9627")</f>
        <v>https://ceds.ed.gov/cedselementdetails.aspx?termid=9627</v>
      </c>
      <c r="Q329" s="12" t="str">
        <f>HYPERLINK("https://ceds.ed.gov/elementComment.aspx?elementName=Other Name Type &amp;elementID=9627", "Click here to submit comment")</f>
        <v>Click here to submit comment</v>
      </c>
    </row>
    <row r="330" spans="1:17" ht="90" x14ac:dyDescent="0.25">
      <c r="A330" s="12" t="s">
        <v>7169</v>
      </c>
      <c r="B330" s="12" t="s">
        <v>7210</v>
      </c>
      <c r="C330" s="12" t="s">
        <v>7214</v>
      </c>
      <c r="D330" s="12" t="s">
        <v>7172</v>
      </c>
      <c r="E330" s="12" t="s">
        <v>197</v>
      </c>
      <c r="F330" s="12" t="s">
        <v>198</v>
      </c>
      <c r="G330" s="13" t="s">
        <v>6727</v>
      </c>
      <c r="H330" s="12" t="s">
        <v>6369</v>
      </c>
      <c r="I330" s="12"/>
      <c r="J330" s="12" t="s">
        <v>92</v>
      </c>
      <c r="K330" s="12"/>
      <c r="L330" s="12"/>
      <c r="M330" s="12" t="s">
        <v>199</v>
      </c>
      <c r="N330" s="12"/>
      <c r="O330" s="12" t="s">
        <v>200</v>
      </c>
      <c r="P330" s="12" t="str">
        <f>HYPERLINK("https://ceds.ed.gov/cedselementdetails.aspx?termid=9644")</f>
        <v>https://ceds.ed.gov/cedselementdetails.aspx?termid=9644</v>
      </c>
      <c r="Q330" s="12" t="str">
        <f>HYPERLINK("https://ceds.ed.gov/elementComment.aspx?elementName=Address Type for Organization &amp;elementID=9644", "Click here to submit comment")</f>
        <v>Click here to submit comment</v>
      </c>
    </row>
    <row r="331" spans="1:17" ht="225" x14ac:dyDescent="0.25">
      <c r="A331" s="12" t="s">
        <v>7169</v>
      </c>
      <c r="B331" s="12" t="s">
        <v>7210</v>
      </c>
      <c r="C331" s="12" t="s">
        <v>7214</v>
      </c>
      <c r="D331" s="12" t="s">
        <v>7172</v>
      </c>
      <c r="E331" s="12" t="s">
        <v>189</v>
      </c>
      <c r="F331" s="12" t="s">
        <v>190</v>
      </c>
      <c r="G331" s="12" t="s">
        <v>12</v>
      </c>
      <c r="H331" s="12" t="s">
        <v>6377</v>
      </c>
      <c r="I331" s="12"/>
      <c r="J331" s="12" t="s">
        <v>142</v>
      </c>
      <c r="K331" s="12"/>
      <c r="L331" s="12"/>
      <c r="M331" s="12" t="s">
        <v>191</v>
      </c>
      <c r="N331" s="12"/>
      <c r="O331" s="12" t="s">
        <v>192</v>
      </c>
      <c r="P331" s="12" t="str">
        <f>HYPERLINK("https://ceds.ed.gov/cedselementdetails.aspx?termid=9269")</f>
        <v>https://ceds.ed.gov/cedselementdetails.aspx?termid=9269</v>
      </c>
      <c r="Q331" s="12" t="str">
        <f>HYPERLINK("https://ceds.ed.gov/elementComment.aspx?elementName=Address Street Number and Name &amp;elementID=9269", "Click here to submit comment")</f>
        <v>Click here to submit comment</v>
      </c>
    </row>
    <row r="332" spans="1:17" ht="225" x14ac:dyDescent="0.25">
      <c r="A332" s="12" t="s">
        <v>7169</v>
      </c>
      <c r="B332" s="12" t="s">
        <v>7210</v>
      </c>
      <c r="C332" s="12" t="s">
        <v>7214</v>
      </c>
      <c r="D332" s="12" t="s">
        <v>7172</v>
      </c>
      <c r="E332" s="12" t="s">
        <v>172</v>
      </c>
      <c r="F332" s="12" t="s">
        <v>173</v>
      </c>
      <c r="G332" s="12" t="s">
        <v>12</v>
      </c>
      <c r="H332" s="12" t="s">
        <v>6377</v>
      </c>
      <c r="I332" s="12"/>
      <c r="J332" s="12" t="s">
        <v>92</v>
      </c>
      <c r="K332" s="12"/>
      <c r="L332" s="12"/>
      <c r="M332" s="12" t="s">
        <v>174</v>
      </c>
      <c r="N332" s="12"/>
      <c r="O332" s="12" t="s">
        <v>175</v>
      </c>
      <c r="P332" s="12" t="str">
        <f>HYPERLINK("https://ceds.ed.gov/cedselementdetails.aspx?termid=9019")</f>
        <v>https://ceds.ed.gov/cedselementdetails.aspx?termid=9019</v>
      </c>
      <c r="Q332" s="12" t="str">
        <f>HYPERLINK("https://ceds.ed.gov/elementComment.aspx?elementName=Address Apartment Room or Suite Number &amp;elementID=9019", "Click here to submit comment")</f>
        <v>Click here to submit comment</v>
      </c>
    </row>
    <row r="333" spans="1:17" ht="225" x14ac:dyDescent="0.25">
      <c r="A333" s="12" t="s">
        <v>7169</v>
      </c>
      <c r="B333" s="12" t="s">
        <v>7210</v>
      </c>
      <c r="C333" s="12" t="s">
        <v>7214</v>
      </c>
      <c r="D333" s="12" t="s">
        <v>7172</v>
      </c>
      <c r="E333" s="12" t="s">
        <v>176</v>
      </c>
      <c r="F333" s="12" t="s">
        <v>177</v>
      </c>
      <c r="G333" s="12" t="s">
        <v>12</v>
      </c>
      <c r="H333" s="12" t="s">
        <v>6377</v>
      </c>
      <c r="I333" s="12"/>
      <c r="J333" s="12" t="s">
        <v>92</v>
      </c>
      <c r="K333" s="12"/>
      <c r="L333" s="12"/>
      <c r="M333" s="12" t="s">
        <v>178</v>
      </c>
      <c r="N333" s="12"/>
      <c r="O333" s="12" t="s">
        <v>179</v>
      </c>
      <c r="P333" s="12" t="str">
        <f>HYPERLINK("https://ceds.ed.gov/cedselementdetails.aspx?termid=9040")</f>
        <v>https://ceds.ed.gov/cedselementdetails.aspx?termid=9040</v>
      </c>
      <c r="Q333" s="12" t="str">
        <f>HYPERLINK("https://ceds.ed.gov/elementComment.aspx?elementName=Address City &amp;elementID=9040", "Click here to submit comment")</f>
        <v>Click here to submit comment</v>
      </c>
    </row>
    <row r="334" spans="1:17" ht="409.5" x14ac:dyDescent="0.25">
      <c r="A334" s="12" t="s">
        <v>7169</v>
      </c>
      <c r="B334" s="12" t="s">
        <v>7210</v>
      </c>
      <c r="C334" s="12" t="s">
        <v>7214</v>
      </c>
      <c r="D334" s="12" t="s">
        <v>7172</v>
      </c>
      <c r="E334" s="12" t="s">
        <v>5898</v>
      </c>
      <c r="F334" s="12" t="s">
        <v>5899</v>
      </c>
      <c r="G334" s="13" t="s">
        <v>7120</v>
      </c>
      <c r="H334" s="12" t="s">
        <v>6678</v>
      </c>
      <c r="I334" s="12"/>
      <c r="J334" s="12"/>
      <c r="K334" s="12"/>
      <c r="L334" s="12"/>
      <c r="M334" s="12" t="s">
        <v>5900</v>
      </c>
      <c r="N334" s="12"/>
      <c r="O334" s="12" t="s">
        <v>5901</v>
      </c>
      <c r="P334" s="12" t="str">
        <f>HYPERLINK("https://ceds.ed.gov/cedselementdetails.aspx?termid=9267")</f>
        <v>https://ceds.ed.gov/cedselementdetails.aspx?termid=9267</v>
      </c>
      <c r="Q334" s="12" t="str">
        <f>HYPERLINK("https://ceds.ed.gov/elementComment.aspx?elementName=State Abbreviation &amp;elementID=9267", "Click here to submit comment")</f>
        <v>Click here to submit comment</v>
      </c>
    </row>
    <row r="335" spans="1:17" ht="225" x14ac:dyDescent="0.25">
      <c r="A335" s="12" t="s">
        <v>7169</v>
      </c>
      <c r="B335" s="12" t="s">
        <v>7210</v>
      </c>
      <c r="C335" s="12" t="s">
        <v>7214</v>
      </c>
      <c r="D335" s="12" t="s">
        <v>7172</v>
      </c>
      <c r="E335" s="12" t="s">
        <v>184</v>
      </c>
      <c r="F335" s="12" t="s">
        <v>185</v>
      </c>
      <c r="G335" s="12" t="s">
        <v>12</v>
      </c>
      <c r="H335" s="12" t="s">
        <v>6377</v>
      </c>
      <c r="I335" s="12"/>
      <c r="J335" s="12" t="s">
        <v>186</v>
      </c>
      <c r="K335" s="12"/>
      <c r="L335" s="12"/>
      <c r="M335" s="12" t="s">
        <v>187</v>
      </c>
      <c r="N335" s="12"/>
      <c r="O335" s="12" t="s">
        <v>188</v>
      </c>
      <c r="P335" s="12" t="str">
        <f>HYPERLINK("https://ceds.ed.gov/cedselementdetails.aspx?termid=9214")</f>
        <v>https://ceds.ed.gov/cedselementdetails.aspx?termid=9214</v>
      </c>
      <c r="Q335" s="12" t="str">
        <f>HYPERLINK("https://ceds.ed.gov/elementComment.aspx?elementName=Address Postal Code &amp;elementID=9214", "Click here to submit comment")</f>
        <v>Click here to submit comment</v>
      </c>
    </row>
    <row r="336" spans="1:17" ht="225" x14ac:dyDescent="0.25">
      <c r="A336" s="12" t="s">
        <v>7169</v>
      </c>
      <c r="B336" s="12" t="s">
        <v>7210</v>
      </c>
      <c r="C336" s="12" t="s">
        <v>7214</v>
      </c>
      <c r="D336" s="12" t="s">
        <v>7172</v>
      </c>
      <c r="E336" s="12" t="s">
        <v>180</v>
      </c>
      <c r="F336" s="12" t="s">
        <v>181</v>
      </c>
      <c r="G336" s="12" t="s">
        <v>12</v>
      </c>
      <c r="H336" s="12" t="s">
        <v>6377</v>
      </c>
      <c r="I336" s="12"/>
      <c r="J336" s="12" t="s">
        <v>92</v>
      </c>
      <c r="K336" s="12"/>
      <c r="L336" s="12"/>
      <c r="M336" s="12" t="s">
        <v>182</v>
      </c>
      <c r="N336" s="12"/>
      <c r="O336" s="12" t="s">
        <v>183</v>
      </c>
      <c r="P336" s="12" t="str">
        <f>HYPERLINK("https://ceds.ed.gov/cedselementdetails.aspx?termid=9190")</f>
        <v>https://ceds.ed.gov/cedselementdetails.aspx?termid=9190</v>
      </c>
      <c r="Q336" s="12" t="str">
        <f>HYPERLINK("https://ceds.ed.gov/elementComment.aspx?elementName=Address County Name &amp;elementID=9190", "Click here to submit comment")</f>
        <v>Click here to submit comment</v>
      </c>
    </row>
    <row r="337" spans="1:17" ht="180" x14ac:dyDescent="0.25">
      <c r="A337" s="12" t="s">
        <v>7169</v>
      </c>
      <c r="B337" s="12" t="s">
        <v>7210</v>
      </c>
      <c r="C337" s="12" t="s">
        <v>7214</v>
      </c>
      <c r="D337" s="12" t="s">
        <v>7172</v>
      </c>
      <c r="E337" s="12" t="s">
        <v>1943</v>
      </c>
      <c r="F337" s="12" t="s">
        <v>1944</v>
      </c>
      <c r="G337" s="12" t="s">
        <v>12</v>
      </c>
      <c r="H337" s="12"/>
      <c r="I337" s="12"/>
      <c r="J337" s="12" t="s">
        <v>1945</v>
      </c>
      <c r="K337" s="12"/>
      <c r="L337" s="12"/>
      <c r="M337" s="12" t="s">
        <v>1946</v>
      </c>
      <c r="N337" s="12"/>
      <c r="O337" s="12" t="s">
        <v>1947</v>
      </c>
      <c r="P337" s="12" t="str">
        <f>HYPERLINK("https://ceds.ed.gov/cedselementdetails.aspx?termid=10176")</f>
        <v>https://ceds.ed.gov/cedselementdetails.aspx?termid=10176</v>
      </c>
      <c r="Q337" s="12" t="str">
        <f>HYPERLINK("https://ceds.ed.gov/elementComment.aspx?elementName=County ANSI Code &amp;elementID=10176", "Click here to submit comment")</f>
        <v>Click here to submit comment</v>
      </c>
    </row>
    <row r="338" spans="1:17" ht="45" x14ac:dyDescent="0.25">
      <c r="A338" s="12" t="s">
        <v>7169</v>
      </c>
      <c r="B338" s="12" t="s">
        <v>7210</v>
      </c>
      <c r="C338" s="12" t="s">
        <v>7214</v>
      </c>
      <c r="D338" s="12" t="s">
        <v>7176</v>
      </c>
      <c r="E338" s="12" t="s">
        <v>1598</v>
      </c>
      <c r="F338" s="12" t="s">
        <v>1599</v>
      </c>
      <c r="G338" s="12" t="s">
        <v>12</v>
      </c>
      <c r="H338" s="12"/>
      <c r="I338" s="12"/>
      <c r="J338" s="12" t="s">
        <v>92</v>
      </c>
      <c r="K338" s="12"/>
      <c r="L338" s="12"/>
      <c r="M338" s="12" t="s">
        <v>1600</v>
      </c>
      <c r="N338" s="12"/>
      <c r="O338" s="12" t="s">
        <v>1601</v>
      </c>
      <c r="P338" s="12" t="str">
        <f>HYPERLINK("https://ceds.ed.gov/cedselementdetails.aspx?termid=9595")</f>
        <v>https://ceds.ed.gov/cedselementdetails.aspx?termid=9595</v>
      </c>
      <c r="Q338" s="12" t="str">
        <f>HYPERLINK("https://ceds.ed.gov/elementComment.aspx?elementName=Building Site Number &amp;elementID=9595", "Click here to submit comment")</f>
        <v>Click here to submit comment</v>
      </c>
    </row>
    <row r="339" spans="1:17" ht="75" x14ac:dyDescent="0.25">
      <c r="A339" s="12" t="s">
        <v>7169</v>
      </c>
      <c r="B339" s="12" t="s">
        <v>7210</v>
      </c>
      <c r="C339" s="12" t="s">
        <v>7214</v>
      </c>
      <c r="D339" s="12" t="s">
        <v>7176</v>
      </c>
      <c r="E339" s="12" t="s">
        <v>3693</v>
      </c>
      <c r="F339" s="12" t="s">
        <v>3694</v>
      </c>
      <c r="G339" s="12" t="s">
        <v>12</v>
      </c>
      <c r="H339" s="12"/>
      <c r="I339" s="12"/>
      <c r="J339" s="12" t="s">
        <v>1201</v>
      </c>
      <c r="K339" s="12"/>
      <c r="L339" s="12"/>
      <c r="M339" s="12" t="s">
        <v>3695</v>
      </c>
      <c r="N339" s="12"/>
      <c r="O339" s="12" t="s">
        <v>3693</v>
      </c>
      <c r="P339" s="12" t="str">
        <f>HYPERLINK("https://ceds.ed.gov/cedselementdetails.aspx?termid=9599")</f>
        <v>https://ceds.ed.gov/cedselementdetails.aspx?termid=9599</v>
      </c>
      <c r="Q339" s="12" t="str">
        <f>HYPERLINK("https://ceds.ed.gov/elementComment.aspx?elementName=Latitude &amp;elementID=9599", "Click here to submit comment")</f>
        <v>Click here to submit comment</v>
      </c>
    </row>
    <row r="340" spans="1:17" ht="75" x14ac:dyDescent="0.25">
      <c r="A340" s="12" t="s">
        <v>7169</v>
      </c>
      <c r="B340" s="12" t="s">
        <v>7210</v>
      </c>
      <c r="C340" s="12" t="s">
        <v>7214</v>
      </c>
      <c r="D340" s="12" t="s">
        <v>7176</v>
      </c>
      <c r="E340" s="12" t="s">
        <v>4361</v>
      </c>
      <c r="F340" s="12" t="s">
        <v>4362</v>
      </c>
      <c r="G340" s="12" t="s">
        <v>12</v>
      </c>
      <c r="H340" s="12"/>
      <c r="I340" s="12"/>
      <c r="J340" s="12" t="s">
        <v>1201</v>
      </c>
      <c r="K340" s="12"/>
      <c r="L340" s="12"/>
      <c r="M340" s="12" t="s">
        <v>4363</v>
      </c>
      <c r="N340" s="12"/>
      <c r="O340" s="12" t="s">
        <v>4361</v>
      </c>
      <c r="P340" s="12" t="str">
        <f>HYPERLINK("https://ceds.ed.gov/cedselementdetails.aspx?termid=9600")</f>
        <v>https://ceds.ed.gov/cedselementdetails.aspx?termid=9600</v>
      </c>
      <c r="Q340" s="12" t="str">
        <f>HYPERLINK("https://ceds.ed.gov/elementComment.aspx?elementName=Longitude &amp;elementID=9600", "Click here to submit comment")</f>
        <v>Click here to submit comment</v>
      </c>
    </row>
    <row r="341" spans="1:17" ht="165" x14ac:dyDescent="0.25">
      <c r="A341" s="12" t="s">
        <v>7169</v>
      </c>
      <c r="B341" s="12" t="s">
        <v>7210</v>
      </c>
      <c r="C341" s="12" t="s">
        <v>7215</v>
      </c>
      <c r="D341" s="12" t="s">
        <v>7172</v>
      </c>
      <c r="E341" s="12" t="s">
        <v>3531</v>
      </c>
      <c r="F341" s="12" t="s">
        <v>3532</v>
      </c>
      <c r="G341" s="13" t="s">
        <v>6975</v>
      </c>
      <c r="H341" s="12"/>
      <c r="I341" s="12"/>
      <c r="J341" s="12"/>
      <c r="K341" s="12"/>
      <c r="L341" s="12"/>
      <c r="M341" s="12" t="s">
        <v>3533</v>
      </c>
      <c r="N341" s="12"/>
      <c r="O341" s="12" t="s">
        <v>3534</v>
      </c>
      <c r="P341" s="12" t="str">
        <f>HYPERLINK("https://ceds.ed.gov/cedselementdetails.aspx?termid=9167")</f>
        <v>https://ceds.ed.gov/cedselementdetails.aspx?termid=9167</v>
      </c>
      <c r="Q341" s="12" t="str">
        <f>HYPERLINK("https://ceds.ed.gov/elementComment.aspx?elementName=Institution Telephone Number Type &amp;elementID=9167", "Click here to submit comment")</f>
        <v>Click here to submit comment</v>
      </c>
    </row>
    <row r="342" spans="1:17" ht="90" x14ac:dyDescent="0.25">
      <c r="A342" s="12" t="s">
        <v>7169</v>
      </c>
      <c r="B342" s="12" t="s">
        <v>7210</v>
      </c>
      <c r="C342" s="12" t="s">
        <v>7215</v>
      </c>
      <c r="D342" s="12" t="s">
        <v>7172</v>
      </c>
      <c r="E342" s="12" t="s">
        <v>4934</v>
      </c>
      <c r="F342" s="12" t="s">
        <v>4935</v>
      </c>
      <c r="G342" s="12" t="s">
        <v>6364</v>
      </c>
      <c r="H342" s="12" t="s">
        <v>6369</v>
      </c>
      <c r="I342" s="12"/>
      <c r="J342" s="12"/>
      <c r="K342" s="12"/>
      <c r="L342" s="12"/>
      <c r="M342" s="12" t="s">
        <v>4936</v>
      </c>
      <c r="N342" s="12"/>
      <c r="O342" s="12" t="s">
        <v>4937</v>
      </c>
      <c r="P342" s="12" t="str">
        <f>HYPERLINK("https://ceds.ed.gov/cedselementdetails.aspx?termid=9219")</f>
        <v>https://ceds.ed.gov/cedselementdetails.aspx?termid=9219</v>
      </c>
      <c r="Q342" s="12" t="str">
        <f>HYPERLINK("https://ceds.ed.gov/elementComment.aspx?elementName=Primary Telephone Number Indicator &amp;elementID=9219", "Click here to submit comment")</f>
        <v>Click here to submit comment</v>
      </c>
    </row>
    <row r="343" spans="1:17" ht="90" x14ac:dyDescent="0.25">
      <c r="A343" s="12" t="s">
        <v>7169</v>
      </c>
      <c r="B343" s="12" t="s">
        <v>7210</v>
      </c>
      <c r="C343" s="12" t="s">
        <v>7215</v>
      </c>
      <c r="D343" s="12" t="s">
        <v>7172</v>
      </c>
      <c r="E343" s="12" t="s">
        <v>6102</v>
      </c>
      <c r="F343" s="12" t="s">
        <v>6103</v>
      </c>
      <c r="G343" s="12" t="s">
        <v>12</v>
      </c>
      <c r="H343" s="12" t="s">
        <v>6369</v>
      </c>
      <c r="I343" s="12"/>
      <c r="J343" s="12" t="s">
        <v>6104</v>
      </c>
      <c r="K343" s="12"/>
      <c r="L343" s="12"/>
      <c r="M343" s="12" t="s">
        <v>6105</v>
      </c>
      <c r="N343" s="12"/>
      <c r="O343" s="12" t="s">
        <v>6106</v>
      </c>
      <c r="P343" s="12" t="str">
        <f>HYPERLINK("https://ceds.ed.gov/cedselementdetails.aspx?termid=9279")</f>
        <v>https://ceds.ed.gov/cedselementdetails.aspx?termid=9279</v>
      </c>
      <c r="Q343" s="12" t="str">
        <f>HYPERLINK("https://ceds.ed.gov/elementComment.aspx?elementName=Telephone Number &amp;elementID=9279", "Click here to submit comment")</f>
        <v>Click here to submit comment</v>
      </c>
    </row>
    <row r="344" spans="1:17" ht="60" x14ac:dyDescent="0.25">
      <c r="A344" s="12" t="s">
        <v>7169</v>
      </c>
      <c r="B344" s="12" t="s">
        <v>7210</v>
      </c>
      <c r="C344" s="12" t="s">
        <v>7216</v>
      </c>
      <c r="D344" s="12" t="s">
        <v>7172</v>
      </c>
      <c r="E344" s="12" t="s">
        <v>2800</v>
      </c>
      <c r="F344" s="12" t="s">
        <v>2801</v>
      </c>
      <c r="G344" s="13" t="s">
        <v>6913</v>
      </c>
      <c r="H344" s="12" t="s">
        <v>6515</v>
      </c>
      <c r="I344" s="12"/>
      <c r="J344" s="12"/>
      <c r="K344" s="12"/>
      <c r="L344" s="12"/>
      <c r="M344" s="12" t="s">
        <v>2802</v>
      </c>
      <c r="N344" s="12"/>
      <c r="O344" s="12" t="s">
        <v>2803</v>
      </c>
      <c r="P344" s="12" t="str">
        <f>HYPERLINK("https://ceds.ed.gov/cedselementdetails.aspx?termid=9985")</f>
        <v>https://ceds.ed.gov/cedselementdetails.aspx?termid=9985</v>
      </c>
      <c r="Q344" s="12" t="str">
        <f>HYPERLINK("https://ceds.ed.gov/elementComment.aspx?elementName=Facility Licensing Status &amp;elementID=9985", "Click here to submit comment")</f>
        <v>Click here to submit comment</v>
      </c>
    </row>
    <row r="345" spans="1:17" ht="30" x14ac:dyDescent="0.25">
      <c r="A345" s="12" t="s">
        <v>7169</v>
      </c>
      <c r="B345" s="12" t="s">
        <v>7210</v>
      </c>
      <c r="C345" s="12" t="s">
        <v>7216</v>
      </c>
      <c r="D345" s="12" t="s">
        <v>7172</v>
      </c>
      <c r="E345" s="12" t="s">
        <v>5934</v>
      </c>
      <c r="F345" s="12" t="s">
        <v>5935</v>
      </c>
      <c r="G345" s="12" t="s">
        <v>12</v>
      </c>
      <c r="H345" s="12" t="s">
        <v>64</v>
      </c>
      <c r="I345" s="12"/>
      <c r="J345" s="12" t="s">
        <v>317</v>
      </c>
      <c r="K345" s="12"/>
      <c r="L345" s="12"/>
      <c r="M345" s="12" t="s">
        <v>5936</v>
      </c>
      <c r="N345" s="12"/>
      <c r="O345" s="12" t="s">
        <v>5937</v>
      </c>
      <c r="P345" s="12" t="str">
        <f>HYPERLINK("https://ceds.ed.gov/cedselementdetails.aspx?termid=9865")</f>
        <v>https://ceds.ed.gov/cedselementdetails.aspx?termid=9865</v>
      </c>
      <c r="Q345" s="12" t="str">
        <f>HYPERLINK("https://ceds.ed.gov/elementComment.aspx?elementName=State Licensed Facility Capacity &amp;elementID=9865", "Click here to submit comment")</f>
        <v>Click here to submit comment</v>
      </c>
    </row>
    <row r="346" spans="1:17" ht="90" x14ac:dyDescent="0.25">
      <c r="A346" s="12" t="s">
        <v>7169</v>
      </c>
      <c r="B346" s="12" t="s">
        <v>7210</v>
      </c>
      <c r="C346" s="12" t="s">
        <v>7216</v>
      </c>
      <c r="D346" s="12" t="s">
        <v>7172</v>
      </c>
      <c r="E346" s="12" t="s">
        <v>2595</v>
      </c>
      <c r="F346" s="12" t="s">
        <v>2596</v>
      </c>
      <c r="G346" s="13" t="s">
        <v>6891</v>
      </c>
      <c r="H346" s="12" t="s">
        <v>64</v>
      </c>
      <c r="I346" s="12"/>
      <c r="J346" s="12"/>
      <c r="K346" s="12"/>
      <c r="L346" s="12"/>
      <c r="M346" s="12" t="s">
        <v>2597</v>
      </c>
      <c r="N346" s="12"/>
      <c r="O346" s="12" t="s">
        <v>2598</v>
      </c>
      <c r="P346" s="12" t="str">
        <f>HYPERLINK("https://ceds.ed.gov/cedselementdetails.aspx?termid=9828")</f>
        <v>https://ceds.ed.gov/cedselementdetails.aspx?termid=9828</v>
      </c>
      <c r="Q346" s="12" t="str">
        <f>HYPERLINK("https://ceds.ed.gov/elementComment.aspx?elementName=Early Learning Program Licensing Status &amp;elementID=9828", "Click here to submit comment")</f>
        <v>Click here to submit comment</v>
      </c>
    </row>
    <row r="347" spans="1:17" ht="45" x14ac:dyDescent="0.25">
      <c r="A347" s="12" t="s">
        <v>7169</v>
      </c>
      <c r="B347" s="12" t="s">
        <v>7210</v>
      </c>
      <c r="C347" s="12" t="s">
        <v>7216</v>
      </c>
      <c r="D347" s="12" t="s">
        <v>7172</v>
      </c>
      <c r="E347" s="12" t="s">
        <v>3509</v>
      </c>
      <c r="F347" s="12" t="s">
        <v>3510</v>
      </c>
      <c r="G347" s="12" t="s">
        <v>12</v>
      </c>
      <c r="H347" s="12" t="s">
        <v>6464</v>
      </c>
      <c r="I347" s="12"/>
      <c r="J347" s="12" t="s">
        <v>73</v>
      </c>
      <c r="K347" s="12"/>
      <c r="L347" s="12"/>
      <c r="M347" s="12" t="s">
        <v>3511</v>
      </c>
      <c r="N347" s="12"/>
      <c r="O347" s="12" t="s">
        <v>3512</v>
      </c>
      <c r="P347" s="12" t="str">
        <f>HYPERLINK("https://ceds.ed.gov/cedselementdetails.aspx?termid=9347")</f>
        <v>https://ceds.ed.gov/cedselementdetails.aspx?termid=9347</v>
      </c>
      <c r="Q347" s="12" t="str">
        <f>HYPERLINK("https://ceds.ed.gov/elementComment.aspx?elementName=Initial License Date &amp;elementID=9347", "Click here to submit comment")</f>
        <v>Click here to submit comment</v>
      </c>
    </row>
    <row r="348" spans="1:17" ht="45" x14ac:dyDescent="0.25">
      <c r="A348" s="12" t="s">
        <v>7169</v>
      </c>
      <c r="B348" s="12" t="s">
        <v>7210</v>
      </c>
      <c r="C348" s="12" t="s">
        <v>7216</v>
      </c>
      <c r="D348" s="12" t="s">
        <v>7172</v>
      </c>
      <c r="E348" s="12" t="s">
        <v>1897</v>
      </c>
      <c r="F348" s="12" t="s">
        <v>1898</v>
      </c>
      <c r="G348" s="12" t="s">
        <v>12</v>
      </c>
      <c r="H348" s="12" t="s">
        <v>6464</v>
      </c>
      <c r="I348" s="12"/>
      <c r="J348" s="12" t="s">
        <v>73</v>
      </c>
      <c r="K348" s="12"/>
      <c r="L348" s="12"/>
      <c r="M348" s="12" t="s">
        <v>1900</v>
      </c>
      <c r="N348" s="12"/>
      <c r="O348" s="12" t="s">
        <v>1901</v>
      </c>
      <c r="P348" s="12" t="str">
        <f>HYPERLINK("https://ceds.ed.gov/cedselementdetails.aspx?termid=9348")</f>
        <v>https://ceds.ed.gov/cedselementdetails.aspx?termid=9348</v>
      </c>
      <c r="Q348" s="12" t="str">
        <f>HYPERLINK("https://ceds.ed.gov/elementComment.aspx?elementName=Continuing License Date &amp;elementID=9348", "Click here to submit comment")</f>
        <v>Click here to submit comment</v>
      </c>
    </row>
    <row r="349" spans="1:17" ht="60" x14ac:dyDescent="0.25">
      <c r="A349" s="12" t="s">
        <v>7169</v>
      </c>
      <c r="B349" s="12" t="s">
        <v>7210</v>
      </c>
      <c r="C349" s="12" t="s">
        <v>7216</v>
      </c>
      <c r="D349" s="12" t="s">
        <v>7172</v>
      </c>
      <c r="E349" s="12" t="s">
        <v>4276</v>
      </c>
      <c r="F349" s="12" t="s">
        <v>4277</v>
      </c>
      <c r="G349" s="13" t="s">
        <v>6747</v>
      </c>
      <c r="H349" s="12" t="s">
        <v>6464</v>
      </c>
      <c r="I349" s="12"/>
      <c r="J349" s="12"/>
      <c r="K349" s="12"/>
      <c r="L349" s="12"/>
      <c r="M349" s="12" t="s">
        <v>4278</v>
      </c>
      <c r="N349" s="12"/>
      <c r="O349" s="12" t="s">
        <v>4279</v>
      </c>
      <c r="P349" s="12" t="str">
        <f>HYPERLINK("https://ceds.ed.gov/cedselementdetails.aspx?termid=9349")</f>
        <v>https://ceds.ed.gov/cedselementdetails.aspx?termid=9349</v>
      </c>
      <c r="Q349" s="12" t="str">
        <f>HYPERLINK("https://ceds.ed.gov/elementComment.aspx?elementName=License Exempt &amp;elementID=9349", "Click here to submit comment")</f>
        <v>Click here to submit comment</v>
      </c>
    </row>
    <row r="350" spans="1:17" ht="45" x14ac:dyDescent="0.25">
      <c r="A350" s="12" t="s">
        <v>7169</v>
      </c>
      <c r="B350" s="12" t="s">
        <v>7210</v>
      </c>
      <c r="C350" s="12" t="s">
        <v>7216</v>
      </c>
      <c r="D350" s="12" t="s">
        <v>7172</v>
      </c>
      <c r="E350" s="12" t="s">
        <v>4609</v>
      </c>
      <c r="F350" s="12" t="s">
        <v>4610</v>
      </c>
      <c r="G350" s="12" t="s">
        <v>12</v>
      </c>
      <c r="H350" s="12" t="s">
        <v>64</v>
      </c>
      <c r="I350" s="12"/>
      <c r="J350" s="12" t="s">
        <v>317</v>
      </c>
      <c r="K350" s="12"/>
      <c r="L350" s="12"/>
      <c r="M350" s="12" t="s">
        <v>4611</v>
      </c>
      <c r="N350" s="12"/>
      <c r="O350" s="12" t="s">
        <v>4612</v>
      </c>
      <c r="P350" s="12" t="str">
        <f>HYPERLINK("https://ceds.ed.gov/cedselementdetails.aspx?termid=9835")</f>
        <v>https://ceds.ed.gov/cedselementdetails.aspx?termid=9835</v>
      </c>
      <c r="Q350" s="12" t="str">
        <f>HYPERLINK("https://ceds.ed.gov/elementComment.aspx?elementName=Number of Early Learning Fatalities &amp;elementID=9835", "Click here to submit comment")</f>
        <v>Click here to submit comment</v>
      </c>
    </row>
    <row r="351" spans="1:17" ht="45" x14ac:dyDescent="0.25">
      <c r="A351" s="12" t="s">
        <v>7169</v>
      </c>
      <c r="B351" s="12" t="s">
        <v>7210</v>
      </c>
      <c r="C351" s="12" t="s">
        <v>7216</v>
      </c>
      <c r="D351" s="12" t="s">
        <v>7172</v>
      </c>
      <c r="E351" s="12" t="s">
        <v>4613</v>
      </c>
      <c r="F351" s="12" t="s">
        <v>4614</v>
      </c>
      <c r="G351" s="12" t="s">
        <v>12</v>
      </c>
      <c r="H351" s="12" t="s">
        <v>64</v>
      </c>
      <c r="I351" s="12"/>
      <c r="J351" s="12" t="s">
        <v>317</v>
      </c>
      <c r="K351" s="12"/>
      <c r="L351" s="12"/>
      <c r="M351" s="12" t="s">
        <v>4615</v>
      </c>
      <c r="N351" s="12"/>
      <c r="O351" s="12" t="s">
        <v>4616</v>
      </c>
      <c r="P351" s="12" t="str">
        <f>HYPERLINK("https://ceds.ed.gov/cedselementdetails.aspx?termid=9836")</f>
        <v>https://ceds.ed.gov/cedselementdetails.aspx?termid=9836</v>
      </c>
      <c r="Q351" s="12" t="str">
        <f>HYPERLINK("https://ceds.ed.gov/elementComment.aspx?elementName=Number of Early Learning Injuries &amp;elementID=9836", "Click here to submit comment")</f>
        <v>Click here to submit comment</v>
      </c>
    </row>
    <row r="352" spans="1:17" ht="45" x14ac:dyDescent="0.25">
      <c r="A352" s="12" t="s">
        <v>7169</v>
      </c>
      <c r="B352" s="12" t="s">
        <v>7210</v>
      </c>
      <c r="C352" s="12" t="s">
        <v>7216</v>
      </c>
      <c r="D352" s="12" t="s">
        <v>7172</v>
      </c>
      <c r="E352" s="12" t="s">
        <v>2591</v>
      </c>
      <c r="F352" s="12" t="s">
        <v>2592</v>
      </c>
      <c r="G352" s="12" t="s">
        <v>6364</v>
      </c>
      <c r="H352" s="12" t="s">
        <v>64</v>
      </c>
      <c r="I352" s="12"/>
      <c r="J352" s="12"/>
      <c r="K352" s="12"/>
      <c r="L352" s="12"/>
      <c r="M352" s="12" t="s">
        <v>2593</v>
      </c>
      <c r="N352" s="12"/>
      <c r="O352" s="12" t="s">
        <v>2594</v>
      </c>
      <c r="P352" s="12" t="str">
        <f>HYPERLINK("https://ceds.ed.gov/cedselementdetails.aspx?termid=9837")</f>
        <v>https://ceds.ed.gov/cedselementdetails.aspx?termid=9837</v>
      </c>
      <c r="Q352" s="12" t="str">
        <f>HYPERLINK("https://ceds.ed.gov/elementComment.aspx?elementName=Early Learning Program License Suspension Status &amp;elementID=9837", "Click here to submit comment")</f>
        <v>Click here to submit comment</v>
      </c>
    </row>
    <row r="353" spans="1:17" ht="45" x14ac:dyDescent="0.25">
      <c r="A353" s="12" t="s">
        <v>7169</v>
      </c>
      <c r="B353" s="12" t="s">
        <v>7210</v>
      </c>
      <c r="C353" s="12" t="s">
        <v>7216</v>
      </c>
      <c r="D353" s="12" t="s">
        <v>7172</v>
      </c>
      <c r="E353" s="12" t="s">
        <v>2587</v>
      </c>
      <c r="F353" s="12" t="s">
        <v>2588</v>
      </c>
      <c r="G353" s="12" t="s">
        <v>6364</v>
      </c>
      <c r="H353" s="12" t="s">
        <v>64</v>
      </c>
      <c r="I353" s="12"/>
      <c r="J353" s="12"/>
      <c r="K353" s="12"/>
      <c r="L353" s="12"/>
      <c r="M353" s="12" t="s">
        <v>2589</v>
      </c>
      <c r="N353" s="12"/>
      <c r="O353" s="12" t="s">
        <v>2590</v>
      </c>
      <c r="P353" s="12" t="str">
        <f>HYPERLINK("https://ceds.ed.gov/cedselementdetails.aspx?termid=9838")</f>
        <v>https://ceds.ed.gov/cedselementdetails.aspx?termid=9838</v>
      </c>
      <c r="Q353" s="12" t="str">
        <f>HYPERLINK("https://ceds.ed.gov/elementComment.aspx?elementName=Early Learning Program License Revocation Status &amp;elementID=9838", "Click here to submit comment")</f>
        <v>Click here to submit comment</v>
      </c>
    </row>
    <row r="354" spans="1:17" ht="30" x14ac:dyDescent="0.25">
      <c r="A354" s="12" t="s">
        <v>7169</v>
      </c>
      <c r="B354" s="12" t="s">
        <v>7210</v>
      </c>
      <c r="C354" s="12" t="s">
        <v>7217</v>
      </c>
      <c r="D354" s="12" t="s">
        <v>7172</v>
      </c>
      <c r="E354" s="12" t="s">
        <v>4652</v>
      </c>
      <c r="F354" s="12" t="s">
        <v>4653</v>
      </c>
      <c r="G354" s="12" t="s">
        <v>12</v>
      </c>
      <c r="H354" s="12" t="s">
        <v>6464</v>
      </c>
      <c r="I354" s="12"/>
      <c r="J354" s="12" t="s">
        <v>73</v>
      </c>
      <c r="K354" s="12"/>
      <c r="L354" s="12"/>
      <c r="M354" s="12" t="s">
        <v>4654</v>
      </c>
      <c r="N354" s="12"/>
      <c r="O354" s="12" t="s">
        <v>4655</v>
      </c>
      <c r="P354" s="12" t="str">
        <f>HYPERLINK("https://ceds.ed.gov/cedselementdetails.aspx?termid=9350")</f>
        <v>https://ceds.ed.gov/cedselementdetails.aspx?termid=9350</v>
      </c>
      <c r="Q354" s="12" t="str">
        <f>HYPERLINK("https://ceds.ed.gov/elementComment.aspx?elementName=Operation Date &amp;elementID=9350", "Click here to submit comment")</f>
        <v>Click here to submit comment</v>
      </c>
    </row>
    <row r="355" spans="1:17" ht="105" x14ac:dyDescent="0.25">
      <c r="A355" s="12" t="s">
        <v>7169</v>
      </c>
      <c r="B355" s="12" t="s">
        <v>7210</v>
      </c>
      <c r="C355" s="12" t="s">
        <v>7217</v>
      </c>
      <c r="D355" s="12" t="s">
        <v>7172</v>
      </c>
      <c r="E355" s="12" t="s">
        <v>5655</v>
      </c>
      <c r="F355" s="12" t="s">
        <v>5656</v>
      </c>
      <c r="G355" s="13" t="s">
        <v>7110</v>
      </c>
      <c r="H355" s="12" t="s">
        <v>6493</v>
      </c>
      <c r="I355" s="12"/>
      <c r="J355" s="12"/>
      <c r="K355" s="12"/>
      <c r="L355" s="12"/>
      <c r="M355" s="12" t="s">
        <v>5657</v>
      </c>
      <c r="N355" s="12"/>
      <c r="O355" s="12" t="s">
        <v>5658</v>
      </c>
      <c r="P355" s="12" t="str">
        <f>HYPERLINK("https://ceds.ed.gov/cedselementdetails.aspx?termid=9352")</f>
        <v>https://ceds.ed.gov/cedselementdetails.aspx?termid=9352</v>
      </c>
      <c r="Q355" s="12" t="str">
        <f>HYPERLINK("https://ceds.ed.gov/elementComment.aspx?elementName=Service Option Variation &amp;elementID=9352", "Click here to submit comment")</f>
        <v>Click here to submit comment</v>
      </c>
    </row>
    <row r="356" spans="1:17" ht="60" x14ac:dyDescent="0.25">
      <c r="A356" s="12" t="s">
        <v>7169</v>
      </c>
      <c r="B356" s="12" t="s">
        <v>7210</v>
      </c>
      <c r="C356" s="12" t="s">
        <v>7217</v>
      </c>
      <c r="D356" s="12" t="s">
        <v>7172</v>
      </c>
      <c r="E356" s="12" t="s">
        <v>3256</v>
      </c>
      <c r="F356" s="12" t="s">
        <v>3257</v>
      </c>
      <c r="G356" s="12" t="s">
        <v>12</v>
      </c>
      <c r="H356" s="12" t="s">
        <v>6493</v>
      </c>
      <c r="I356" s="12"/>
      <c r="J356" s="12" t="s">
        <v>1554</v>
      </c>
      <c r="K356" s="12"/>
      <c r="L356" s="12"/>
      <c r="M356" s="12" t="s">
        <v>3258</v>
      </c>
      <c r="N356" s="12"/>
      <c r="O356" s="12" t="s">
        <v>3259</v>
      </c>
      <c r="P356" s="12" t="str">
        <f>HYPERLINK("https://ceds.ed.gov/cedselementdetails.aspx?termid=9353")</f>
        <v>https://ceds.ed.gov/cedselementdetails.aspx?termid=9353</v>
      </c>
      <c r="Q356" s="12" t="str">
        <f>HYPERLINK("https://ceds.ed.gov/elementComment.aspx?elementName=Hours Available Per Day &amp;elementID=9353", "Click here to submit comment")</f>
        <v>Click here to submit comment</v>
      </c>
    </row>
    <row r="357" spans="1:17" ht="60" x14ac:dyDescent="0.25">
      <c r="A357" s="12" t="s">
        <v>7169</v>
      </c>
      <c r="B357" s="12" t="s">
        <v>7210</v>
      </c>
      <c r="C357" s="12" t="s">
        <v>7217</v>
      </c>
      <c r="D357" s="12" t="s">
        <v>7172</v>
      </c>
      <c r="E357" s="12" t="s">
        <v>2244</v>
      </c>
      <c r="F357" s="12" t="s">
        <v>2245</v>
      </c>
      <c r="G357" s="12" t="s">
        <v>12</v>
      </c>
      <c r="H357" s="12" t="s">
        <v>6493</v>
      </c>
      <c r="I357" s="12"/>
      <c r="J357" s="12" t="s">
        <v>317</v>
      </c>
      <c r="K357" s="12"/>
      <c r="L357" s="12"/>
      <c r="M357" s="12" t="s">
        <v>2246</v>
      </c>
      <c r="N357" s="12"/>
      <c r="O357" s="12" t="s">
        <v>2247</v>
      </c>
      <c r="P357" s="12" t="str">
        <f>HYPERLINK("https://ceds.ed.gov/cedselementdetails.aspx?termid=9354")</f>
        <v>https://ceds.ed.gov/cedselementdetails.aspx?termid=9354</v>
      </c>
      <c r="Q357" s="12" t="str">
        <f>HYPERLINK("https://ceds.ed.gov/elementComment.aspx?elementName=Days Available Per Week &amp;elementID=9354", "Click here to submit comment")</f>
        <v>Click here to submit comment</v>
      </c>
    </row>
    <row r="358" spans="1:17" ht="195" x14ac:dyDescent="0.25">
      <c r="A358" s="12" t="s">
        <v>7169</v>
      </c>
      <c r="B358" s="12" t="s">
        <v>7210</v>
      </c>
      <c r="C358" s="12" t="s">
        <v>7217</v>
      </c>
      <c r="D358" s="12" t="s">
        <v>7172</v>
      </c>
      <c r="E358" s="12" t="s">
        <v>2464</v>
      </c>
      <c r="F358" s="12" t="s">
        <v>2465</v>
      </c>
      <c r="G358" s="13" t="s">
        <v>6877</v>
      </c>
      <c r="H358" s="12" t="s">
        <v>6493</v>
      </c>
      <c r="I358" s="12"/>
      <c r="J358" s="12"/>
      <c r="K358" s="12"/>
      <c r="L358" s="12"/>
      <c r="M358" s="12" t="s">
        <v>2466</v>
      </c>
      <c r="N358" s="12"/>
      <c r="O358" s="12" t="s">
        <v>2467</v>
      </c>
      <c r="P358" s="12" t="str">
        <f>HYPERLINK("https://ceds.ed.gov/cedselementdetails.aspx?termid=9355")</f>
        <v>https://ceds.ed.gov/cedselementdetails.aspx?termid=9355</v>
      </c>
      <c r="Q358" s="12" t="str">
        <f>HYPERLINK("https://ceds.ed.gov/elementComment.aspx?elementName=Early Childhood Setting &amp;elementID=9355", "Click here to submit comment")</f>
        <v>Click here to submit comment</v>
      </c>
    </row>
    <row r="359" spans="1:17" ht="45" x14ac:dyDescent="0.25">
      <c r="A359" s="12" t="s">
        <v>7169</v>
      </c>
      <c r="B359" s="12" t="s">
        <v>7210</v>
      </c>
      <c r="C359" s="12" t="s">
        <v>7217</v>
      </c>
      <c r="D359" s="12" t="s">
        <v>7172</v>
      </c>
      <c r="E359" s="12" t="s">
        <v>4580</v>
      </c>
      <c r="F359" s="12" t="s">
        <v>4581</v>
      </c>
      <c r="G359" s="12" t="s">
        <v>12</v>
      </c>
      <c r="H359" s="12" t="s">
        <v>64</v>
      </c>
      <c r="I359" s="12"/>
      <c r="J359" s="12" t="s">
        <v>317</v>
      </c>
      <c r="K359" s="12"/>
      <c r="L359" s="12"/>
      <c r="M359" s="12" t="s">
        <v>4582</v>
      </c>
      <c r="N359" s="12"/>
      <c r="O359" s="12" t="s">
        <v>4583</v>
      </c>
      <c r="P359" s="12" t="str">
        <f>HYPERLINK("https://ceds.ed.gov/cedselementdetails.aspx?termid=9844")</f>
        <v>https://ceds.ed.gov/cedselementdetails.aspx?termid=9844</v>
      </c>
      <c r="Q359" s="12" t="str">
        <f>HYPERLINK("https://ceds.ed.gov/elementComment.aspx?elementName=Number of Classrooms &amp;elementID=9844", "Click here to submit comment")</f>
        <v>Click here to submit comment</v>
      </c>
    </row>
    <row r="360" spans="1:17" ht="60" x14ac:dyDescent="0.25">
      <c r="A360" s="12" t="s">
        <v>7169</v>
      </c>
      <c r="B360" s="12" t="s">
        <v>7210</v>
      </c>
      <c r="C360" s="12" t="s">
        <v>7217</v>
      </c>
      <c r="D360" s="12" t="s">
        <v>7172</v>
      </c>
      <c r="E360" s="12" t="s">
        <v>2624</v>
      </c>
      <c r="F360" s="12" t="s">
        <v>2625</v>
      </c>
      <c r="G360" s="12" t="s">
        <v>12</v>
      </c>
      <c r="H360" s="12" t="s">
        <v>6512</v>
      </c>
      <c r="I360" s="12"/>
      <c r="J360" s="12" t="s">
        <v>620</v>
      </c>
      <c r="K360" s="12"/>
      <c r="L360" s="12"/>
      <c r="M360" s="12" t="s">
        <v>2626</v>
      </c>
      <c r="N360" s="12"/>
      <c r="O360" s="12" t="s">
        <v>2627</v>
      </c>
      <c r="P360" s="12" t="str">
        <f>HYPERLINK("https://ceds.ed.gov/cedselementdetails.aspx?termid=9626")</f>
        <v>https://ceds.ed.gov/cedselementdetails.aspx?termid=9626</v>
      </c>
      <c r="Q360" s="12" t="str">
        <f>HYPERLINK("https://ceds.ed.gov/elementComment.aspx?elementName=Early Learning Youngest Age Authorized to Serve &amp;elementID=9626", "Click here to submit comment")</f>
        <v>Click here to submit comment</v>
      </c>
    </row>
    <row r="361" spans="1:17" ht="60" x14ac:dyDescent="0.25">
      <c r="A361" s="12" t="s">
        <v>7169</v>
      </c>
      <c r="B361" s="12" t="s">
        <v>7210</v>
      </c>
      <c r="C361" s="12" t="s">
        <v>7217</v>
      </c>
      <c r="D361" s="12" t="s">
        <v>7172</v>
      </c>
      <c r="E361" s="12" t="s">
        <v>2539</v>
      </c>
      <c r="F361" s="12" t="s">
        <v>2540</v>
      </c>
      <c r="G361" s="12" t="s">
        <v>12</v>
      </c>
      <c r="H361" s="12" t="s">
        <v>6512</v>
      </c>
      <c r="I361" s="12"/>
      <c r="J361" s="12" t="s">
        <v>620</v>
      </c>
      <c r="K361" s="12"/>
      <c r="L361" s="12"/>
      <c r="M361" s="12" t="s">
        <v>2541</v>
      </c>
      <c r="N361" s="12"/>
      <c r="O361" s="12" t="s">
        <v>2542</v>
      </c>
      <c r="P361" s="12" t="str">
        <f>HYPERLINK("https://ceds.ed.gov/cedselementdetails.aspx?termid=10189")</f>
        <v>https://ceds.ed.gov/cedselementdetails.aspx?termid=10189</v>
      </c>
      <c r="Q361" s="12" t="str">
        <f>HYPERLINK("https://ceds.ed.gov/elementComment.aspx?elementName=Early Learning Oldest Age Authorized to Serve &amp;elementID=10189", "Click here to submit comment")</f>
        <v>Click here to submit comment</v>
      </c>
    </row>
    <row r="362" spans="1:17" ht="135" x14ac:dyDescent="0.25">
      <c r="A362" s="12" t="s">
        <v>7169</v>
      </c>
      <c r="B362" s="12" t="s">
        <v>7210</v>
      </c>
      <c r="C362" s="12" t="s">
        <v>7217</v>
      </c>
      <c r="D362" s="12" t="s">
        <v>7172</v>
      </c>
      <c r="E362" s="12" t="s">
        <v>5761</v>
      </c>
      <c r="F362" s="12" t="s">
        <v>5762</v>
      </c>
      <c r="G362" s="13" t="s">
        <v>7114</v>
      </c>
      <c r="H362" s="12" t="s">
        <v>64</v>
      </c>
      <c r="I362" s="12"/>
      <c r="J362" s="12"/>
      <c r="K362" s="12"/>
      <c r="L362" s="12"/>
      <c r="M362" s="12" t="s">
        <v>5763</v>
      </c>
      <c r="N362" s="12"/>
      <c r="O362" s="12" t="s">
        <v>5764</v>
      </c>
      <c r="P362" s="12" t="str">
        <f>HYPERLINK("https://ceds.ed.gov/cedselementdetails.aspx?termid=9852")</f>
        <v>https://ceds.ed.gov/cedselementdetails.aspx?termid=9852</v>
      </c>
      <c r="Q362" s="12" t="str">
        <f>HYPERLINK("https://ceds.ed.gov/elementComment.aspx?elementName=Special Circumstances Population Served &amp;elementID=9852", "Click here to submit comment")</f>
        <v>Click here to submit comment</v>
      </c>
    </row>
    <row r="363" spans="1:17" ht="315" x14ac:dyDescent="0.25">
      <c r="A363" s="12" t="s">
        <v>7169</v>
      </c>
      <c r="B363" s="12" t="s">
        <v>7210</v>
      </c>
      <c r="C363" s="12" t="s">
        <v>7217</v>
      </c>
      <c r="D363" s="12" t="s">
        <v>7172</v>
      </c>
      <c r="E363" s="12" t="s">
        <v>2633</v>
      </c>
      <c r="F363" s="12" t="s">
        <v>2634</v>
      </c>
      <c r="G363" s="13" t="s">
        <v>6896</v>
      </c>
      <c r="H363" s="12" t="s">
        <v>6515</v>
      </c>
      <c r="I363" s="12"/>
      <c r="J363" s="12"/>
      <c r="K363" s="12"/>
      <c r="L363" s="12"/>
      <c r="M363" s="12" t="s">
        <v>2636</v>
      </c>
      <c r="N363" s="12" t="s">
        <v>2637</v>
      </c>
      <c r="O363" s="12" t="s">
        <v>2638</v>
      </c>
      <c r="P363" s="12" t="str">
        <f>HYPERLINK("https://ceds.ed.gov/cedselementdetails.aspx?termid=9862")</f>
        <v>https://ceds.ed.gov/cedselementdetails.aspx?termid=9862</v>
      </c>
      <c r="Q363" s="12" t="str">
        <f>HYPERLINK("https://ceds.ed.gov/elementComment.aspx?elementName=Economic Research Service Rural-Urban Continuum Code &amp;elementID=9862", "Click here to submit comment")</f>
        <v>Click here to submit comment</v>
      </c>
    </row>
    <row r="364" spans="1:17" ht="105" x14ac:dyDescent="0.25">
      <c r="A364" s="12" t="s">
        <v>7169</v>
      </c>
      <c r="B364" s="12" t="s">
        <v>7210</v>
      </c>
      <c r="C364" s="12" t="s">
        <v>7218</v>
      </c>
      <c r="D364" s="12" t="s">
        <v>7172</v>
      </c>
      <c r="E364" s="12" t="s">
        <v>5289</v>
      </c>
      <c r="F364" s="12" t="s">
        <v>5290</v>
      </c>
      <c r="G364" s="13" t="s">
        <v>7090</v>
      </c>
      <c r="H364" s="12" t="s">
        <v>5294</v>
      </c>
      <c r="I364" s="12"/>
      <c r="J364" s="12"/>
      <c r="K364" s="12"/>
      <c r="L364" s="12"/>
      <c r="M364" s="12" t="s">
        <v>5291</v>
      </c>
      <c r="N364" s="12" t="s">
        <v>5292</v>
      </c>
      <c r="O364" s="12" t="s">
        <v>5293</v>
      </c>
      <c r="P364" s="12" t="str">
        <f>HYPERLINK("https://ceds.ed.gov/cedselementdetails.aspx?termid=9356")</f>
        <v>https://ceds.ed.gov/cedselementdetails.aspx?termid=9356</v>
      </c>
      <c r="Q364" s="12" t="str">
        <f>HYPERLINK("https://ceds.ed.gov/elementComment.aspx?elementName=Quality Rating and Improvement System Participation &amp;elementID=9356", "Click here to submit comment")</f>
        <v>Click here to submit comment</v>
      </c>
    </row>
    <row r="365" spans="1:17" ht="45" x14ac:dyDescent="0.25">
      <c r="A365" s="12" t="s">
        <v>7169</v>
      </c>
      <c r="B365" s="12" t="s">
        <v>7210</v>
      </c>
      <c r="C365" s="12" t="s">
        <v>7218</v>
      </c>
      <c r="D365" s="12" t="s">
        <v>7172</v>
      </c>
      <c r="E365" s="12" t="s">
        <v>5295</v>
      </c>
      <c r="F365" s="12" t="s">
        <v>5296</v>
      </c>
      <c r="G365" s="12" t="s">
        <v>12</v>
      </c>
      <c r="H365" s="12" t="s">
        <v>5294</v>
      </c>
      <c r="I365" s="12"/>
      <c r="J365" s="12" t="s">
        <v>1386</v>
      </c>
      <c r="K365" s="12"/>
      <c r="L365" s="12"/>
      <c r="M365" s="12" t="s">
        <v>5297</v>
      </c>
      <c r="N365" s="12" t="s">
        <v>5298</v>
      </c>
      <c r="O365" s="12" t="s">
        <v>5299</v>
      </c>
      <c r="P365" s="12" t="str">
        <f>HYPERLINK("https://ceds.ed.gov/cedselementdetails.aspx?termid=9357")</f>
        <v>https://ceds.ed.gov/cedselementdetails.aspx?termid=9357</v>
      </c>
      <c r="Q365" s="12" t="str">
        <f>HYPERLINK("https://ceds.ed.gov/elementComment.aspx?elementName=Quality Rating and Improvement System Score &amp;elementID=9357", "Click here to submit comment")</f>
        <v>Click here to submit comment</v>
      </c>
    </row>
    <row r="366" spans="1:17" ht="45" x14ac:dyDescent="0.25">
      <c r="A366" s="12" t="s">
        <v>7169</v>
      </c>
      <c r="B366" s="12" t="s">
        <v>7210</v>
      </c>
      <c r="C366" s="12" t="s">
        <v>7218</v>
      </c>
      <c r="D366" s="12" t="s">
        <v>7172</v>
      </c>
      <c r="E366" s="12" t="s">
        <v>5279</v>
      </c>
      <c r="F366" s="12" t="s">
        <v>5280</v>
      </c>
      <c r="G366" s="12" t="s">
        <v>12</v>
      </c>
      <c r="H366" s="12" t="s">
        <v>64</v>
      </c>
      <c r="I366" s="12"/>
      <c r="J366" s="12" t="s">
        <v>73</v>
      </c>
      <c r="K366" s="12"/>
      <c r="L366" s="12"/>
      <c r="M366" s="12" t="s">
        <v>5281</v>
      </c>
      <c r="N366" s="12" t="s">
        <v>5282</v>
      </c>
      <c r="O366" s="12" t="s">
        <v>5283</v>
      </c>
      <c r="P366" s="12" t="str">
        <f>HYPERLINK("https://ceds.ed.gov/cedselementdetails.aspx?termid=9830")</f>
        <v>https://ceds.ed.gov/cedselementdetails.aspx?termid=9830</v>
      </c>
      <c r="Q366" s="12" t="str">
        <f>HYPERLINK("https://ceds.ed.gov/elementComment.aspx?elementName=Quality Rating and Improvement System Award Date &amp;elementID=9830", "Click here to submit comment")</f>
        <v>Click here to submit comment</v>
      </c>
    </row>
    <row r="367" spans="1:17" ht="30" x14ac:dyDescent="0.25">
      <c r="A367" s="12" t="s">
        <v>7169</v>
      </c>
      <c r="B367" s="12" t="s">
        <v>7210</v>
      </c>
      <c r="C367" s="12" t="s">
        <v>7218</v>
      </c>
      <c r="D367" s="12" t="s">
        <v>7172</v>
      </c>
      <c r="E367" s="12" t="s">
        <v>5284</v>
      </c>
      <c r="F367" s="12" t="s">
        <v>5285</v>
      </c>
      <c r="G367" s="12" t="s">
        <v>12</v>
      </c>
      <c r="H367" s="12" t="s">
        <v>64</v>
      </c>
      <c r="I367" s="12"/>
      <c r="J367" s="12" t="s">
        <v>73</v>
      </c>
      <c r="K367" s="12"/>
      <c r="L367" s="12"/>
      <c r="M367" s="12" t="s">
        <v>5286</v>
      </c>
      <c r="N367" s="12" t="s">
        <v>5287</v>
      </c>
      <c r="O367" s="12" t="s">
        <v>5288</v>
      </c>
      <c r="P367" s="12" t="str">
        <f>HYPERLINK("https://ceds.ed.gov/cedselementdetails.aspx?termid=9831")</f>
        <v>https://ceds.ed.gov/cedselementdetails.aspx?termid=9831</v>
      </c>
      <c r="Q367" s="12" t="str">
        <f>HYPERLINK("https://ceds.ed.gov/elementComment.aspx?elementName=Quality Rating and Improvement System Expiration Date &amp;elementID=9831", "Click here to submit comment")</f>
        <v>Click here to submit comment</v>
      </c>
    </row>
    <row r="368" spans="1:17" ht="45" x14ac:dyDescent="0.25">
      <c r="A368" s="12" t="s">
        <v>7169</v>
      </c>
      <c r="B368" s="12" t="s">
        <v>7210</v>
      </c>
      <c r="C368" s="12" t="s">
        <v>7218</v>
      </c>
      <c r="D368" s="12" t="s">
        <v>7172</v>
      </c>
      <c r="E368" s="12" t="s">
        <v>4633</v>
      </c>
      <c r="F368" s="12" t="s">
        <v>4634</v>
      </c>
      <c r="G368" s="12" t="s">
        <v>12</v>
      </c>
      <c r="H368" s="12" t="s">
        <v>64</v>
      </c>
      <c r="I368" s="12"/>
      <c r="J368" s="12" t="s">
        <v>317</v>
      </c>
      <c r="K368" s="12"/>
      <c r="L368" s="12"/>
      <c r="M368" s="12" t="s">
        <v>4636</v>
      </c>
      <c r="N368" s="12" t="s">
        <v>4637</v>
      </c>
      <c r="O368" s="12" t="s">
        <v>4638</v>
      </c>
      <c r="P368" s="12" t="str">
        <f>HYPERLINK("https://ceds.ed.gov/cedselementdetails.aspx?termid=9843")</f>
        <v>https://ceds.ed.gov/cedselementdetails.aspx?termid=9843</v>
      </c>
      <c r="Q368" s="12" t="str">
        <f>HYPERLINK("https://ceds.ed.gov/elementComment.aspx?elementName=Number of Quality Rating and Improvement System Levels &amp;elementID=9843", "Click here to submit comment")</f>
        <v>Click here to submit comment</v>
      </c>
    </row>
    <row r="369" spans="1:17" ht="75" x14ac:dyDescent="0.25">
      <c r="A369" s="12" t="s">
        <v>7169</v>
      </c>
      <c r="B369" s="12" t="s">
        <v>7210</v>
      </c>
      <c r="C369" s="12" t="s">
        <v>7219</v>
      </c>
      <c r="D369" s="12" t="s">
        <v>7172</v>
      </c>
      <c r="E369" s="12" t="s">
        <v>2804</v>
      </c>
      <c r="F369" s="12" t="s">
        <v>2805</v>
      </c>
      <c r="G369" s="13" t="s">
        <v>6914</v>
      </c>
      <c r="H369" s="12" t="s">
        <v>64</v>
      </c>
      <c r="I369" s="12"/>
      <c r="J369" s="12"/>
      <c r="K369" s="12"/>
      <c r="L369" s="12"/>
      <c r="M369" s="12" t="s">
        <v>2807</v>
      </c>
      <c r="N369" s="12"/>
      <c r="O369" s="12" t="s">
        <v>2808</v>
      </c>
      <c r="P369" s="12" t="str">
        <f>HYPERLINK("https://ceds.ed.gov/cedselementdetails.aspx?termid=9834")</f>
        <v>https://ceds.ed.gov/cedselementdetails.aspx?termid=9834</v>
      </c>
      <c r="Q369" s="12" t="str">
        <f>HYPERLINK("https://ceds.ed.gov/elementComment.aspx?elementName=Facility Profit Status &amp;elementID=9834", "Click here to submit comment")</f>
        <v>Click here to submit comment</v>
      </c>
    </row>
    <row r="370" spans="1:17" ht="30" x14ac:dyDescent="0.25">
      <c r="A370" s="12" t="s">
        <v>7169</v>
      </c>
      <c r="B370" s="12" t="s">
        <v>7210</v>
      </c>
      <c r="C370" s="12" t="s">
        <v>7220</v>
      </c>
      <c r="D370" s="12" t="s">
        <v>7172</v>
      </c>
      <c r="E370" s="12" t="s">
        <v>4617</v>
      </c>
      <c r="F370" s="12" t="s">
        <v>4618</v>
      </c>
      <c r="G370" s="12" t="s">
        <v>12</v>
      </c>
      <c r="H370" s="12" t="s">
        <v>64</v>
      </c>
      <c r="I370" s="12"/>
      <c r="J370" s="12" t="s">
        <v>317</v>
      </c>
      <c r="K370" s="12"/>
      <c r="L370" s="12"/>
      <c r="M370" s="12" t="s">
        <v>4619</v>
      </c>
      <c r="N370" s="12"/>
      <c r="O370" s="12" t="s">
        <v>4620</v>
      </c>
      <c r="P370" s="12" t="str">
        <f>HYPERLINK("https://ceds.ed.gov/cedselementdetails.aspx?termid=9839")</f>
        <v>https://ceds.ed.gov/cedselementdetails.aspx?termid=9839</v>
      </c>
      <c r="Q370" s="12" t="str">
        <f>HYPERLINK("https://ceds.ed.gov/elementComment.aspx?elementName=Number of Early Learning Program Monitoring Visits &amp;elementID=9839", "Click here to submit comment")</f>
        <v>Click here to submit comment</v>
      </c>
    </row>
    <row r="371" spans="1:17" ht="30" x14ac:dyDescent="0.25">
      <c r="A371" s="12" t="s">
        <v>7169</v>
      </c>
      <c r="B371" s="12" t="s">
        <v>7210</v>
      </c>
      <c r="C371" s="12" t="s">
        <v>7220</v>
      </c>
      <c r="D371" s="12" t="s">
        <v>7172</v>
      </c>
      <c r="E371" s="12" t="s">
        <v>4497</v>
      </c>
      <c r="F371" s="12" t="s">
        <v>4498</v>
      </c>
      <c r="G371" s="12" t="s">
        <v>12</v>
      </c>
      <c r="H371" s="12"/>
      <c r="I371" s="12"/>
      <c r="J371" s="12" t="s">
        <v>73</v>
      </c>
      <c r="K371" s="12"/>
      <c r="L371" s="12"/>
      <c r="M371" s="12" t="s">
        <v>4500</v>
      </c>
      <c r="N371" s="12"/>
      <c r="O371" s="12" t="s">
        <v>4501</v>
      </c>
      <c r="P371" s="12" t="str">
        <f>HYPERLINK("https://ceds.ed.gov/cedselementdetails.aspx?termid=10298")</f>
        <v>https://ceds.ed.gov/cedselementdetails.aspx?termid=10298</v>
      </c>
      <c r="Q371" s="12" t="str">
        <f>HYPERLINK("https://ceds.ed.gov/elementComment.aspx?elementName=Monitoring Visit End Date &amp;elementID=10298", "Click here to submit comment")</f>
        <v>Click here to submit comment</v>
      </c>
    </row>
    <row r="372" spans="1:17" ht="30" x14ac:dyDescent="0.25">
      <c r="A372" s="12" t="s">
        <v>7169</v>
      </c>
      <c r="B372" s="12" t="s">
        <v>7210</v>
      </c>
      <c r="C372" s="12" t="s">
        <v>7220</v>
      </c>
      <c r="D372" s="12" t="s">
        <v>7172</v>
      </c>
      <c r="E372" s="12" t="s">
        <v>4502</v>
      </c>
      <c r="F372" s="12" t="s">
        <v>4503</v>
      </c>
      <c r="G372" s="12" t="s">
        <v>12</v>
      </c>
      <c r="H372" s="12"/>
      <c r="I372" s="12"/>
      <c r="J372" s="12" t="s">
        <v>73</v>
      </c>
      <c r="K372" s="12"/>
      <c r="L372" s="12"/>
      <c r="M372" s="12" t="s">
        <v>4504</v>
      </c>
      <c r="N372" s="12"/>
      <c r="O372" s="12" t="s">
        <v>4505</v>
      </c>
      <c r="P372" s="12" t="str">
        <f>HYPERLINK("https://ceds.ed.gov/cedselementdetails.aspx?termid=10297")</f>
        <v>https://ceds.ed.gov/cedselementdetails.aspx?termid=10297</v>
      </c>
      <c r="Q372" s="12" t="str">
        <f>HYPERLINK("https://ceds.ed.gov/elementComment.aspx?elementName=Monitoring Visit Start Date &amp;elementID=10297", "Click here to submit comment")</f>
        <v>Click here to submit comment</v>
      </c>
    </row>
    <row r="373" spans="1:17" ht="45" x14ac:dyDescent="0.25">
      <c r="A373" s="12" t="s">
        <v>7169</v>
      </c>
      <c r="B373" s="12" t="s">
        <v>7210</v>
      </c>
      <c r="C373" s="12" t="s">
        <v>7220</v>
      </c>
      <c r="D373" s="12" t="s">
        <v>7172</v>
      </c>
      <c r="E373" s="12" t="s">
        <v>4676</v>
      </c>
      <c r="F373" s="12" t="s">
        <v>4677</v>
      </c>
      <c r="G373" s="13" t="s">
        <v>7043</v>
      </c>
      <c r="H373" s="12"/>
      <c r="I373" s="12"/>
      <c r="J373" s="12"/>
      <c r="K373" s="12"/>
      <c r="L373" s="12"/>
      <c r="M373" s="12" t="s">
        <v>4678</v>
      </c>
      <c r="N373" s="12"/>
      <c r="O373" s="12" t="s">
        <v>4679</v>
      </c>
      <c r="P373" s="12" t="str">
        <f>HYPERLINK("https://ceds.ed.gov/cedselementdetails.aspx?termid=10296")</f>
        <v>https://ceds.ed.gov/cedselementdetails.aspx?termid=10296</v>
      </c>
      <c r="Q373" s="12" t="str">
        <f>HYPERLINK("https://ceds.ed.gov/elementComment.aspx?elementName=Organization Monitoring Notifications &amp;elementID=10296", "Click here to submit comment")</f>
        <v>Click here to submit comment</v>
      </c>
    </row>
    <row r="374" spans="1:17" ht="30" x14ac:dyDescent="0.25">
      <c r="A374" s="12" t="s">
        <v>7169</v>
      </c>
      <c r="B374" s="12" t="s">
        <v>7210</v>
      </c>
      <c r="C374" s="12" t="s">
        <v>7220</v>
      </c>
      <c r="D374" s="12" t="s">
        <v>7172</v>
      </c>
      <c r="E374" s="12" t="s">
        <v>4697</v>
      </c>
      <c r="F374" s="12" t="s">
        <v>4698</v>
      </c>
      <c r="G374" s="12" t="s">
        <v>12</v>
      </c>
      <c r="H374" s="12"/>
      <c r="I374" s="12"/>
      <c r="J374" s="12" t="s">
        <v>68</v>
      </c>
      <c r="K374" s="12"/>
      <c r="L374" s="12"/>
      <c r="M374" s="12" t="s">
        <v>4699</v>
      </c>
      <c r="N374" s="12"/>
      <c r="O374" s="12" t="s">
        <v>4700</v>
      </c>
      <c r="P374" s="12" t="str">
        <f>HYPERLINK("https://ceds.ed.gov/cedselementdetails.aspx?termid=10300")</f>
        <v>https://ceds.ed.gov/cedselementdetails.aspx?termid=10300</v>
      </c>
      <c r="Q374" s="12" t="str">
        <f>HYPERLINK("https://ceds.ed.gov/elementComment.aspx?elementName=Organization Type of Monitoring &amp;elementID=10300", "Click here to submit comment")</f>
        <v>Click here to submit comment</v>
      </c>
    </row>
    <row r="375" spans="1:17" ht="90" x14ac:dyDescent="0.25">
      <c r="A375" s="12" t="s">
        <v>7169</v>
      </c>
      <c r="B375" s="12" t="s">
        <v>7210</v>
      </c>
      <c r="C375" s="12" t="s">
        <v>7220</v>
      </c>
      <c r="D375" s="12" t="s">
        <v>7172</v>
      </c>
      <c r="E375" s="12" t="s">
        <v>5238</v>
      </c>
      <c r="F375" s="12" t="s">
        <v>5239</v>
      </c>
      <c r="G375" s="13" t="s">
        <v>7088</v>
      </c>
      <c r="H375" s="12"/>
      <c r="I375" s="12"/>
      <c r="J375" s="12"/>
      <c r="K375" s="12"/>
      <c r="L375" s="12"/>
      <c r="M375" s="12" t="s">
        <v>5240</v>
      </c>
      <c r="N375" s="12"/>
      <c r="O375" s="12" t="s">
        <v>5241</v>
      </c>
      <c r="P375" s="12" t="str">
        <f>HYPERLINK("https://ceds.ed.gov/cedselementdetails.aspx?termid=10299")</f>
        <v>https://ceds.ed.gov/cedselementdetails.aspx?termid=10299</v>
      </c>
      <c r="Q375" s="12" t="str">
        <f>HYPERLINK("https://ceds.ed.gov/elementComment.aspx?elementName=Purpose of Monitoring Visit &amp;elementID=10299", "Click here to submit comment")</f>
        <v>Click here to submit comment</v>
      </c>
    </row>
    <row r="376" spans="1:17" ht="210" x14ac:dyDescent="0.25">
      <c r="A376" s="12" t="s">
        <v>7169</v>
      </c>
      <c r="B376" s="12" t="s">
        <v>7210</v>
      </c>
      <c r="C376" s="12" t="s">
        <v>7221</v>
      </c>
      <c r="D376" s="12" t="s">
        <v>7172</v>
      </c>
      <c r="E376" s="12" t="s">
        <v>58</v>
      </c>
      <c r="F376" s="12" t="s">
        <v>59</v>
      </c>
      <c r="G376" s="13" t="s">
        <v>6723</v>
      </c>
      <c r="H376" s="12" t="s">
        <v>64</v>
      </c>
      <c r="I376" s="12"/>
      <c r="J376" s="12"/>
      <c r="K376" s="12"/>
      <c r="L376" s="12" t="s">
        <v>61</v>
      </c>
      <c r="M376" s="12" t="s">
        <v>62</v>
      </c>
      <c r="N376" s="12"/>
      <c r="O376" s="12" t="s">
        <v>63</v>
      </c>
      <c r="P376" s="12" t="str">
        <f>HYPERLINK("https://ceds.ed.gov/cedselementdetails.aspx?termid=9983")</f>
        <v>https://ceds.ed.gov/cedselementdetails.aspx?termid=9983</v>
      </c>
      <c r="Q376" s="12" t="str">
        <f>HYPERLINK("https://ceds.ed.gov/elementComment.aspx?elementName=Accreditation Agency &amp;elementID=9983", "Click here to submit comment")</f>
        <v>Click here to submit comment</v>
      </c>
    </row>
    <row r="377" spans="1:17" ht="30" x14ac:dyDescent="0.25">
      <c r="A377" s="12" t="s">
        <v>7169</v>
      </c>
      <c r="B377" s="12" t="s">
        <v>7210</v>
      </c>
      <c r="C377" s="12" t="s">
        <v>7221</v>
      </c>
      <c r="D377" s="12" t="s">
        <v>7172</v>
      </c>
      <c r="E377" s="12" t="s">
        <v>71</v>
      </c>
      <c r="F377" s="12" t="s">
        <v>72</v>
      </c>
      <c r="G377" s="12" t="s">
        <v>12</v>
      </c>
      <c r="H377" s="12" t="s">
        <v>64</v>
      </c>
      <c r="I377" s="12"/>
      <c r="J377" s="12" t="s">
        <v>73</v>
      </c>
      <c r="K377" s="12"/>
      <c r="L377" s="12"/>
      <c r="M377" s="12" t="s">
        <v>74</v>
      </c>
      <c r="N377" s="12"/>
      <c r="O377" s="12" t="s">
        <v>75</v>
      </c>
      <c r="P377" s="12" t="str">
        <f>HYPERLINK("https://ceds.ed.gov/cedselementdetails.aspx?termid=9840")</f>
        <v>https://ceds.ed.gov/cedselementdetails.aspx?termid=9840</v>
      </c>
      <c r="Q377" s="12" t="str">
        <f>HYPERLINK("https://ceds.ed.gov/elementComment.aspx?elementName=Accreditation Award Date &amp;elementID=9840", "Click here to submit comment")</f>
        <v>Click here to submit comment</v>
      </c>
    </row>
    <row r="378" spans="1:17" ht="30" x14ac:dyDescent="0.25">
      <c r="A378" s="12" t="s">
        <v>7169</v>
      </c>
      <c r="B378" s="12" t="s">
        <v>7210</v>
      </c>
      <c r="C378" s="12" t="s">
        <v>7221</v>
      </c>
      <c r="D378" s="12" t="s">
        <v>7172</v>
      </c>
      <c r="E378" s="12" t="s">
        <v>76</v>
      </c>
      <c r="F378" s="12" t="s">
        <v>77</v>
      </c>
      <c r="G378" s="12" t="s">
        <v>12</v>
      </c>
      <c r="H378" s="12" t="s">
        <v>64</v>
      </c>
      <c r="I378" s="12"/>
      <c r="J378" s="12" t="s">
        <v>73</v>
      </c>
      <c r="K378" s="12"/>
      <c r="L378" s="12"/>
      <c r="M378" s="12" t="s">
        <v>78</v>
      </c>
      <c r="N378" s="12"/>
      <c r="O378" s="12" t="s">
        <v>79</v>
      </c>
      <c r="P378" s="12" t="str">
        <f>HYPERLINK("https://ceds.ed.gov/cedselementdetails.aspx?termid=9841")</f>
        <v>https://ceds.ed.gov/cedselementdetails.aspx?termid=9841</v>
      </c>
      <c r="Q378" s="12" t="str">
        <f>HYPERLINK("https://ceds.ed.gov/elementComment.aspx?elementName=Accreditation Expiration Date &amp;elementID=9841", "Click here to submit comment")</f>
        <v>Click here to submit comment</v>
      </c>
    </row>
    <row r="379" spans="1:17" ht="45" x14ac:dyDescent="0.25">
      <c r="A379" s="12" t="s">
        <v>7169</v>
      </c>
      <c r="B379" s="12" t="s">
        <v>7210</v>
      </c>
      <c r="C379" s="12" t="s">
        <v>7221</v>
      </c>
      <c r="D379" s="12" t="s">
        <v>7172</v>
      </c>
      <c r="E379" s="12" t="s">
        <v>4688</v>
      </c>
      <c r="F379" s="12" t="s">
        <v>4689</v>
      </c>
      <c r="G379" s="12" t="s">
        <v>12</v>
      </c>
      <c r="H379" s="12"/>
      <c r="I379" s="12"/>
      <c r="J379" s="12" t="s">
        <v>73</v>
      </c>
      <c r="K379" s="12"/>
      <c r="L379" s="12"/>
      <c r="M379" s="12" t="s">
        <v>4690</v>
      </c>
      <c r="N379" s="12"/>
      <c r="O379" s="12" t="s">
        <v>4691</v>
      </c>
      <c r="P379" s="12" t="str">
        <f>HYPERLINK("https://ceds.ed.gov/cedselementdetails.aspx?termid=10388")</f>
        <v>https://ceds.ed.gov/cedselementdetails.aspx?termid=10388</v>
      </c>
      <c r="Q379" s="12" t="str">
        <f>HYPERLINK("https://ceds.ed.gov/elementComment.aspx?elementName=Organization Seeking Accreditation Date &amp;elementID=10388", "Click here to submit comment")</f>
        <v>Click here to submit comment</v>
      </c>
    </row>
    <row r="380" spans="1:17" ht="120" x14ac:dyDescent="0.25">
      <c r="A380" s="12" t="s">
        <v>7169</v>
      </c>
      <c r="B380" s="12" t="s">
        <v>7210</v>
      </c>
      <c r="C380" s="12" t="s">
        <v>7222</v>
      </c>
      <c r="D380" s="12" t="s">
        <v>7172</v>
      </c>
      <c r="E380" s="12" t="s">
        <v>228</v>
      </c>
      <c r="F380" s="12" t="s">
        <v>229</v>
      </c>
      <c r="G380" s="13" t="s">
        <v>6731</v>
      </c>
      <c r="H380" s="12" t="s">
        <v>64</v>
      </c>
      <c r="I380" s="12"/>
      <c r="J380" s="12"/>
      <c r="K380" s="12"/>
      <c r="L380" s="12" t="s">
        <v>231</v>
      </c>
      <c r="M380" s="12" t="s">
        <v>232</v>
      </c>
      <c r="N380" s="12"/>
      <c r="O380" s="12" t="s">
        <v>233</v>
      </c>
      <c r="P380" s="12" t="str">
        <f>HYPERLINK("https://ceds.ed.gov/cedselementdetails.aspx?termid=9984")</f>
        <v>https://ceds.ed.gov/cedselementdetails.aspx?termid=9984</v>
      </c>
      <c r="Q380" s="12" t="str">
        <f>HYPERLINK("https://ceds.ed.gov/elementComment.aspx?elementName=Administrative Policy Type &amp;elementID=9984", "Click here to submit comment")</f>
        <v>Click here to submit comment</v>
      </c>
    </row>
    <row r="381" spans="1:17" ht="90" x14ac:dyDescent="0.25">
      <c r="A381" s="12" t="s">
        <v>7169</v>
      </c>
      <c r="B381" s="12" t="s">
        <v>7210</v>
      </c>
      <c r="C381" s="12" t="s">
        <v>7222</v>
      </c>
      <c r="D381" s="12" t="s">
        <v>7172</v>
      </c>
      <c r="E381" s="12" t="s">
        <v>4840</v>
      </c>
      <c r="F381" s="12" t="s">
        <v>4841</v>
      </c>
      <c r="G381" s="13" t="s">
        <v>7054</v>
      </c>
      <c r="H381" s="12" t="s">
        <v>64</v>
      </c>
      <c r="I381" s="12"/>
      <c r="J381" s="12"/>
      <c r="K381" s="12"/>
      <c r="L381" s="12"/>
      <c r="M381" s="12" t="s">
        <v>4842</v>
      </c>
      <c r="N381" s="12"/>
      <c r="O381" s="12" t="s">
        <v>4843</v>
      </c>
      <c r="P381" s="12" t="str">
        <f>HYPERLINK("https://ceds.ed.gov/cedselementdetails.aspx?termid=9842")</f>
        <v>https://ceds.ed.gov/cedselementdetails.aspx?termid=9842</v>
      </c>
      <c r="Q381" s="12" t="str">
        <f>HYPERLINK("https://ceds.ed.gov/elementComment.aspx?elementName=Personnel Policy Type &amp;elementID=9842", "Click here to submit comment")</f>
        <v>Click here to submit comment</v>
      </c>
    </row>
    <row r="382" spans="1:17" ht="45" x14ac:dyDescent="0.25">
      <c r="A382" s="12" t="s">
        <v>7169</v>
      </c>
      <c r="B382" s="12" t="s">
        <v>7210</v>
      </c>
      <c r="C382" s="12" t="s">
        <v>7222</v>
      </c>
      <c r="D382" s="12" t="s">
        <v>7172</v>
      </c>
      <c r="E382" s="12" t="s">
        <v>5193</v>
      </c>
      <c r="F382" s="12" t="s">
        <v>5194</v>
      </c>
      <c r="G382" s="12" t="s">
        <v>6364</v>
      </c>
      <c r="H382" s="12" t="s">
        <v>64</v>
      </c>
      <c r="I382" s="12"/>
      <c r="J382" s="12"/>
      <c r="K382" s="12"/>
      <c r="L382" s="12"/>
      <c r="M382" s="12" t="s">
        <v>5195</v>
      </c>
      <c r="N382" s="12"/>
      <c r="O382" s="12" t="s">
        <v>5196</v>
      </c>
      <c r="P382" s="12" t="str">
        <f>HYPERLINK("https://ceds.ed.gov/cedselementdetails.aspx?termid=9859")</f>
        <v>https://ceds.ed.gov/cedselementdetails.aspx?termid=9859</v>
      </c>
      <c r="Q382" s="12" t="str">
        <f>HYPERLINK("https://ceds.ed.gov/elementComment.aspx?elementName=Program Transition Planning Policy &amp;elementID=9859", "Click here to submit comment")</f>
        <v>Click here to submit comment</v>
      </c>
    </row>
    <row r="383" spans="1:17" ht="45" x14ac:dyDescent="0.25">
      <c r="A383" s="12" t="s">
        <v>7169</v>
      </c>
      <c r="B383" s="12" t="s">
        <v>7210</v>
      </c>
      <c r="C383" s="12" t="s">
        <v>7223</v>
      </c>
      <c r="D383" s="12" t="s">
        <v>7172</v>
      </c>
      <c r="E383" s="12" t="s">
        <v>5180</v>
      </c>
      <c r="F383" s="12" t="s">
        <v>5181</v>
      </c>
      <c r="G383" s="12" t="s">
        <v>6364</v>
      </c>
      <c r="H383" s="12" t="s">
        <v>64</v>
      </c>
      <c r="I383" s="12"/>
      <c r="J383" s="12"/>
      <c r="K383" s="12"/>
      <c r="L383" s="12"/>
      <c r="M383" s="12" t="s">
        <v>5183</v>
      </c>
      <c r="N383" s="12"/>
      <c r="O383" s="12" t="s">
        <v>5184</v>
      </c>
      <c r="P383" s="12" t="str">
        <f>HYPERLINK("https://ceds.ed.gov/cedselementdetails.aspx?termid=9845")</f>
        <v>https://ceds.ed.gov/cedselementdetails.aspx?termid=9845</v>
      </c>
      <c r="Q383" s="12" t="str">
        <f>HYPERLINK("https://ceds.ed.gov/elementComment.aspx?elementName=Program Provides Translated Materials &amp;elementID=9845", "Click here to submit comment")</f>
        <v>Click here to submit comment</v>
      </c>
    </row>
    <row r="384" spans="1:17" ht="45" x14ac:dyDescent="0.25">
      <c r="A384" s="12" t="s">
        <v>7169</v>
      </c>
      <c r="B384" s="12" t="s">
        <v>7210</v>
      </c>
      <c r="C384" s="12" t="s">
        <v>7223</v>
      </c>
      <c r="D384" s="12" t="s">
        <v>7172</v>
      </c>
      <c r="E384" s="12" t="s">
        <v>3672</v>
      </c>
      <c r="F384" s="12" t="s">
        <v>3673</v>
      </c>
      <c r="G384" s="12" t="s">
        <v>6364</v>
      </c>
      <c r="H384" s="12"/>
      <c r="I384" s="12"/>
      <c r="J384" s="12"/>
      <c r="K384" s="12"/>
      <c r="L384" s="12"/>
      <c r="M384" s="12" t="s">
        <v>3674</v>
      </c>
      <c r="N384" s="12"/>
      <c r="O384" s="12" t="s">
        <v>3675</v>
      </c>
      <c r="P384" s="12" t="str">
        <f>HYPERLINK("https://ceds.ed.gov/cedselementdetails.aspx?termid=10190")</f>
        <v>https://ceds.ed.gov/cedselementdetails.aspx?termid=10190</v>
      </c>
      <c r="Q384" s="12" t="str">
        <f>HYPERLINK("https://ceds.ed.gov/elementComment.aspx?elementName=Language Translation Policy &amp;elementID=10190", "Click here to submit comment")</f>
        <v>Click here to submit comment</v>
      </c>
    </row>
    <row r="385" spans="1:17" ht="45" x14ac:dyDescent="0.25">
      <c r="A385" s="12" t="s">
        <v>7169</v>
      </c>
      <c r="B385" s="12" t="s">
        <v>7210</v>
      </c>
      <c r="C385" s="12" t="s">
        <v>7224</v>
      </c>
      <c r="D385" s="12" t="s">
        <v>7172</v>
      </c>
      <c r="E385" s="12" t="s">
        <v>4648</v>
      </c>
      <c r="F385" s="12" t="s">
        <v>4649</v>
      </c>
      <c r="G385" s="12" t="s">
        <v>6364</v>
      </c>
      <c r="H385" s="12" t="s">
        <v>64</v>
      </c>
      <c r="I385" s="12"/>
      <c r="J385" s="12"/>
      <c r="K385" s="12"/>
      <c r="L385" s="12"/>
      <c r="M385" s="12" t="s">
        <v>4650</v>
      </c>
      <c r="N385" s="12"/>
      <c r="O385" s="12" t="s">
        <v>4651</v>
      </c>
      <c r="P385" s="12" t="str">
        <f>HYPERLINK("https://ceds.ed.gov/cedselementdetails.aspx?termid=9847")</f>
        <v>https://ceds.ed.gov/cedselementdetails.aspx?termid=9847</v>
      </c>
      <c r="Q385" s="12" t="str">
        <f>HYPERLINK("https://ceds.ed.gov/elementComment.aspx?elementName=Ongoing Health Screening Policy &amp;elementID=9847", "Click here to submit comment")</f>
        <v>Click here to submit comment</v>
      </c>
    </row>
    <row r="386" spans="1:17" ht="60" x14ac:dyDescent="0.25">
      <c r="A386" s="12" t="s">
        <v>7169</v>
      </c>
      <c r="B386" s="12" t="s">
        <v>7210</v>
      </c>
      <c r="C386" s="12" t="s">
        <v>7224</v>
      </c>
      <c r="D386" s="12" t="s">
        <v>7172</v>
      </c>
      <c r="E386" s="12" t="s">
        <v>2565</v>
      </c>
      <c r="F386" s="12" t="s">
        <v>2566</v>
      </c>
      <c r="G386" s="12" t="s">
        <v>6364</v>
      </c>
      <c r="H386" s="12" t="s">
        <v>64</v>
      </c>
      <c r="I386" s="12"/>
      <c r="J386" s="12"/>
      <c r="K386" s="12"/>
      <c r="L386" s="12"/>
      <c r="M386" s="12" t="s">
        <v>2568</v>
      </c>
      <c r="N386" s="12"/>
      <c r="O386" s="12" t="s">
        <v>2569</v>
      </c>
      <c r="P386" s="12" t="str">
        <f>HYPERLINK("https://ceds.ed.gov/cedselementdetails.aspx?termid=9848")</f>
        <v>https://ceds.ed.gov/cedselementdetails.aspx?termid=9848</v>
      </c>
      <c r="Q386" s="12" t="str">
        <f>HYPERLINK("https://ceds.ed.gov/elementComment.aspx?elementName=Early Learning Program Developmental Screening Status &amp;elementID=9848", "Click here to submit comment")</f>
        <v>Click here to submit comment</v>
      </c>
    </row>
    <row r="387" spans="1:17" ht="60" x14ac:dyDescent="0.25">
      <c r="A387" s="12" t="s">
        <v>7169</v>
      </c>
      <c r="B387" s="12" t="s">
        <v>7210</v>
      </c>
      <c r="C387" s="12" t="s">
        <v>7224</v>
      </c>
      <c r="D387" s="12" t="s">
        <v>7172</v>
      </c>
      <c r="E387" s="12" t="s">
        <v>3322</v>
      </c>
      <c r="F387" s="12" t="s">
        <v>3323</v>
      </c>
      <c r="G387" s="12" t="s">
        <v>6364</v>
      </c>
      <c r="H387" s="12" t="s">
        <v>64</v>
      </c>
      <c r="I387" s="12"/>
      <c r="J387" s="12"/>
      <c r="K387" s="12"/>
      <c r="L387" s="12"/>
      <c r="M387" s="12" t="s">
        <v>3324</v>
      </c>
      <c r="N387" s="12"/>
      <c r="O387" s="12" t="s">
        <v>3325</v>
      </c>
      <c r="P387" s="12" t="str">
        <f>HYPERLINK("https://ceds.ed.gov/cedselementdetails.aspx?termid=9849")</f>
        <v>https://ceds.ed.gov/cedselementdetails.aspx?termid=9849</v>
      </c>
      <c r="Q387" s="12" t="str">
        <f>HYPERLINK("https://ceds.ed.gov/elementComment.aspx?elementName=Immunization Policy &amp;elementID=9849", "Click here to submit comment")</f>
        <v>Click here to submit comment</v>
      </c>
    </row>
    <row r="388" spans="1:17" ht="45" x14ac:dyDescent="0.25">
      <c r="A388" s="12" t="s">
        <v>7169</v>
      </c>
      <c r="B388" s="12" t="s">
        <v>7210</v>
      </c>
      <c r="C388" s="12" t="s">
        <v>7224</v>
      </c>
      <c r="D388" s="12" t="s">
        <v>7172</v>
      </c>
      <c r="E388" s="12" t="s">
        <v>5338</v>
      </c>
      <c r="F388" s="12" t="s">
        <v>5339</v>
      </c>
      <c r="G388" s="12" t="s">
        <v>6364</v>
      </c>
      <c r="H388" s="12" t="s">
        <v>64</v>
      </c>
      <c r="I388" s="12"/>
      <c r="J388" s="12"/>
      <c r="K388" s="12"/>
      <c r="L388" s="12"/>
      <c r="M388" s="12" t="s">
        <v>5340</v>
      </c>
      <c r="N388" s="12"/>
      <c r="O388" s="12" t="s">
        <v>5341</v>
      </c>
      <c r="P388" s="12" t="str">
        <f>HYPERLINK("https://ceds.ed.gov/cedselementdetails.aspx?termid=9850")</f>
        <v>https://ceds.ed.gov/cedselementdetails.aspx?termid=9850</v>
      </c>
      <c r="Q388" s="12" t="str">
        <f>HYPERLINK("https://ceds.ed.gov/elementComment.aspx?elementName=Referral Policy &amp;elementID=9850", "Click here to submit comment")</f>
        <v>Click here to submit comment</v>
      </c>
    </row>
    <row r="389" spans="1:17" ht="345" x14ac:dyDescent="0.25">
      <c r="A389" s="12" t="s">
        <v>7169</v>
      </c>
      <c r="B389" s="12" t="s">
        <v>7210</v>
      </c>
      <c r="C389" s="12" t="s">
        <v>7224</v>
      </c>
      <c r="D389" s="12" t="s">
        <v>7172</v>
      </c>
      <c r="E389" s="12" t="s">
        <v>5374</v>
      </c>
      <c r="F389" s="12" t="s">
        <v>5375</v>
      </c>
      <c r="G389" s="13" t="s">
        <v>6958</v>
      </c>
      <c r="H389" s="12" t="s">
        <v>1759</v>
      </c>
      <c r="I389" s="12"/>
      <c r="J389" s="12"/>
      <c r="K389" s="12"/>
      <c r="L389" s="12"/>
      <c r="M389" s="12" t="s">
        <v>5376</v>
      </c>
      <c r="N389" s="12"/>
      <c r="O389" s="12" t="s">
        <v>5377</v>
      </c>
      <c r="P389" s="12" t="str">
        <f>HYPERLINK("https://ceds.ed.gov/cedselementdetails.aspx?termid=9307")</f>
        <v>https://ceds.ed.gov/cedselementdetails.aspx?termid=9307</v>
      </c>
      <c r="Q389" s="12" t="str">
        <f>HYPERLINK("https://ceds.ed.gov/elementComment.aspx?elementName=Required Immunization &amp;elementID=9307", "Click here to submit comment")</f>
        <v>Click here to submit comment</v>
      </c>
    </row>
    <row r="390" spans="1:17" ht="75" x14ac:dyDescent="0.25">
      <c r="A390" s="12" t="s">
        <v>7169</v>
      </c>
      <c r="B390" s="12" t="s">
        <v>7210</v>
      </c>
      <c r="C390" s="12" t="s">
        <v>7225</v>
      </c>
      <c r="D390" s="12" t="s">
        <v>7172</v>
      </c>
      <c r="E390" s="12" t="s">
        <v>5800</v>
      </c>
      <c r="F390" s="12" t="s">
        <v>5801</v>
      </c>
      <c r="G390" s="12" t="s">
        <v>6364</v>
      </c>
      <c r="H390" s="12" t="s">
        <v>64</v>
      </c>
      <c r="I390" s="12"/>
      <c r="J390" s="12"/>
      <c r="K390" s="12"/>
      <c r="L390" s="12"/>
      <c r="M390" s="12" t="s">
        <v>5803</v>
      </c>
      <c r="N390" s="12"/>
      <c r="O390" s="12" t="s">
        <v>5804</v>
      </c>
      <c r="P390" s="12" t="str">
        <f>HYPERLINK("https://ceds.ed.gov/cedselementdetails.aspx?termid=10004")</f>
        <v>https://ceds.ed.gov/cedselementdetails.aspx?termid=10004</v>
      </c>
      <c r="Q390" s="12" t="str">
        <f>HYPERLINK("https://ceds.ed.gov/elementComment.aspx?elementName=Special Needs Policy &amp;elementID=10004", "Click here to submit comment")</f>
        <v>Click here to submit comment</v>
      </c>
    </row>
    <row r="391" spans="1:17" ht="210" x14ac:dyDescent="0.25">
      <c r="A391" s="12" t="s">
        <v>7169</v>
      </c>
      <c r="B391" s="12" t="s">
        <v>7210</v>
      </c>
      <c r="C391" s="12" t="s">
        <v>7226</v>
      </c>
      <c r="D391" s="12" t="s">
        <v>7172</v>
      </c>
      <c r="E391" s="12" t="s">
        <v>2452</v>
      </c>
      <c r="F391" s="12" t="s">
        <v>2453</v>
      </c>
      <c r="G391" s="13" t="s">
        <v>6875</v>
      </c>
      <c r="H391" s="12" t="s">
        <v>64</v>
      </c>
      <c r="I391" s="12"/>
      <c r="J391" s="12"/>
      <c r="K391" s="12"/>
      <c r="L391" s="12"/>
      <c r="M391" s="12" t="s">
        <v>2454</v>
      </c>
      <c r="N391" s="12"/>
      <c r="O391" s="12" t="s">
        <v>2455</v>
      </c>
      <c r="P391" s="12" t="str">
        <f>HYPERLINK("https://ceds.ed.gov/cedselementdetails.aspx?termid=9829")</f>
        <v>https://ceds.ed.gov/cedselementdetails.aspx?termid=9829</v>
      </c>
      <c r="Q391" s="12" t="str">
        <f>HYPERLINK("https://ceds.ed.gov/elementComment.aspx?elementName=Early Childhood Program Enrollment Type &amp;elementID=9829", "Click here to submit comment")</f>
        <v>Click here to submit comment</v>
      </c>
    </row>
    <row r="392" spans="1:17" ht="30" x14ac:dyDescent="0.25">
      <c r="A392" s="12" t="s">
        <v>7169</v>
      </c>
      <c r="B392" s="12" t="s">
        <v>7210</v>
      </c>
      <c r="C392" s="12" t="s">
        <v>7226</v>
      </c>
      <c r="D392" s="12" t="s">
        <v>7172</v>
      </c>
      <c r="E392" s="12" t="s">
        <v>2599</v>
      </c>
      <c r="F392" s="12" t="s">
        <v>2600</v>
      </c>
      <c r="G392" s="12" t="s">
        <v>12</v>
      </c>
      <c r="H392" s="12" t="s">
        <v>6453</v>
      </c>
      <c r="I392" s="12"/>
      <c r="J392" s="12" t="s">
        <v>1861</v>
      </c>
      <c r="K392" s="12"/>
      <c r="L392" s="12"/>
      <c r="M392" s="12" t="s">
        <v>2601</v>
      </c>
      <c r="N392" s="12"/>
      <c r="O392" s="12" t="s">
        <v>2602</v>
      </c>
      <c r="P392" s="12" t="str">
        <f>HYPERLINK("https://ceds.ed.gov/cedselementdetails.aspx?termid=9864")</f>
        <v>https://ceds.ed.gov/cedselementdetails.aspx?termid=9864</v>
      </c>
      <c r="Q392" s="12" t="str">
        <f>HYPERLINK("https://ceds.ed.gov/elementComment.aspx?elementName=Early Learning Program Year &amp;elementID=9864", "Click here to submit comment")</f>
        <v>Click here to submit comment</v>
      </c>
    </row>
    <row r="393" spans="1:17" ht="30" x14ac:dyDescent="0.25">
      <c r="A393" s="12" t="s">
        <v>7169</v>
      </c>
      <c r="B393" s="12" t="s">
        <v>7210</v>
      </c>
      <c r="C393" s="12" t="s">
        <v>7226</v>
      </c>
      <c r="D393" s="12" t="s">
        <v>7172</v>
      </c>
      <c r="E393" s="12" t="s">
        <v>5703</v>
      </c>
      <c r="F393" s="12" t="s">
        <v>5704</v>
      </c>
      <c r="G393" s="12" t="s">
        <v>12</v>
      </c>
      <c r="H393" s="12" t="s">
        <v>6453</v>
      </c>
      <c r="I393" s="12"/>
      <c r="J393" s="12" t="s">
        <v>437</v>
      </c>
      <c r="K393" s="12"/>
      <c r="L393" s="12"/>
      <c r="M393" s="12" t="s">
        <v>5705</v>
      </c>
      <c r="N393" s="12"/>
      <c r="O393" s="12" t="s">
        <v>5706</v>
      </c>
      <c r="P393" s="12" t="str">
        <f>HYPERLINK("https://ceds.ed.gov/cedselementdetails.aspx?termid=9986")</f>
        <v>https://ceds.ed.gov/cedselementdetails.aspx?termid=9986</v>
      </c>
      <c r="Q393" s="12" t="str">
        <f>HYPERLINK("https://ceds.ed.gov/elementComment.aspx?elementName=Session Start Time &amp;elementID=9986", "Click here to submit comment")</f>
        <v>Click here to submit comment</v>
      </c>
    </row>
    <row r="394" spans="1:17" ht="30" x14ac:dyDescent="0.25">
      <c r="A394" s="12" t="s">
        <v>7169</v>
      </c>
      <c r="B394" s="12" t="s">
        <v>7210</v>
      </c>
      <c r="C394" s="12" t="s">
        <v>7226</v>
      </c>
      <c r="D394" s="12" t="s">
        <v>7172</v>
      </c>
      <c r="E394" s="12" t="s">
        <v>5691</v>
      </c>
      <c r="F394" s="12" t="s">
        <v>5692</v>
      </c>
      <c r="G394" s="12" t="s">
        <v>12</v>
      </c>
      <c r="H394" s="12" t="s">
        <v>6453</v>
      </c>
      <c r="I394" s="12"/>
      <c r="J394" s="12" t="s">
        <v>437</v>
      </c>
      <c r="K394" s="12"/>
      <c r="L394" s="12"/>
      <c r="M394" s="12" t="s">
        <v>5693</v>
      </c>
      <c r="N394" s="12"/>
      <c r="O394" s="12" t="s">
        <v>5694</v>
      </c>
      <c r="P394" s="12" t="str">
        <f>HYPERLINK("https://ceds.ed.gov/cedselementdetails.aspx?termid=9988")</f>
        <v>https://ceds.ed.gov/cedselementdetails.aspx?termid=9988</v>
      </c>
      <c r="Q394" s="12" t="str">
        <f>HYPERLINK("https://ceds.ed.gov/elementComment.aspx?elementName=Session End Time &amp;elementID=9988", "Click here to submit comment")</f>
        <v>Click here to submit comment</v>
      </c>
    </row>
    <row r="395" spans="1:17" ht="409.5" x14ac:dyDescent="0.25">
      <c r="A395" s="12" t="s">
        <v>7169</v>
      </c>
      <c r="B395" s="12" t="s">
        <v>7210</v>
      </c>
      <c r="C395" s="12" t="s">
        <v>7226</v>
      </c>
      <c r="D395" s="12" t="s">
        <v>7172</v>
      </c>
      <c r="E395" s="12" t="s">
        <v>3059</v>
      </c>
      <c r="F395" s="12" t="s">
        <v>3060</v>
      </c>
      <c r="G395" s="13" t="s">
        <v>6934</v>
      </c>
      <c r="H395" s="12" t="s">
        <v>6515</v>
      </c>
      <c r="I395" s="12"/>
      <c r="J395" s="12"/>
      <c r="K395" s="12"/>
      <c r="L395" s="12"/>
      <c r="M395" s="12" t="s">
        <v>3061</v>
      </c>
      <c r="N395" s="12"/>
      <c r="O395" s="12" t="s">
        <v>3062</v>
      </c>
      <c r="P395" s="12" t="str">
        <f>HYPERLINK("https://ceds.ed.gov/cedselementdetails.aspx?termid=9866")</f>
        <v>https://ceds.ed.gov/cedselementdetails.aspx?termid=9866</v>
      </c>
      <c r="Q395" s="12" t="str">
        <f>HYPERLINK("https://ceds.ed.gov/elementComment.aspx?elementName=Full-Time Employee Benefits &amp;elementID=9866", "Click here to submit comment")</f>
        <v>Click here to submit comment</v>
      </c>
    </row>
    <row r="396" spans="1:17" ht="409.5" x14ac:dyDescent="0.25">
      <c r="A396" s="12" t="s">
        <v>7169</v>
      </c>
      <c r="B396" s="12" t="s">
        <v>7210</v>
      </c>
      <c r="C396" s="12" t="s">
        <v>7226</v>
      </c>
      <c r="D396" s="12" t="s">
        <v>7172</v>
      </c>
      <c r="E396" s="12" t="s">
        <v>4749</v>
      </c>
      <c r="F396" s="12" t="s">
        <v>4750</v>
      </c>
      <c r="G396" s="13" t="s">
        <v>6934</v>
      </c>
      <c r="H396" s="12" t="s">
        <v>6515</v>
      </c>
      <c r="I396" s="12"/>
      <c r="J396" s="12"/>
      <c r="K396" s="12"/>
      <c r="L396" s="12"/>
      <c r="M396" s="12" t="s">
        <v>4751</v>
      </c>
      <c r="N396" s="12"/>
      <c r="O396" s="12" t="s">
        <v>4752</v>
      </c>
      <c r="P396" s="12" t="str">
        <f>HYPERLINK("https://ceds.ed.gov/cedselementdetails.aspx?termid=9867")</f>
        <v>https://ceds.ed.gov/cedselementdetails.aspx?termid=9867</v>
      </c>
      <c r="Q396" s="12" t="str">
        <f>HYPERLINK("https://ceds.ed.gov/elementComment.aspx?elementName=Part-Time Employee Benefits &amp;elementID=9867", "Click here to submit comment")</f>
        <v>Click here to submit comment</v>
      </c>
    </row>
    <row r="397" spans="1:17" ht="60" x14ac:dyDescent="0.25">
      <c r="A397" s="12" t="s">
        <v>7169</v>
      </c>
      <c r="B397" s="12" t="s">
        <v>7210</v>
      </c>
      <c r="C397" s="12" t="s">
        <v>7226</v>
      </c>
      <c r="D397" s="12" t="s">
        <v>7172</v>
      </c>
      <c r="E397" s="12" t="s">
        <v>2321</v>
      </c>
      <c r="F397" s="12" t="s">
        <v>2322</v>
      </c>
      <c r="G397" s="13" t="s">
        <v>6747</v>
      </c>
      <c r="H397" s="12" t="s">
        <v>205</v>
      </c>
      <c r="I397" s="12"/>
      <c r="J397" s="12"/>
      <c r="K397" s="12"/>
      <c r="L397" s="12"/>
      <c r="M397" s="12" t="s">
        <v>2324</v>
      </c>
      <c r="N397" s="12"/>
      <c r="O397" s="12" t="s">
        <v>2325</v>
      </c>
      <c r="P397" s="12" t="str">
        <f>HYPERLINK("https://ceds.ed.gov/cedselementdetails.aspx?termid=9868")</f>
        <v>https://ceds.ed.gov/cedselementdetails.aspx?termid=9868</v>
      </c>
      <c r="Q397" s="12" t="str">
        <f>HYPERLINK("https://ceds.ed.gov/elementComment.aspx?elementName=Differential Shift Pay Indicator &amp;elementID=9868", "Click here to submit comment")</f>
        <v>Click here to submit comment</v>
      </c>
    </row>
    <row r="398" spans="1:17" ht="30" x14ac:dyDescent="0.25">
      <c r="A398" s="12" t="s">
        <v>7169</v>
      </c>
      <c r="B398" s="12" t="s">
        <v>7210</v>
      </c>
      <c r="C398" s="12" t="s">
        <v>7226</v>
      </c>
      <c r="D398" s="12" t="s">
        <v>7172</v>
      </c>
      <c r="E398" s="12" t="s">
        <v>2560</v>
      </c>
      <c r="F398" s="12" t="s">
        <v>2561</v>
      </c>
      <c r="G398" s="12" t="s">
        <v>12</v>
      </c>
      <c r="H398" s="12" t="s">
        <v>6453</v>
      </c>
      <c r="I398" s="12"/>
      <c r="J398" s="12" t="s">
        <v>2562</v>
      </c>
      <c r="K398" s="12"/>
      <c r="L398" s="12"/>
      <c r="M398" s="12" t="s">
        <v>2563</v>
      </c>
      <c r="N398" s="12"/>
      <c r="O398" s="12" t="s">
        <v>2564</v>
      </c>
      <c r="P398" s="12" t="str">
        <f>HYPERLINK("https://ceds.ed.gov/cedselementdetails.aspx?termid=9824")</f>
        <v>https://ceds.ed.gov/cedselementdetails.aspx?termid=9824</v>
      </c>
      <c r="Q398" s="12" t="str">
        <f>HYPERLINK("https://ceds.ed.gov/elementComment.aspx?elementName=Early Learning Program Annual Operating Weeks &amp;elementID=9824", "Click here to submit comment")</f>
        <v>Click here to submit comment</v>
      </c>
    </row>
    <row r="399" spans="1:17" ht="135" x14ac:dyDescent="0.25">
      <c r="A399" s="12" t="s">
        <v>7169</v>
      </c>
      <c r="B399" s="12" t="s">
        <v>7210</v>
      </c>
      <c r="C399" s="12" t="s">
        <v>7226</v>
      </c>
      <c r="D399" s="12" t="s">
        <v>7172</v>
      </c>
      <c r="E399" s="12" t="s">
        <v>1868</v>
      </c>
      <c r="F399" s="12" t="s">
        <v>1869</v>
      </c>
      <c r="G399" s="13" t="s">
        <v>6822</v>
      </c>
      <c r="H399" s="12"/>
      <c r="I399" s="12"/>
      <c r="J399" s="12"/>
      <c r="K399" s="12"/>
      <c r="L399" s="12"/>
      <c r="M399" s="12" t="s">
        <v>1870</v>
      </c>
      <c r="N399" s="12"/>
      <c r="O399" s="12" t="s">
        <v>1871</v>
      </c>
      <c r="P399" s="12" t="str">
        <f>HYPERLINK("https://ceds.ed.gov/cedselementdetails.aspx?termid=10614")</f>
        <v>https://ceds.ed.gov/cedselementdetails.aspx?termid=10614</v>
      </c>
      <c r="Q399" s="12" t="str">
        <f>HYPERLINK("https://ceds.ed.gov/elementComment.aspx?elementName=Community-based Type &amp;elementID=10614", "Click here to submit comment")</f>
        <v>Click here to submit comment</v>
      </c>
    </row>
    <row r="400" spans="1:17" ht="45" x14ac:dyDescent="0.25">
      <c r="A400" s="12" t="s">
        <v>7169</v>
      </c>
      <c r="B400" s="12" t="s">
        <v>7210</v>
      </c>
      <c r="C400" s="12" t="s">
        <v>7226</v>
      </c>
      <c r="D400" s="12" t="s">
        <v>7172</v>
      </c>
      <c r="E400" s="12" t="s">
        <v>3428</v>
      </c>
      <c r="F400" s="12" t="s">
        <v>3429</v>
      </c>
      <c r="G400" s="12" t="s">
        <v>6364</v>
      </c>
      <c r="H400" s="12"/>
      <c r="I400" s="12"/>
      <c r="J400" s="12"/>
      <c r="K400" s="12"/>
      <c r="L400" s="12"/>
      <c r="M400" s="12" t="s">
        <v>3430</v>
      </c>
      <c r="N400" s="12"/>
      <c r="O400" s="12" t="s">
        <v>3431</v>
      </c>
      <c r="P400" s="12" t="str">
        <f>HYPERLINK("https://ceds.ed.gov/cedselementdetails.aspx?termid=10615")</f>
        <v>https://ceds.ed.gov/cedselementdetails.aspx?termid=10615</v>
      </c>
      <c r="Q400" s="12" t="str">
        <f>HYPERLINK("https://ceds.ed.gov/elementComment.aspx?elementName=Inclusive Setting Indicator &amp;elementID=10615", "Click here to submit comment")</f>
        <v>Click here to submit comment</v>
      </c>
    </row>
    <row r="401" spans="1:17" ht="45" x14ac:dyDescent="0.25">
      <c r="A401" s="12" t="s">
        <v>7169</v>
      </c>
      <c r="B401" s="12" t="s">
        <v>7210</v>
      </c>
      <c r="C401" s="12" t="s">
        <v>7227</v>
      </c>
      <c r="D401" s="12" t="s">
        <v>7172</v>
      </c>
      <c r="E401" s="12" t="s">
        <v>5185</v>
      </c>
      <c r="F401" s="12" t="s">
        <v>5186</v>
      </c>
      <c r="G401" s="12" t="s">
        <v>6364</v>
      </c>
      <c r="H401" s="12" t="s">
        <v>64</v>
      </c>
      <c r="I401" s="12"/>
      <c r="J401" s="12"/>
      <c r="K401" s="12"/>
      <c r="L401" s="12"/>
      <c r="M401" s="12" t="s">
        <v>5187</v>
      </c>
      <c r="N401" s="12"/>
      <c r="O401" s="12" t="s">
        <v>5188</v>
      </c>
      <c r="P401" s="12" t="str">
        <f>HYPERLINK("https://ceds.ed.gov/cedselementdetails.aspx?termid=9853")</f>
        <v>https://ceds.ed.gov/cedselementdetails.aspx?termid=9853</v>
      </c>
      <c r="Q401" s="12" t="str">
        <f>HYPERLINK("https://ceds.ed.gov/elementComment.aspx?elementName=Program Provides Written Handbook &amp;elementID=9853", "Click here to submit comment")</f>
        <v>Click here to submit comment</v>
      </c>
    </row>
    <row r="402" spans="1:17" ht="60" x14ac:dyDescent="0.25">
      <c r="A402" s="12" t="s">
        <v>7169</v>
      </c>
      <c r="B402" s="12" t="s">
        <v>7210</v>
      </c>
      <c r="C402" s="12" t="s">
        <v>7227</v>
      </c>
      <c r="D402" s="12" t="s">
        <v>7172</v>
      </c>
      <c r="E402" s="12" t="s">
        <v>5123</v>
      </c>
      <c r="F402" s="12" t="s">
        <v>5124</v>
      </c>
      <c r="G402" s="12" t="s">
        <v>6364</v>
      </c>
      <c r="H402" s="12" t="s">
        <v>6640</v>
      </c>
      <c r="I402" s="12"/>
      <c r="J402" s="12"/>
      <c r="K402" s="12"/>
      <c r="L402" s="12"/>
      <c r="M402" s="12" t="s">
        <v>5125</v>
      </c>
      <c r="N402" s="12"/>
      <c r="O402" s="12" t="s">
        <v>5126</v>
      </c>
      <c r="P402" s="12" t="str">
        <f>HYPERLINK("https://ceds.ed.gov/cedselementdetails.aspx?termid=9854")</f>
        <v>https://ceds.ed.gov/cedselementdetails.aspx?termid=9854</v>
      </c>
      <c r="Q402" s="12" t="str">
        <f>HYPERLINK("https://ceds.ed.gov/elementComment.aspx?elementName=Program Collects Parental Feedback &amp;elementID=9854", "Click here to submit comment")</f>
        <v>Click here to submit comment</v>
      </c>
    </row>
    <row r="403" spans="1:17" ht="60" x14ac:dyDescent="0.25">
      <c r="A403" s="12" t="s">
        <v>7169</v>
      </c>
      <c r="B403" s="12" t="s">
        <v>7210</v>
      </c>
      <c r="C403" s="12" t="s">
        <v>7227</v>
      </c>
      <c r="D403" s="12" t="s">
        <v>7172</v>
      </c>
      <c r="E403" s="12" t="s">
        <v>5176</v>
      </c>
      <c r="F403" s="12" t="s">
        <v>5177</v>
      </c>
      <c r="G403" s="12" t="s">
        <v>6364</v>
      </c>
      <c r="H403" s="12" t="s">
        <v>64</v>
      </c>
      <c r="I403" s="12"/>
      <c r="J403" s="12"/>
      <c r="K403" s="12"/>
      <c r="L403" s="12"/>
      <c r="M403" s="12" t="s">
        <v>5178</v>
      </c>
      <c r="N403" s="12"/>
      <c r="O403" s="12" t="s">
        <v>5179</v>
      </c>
      <c r="P403" s="12" t="str">
        <f>HYPERLINK("https://ceds.ed.gov/cedselementdetails.aspx?termid=9855")</f>
        <v>https://ceds.ed.gov/cedselementdetails.aspx?termid=9855</v>
      </c>
      <c r="Q403" s="12" t="str">
        <f>HYPERLINK("https://ceds.ed.gov/elementComment.aspx?elementName=Program Provides Parent Involvement Opportunity &amp;elementID=9855", "Click here to submit comment")</f>
        <v>Click here to submit comment</v>
      </c>
    </row>
    <row r="404" spans="1:17" ht="45" x14ac:dyDescent="0.25">
      <c r="A404" s="12" t="s">
        <v>7169</v>
      </c>
      <c r="B404" s="12" t="s">
        <v>7210</v>
      </c>
      <c r="C404" s="12" t="s">
        <v>7227</v>
      </c>
      <c r="D404" s="12" t="s">
        <v>7172</v>
      </c>
      <c r="E404" s="12" t="s">
        <v>5172</v>
      </c>
      <c r="F404" s="12" t="s">
        <v>5173</v>
      </c>
      <c r="G404" s="12" t="s">
        <v>6364</v>
      </c>
      <c r="H404" s="12" t="s">
        <v>64</v>
      </c>
      <c r="I404" s="12"/>
      <c r="J404" s="12"/>
      <c r="K404" s="12"/>
      <c r="L404" s="12"/>
      <c r="M404" s="12" t="s">
        <v>5174</v>
      </c>
      <c r="N404" s="12"/>
      <c r="O404" s="12" t="s">
        <v>5175</v>
      </c>
      <c r="P404" s="12" t="str">
        <f>HYPERLINK("https://ceds.ed.gov/cedselementdetails.aspx?termid=9856")</f>
        <v>https://ceds.ed.gov/cedselementdetails.aspx?termid=9856</v>
      </c>
      <c r="Q404" s="12" t="str">
        <f>HYPERLINK("https://ceds.ed.gov/elementComment.aspx?elementName=Program Provides Parent Education &amp;elementID=9856", "Click here to submit comment")</f>
        <v>Click here to submit comment</v>
      </c>
    </row>
    <row r="405" spans="1:17" ht="150" x14ac:dyDescent="0.25">
      <c r="A405" s="12" t="s">
        <v>7169</v>
      </c>
      <c r="B405" s="12" t="s">
        <v>7210</v>
      </c>
      <c r="C405" s="12" t="s">
        <v>7227</v>
      </c>
      <c r="D405" s="12" t="s">
        <v>7172</v>
      </c>
      <c r="E405" s="12" t="s">
        <v>4745</v>
      </c>
      <c r="F405" s="12" t="s">
        <v>4746</v>
      </c>
      <c r="G405" s="13" t="s">
        <v>7048</v>
      </c>
      <c r="H405" s="12" t="s">
        <v>64</v>
      </c>
      <c r="I405" s="12"/>
      <c r="J405" s="12"/>
      <c r="K405" s="12"/>
      <c r="L405" s="12"/>
      <c r="M405" s="12" t="s">
        <v>4747</v>
      </c>
      <c r="N405" s="12"/>
      <c r="O405" s="12" t="s">
        <v>4748</v>
      </c>
      <c r="P405" s="12" t="str">
        <f>HYPERLINK("https://ceds.ed.gov/cedselementdetails.aspx?termid=9857")</f>
        <v>https://ceds.ed.gov/cedselementdetails.aspx?termid=9857</v>
      </c>
      <c r="Q405" s="12" t="str">
        <f>HYPERLINK("https://ceds.ed.gov/elementComment.aspx?elementName=Parent Communication Method &amp;elementID=9857", "Click here to submit comment")</f>
        <v>Click here to submit comment</v>
      </c>
    </row>
    <row r="406" spans="1:17" ht="45" x14ac:dyDescent="0.25">
      <c r="A406" s="12" t="s">
        <v>7169</v>
      </c>
      <c r="B406" s="12" t="s">
        <v>7210</v>
      </c>
      <c r="C406" s="12" t="s">
        <v>7227</v>
      </c>
      <c r="D406" s="12" t="s">
        <v>7172</v>
      </c>
      <c r="E406" s="12" t="s">
        <v>1422</v>
      </c>
      <c r="F406" s="12" t="s">
        <v>1423</v>
      </c>
      <c r="G406" s="12" t="s">
        <v>6364</v>
      </c>
      <c r="H406" s="12" t="s">
        <v>64</v>
      </c>
      <c r="I406" s="12"/>
      <c r="J406" s="12"/>
      <c r="K406" s="12"/>
      <c r="L406" s="12"/>
      <c r="M406" s="12" t="s">
        <v>1425</v>
      </c>
      <c r="N406" s="12"/>
      <c r="O406" s="12" t="s">
        <v>1426</v>
      </c>
      <c r="P406" s="12" t="str">
        <f>HYPERLINK("https://ceds.ed.gov/cedselementdetails.aspx?termid=9858")</f>
        <v>https://ceds.ed.gov/cedselementdetails.aspx?termid=9858</v>
      </c>
      <c r="Q406" s="12" t="str">
        <f>HYPERLINK("https://ceds.ed.gov/elementComment.aspx?elementName=Assessment Shared With Parents &amp;elementID=9858", "Click here to submit comment")</f>
        <v>Click here to submit comment</v>
      </c>
    </row>
    <row r="407" spans="1:17" ht="409.5" x14ac:dyDescent="0.25">
      <c r="A407" s="12" t="s">
        <v>7169</v>
      </c>
      <c r="B407" s="12" t="s">
        <v>7210</v>
      </c>
      <c r="C407" s="12" t="s">
        <v>7192</v>
      </c>
      <c r="D407" s="12" t="s">
        <v>7172</v>
      </c>
      <c r="E407" s="12" t="s">
        <v>2523</v>
      </c>
      <c r="F407" s="12" t="s">
        <v>2524</v>
      </c>
      <c r="G407" s="13" t="s">
        <v>6882</v>
      </c>
      <c r="H407" s="12"/>
      <c r="I407" s="12"/>
      <c r="J407" s="12"/>
      <c r="K407" s="12"/>
      <c r="L407" s="12"/>
      <c r="M407" s="12" t="s">
        <v>2525</v>
      </c>
      <c r="N407" s="12"/>
      <c r="O407" s="12" t="s">
        <v>2526</v>
      </c>
      <c r="P407" s="12" t="str">
        <f>HYPERLINK("https://ceds.ed.gov/cedselementdetails.aspx?termid=10294")</f>
        <v>https://ceds.ed.gov/cedselementdetails.aspx?termid=10294</v>
      </c>
      <c r="Q407" s="12" t="str">
        <f>HYPERLINK("https://ceds.ed.gov/elementComment.aspx?elementName=Early Learning Federal Funding Type &amp;elementID=10294", "Click here to submit comment")</f>
        <v>Click here to submit comment</v>
      </c>
    </row>
    <row r="408" spans="1:17" ht="120" x14ac:dyDescent="0.25">
      <c r="A408" s="12" t="s">
        <v>7169</v>
      </c>
      <c r="B408" s="12" t="s">
        <v>7210</v>
      </c>
      <c r="C408" s="12" t="s">
        <v>7192</v>
      </c>
      <c r="D408" s="12" t="s">
        <v>7172</v>
      </c>
      <c r="E408" s="12" t="s">
        <v>2543</v>
      </c>
      <c r="F408" s="12" t="s">
        <v>2544</v>
      </c>
      <c r="G408" s="13" t="s">
        <v>6885</v>
      </c>
      <c r="H408" s="12"/>
      <c r="I408" s="12"/>
      <c r="J408" s="12"/>
      <c r="K408" s="12"/>
      <c r="L408" s="12"/>
      <c r="M408" s="12" t="s">
        <v>2545</v>
      </c>
      <c r="N408" s="12"/>
      <c r="O408" s="12" t="s">
        <v>2546</v>
      </c>
      <c r="P408" s="12" t="str">
        <f>HYPERLINK("https://ceds.ed.gov/cedselementdetails.aspx?termid=10302")</f>
        <v>https://ceds.ed.gov/cedselementdetails.aspx?termid=10302</v>
      </c>
      <c r="Q408" s="12" t="str">
        <f>HYPERLINK("https://ceds.ed.gov/elementComment.aspx?elementName=Early Learning Other Federal Funding Sources &amp;elementID=10302", "Click here to submit comment")</f>
        <v>Click here to submit comment</v>
      </c>
    </row>
    <row r="409" spans="1:17" ht="75" x14ac:dyDescent="0.25">
      <c r="A409" s="12" t="s">
        <v>7169</v>
      </c>
      <c r="B409" s="12" t="s">
        <v>7210</v>
      </c>
      <c r="C409" s="12" t="s">
        <v>7192</v>
      </c>
      <c r="D409" s="12" t="s">
        <v>7172</v>
      </c>
      <c r="E409" s="12" t="s">
        <v>2842</v>
      </c>
      <c r="F409" s="12" t="s">
        <v>2843</v>
      </c>
      <c r="G409" s="12" t="s">
        <v>12</v>
      </c>
      <c r="H409" s="12" t="s">
        <v>222</v>
      </c>
      <c r="I409" s="12"/>
      <c r="J409" s="12"/>
      <c r="K409" s="12"/>
      <c r="L409" s="12"/>
      <c r="M409" s="12" t="s">
        <v>2844</v>
      </c>
      <c r="N409" s="12"/>
      <c r="O409" s="12" t="s">
        <v>2845</v>
      </c>
      <c r="P409" s="12" t="str">
        <f>HYPERLINK("https://ceds.ed.gov/cedselementdetails.aspx?termid=9538")</f>
        <v>https://ceds.ed.gov/cedselementdetails.aspx?termid=9538</v>
      </c>
      <c r="Q409" s="12" t="str">
        <f>HYPERLINK("https://ceds.ed.gov/elementComment.aspx?elementName=Federal Program Code &amp;elementID=9538", "Click here to submit comment")</f>
        <v>Click here to submit comment</v>
      </c>
    </row>
    <row r="410" spans="1:17" ht="45" x14ac:dyDescent="0.25">
      <c r="A410" s="12" t="s">
        <v>7169</v>
      </c>
      <c r="B410" s="12" t="s">
        <v>7210</v>
      </c>
      <c r="C410" s="12" t="s">
        <v>7228</v>
      </c>
      <c r="D410" s="12" t="s">
        <v>7172</v>
      </c>
      <c r="E410" s="12" t="s">
        <v>5127</v>
      </c>
      <c r="F410" s="12" t="s">
        <v>5128</v>
      </c>
      <c r="G410" s="12" t="s">
        <v>6364</v>
      </c>
      <c r="H410" s="12" t="s">
        <v>6515</v>
      </c>
      <c r="I410" s="12"/>
      <c r="J410" s="12"/>
      <c r="K410" s="12"/>
      <c r="L410" s="12"/>
      <c r="M410" s="12" t="s">
        <v>5130</v>
      </c>
      <c r="N410" s="12"/>
      <c r="O410" s="12" t="s">
        <v>5131</v>
      </c>
      <c r="P410" s="12" t="str">
        <f>HYPERLINK("https://ceds.ed.gov/cedselementdetails.aspx?termid=9863")</f>
        <v>https://ceds.ed.gov/cedselementdetails.aspx?termid=9863</v>
      </c>
      <c r="Q410" s="12" t="str">
        <f>HYPERLINK("https://ceds.ed.gov/elementComment.aspx?elementName=Program Follows Salary Scale &amp;elementID=9863", "Click here to submit comment")</f>
        <v>Click here to submit comment</v>
      </c>
    </row>
    <row r="411" spans="1:17" ht="45" x14ac:dyDescent="0.25">
      <c r="A411" s="12" t="s">
        <v>7169</v>
      </c>
      <c r="B411" s="12" t="s">
        <v>7210</v>
      </c>
      <c r="C411" s="12" t="s">
        <v>7229</v>
      </c>
      <c r="D411" s="12" t="s">
        <v>7172</v>
      </c>
      <c r="E411" s="12" t="s">
        <v>6082</v>
      </c>
      <c r="F411" s="12" t="s">
        <v>6083</v>
      </c>
      <c r="G411" s="12" t="s">
        <v>6364</v>
      </c>
      <c r="H411" s="12"/>
      <c r="I411" s="12"/>
      <c r="J411" s="12"/>
      <c r="K411" s="12"/>
      <c r="L411" s="12"/>
      <c r="M411" s="12" t="s">
        <v>6084</v>
      </c>
      <c r="N411" s="12"/>
      <c r="O411" s="12" t="s">
        <v>6085</v>
      </c>
      <c r="P411" s="12" t="str">
        <f>HYPERLINK("https://ceds.ed.gov/cedselementdetails.aspx?termid=10465")</f>
        <v>https://ceds.ed.gov/cedselementdetails.aspx?termid=10465</v>
      </c>
      <c r="Q411" s="12" t="str">
        <f>HYPERLINK("https://ceds.ed.gov/elementComment.aspx?elementName=Technical Assistance Approved Indicator &amp;elementID=10465", "Click here to submit comment")</f>
        <v>Click here to submit comment</v>
      </c>
    </row>
    <row r="412" spans="1:17" ht="75" x14ac:dyDescent="0.25">
      <c r="A412" s="12" t="s">
        <v>7169</v>
      </c>
      <c r="B412" s="12" t="s">
        <v>7210</v>
      </c>
      <c r="C412" s="12" t="s">
        <v>7229</v>
      </c>
      <c r="D412" s="12" t="s">
        <v>7172</v>
      </c>
      <c r="E412" s="12" t="s">
        <v>6086</v>
      </c>
      <c r="F412" s="12" t="s">
        <v>6087</v>
      </c>
      <c r="G412" s="13" t="s">
        <v>7071</v>
      </c>
      <c r="H412" s="12"/>
      <c r="I412" s="12"/>
      <c r="J412" s="12"/>
      <c r="K412" s="12"/>
      <c r="L412" s="12"/>
      <c r="M412" s="12" t="s">
        <v>6088</v>
      </c>
      <c r="N412" s="12"/>
      <c r="O412" s="12" t="s">
        <v>6089</v>
      </c>
      <c r="P412" s="12" t="str">
        <f>HYPERLINK("https://ceds.ed.gov/cedselementdetails.aspx?termid=10466")</f>
        <v>https://ceds.ed.gov/cedselementdetails.aspx?termid=10466</v>
      </c>
      <c r="Q412" s="12" t="str">
        <f>HYPERLINK("https://ceds.ed.gov/elementComment.aspx?elementName=Technical Assistance Delivery Type &amp;elementID=10466", "Click here to submit comment")</f>
        <v>Click here to submit comment</v>
      </c>
    </row>
    <row r="413" spans="1:17" ht="375" x14ac:dyDescent="0.25">
      <c r="A413" s="12" t="s">
        <v>7169</v>
      </c>
      <c r="B413" s="12" t="s">
        <v>7210</v>
      </c>
      <c r="C413" s="12" t="s">
        <v>7229</v>
      </c>
      <c r="D413" s="12" t="s">
        <v>7172</v>
      </c>
      <c r="E413" s="12" t="s">
        <v>6090</v>
      </c>
      <c r="F413" s="12" t="s">
        <v>6091</v>
      </c>
      <c r="G413" s="13" t="s">
        <v>7133</v>
      </c>
      <c r="H413" s="12"/>
      <c r="I413" s="12" t="s">
        <v>98</v>
      </c>
      <c r="J413" s="12"/>
      <c r="K413" s="12"/>
      <c r="L413" s="12"/>
      <c r="M413" s="12" t="s">
        <v>6092</v>
      </c>
      <c r="N413" s="12"/>
      <c r="O413" s="12" t="s">
        <v>6093</v>
      </c>
      <c r="P413" s="12" t="str">
        <f>HYPERLINK("https://ceds.ed.gov/cedselementdetails.aspx?termid=10467")</f>
        <v>https://ceds.ed.gov/cedselementdetails.aspx?termid=10467</v>
      </c>
      <c r="Q413" s="12" t="str">
        <f>HYPERLINK("https://ceds.ed.gov/elementComment.aspx?elementName=Technical Assistance Type &amp;elementID=10467", "Click here to submit comment")</f>
        <v>Click here to submit comment</v>
      </c>
    </row>
    <row r="414" spans="1:17" ht="30" x14ac:dyDescent="0.25">
      <c r="A414" s="12" t="s">
        <v>7169</v>
      </c>
      <c r="B414" s="12" t="s">
        <v>7210</v>
      </c>
      <c r="C414" s="12" t="s">
        <v>7230</v>
      </c>
      <c r="D414" s="12" t="s">
        <v>7172</v>
      </c>
      <c r="E414" s="12" t="s">
        <v>5732</v>
      </c>
      <c r="F414" s="12" t="s">
        <v>5733</v>
      </c>
      <c r="G414" s="12" t="s">
        <v>12</v>
      </c>
      <c r="H414" s="12" t="s">
        <v>6464</v>
      </c>
      <c r="I414" s="12"/>
      <c r="J414" s="12" t="s">
        <v>99</v>
      </c>
      <c r="K414" s="12"/>
      <c r="L414" s="12"/>
      <c r="M414" s="12" t="s">
        <v>5735</v>
      </c>
      <c r="N414" s="12"/>
      <c r="O414" s="12" t="s">
        <v>5736</v>
      </c>
      <c r="P414" s="12" t="str">
        <f>HYPERLINK("https://ceds.ed.gov/cedselementdetails.aspx?termid=9625")</f>
        <v>https://ceds.ed.gov/cedselementdetails.aspx?termid=9625</v>
      </c>
      <c r="Q414" s="12" t="str">
        <f>HYPERLINK("https://ceds.ed.gov/elementComment.aspx?elementName=Site Name &amp;elementID=9625", "Click here to submit comment")</f>
        <v>Click here to submit comment</v>
      </c>
    </row>
    <row r="415" spans="1:17" ht="30" x14ac:dyDescent="0.25">
      <c r="A415" s="12" t="s">
        <v>7169</v>
      </c>
      <c r="B415" s="12" t="s">
        <v>7210</v>
      </c>
      <c r="C415" s="12" t="s">
        <v>7231</v>
      </c>
      <c r="D415" s="12" t="s">
        <v>7172</v>
      </c>
      <c r="E415" s="12" t="s">
        <v>5254</v>
      </c>
      <c r="F415" s="12" t="s">
        <v>5255</v>
      </c>
      <c r="G415" s="12" t="s">
        <v>12</v>
      </c>
      <c r="H415" s="12"/>
      <c r="I415" s="12"/>
      <c r="J415" s="12" t="s">
        <v>92</v>
      </c>
      <c r="K415" s="12"/>
      <c r="L415" s="12"/>
      <c r="M415" s="12" t="s">
        <v>5257</v>
      </c>
      <c r="N415" s="12"/>
      <c r="O415" s="12" t="s">
        <v>5258</v>
      </c>
      <c r="P415" s="12" t="str">
        <f>HYPERLINK("https://ceds.ed.gov/cedselementdetails.aspx?termid=10432")</f>
        <v>https://ceds.ed.gov/cedselementdetails.aspx?termid=10432</v>
      </c>
      <c r="Q415" s="12" t="str">
        <f>HYPERLINK("https://ceds.ed.gov/elementComment.aspx?elementName=Quality Initiative Maximum Score &amp;elementID=10432", "Click here to submit comment")</f>
        <v>Click here to submit comment</v>
      </c>
    </row>
    <row r="416" spans="1:17" ht="30" x14ac:dyDescent="0.25">
      <c r="A416" s="12" t="s">
        <v>7169</v>
      </c>
      <c r="B416" s="12" t="s">
        <v>7210</v>
      </c>
      <c r="C416" s="12" t="s">
        <v>7231</v>
      </c>
      <c r="D416" s="12" t="s">
        <v>7172</v>
      </c>
      <c r="E416" s="12" t="s">
        <v>5259</v>
      </c>
      <c r="F416" s="12" t="s">
        <v>5260</v>
      </c>
      <c r="G416" s="12" t="s">
        <v>12</v>
      </c>
      <c r="H416" s="12"/>
      <c r="I416" s="12"/>
      <c r="J416" s="12" t="s">
        <v>92</v>
      </c>
      <c r="K416" s="12"/>
      <c r="L416" s="12"/>
      <c r="M416" s="12" t="s">
        <v>5261</v>
      </c>
      <c r="N416" s="12"/>
      <c r="O416" s="12" t="s">
        <v>5262</v>
      </c>
      <c r="P416" s="12" t="str">
        <f>HYPERLINK("https://ceds.ed.gov/cedselementdetails.aspx?termid=10433")</f>
        <v>https://ceds.ed.gov/cedselementdetails.aspx?termid=10433</v>
      </c>
      <c r="Q416" s="12" t="str">
        <f>HYPERLINK("https://ceds.ed.gov/elementComment.aspx?elementName=Quality Initiative Minimum Score &amp;elementID=10433", "Click here to submit comment")</f>
        <v>Click here to submit comment</v>
      </c>
    </row>
    <row r="417" spans="1:17" ht="30" x14ac:dyDescent="0.25">
      <c r="A417" s="12" t="s">
        <v>7169</v>
      </c>
      <c r="B417" s="12" t="s">
        <v>7210</v>
      </c>
      <c r="C417" s="12" t="s">
        <v>7231</v>
      </c>
      <c r="D417" s="12" t="s">
        <v>7172</v>
      </c>
      <c r="E417" s="12" t="s">
        <v>5263</v>
      </c>
      <c r="F417" s="12" t="s">
        <v>5264</v>
      </c>
      <c r="G417" s="12" t="s">
        <v>12</v>
      </c>
      <c r="H417" s="12"/>
      <c r="I417" s="12"/>
      <c r="J417" s="12" t="s">
        <v>73</v>
      </c>
      <c r="K417" s="12"/>
      <c r="L417" s="12"/>
      <c r="M417" s="12" t="s">
        <v>5265</v>
      </c>
      <c r="N417" s="12"/>
      <c r="O417" s="12" t="s">
        <v>5266</v>
      </c>
      <c r="P417" s="12" t="str">
        <f>HYPERLINK("https://ceds.ed.gov/cedselementdetails.aspx?termid=10436")</f>
        <v>https://ceds.ed.gov/cedselementdetails.aspx?termid=10436</v>
      </c>
      <c r="Q417" s="12" t="str">
        <f>HYPERLINK("https://ceds.ed.gov/elementComment.aspx?elementName=Quality Initiative Participation End Date &amp;elementID=10436", "Click here to submit comment")</f>
        <v>Click here to submit comment</v>
      </c>
    </row>
    <row r="418" spans="1:17" ht="45" x14ac:dyDescent="0.25">
      <c r="A418" s="12" t="s">
        <v>7169</v>
      </c>
      <c r="B418" s="12" t="s">
        <v>7210</v>
      </c>
      <c r="C418" s="12" t="s">
        <v>7231</v>
      </c>
      <c r="D418" s="12" t="s">
        <v>7172</v>
      </c>
      <c r="E418" s="12" t="s">
        <v>5267</v>
      </c>
      <c r="F418" s="12" t="s">
        <v>5268</v>
      </c>
      <c r="G418" s="12" t="s">
        <v>6364</v>
      </c>
      <c r="H418" s="12"/>
      <c r="I418" s="12"/>
      <c r="J418" s="12"/>
      <c r="K418" s="12"/>
      <c r="L418" s="12"/>
      <c r="M418" s="12" t="s">
        <v>5269</v>
      </c>
      <c r="N418" s="12"/>
      <c r="O418" s="12" t="s">
        <v>5270</v>
      </c>
      <c r="P418" s="12" t="str">
        <f>HYPERLINK("https://ceds.ed.gov/cedselementdetails.aspx?termid=10435")</f>
        <v>https://ceds.ed.gov/cedselementdetails.aspx?termid=10435</v>
      </c>
      <c r="Q418" s="12" t="str">
        <f>HYPERLINK("https://ceds.ed.gov/elementComment.aspx?elementName=Quality Initiative Participation Indicator &amp;elementID=10435", "Click here to submit comment")</f>
        <v>Click here to submit comment</v>
      </c>
    </row>
    <row r="419" spans="1:17" ht="30" x14ac:dyDescent="0.25">
      <c r="A419" s="12" t="s">
        <v>7169</v>
      </c>
      <c r="B419" s="12" t="s">
        <v>7210</v>
      </c>
      <c r="C419" s="12" t="s">
        <v>7231</v>
      </c>
      <c r="D419" s="12" t="s">
        <v>7172</v>
      </c>
      <c r="E419" s="12" t="s">
        <v>5271</v>
      </c>
      <c r="F419" s="12" t="s">
        <v>5272</v>
      </c>
      <c r="G419" s="12" t="s">
        <v>12</v>
      </c>
      <c r="H419" s="12"/>
      <c r="I419" s="12"/>
      <c r="J419" s="12" t="s">
        <v>73</v>
      </c>
      <c r="K419" s="12"/>
      <c r="L419" s="12"/>
      <c r="M419" s="12" t="s">
        <v>5273</v>
      </c>
      <c r="N419" s="12"/>
      <c r="O419" s="12" t="s">
        <v>5274</v>
      </c>
      <c r="P419" s="12" t="str">
        <f>HYPERLINK("https://ceds.ed.gov/cedselementdetails.aspx?termid=10437")</f>
        <v>https://ceds.ed.gov/cedselementdetails.aspx?termid=10437</v>
      </c>
      <c r="Q419" s="12" t="str">
        <f>HYPERLINK("https://ceds.ed.gov/elementComment.aspx?elementName=Quality Initiative Participation Start Date &amp;elementID=10437", "Click here to submit comment")</f>
        <v>Click here to submit comment</v>
      </c>
    </row>
    <row r="420" spans="1:17" ht="60" x14ac:dyDescent="0.25">
      <c r="A420" s="12" t="s">
        <v>7169</v>
      </c>
      <c r="B420" s="12" t="s">
        <v>7210</v>
      </c>
      <c r="C420" s="12" t="s">
        <v>7231</v>
      </c>
      <c r="D420" s="12" t="s">
        <v>7172</v>
      </c>
      <c r="E420" s="12" t="s">
        <v>5275</v>
      </c>
      <c r="F420" s="12" t="s">
        <v>5276</v>
      </c>
      <c r="G420" s="12" t="s">
        <v>12</v>
      </c>
      <c r="H420" s="12"/>
      <c r="I420" s="12"/>
      <c r="J420" s="12" t="s">
        <v>92</v>
      </c>
      <c r="K420" s="12"/>
      <c r="L420" s="12"/>
      <c r="M420" s="12" t="s">
        <v>5277</v>
      </c>
      <c r="N420" s="12"/>
      <c r="O420" s="12" t="s">
        <v>5278</v>
      </c>
      <c r="P420" s="12" t="str">
        <f>HYPERLINK("https://ceds.ed.gov/cedselementdetails.aspx?termid=10434")</f>
        <v>https://ceds.ed.gov/cedselementdetails.aspx?termid=10434</v>
      </c>
      <c r="Q420" s="12" t="str">
        <f>HYPERLINK("https://ceds.ed.gov/elementComment.aspx?elementName=Quality Initiative Score Level &amp;elementID=10434", "Click here to submit comment")</f>
        <v>Click here to submit comment</v>
      </c>
    </row>
    <row r="421" spans="1:17" ht="75" x14ac:dyDescent="0.25">
      <c r="A421" s="12" t="s">
        <v>7169</v>
      </c>
      <c r="B421" s="12" t="s">
        <v>7210</v>
      </c>
      <c r="C421" s="12" t="s">
        <v>7232</v>
      </c>
      <c r="D421" s="12" t="s">
        <v>7172</v>
      </c>
      <c r="E421" s="12" t="s">
        <v>5663</v>
      </c>
      <c r="F421" s="12" t="s">
        <v>5664</v>
      </c>
      <c r="G421" s="12" t="s">
        <v>12</v>
      </c>
      <c r="H421" s="12"/>
      <c r="I421" s="12"/>
      <c r="J421" s="12" t="s">
        <v>794</v>
      </c>
      <c r="K421" s="12"/>
      <c r="L421" s="12"/>
      <c r="M421" s="12" t="s">
        <v>5665</v>
      </c>
      <c r="N421" s="12"/>
      <c r="O421" s="12" t="s">
        <v>5666</v>
      </c>
      <c r="P421" s="12" t="str">
        <f>HYPERLINK("https://ceds.ed.gov/cedselementdetails.aspx?termid=10606")</f>
        <v>https://ceds.ed.gov/cedselementdetails.aspx?termid=10606</v>
      </c>
      <c r="Q421" s="12" t="str">
        <f>HYPERLINK("https://ceds.ed.gov/elementComment.aspx?elementName=Service Partner Name &amp;elementID=10606", "Click here to submit comment")</f>
        <v>Click here to submit comment</v>
      </c>
    </row>
    <row r="422" spans="1:17" ht="30" x14ac:dyDescent="0.25">
      <c r="A422" s="12" t="s">
        <v>7169</v>
      </c>
      <c r="B422" s="12" t="s">
        <v>7210</v>
      </c>
      <c r="C422" s="12" t="s">
        <v>7232</v>
      </c>
      <c r="D422" s="12" t="s">
        <v>7172</v>
      </c>
      <c r="E422" s="12" t="s">
        <v>5659</v>
      </c>
      <c r="F422" s="12" t="s">
        <v>5660</v>
      </c>
      <c r="G422" s="12" t="s">
        <v>12</v>
      </c>
      <c r="H422" s="12"/>
      <c r="I422" s="12"/>
      <c r="J422" s="12" t="s">
        <v>68</v>
      </c>
      <c r="K422" s="12"/>
      <c r="L422" s="12"/>
      <c r="M422" s="12" t="s">
        <v>5661</v>
      </c>
      <c r="N422" s="12"/>
      <c r="O422" s="12" t="s">
        <v>5662</v>
      </c>
      <c r="P422" s="12" t="str">
        <f>HYPERLINK("https://ceds.ed.gov/cedselementdetails.aspx?termid=10603")</f>
        <v>https://ceds.ed.gov/cedselementdetails.aspx?termid=10603</v>
      </c>
      <c r="Q422" s="12" t="str">
        <f>HYPERLINK("https://ceds.ed.gov/elementComment.aspx?elementName=Service Partner Description &amp;elementID=10603", "Click here to submit comment")</f>
        <v>Click here to submit comment</v>
      </c>
    </row>
    <row r="423" spans="1:17" ht="60" x14ac:dyDescent="0.25">
      <c r="A423" s="12" t="s">
        <v>7169</v>
      </c>
      <c r="B423" s="12" t="s">
        <v>7210</v>
      </c>
      <c r="C423" s="12" t="s">
        <v>7232</v>
      </c>
      <c r="D423" s="12" t="s">
        <v>7172</v>
      </c>
      <c r="E423" s="12" t="s">
        <v>4388</v>
      </c>
      <c r="F423" s="12" t="s">
        <v>4389</v>
      </c>
      <c r="G423" s="12" t="s">
        <v>12</v>
      </c>
      <c r="H423" s="12"/>
      <c r="I423" s="12"/>
      <c r="J423" s="12" t="s">
        <v>73</v>
      </c>
      <c r="K423" s="12"/>
      <c r="L423" s="12"/>
      <c r="M423" s="12" t="s">
        <v>4391</v>
      </c>
      <c r="N423" s="12"/>
      <c r="O423" s="12" t="s">
        <v>4392</v>
      </c>
      <c r="P423" s="12" t="str">
        <f>HYPERLINK("https://ceds.ed.gov/cedselementdetails.aspx?termid=10593")</f>
        <v>https://ceds.ed.gov/cedselementdetails.aspx?termid=10593</v>
      </c>
      <c r="Q423" s="12" t="str">
        <f>HYPERLINK("https://ceds.ed.gov/elementComment.aspx?elementName=Memorandum of Understanding End Date &amp;elementID=10593", "Click here to submit comment")</f>
        <v>Click here to submit comment</v>
      </c>
    </row>
    <row r="424" spans="1:17" ht="60" x14ac:dyDescent="0.25">
      <c r="A424" s="12" t="s">
        <v>7169</v>
      </c>
      <c r="B424" s="12" t="s">
        <v>7210</v>
      </c>
      <c r="C424" s="12" t="s">
        <v>7232</v>
      </c>
      <c r="D424" s="12" t="s">
        <v>7172</v>
      </c>
      <c r="E424" s="12" t="s">
        <v>4393</v>
      </c>
      <c r="F424" s="12" t="s">
        <v>4394</v>
      </c>
      <c r="G424" s="12" t="s">
        <v>12</v>
      </c>
      <c r="H424" s="12"/>
      <c r="I424" s="12"/>
      <c r="J424" s="12" t="s">
        <v>73</v>
      </c>
      <c r="K424" s="12"/>
      <c r="L424" s="12"/>
      <c r="M424" s="12" t="s">
        <v>4395</v>
      </c>
      <c r="N424" s="12"/>
      <c r="O424" s="12" t="s">
        <v>4396</v>
      </c>
      <c r="P424" s="12" t="str">
        <f>HYPERLINK("https://ceds.ed.gov/cedselementdetails.aspx?termid=10594")</f>
        <v>https://ceds.ed.gov/cedselementdetails.aspx?termid=10594</v>
      </c>
      <c r="Q424" s="12" t="str">
        <f>HYPERLINK("https://ceds.ed.gov/elementComment.aspx?elementName=Memorandum of Understanding Start Date &amp;elementID=10594", "Click here to submit comment")</f>
        <v>Click here to submit comment</v>
      </c>
    </row>
    <row r="425" spans="1:17" ht="195" x14ac:dyDescent="0.25">
      <c r="A425" s="12" t="s">
        <v>7169</v>
      </c>
      <c r="B425" s="12" t="s">
        <v>7233</v>
      </c>
      <c r="C425" s="12" t="s">
        <v>7171</v>
      </c>
      <c r="D425" s="12" t="s">
        <v>7172</v>
      </c>
      <c r="E425" s="12" t="s">
        <v>3017</v>
      </c>
      <c r="F425" s="12" t="s">
        <v>3018</v>
      </c>
      <c r="G425" s="12" t="s">
        <v>12</v>
      </c>
      <c r="H425" s="12" t="s">
        <v>6540</v>
      </c>
      <c r="I425" s="12"/>
      <c r="J425" s="12" t="s">
        <v>1349</v>
      </c>
      <c r="K425" s="12"/>
      <c r="L425" s="12" t="s">
        <v>3019</v>
      </c>
      <c r="M425" s="12" t="s">
        <v>3020</v>
      </c>
      <c r="N425" s="12"/>
      <c r="O425" s="12" t="s">
        <v>3021</v>
      </c>
      <c r="P425" s="12" t="str">
        <f>HYPERLINK("https://ceds.ed.gov/cedselementdetails.aspx?termid=9115")</f>
        <v>https://ceds.ed.gov/cedselementdetails.aspx?termid=9115</v>
      </c>
      <c r="Q425" s="12" t="str">
        <f>HYPERLINK("https://ceds.ed.gov/elementComment.aspx?elementName=First Name &amp;elementID=9115", "Click here to submit comment")</f>
        <v>Click here to submit comment</v>
      </c>
    </row>
    <row r="426" spans="1:17" x14ac:dyDescent="0.25">
      <c r="A426" s="18" t="s">
        <v>7169</v>
      </c>
      <c r="B426" s="18" t="s">
        <v>7233</v>
      </c>
      <c r="C426" s="18" t="s">
        <v>7171</v>
      </c>
      <c r="D426" s="18" t="s">
        <v>7172</v>
      </c>
      <c r="E426" s="18" t="s">
        <v>4405</v>
      </c>
      <c r="F426" s="18" t="s">
        <v>4406</v>
      </c>
      <c r="G426" s="18" t="s">
        <v>12</v>
      </c>
      <c r="H426" s="18" t="s">
        <v>6540</v>
      </c>
      <c r="I426" s="18"/>
      <c r="J426" s="18" t="s">
        <v>1349</v>
      </c>
      <c r="K426" s="18"/>
      <c r="L426" s="12" t="s">
        <v>3078</v>
      </c>
      <c r="M426" s="18" t="s">
        <v>4407</v>
      </c>
      <c r="N426" s="18"/>
      <c r="O426" s="18" t="s">
        <v>4408</v>
      </c>
      <c r="P426" s="18" t="str">
        <f>HYPERLINK("https://ceds.ed.gov/cedselementdetails.aspx?termid=9184")</f>
        <v>https://ceds.ed.gov/cedselementdetails.aspx?termid=9184</v>
      </c>
      <c r="Q426" s="18" t="str">
        <f>HYPERLINK("https://ceds.ed.gov/elementComment.aspx?elementName=Middle Name &amp;elementID=9184", "Click here to submit comment")</f>
        <v>Click here to submit comment</v>
      </c>
    </row>
    <row r="427" spans="1:17" ht="90" x14ac:dyDescent="0.25">
      <c r="A427" s="18"/>
      <c r="B427" s="18"/>
      <c r="C427" s="18"/>
      <c r="D427" s="18"/>
      <c r="E427" s="18"/>
      <c r="F427" s="18"/>
      <c r="G427" s="18"/>
      <c r="H427" s="18"/>
      <c r="I427" s="18"/>
      <c r="J427" s="18"/>
      <c r="K427" s="18"/>
      <c r="L427" s="12" t="s">
        <v>3079</v>
      </c>
      <c r="M427" s="18"/>
      <c r="N427" s="18"/>
      <c r="O427" s="18"/>
      <c r="P427" s="18"/>
      <c r="Q427" s="18"/>
    </row>
    <row r="428" spans="1:17" x14ac:dyDescent="0.25">
      <c r="A428" s="18" t="s">
        <v>7169</v>
      </c>
      <c r="B428" s="18" t="s">
        <v>7233</v>
      </c>
      <c r="C428" s="18" t="s">
        <v>7171</v>
      </c>
      <c r="D428" s="18" t="s">
        <v>7172</v>
      </c>
      <c r="E428" s="18" t="s">
        <v>3684</v>
      </c>
      <c r="F428" s="18" t="s">
        <v>3685</v>
      </c>
      <c r="G428" s="18" t="s">
        <v>12</v>
      </c>
      <c r="H428" s="18" t="s">
        <v>6540</v>
      </c>
      <c r="I428" s="18"/>
      <c r="J428" s="18" t="s">
        <v>1349</v>
      </c>
      <c r="K428" s="18"/>
      <c r="L428" s="12" t="s">
        <v>3078</v>
      </c>
      <c r="M428" s="18" t="s">
        <v>3686</v>
      </c>
      <c r="N428" s="18" t="s">
        <v>3687</v>
      </c>
      <c r="O428" s="18" t="s">
        <v>3688</v>
      </c>
      <c r="P428" s="18" t="str">
        <f>HYPERLINK("https://ceds.ed.gov/cedselementdetails.aspx?termid=9172")</f>
        <v>https://ceds.ed.gov/cedselementdetails.aspx?termid=9172</v>
      </c>
      <c r="Q428" s="18" t="str">
        <f>HYPERLINK("https://ceds.ed.gov/elementComment.aspx?elementName=Last or Surname &amp;elementID=9172", "Click here to submit comment")</f>
        <v>Click here to submit comment</v>
      </c>
    </row>
    <row r="429" spans="1:17" ht="90" x14ac:dyDescent="0.25">
      <c r="A429" s="18"/>
      <c r="B429" s="18"/>
      <c r="C429" s="18"/>
      <c r="D429" s="18"/>
      <c r="E429" s="18"/>
      <c r="F429" s="18"/>
      <c r="G429" s="18"/>
      <c r="H429" s="18"/>
      <c r="I429" s="18"/>
      <c r="J429" s="18"/>
      <c r="K429" s="18"/>
      <c r="L429" s="12" t="s">
        <v>3079</v>
      </c>
      <c r="M429" s="18"/>
      <c r="N429" s="18"/>
      <c r="O429" s="18"/>
      <c r="P429" s="18"/>
      <c r="Q429" s="18"/>
    </row>
    <row r="430" spans="1:17" x14ac:dyDescent="0.25">
      <c r="A430" s="18" t="s">
        <v>7169</v>
      </c>
      <c r="B430" s="18" t="s">
        <v>7233</v>
      </c>
      <c r="C430" s="18" t="s">
        <v>7171</v>
      </c>
      <c r="D430" s="18" t="s">
        <v>7172</v>
      </c>
      <c r="E430" s="18" t="s">
        <v>3076</v>
      </c>
      <c r="F430" s="18" t="s">
        <v>3077</v>
      </c>
      <c r="G430" s="18" t="s">
        <v>12</v>
      </c>
      <c r="H430" s="18" t="s">
        <v>6543</v>
      </c>
      <c r="I430" s="18"/>
      <c r="J430" s="18" t="s">
        <v>2143</v>
      </c>
      <c r="K430" s="18"/>
      <c r="L430" s="12" t="s">
        <v>3078</v>
      </c>
      <c r="M430" s="18" t="s">
        <v>3080</v>
      </c>
      <c r="N430" s="18"/>
      <c r="O430" s="18" t="s">
        <v>3081</v>
      </c>
      <c r="P430" s="18" t="str">
        <f>HYPERLINK("https://ceds.ed.gov/cedselementdetails.aspx?termid=9121")</f>
        <v>https://ceds.ed.gov/cedselementdetails.aspx?termid=9121</v>
      </c>
      <c r="Q430" s="18" t="str">
        <f>HYPERLINK("https://ceds.ed.gov/elementComment.aspx?elementName=Generation Code or Suffix &amp;elementID=9121", "Click here to submit comment")</f>
        <v>Click here to submit comment</v>
      </c>
    </row>
    <row r="431" spans="1:17" ht="90" x14ac:dyDescent="0.25">
      <c r="A431" s="18"/>
      <c r="B431" s="18"/>
      <c r="C431" s="18"/>
      <c r="D431" s="18"/>
      <c r="E431" s="18"/>
      <c r="F431" s="18"/>
      <c r="G431" s="18"/>
      <c r="H431" s="18"/>
      <c r="I431" s="18"/>
      <c r="J431" s="18"/>
      <c r="K431" s="18"/>
      <c r="L431" s="12" t="s">
        <v>3079</v>
      </c>
      <c r="M431" s="18"/>
      <c r="N431" s="18"/>
      <c r="O431" s="18"/>
      <c r="P431" s="18"/>
      <c r="Q431" s="18"/>
    </row>
    <row r="432" spans="1:17" ht="105" x14ac:dyDescent="0.25">
      <c r="A432" s="12" t="s">
        <v>7169</v>
      </c>
      <c r="B432" s="12" t="s">
        <v>7233</v>
      </c>
      <c r="C432" s="12" t="s">
        <v>7171</v>
      </c>
      <c r="D432" s="12" t="s">
        <v>7172</v>
      </c>
      <c r="E432" s="12" t="s">
        <v>4835</v>
      </c>
      <c r="F432" s="12" t="s">
        <v>4836</v>
      </c>
      <c r="G432" s="12" t="s">
        <v>12</v>
      </c>
      <c r="H432" s="12" t="s">
        <v>6627</v>
      </c>
      <c r="I432" s="12"/>
      <c r="J432" s="12" t="s">
        <v>92</v>
      </c>
      <c r="K432" s="12"/>
      <c r="L432" s="12"/>
      <c r="M432" s="12" t="s">
        <v>4837</v>
      </c>
      <c r="N432" s="12" t="s">
        <v>4838</v>
      </c>
      <c r="O432" s="12" t="s">
        <v>4839</v>
      </c>
      <c r="P432" s="12" t="str">
        <f>HYPERLINK("https://ceds.ed.gov/cedselementdetails.aspx?termid=9212")</f>
        <v>https://ceds.ed.gov/cedselementdetails.aspx?termid=9212</v>
      </c>
      <c r="Q432" s="12" t="str">
        <f>HYPERLINK("https://ceds.ed.gov/elementComment.aspx?elementName=Personal Title or Prefix &amp;elementID=9212", "Click here to submit comment")</f>
        <v>Click here to submit comment</v>
      </c>
    </row>
    <row r="433" spans="1:17" ht="165" x14ac:dyDescent="0.25">
      <c r="A433" s="12" t="s">
        <v>7169</v>
      </c>
      <c r="B433" s="12" t="s">
        <v>7233</v>
      </c>
      <c r="C433" s="12" t="s">
        <v>7173</v>
      </c>
      <c r="D433" s="12" t="s">
        <v>7172</v>
      </c>
      <c r="E433" s="12" t="s">
        <v>4724</v>
      </c>
      <c r="F433" s="12" t="s">
        <v>4725</v>
      </c>
      <c r="G433" s="13" t="s">
        <v>7046</v>
      </c>
      <c r="H433" s="12" t="s">
        <v>6619</v>
      </c>
      <c r="I433" s="12"/>
      <c r="J433" s="12" t="s">
        <v>92</v>
      </c>
      <c r="K433" s="12"/>
      <c r="L433" s="12"/>
      <c r="M433" s="12" t="s">
        <v>4726</v>
      </c>
      <c r="N433" s="12"/>
      <c r="O433" s="12" t="s">
        <v>4727</v>
      </c>
      <c r="P433" s="12" t="str">
        <f>HYPERLINK("https://ceds.ed.gov/cedselementdetails.aspx?termid=9627")</f>
        <v>https://ceds.ed.gov/cedselementdetails.aspx?termid=9627</v>
      </c>
      <c r="Q433" s="12" t="str">
        <f>HYPERLINK("https://ceds.ed.gov/elementComment.aspx?elementName=Other Name Type &amp;elementID=9627", "Click here to submit comment")</f>
        <v>Click here to submit comment</v>
      </c>
    </row>
    <row r="434" spans="1:17" ht="30" x14ac:dyDescent="0.25">
      <c r="A434" s="12" t="s">
        <v>7169</v>
      </c>
      <c r="B434" s="12" t="s">
        <v>7233</v>
      </c>
      <c r="C434" s="12" t="s">
        <v>7173</v>
      </c>
      <c r="D434" s="12" t="s">
        <v>7172</v>
      </c>
      <c r="E434" s="12" t="s">
        <v>4705</v>
      </c>
      <c r="F434" s="12" t="s">
        <v>4706</v>
      </c>
      <c r="G434" s="12" t="s">
        <v>12</v>
      </c>
      <c r="H434" s="12"/>
      <c r="I434" s="12"/>
      <c r="J434" s="12" t="s">
        <v>1349</v>
      </c>
      <c r="K434" s="12"/>
      <c r="L434" s="12" t="s">
        <v>4707</v>
      </c>
      <c r="M434" s="12" t="s">
        <v>4708</v>
      </c>
      <c r="N434" s="12"/>
      <c r="O434" s="12" t="s">
        <v>4709</v>
      </c>
      <c r="P434" s="12" t="str">
        <f>HYPERLINK("https://ceds.ed.gov/cedselementdetails.aspx?termid=10486")</f>
        <v>https://ceds.ed.gov/cedselementdetails.aspx?termid=10486</v>
      </c>
      <c r="Q434" s="12" t="str">
        <f>HYPERLINK("https://ceds.ed.gov/elementComment.aspx?elementName=Other First Name &amp;elementID=10486", "Click here to submit comment")</f>
        <v>Click here to submit comment</v>
      </c>
    </row>
    <row r="435" spans="1:17" ht="30" x14ac:dyDescent="0.25">
      <c r="A435" s="12" t="s">
        <v>7169</v>
      </c>
      <c r="B435" s="12" t="s">
        <v>7233</v>
      </c>
      <c r="C435" s="12" t="s">
        <v>7173</v>
      </c>
      <c r="D435" s="12" t="s">
        <v>7172</v>
      </c>
      <c r="E435" s="12" t="s">
        <v>4710</v>
      </c>
      <c r="F435" s="12" t="s">
        <v>4711</v>
      </c>
      <c r="G435" s="12" t="s">
        <v>12</v>
      </c>
      <c r="H435" s="12"/>
      <c r="I435" s="12"/>
      <c r="J435" s="12" t="s">
        <v>1349</v>
      </c>
      <c r="K435" s="12"/>
      <c r="L435" s="12" t="s">
        <v>4712</v>
      </c>
      <c r="M435" s="12" t="s">
        <v>4713</v>
      </c>
      <c r="N435" s="12"/>
      <c r="O435" s="12" t="s">
        <v>4714</v>
      </c>
      <c r="P435" s="12" t="str">
        <f>HYPERLINK("https://ceds.ed.gov/cedselementdetails.aspx?termid=10485")</f>
        <v>https://ceds.ed.gov/cedselementdetails.aspx?termid=10485</v>
      </c>
      <c r="Q435" s="12" t="str">
        <f>HYPERLINK("https://ceds.ed.gov/elementComment.aspx?elementName=Other Last Name &amp;elementID=10485", "Click here to submit comment")</f>
        <v>Click here to submit comment</v>
      </c>
    </row>
    <row r="436" spans="1:17" ht="30" x14ac:dyDescent="0.25">
      <c r="A436" s="12" t="s">
        <v>7169</v>
      </c>
      <c r="B436" s="12" t="s">
        <v>7233</v>
      </c>
      <c r="C436" s="12" t="s">
        <v>7173</v>
      </c>
      <c r="D436" s="12" t="s">
        <v>7172</v>
      </c>
      <c r="E436" s="12" t="s">
        <v>4715</v>
      </c>
      <c r="F436" s="12" t="s">
        <v>4716</v>
      </c>
      <c r="G436" s="12" t="s">
        <v>12</v>
      </c>
      <c r="H436" s="12"/>
      <c r="I436" s="12"/>
      <c r="J436" s="12" t="s">
        <v>1349</v>
      </c>
      <c r="K436" s="12"/>
      <c r="L436" s="12" t="s">
        <v>4717</v>
      </c>
      <c r="M436" s="12" t="s">
        <v>4718</v>
      </c>
      <c r="N436" s="12"/>
      <c r="O436" s="12" t="s">
        <v>4719</v>
      </c>
      <c r="P436" s="12" t="str">
        <f>HYPERLINK("https://ceds.ed.gov/cedselementdetails.aspx?termid=10487")</f>
        <v>https://ceds.ed.gov/cedselementdetails.aspx?termid=10487</v>
      </c>
      <c r="Q436" s="12" t="str">
        <f>HYPERLINK("https://ceds.ed.gov/elementComment.aspx?elementName=Other Middle Name &amp;elementID=10487", "Click here to submit comment")</f>
        <v>Click here to submit comment</v>
      </c>
    </row>
    <row r="437" spans="1:17" ht="150" x14ac:dyDescent="0.25">
      <c r="A437" s="12" t="s">
        <v>7169</v>
      </c>
      <c r="B437" s="12" t="s">
        <v>7233</v>
      </c>
      <c r="C437" s="12" t="s">
        <v>7173</v>
      </c>
      <c r="D437" s="12" t="s">
        <v>7172</v>
      </c>
      <c r="E437" s="12" t="s">
        <v>4720</v>
      </c>
      <c r="F437" s="12" t="s">
        <v>4721</v>
      </c>
      <c r="G437" s="12" t="s">
        <v>12</v>
      </c>
      <c r="H437" s="12" t="s">
        <v>6543</v>
      </c>
      <c r="I437" s="12"/>
      <c r="J437" s="12" t="s">
        <v>142</v>
      </c>
      <c r="K437" s="12"/>
      <c r="L437" s="12"/>
      <c r="M437" s="12" t="s">
        <v>4722</v>
      </c>
      <c r="N437" s="12"/>
      <c r="O437" s="12" t="s">
        <v>4723</v>
      </c>
      <c r="P437" s="12" t="str">
        <f>HYPERLINK("https://ceds.ed.gov/cedselementdetails.aspx?termid=9206")</f>
        <v>https://ceds.ed.gov/cedselementdetails.aspx?termid=9206</v>
      </c>
      <c r="Q437" s="12" t="str">
        <f>HYPERLINK("https://ceds.ed.gov/elementComment.aspx?elementName=Other Name &amp;elementID=9206", "Click here to submit comment")</f>
        <v>Click here to submit comment</v>
      </c>
    </row>
    <row r="438" spans="1:17" ht="345" x14ac:dyDescent="0.25">
      <c r="A438" s="12" t="s">
        <v>7169</v>
      </c>
      <c r="B438" s="12" t="s">
        <v>7233</v>
      </c>
      <c r="C438" s="12" t="s">
        <v>7174</v>
      </c>
      <c r="D438" s="12" t="s">
        <v>7176</v>
      </c>
      <c r="E438" s="12" t="s">
        <v>5868</v>
      </c>
      <c r="F438" s="12" t="s">
        <v>5869</v>
      </c>
      <c r="G438" s="13" t="s">
        <v>7118</v>
      </c>
      <c r="H438" s="12" t="s">
        <v>6675</v>
      </c>
      <c r="I438" s="12"/>
      <c r="J438" s="12"/>
      <c r="K438" s="12"/>
      <c r="L438" s="12"/>
      <c r="M438" s="12" t="s">
        <v>5870</v>
      </c>
      <c r="N438" s="12"/>
      <c r="O438" s="12" t="s">
        <v>5871</v>
      </c>
      <c r="P438" s="12" t="str">
        <f>HYPERLINK("https://ceds.ed.gov/cedselementdetails.aspx?termid=9162")</f>
        <v>https://ceds.ed.gov/cedselementdetails.aspx?termid=9162</v>
      </c>
      <c r="Q438" s="12" t="str">
        <f>HYPERLINK("https://ceds.ed.gov/elementComment.aspx?elementName=Staff Member Identification System &amp;elementID=9162", "Click here to submit comment")</f>
        <v>Click here to submit comment</v>
      </c>
    </row>
    <row r="439" spans="1:17" ht="105" x14ac:dyDescent="0.25">
      <c r="A439" s="18" t="s">
        <v>7169</v>
      </c>
      <c r="B439" s="18" t="s">
        <v>7233</v>
      </c>
      <c r="C439" s="18" t="s">
        <v>7174</v>
      </c>
      <c r="D439" s="18" t="s">
        <v>7176</v>
      </c>
      <c r="E439" s="18" t="s">
        <v>5872</v>
      </c>
      <c r="F439" s="18" t="s">
        <v>5873</v>
      </c>
      <c r="G439" s="18" t="s">
        <v>12</v>
      </c>
      <c r="H439" s="18" t="s">
        <v>6676</v>
      </c>
      <c r="I439" s="18"/>
      <c r="J439" s="18" t="s">
        <v>142</v>
      </c>
      <c r="K439" s="18"/>
      <c r="L439" s="12" t="s">
        <v>143</v>
      </c>
      <c r="M439" s="18" t="s">
        <v>5874</v>
      </c>
      <c r="N439" s="18"/>
      <c r="O439" s="18" t="s">
        <v>5875</v>
      </c>
      <c r="P439" s="18" t="str">
        <f>HYPERLINK("https://ceds.ed.gov/cedselementdetails.aspx?termid=9156")</f>
        <v>https://ceds.ed.gov/cedselementdetails.aspx?termid=9156</v>
      </c>
      <c r="Q439" s="18" t="str">
        <f>HYPERLINK("https://ceds.ed.gov/elementComment.aspx?elementName=Staff Member Identifier &amp;elementID=9156", "Click here to submit comment")</f>
        <v>Click here to submit comment</v>
      </c>
    </row>
    <row r="440" spans="1:17" x14ac:dyDescent="0.25">
      <c r="A440" s="18"/>
      <c r="B440" s="18"/>
      <c r="C440" s="18"/>
      <c r="D440" s="18"/>
      <c r="E440" s="18"/>
      <c r="F440" s="18"/>
      <c r="G440" s="18"/>
      <c r="H440" s="18"/>
      <c r="I440" s="18"/>
      <c r="J440" s="18"/>
      <c r="K440" s="18"/>
      <c r="L440" s="12"/>
      <c r="M440" s="18"/>
      <c r="N440" s="18"/>
      <c r="O440" s="18"/>
      <c r="P440" s="18"/>
      <c r="Q440" s="18"/>
    </row>
    <row r="441" spans="1:17" ht="90" x14ac:dyDescent="0.25">
      <c r="A441" s="18"/>
      <c r="B441" s="18"/>
      <c r="C441" s="18"/>
      <c r="D441" s="18"/>
      <c r="E441" s="18"/>
      <c r="F441" s="18"/>
      <c r="G441" s="18"/>
      <c r="H441" s="18"/>
      <c r="I441" s="18"/>
      <c r="J441" s="18"/>
      <c r="K441" s="18"/>
      <c r="L441" s="12" t="s">
        <v>144</v>
      </c>
      <c r="M441" s="18"/>
      <c r="N441" s="18"/>
      <c r="O441" s="18"/>
      <c r="P441" s="18"/>
      <c r="Q441" s="18"/>
    </row>
    <row r="442" spans="1:17" ht="105" x14ac:dyDescent="0.25">
      <c r="A442" s="12" t="s">
        <v>7169</v>
      </c>
      <c r="B442" s="12" t="s">
        <v>7233</v>
      </c>
      <c r="C442" s="12" t="s">
        <v>7175</v>
      </c>
      <c r="D442" s="12" t="s">
        <v>7172</v>
      </c>
      <c r="E442" s="12" t="s">
        <v>201</v>
      </c>
      <c r="F442" s="12" t="s">
        <v>202</v>
      </c>
      <c r="G442" s="13" t="s">
        <v>6728</v>
      </c>
      <c r="H442" s="12" t="s">
        <v>205</v>
      </c>
      <c r="I442" s="12"/>
      <c r="J442" s="12" t="s">
        <v>92</v>
      </c>
      <c r="K442" s="12"/>
      <c r="L442" s="12"/>
      <c r="M442" s="12" t="s">
        <v>203</v>
      </c>
      <c r="N442" s="12"/>
      <c r="O442" s="12" t="s">
        <v>204</v>
      </c>
      <c r="P442" s="12" t="str">
        <f>HYPERLINK("https://ceds.ed.gov/cedselementdetails.aspx?termid=9698")</f>
        <v>https://ceds.ed.gov/cedselementdetails.aspx?termid=9698</v>
      </c>
      <c r="Q442" s="12" t="str">
        <f>HYPERLINK("https://ceds.ed.gov/elementComment.aspx?elementName=Address Type for Staff &amp;elementID=9698", "Click here to submit comment")</f>
        <v>Click here to submit comment</v>
      </c>
    </row>
    <row r="443" spans="1:17" ht="225" x14ac:dyDescent="0.25">
      <c r="A443" s="12" t="s">
        <v>7169</v>
      </c>
      <c r="B443" s="12" t="s">
        <v>7233</v>
      </c>
      <c r="C443" s="12" t="s">
        <v>7175</v>
      </c>
      <c r="D443" s="12" t="s">
        <v>7172</v>
      </c>
      <c r="E443" s="12" t="s">
        <v>189</v>
      </c>
      <c r="F443" s="12" t="s">
        <v>190</v>
      </c>
      <c r="G443" s="12" t="s">
        <v>12</v>
      </c>
      <c r="H443" s="12" t="s">
        <v>6377</v>
      </c>
      <c r="I443" s="12"/>
      <c r="J443" s="12" t="s">
        <v>142</v>
      </c>
      <c r="K443" s="12"/>
      <c r="L443" s="12"/>
      <c r="M443" s="12" t="s">
        <v>191</v>
      </c>
      <c r="N443" s="12"/>
      <c r="O443" s="12" t="s">
        <v>192</v>
      </c>
      <c r="P443" s="12" t="str">
        <f>HYPERLINK("https://ceds.ed.gov/cedselementdetails.aspx?termid=9269")</f>
        <v>https://ceds.ed.gov/cedselementdetails.aspx?termid=9269</v>
      </c>
      <c r="Q443" s="12" t="str">
        <f>HYPERLINK("https://ceds.ed.gov/elementComment.aspx?elementName=Address Street Number and Name &amp;elementID=9269", "Click here to submit comment")</f>
        <v>Click here to submit comment</v>
      </c>
    </row>
    <row r="444" spans="1:17" ht="225" x14ac:dyDescent="0.25">
      <c r="A444" s="12" t="s">
        <v>7169</v>
      </c>
      <c r="B444" s="12" t="s">
        <v>7233</v>
      </c>
      <c r="C444" s="12" t="s">
        <v>7175</v>
      </c>
      <c r="D444" s="12" t="s">
        <v>7172</v>
      </c>
      <c r="E444" s="12" t="s">
        <v>172</v>
      </c>
      <c r="F444" s="12" t="s">
        <v>173</v>
      </c>
      <c r="G444" s="12" t="s">
        <v>12</v>
      </c>
      <c r="H444" s="12" t="s">
        <v>6377</v>
      </c>
      <c r="I444" s="12"/>
      <c r="J444" s="12" t="s">
        <v>92</v>
      </c>
      <c r="K444" s="12"/>
      <c r="L444" s="12"/>
      <c r="M444" s="12" t="s">
        <v>174</v>
      </c>
      <c r="N444" s="12"/>
      <c r="O444" s="12" t="s">
        <v>175</v>
      </c>
      <c r="P444" s="12" t="str">
        <f>HYPERLINK("https://ceds.ed.gov/cedselementdetails.aspx?termid=9019")</f>
        <v>https://ceds.ed.gov/cedselementdetails.aspx?termid=9019</v>
      </c>
      <c r="Q444" s="12" t="str">
        <f>HYPERLINK("https://ceds.ed.gov/elementComment.aspx?elementName=Address Apartment Room or Suite Number &amp;elementID=9019", "Click here to submit comment")</f>
        <v>Click here to submit comment</v>
      </c>
    </row>
    <row r="445" spans="1:17" ht="225" x14ac:dyDescent="0.25">
      <c r="A445" s="12" t="s">
        <v>7169</v>
      </c>
      <c r="B445" s="12" t="s">
        <v>7233</v>
      </c>
      <c r="C445" s="12" t="s">
        <v>7175</v>
      </c>
      <c r="D445" s="12" t="s">
        <v>7172</v>
      </c>
      <c r="E445" s="12" t="s">
        <v>176</v>
      </c>
      <c r="F445" s="12" t="s">
        <v>177</v>
      </c>
      <c r="G445" s="12" t="s">
        <v>12</v>
      </c>
      <c r="H445" s="12" t="s">
        <v>6377</v>
      </c>
      <c r="I445" s="12"/>
      <c r="J445" s="12" t="s">
        <v>92</v>
      </c>
      <c r="K445" s="12"/>
      <c r="L445" s="12"/>
      <c r="M445" s="12" t="s">
        <v>178</v>
      </c>
      <c r="N445" s="12"/>
      <c r="O445" s="12" t="s">
        <v>179</v>
      </c>
      <c r="P445" s="12" t="str">
        <f>HYPERLINK("https://ceds.ed.gov/cedselementdetails.aspx?termid=9040")</f>
        <v>https://ceds.ed.gov/cedselementdetails.aspx?termid=9040</v>
      </c>
      <c r="Q445" s="12" t="str">
        <f>HYPERLINK("https://ceds.ed.gov/elementComment.aspx?elementName=Address City &amp;elementID=9040", "Click here to submit comment")</f>
        <v>Click here to submit comment</v>
      </c>
    </row>
    <row r="446" spans="1:17" ht="409.5" x14ac:dyDescent="0.25">
      <c r="A446" s="12" t="s">
        <v>7169</v>
      </c>
      <c r="B446" s="12" t="s">
        <v>7233</v>
      </c>
      <c r="C446" s="12" t="s">
        <v>7175</v>
      </c>
      <c r="D446" s="12" t="s">
        <v>7172</v>
      </c>
      <c r="E446" s="12" t="s">
        <v>5898</v>
      </c>
      <c r="F446" s="12" t="s">
        <v>5899</v>
      </c>
      <c r="G446" s="13" t="s">
        <v>7120</v>
      </c>
      <c r="H446" s="12" t="s">
        <v>6678</v>
      </c>
      <c r="I446" s="12"/>
      <c r="J446" s="12"/>
      <c r="K446" s="12"/>
      <c r="L446" s="12"/>
      <c r="M446" s="12" t="s">
        <v>5900</v>
      </c>
      <c r="N446" s="12"/>
      <c r="O446" s="12" t="s">
        <v>5901</v>
      </c>
      <c r="P446" s="12" t="str">
        <f>HYPERLINK("https://ceds.ed.gov/cedselementdetails.aspx?termid=9267")</f>
        <v>https://ceds.ed.gov/cedselementdetails.aspx?termid=9267</v>
      </c>
      <c r="Q446" s="12" t="str">
        <f>HYPERLINK("https://ceds.ed.gov/elementComment.aspx?elementName=State Abbreviation &amp;elementID=9267", "Click here to submit comment")</f>
        <v>Click here to submit comment</v>
      </c>
    </row>
    <row r="447" spans="1:17" ht="225" x14ac:dyDescent="0.25">
      <c r="A447" s="12" t="s">
        <v>7169</v>
      </c>
      <c r="B447" s="12" t="s">
        <v>7233</v>
      </c>
      <c r="C447" s="12" t="s">
        <v>7175</v>
      </c>
      <c r="D447" s="12" t="s">
        <v>7172</v>
      </c>
      <c r="E447" s="12" t="s">
        <v>184</v>
      </c>
      <c r="F447" s="12" t="s">
        <v>185</v>
      </c>
      <c r="G447" s="12" t="s">
        <v>12</v>
      </c>
      <c r="H447" s="12" t="s">
        <v>6377</v>
      </c>
      <c r="I447" s="12"/>
      <c r="J447" s="12" t="s">
        <v>186</v>
      </c>
      <c r="K447" s="12"/>
      <c r="L447" s="12"/>
      <c r="M447" s="12" t="s">
        <v>187</v>
      </c>
      <c r="N447" s="12"/>
      <c r="O447" s="12" t="s">
        <v>188</v>
      </c>
      <c r="P447" s="12" t="str">
        <f>HYPERLINK("https://ceds.ed.gov/cedselementdetails.aspx?termid=9214")</f>
        <v>https://ceds.ed.gov/cedselementdetails.aspx?termid=9214</v>
      </c>
      <c r="Q447" s="12" t="str">
        <f>HYPERLINK("https://ceds.ed.gov/elementComment.aspx?elementName=Address Postal Code &amp;elementID=9214", "Click here to submit comment")</f>
        <v>Click here to submit comment</v>
      </c>
    </row>
    <row r="448" spans="1:17" ht="225" x14ac:dyDescent="0.25">
      <c r="A448" s="12" t="s">
        <v>7169</v>
      </c>
      <c r="B448" s="12" t="s">
        <v>7233</v>
      </c>
      <c r="C448" s="12" t="s">
        <v>7175</v>
      </c>
      <c r="D448" s="12" t="s">
        <v>7172</v>
      </c>
      <c r="E448" s="12" t="s">
        <v>180</v>
      </c>
      <c r="F448" s="12" t="s">
        <v>181</v>
      </c>
      <c r="G448" s="12" t="s">
        <v>12</v>
      </c>
      <c r="H448" s="12" t="s">
        <v>6377</v>
      </c>
      <c r="I448" s="12"/>
      <c r="J448" s="12" t="s">
        <v>92</v>
      </c>
      <c r="K448" s="12"/>
      <c r="L448" s="12"/>
      <c r="M448" s="12" t="s">
        <v>182</v>
      </c>
      <c r="N448" s="12"/>
      <c r="O448" s="12" t="s">
        <v>183</v>
      </c>
      <c r="P448" s="12" t="str">
        <f>HYPERLINK("https://ceds.ed.gov/cedselementdetails.aspx?termid=9190")</f>
        <v>https://ceds.ed.gov/cedselementdetails.aspx?termid=9190</v>
      </c>
      <c r="Q448" s="12" t="str">
        <f>HYPERLINK("https://ceds.ed.gov/elementComment.aspx?elementName=Address County Name &amp;elementID=9190", "Click here to submit comment")</f>
        <v>Click here to submit comment</v>
      </c>
    </row>
    <row r="449" spans="1:17" ht="409.5" x14ac:dyDescent="0.25">
      <c r="A449" s="12" t="s">
        <v>7169</v>
      </c>
      <c r="B449" s="12" t="s">
        <v>7233</v>
      </c>
      <c r="C449" s="12" t="s">
        <v>7175</v>
      </c>
      <c r="D449" s="12" t="s">
        <v>7172</v>
      </c>
      <c r="E449" s="12" t="s">
        <v>1934</v>
      </c>
      <c r="F449" s="12" t="s">
        <v>1935</v>
      </c>
      <c r="G449" s="13" t="s">
        <v>6829</v>
      </c>
      <c r="H449" s="12" t="s">
        <v>6467</v>
      </c>
      <c r="I449" s="12" t="s">
        <v>98</v>
      </c>
      <c r="J449" s="12"/>
      <c r="K449" s="12"/>
      <c r="L449" s="14" t="s">
        <v>1936</v>
      </c>
      <c r="M449" s="12" t="s">
        <v>1937</v>
      </c>
      <c r="N449" s="12"/>
      <c r="O449" s="12" t="s">
        <v>1938</v>
      </c>
      <c r="P449" s="12" t="str">
        <f>HYPERLINK("https://ceds.ed.gov/cedselementdetails.aspx?termid=9050")</f>
        <v>https://ceds.ed.gov/cedselementdetails.aspx?termid=9050</v>
      </c>
      <c r="Q449" s="12" t="str">
        <f>HYPERLINK("https://ceds.ed.gov/elementComment.aspx?elementName=Country Code &amp;elementID=9050", "Click here to submit comment")</f>
        <v>Click here to submit comment</v>
      </c>
    </row>
    <row r="450" spans="1:17" ht="75" x14ac:dyDescent="0.25">
      <c r="A450" s="12" t="s">
        <v>7169</v>
      </c>
      <c r="B450" s="12" t="s">
        <v>7233</v>
      </c>
      <c r="C450" s="12" t="s">
        <v>7175</v>
      </c>
      <c r="D450" s="12" t="s">
        <v>7176</v>
      </c>
      <c r="E450" s="12" t="s">
        <v>3693</v>
      </c>
      <c r="F450" s="12" t="s">
        <v>3694</v>
      </c>
      <c r="G450" s="12" t="s">
        <v>12</v>
      </c>
      <c r="H450" s="12"/>
      <c r="I450" s="12"/>
      <c r="J450" s="12" t="s">
        <v>1201</v>
      </c>
      <c r="K450" s="12"/>
      <c r="L450" s="12"/>
      <c r="M450" s="12" t="s">
        <v>3695</v>
      </c>
      <c r="N450" s="12"/>
      <c r="O450" s="12" t="s">
        <v>3693</v>
      </c>
      <c r="P450" s="12" t="str">
        <f>HYPERLINK("https://ceds.ed.gov/cedselementdetails.aspx?termid=9599")</f>
        <v>https://ceds.ed.gov/cedselementdetails.aspx?termid=9599</v>
      </c>
      <c r="Q450" s="12" t="str">
        <f>HYPERLINK("https://ceds.ed.gov/elementComment.aspx?elementName=Latitude &amp;elementID=9599", "Click here to submit comment")</f>
        <v>Click here to submit comment</v>
      </c>
    </row>
    <row r="451" spans="1:17" ht="75" x14ac:dyDescent="0.25">
      <c r="A451" s="12" t="s">
        <v>7169</v>
      </c>
      <c r="B451" s="12" t="s">
        <v>7233</v>
      </c>
      <c r="C451" s="12" t="s">
        <v>7175</v>
      </c>
      <c r="D451" s="12" t="s">
        <v>7176</v>
      </c>
      <c r="E451" s="12" t="s">
        <v>4361</v>
      </c>
      <c r="F451" s="12" t="s">
        <v>4362</v>
      </c>
      <c r="G451" s="12" t="s">
        <v>12</v>
      </c>
      <c r="H451" s="12"/>
      <c r="I451" s="12"/>
      <c r="J451" s="12" t="s">
        <v>1201</v>
      </c>
      <c r="K451" s="12"/>
      <c r="L451" s="12"/>
      <c r="M451" s="12" t="s">
        <v>4363</v>
      </c>
      <c r="N451" s="12"/>
      <c r="O451" s="12" t="s">
        <v>4361</v>
      </c>
      <c r="P451" s="12" t="str">
        <f>HYPERLINK("https://ceds.ed.gov/cedselementdetails.aspx?termid=9600")</f>
        <v>https://ceds.ed.gov/cedselementdetails.aspx?termid=9600</v>
      </c>
      <c r="Q451" s="12" t="str">
        <f>HYPERLINK("https://ceds.ed.gov/elementComment.aspx?elementName=Longitude &amp;elementID=9600", "Click here to submit comment")</f>
        <v>Click here to submit comment</v>
      </c>
    </row>
    <row r="452" spans="1:17" ht="90" x14ac:dyDescent="0.25">
      <c r="A452" s="12" t="s">
        <v>7169</v>
      </c>
      <c r="B452" s="12" t="s">
        <v>7233</v>
      </c>
      <c r="C452" s="12" t="s">
        <v>7177</v>
      </c>
      <c r="D452" s="12" t="s">
        <v>7172</v>
      </c>
      <c r="E452" s="12" t="s">
        <v>6107</v>
      </c>
      <c r="F452" s="12" t="s">
        <v>6108</v>
      </c>
      <c r="G452" s="13" t="s">
        <v>7135</v>
      </c>
      <c r="H452" s="12" t="s">
        <v>6369</v>
      </c>
      <c r="I452" s="12"/>
      <c r="J452" s="12" t="s">
        <v>1950</v>
      </c>
      <c r="K452" s="12"/>
      <c r="L452" s="12"/>
      <c r="M452" s="12" t="s">
        <v>6109</v>
      </c>
      <c r="N452" s="12"/>
      <c r="O452" s="12" t="s">
        <v>6110</v>
      </c>
      <c r="P452" s="12" t="str">
        <f>HYPERLINK("https://ceds.ed.gov/cedselementdetails.aspx?termid=9280")</f>
        <v>https://ceds.ed.gov/cedselementdetails.aspx?termid=9280</v>
      </c>
      <c r="Q452" s="12" t="str">
        <f>HYPERLINK("https://ceds.ed.gov/elementComment.aspx?elementName=Telephone Number Type &amp;elementID=9280", "Click here to submit comment")</f>
        <v>Click here to submit comment</v>
      </c>
    </row>
    <row r="453" spans="1:17" ht="90" x14ac:dyDescent="0.25">
      <c r="A453" s="12" t="s">
        <v>7169</v>
      </c>
      <c r="B453" s="12" t="s">
        <v>7233</v>
      </c>
      <c r="C453" s="12" t="s">
        <v>7177</v>
      </c>
      <c r="D453" s="12" t="s">
        <v>7172</v>
      </c>
      <c r="E453" s="12" t="s">
        <v>4934</v>
      </c>
      <c r="F453" s="12" t="s">
        <v>4935</v>
      </c>
      <c r="G453" s="12" t="s">
        <v>6364</v>
      </c>
      <c r="H453" s="12" t="s">
        <v>6369</v>
      </c>
      <c r="I453" s="12"/>
      <c r="J453" s="12"/>
      <c r="K453" s="12"/>
      <c r="L453" s="12"/>
      <c r="M453" s="12" t="s">
        <v>4936</v>
      </c>
      <c r="N453" s="12"/>
      <c r="O453" s="12" t="s">
        <v>4937</v>
      </c>
      <c r="P453" s="12" t="str">
        <f>HYPERLINK("https://ceds.ed.gov/cedselementdetails.aspx?termid=9219")</f>
        <v>https://ceds.ed.gov/cedselementdetails.aspx?termid=9219</v>
      </c>
      <c r="Q453" s="12" t="str">
        <f>HYPERLINK("https://ceds.ed.gov/elementComment.aspx?elementName=Primary Telephone Number Indicator &amp;elementID=9219", "Click here to submit comment")</f>
        <v>Click here to submit comment</v>
      </c>
    </row>
    <row r="454" spans="1:17" ht="90" x14ac:dyDescent="0.25">
      <c r="A454" s="12" t="s">
        <v>7169</v>
      </c>
      <c r="B454" s="12" t="s">
        <v>7233</v>
      </c>
      <c r="C454" s="12" t="s">
        <v>7177</v>
      </c>
      <c r="D454" s="12" t="s">
        <v>7172</v>
      </c>
      <c r="E454" s="12" t="s">
        <v>6102</v>
      </c>
      <c r="F454" s="12" t="s">
        <v>6103</v>
      </c>
      <c r="G454" s="12" t="s">
        <v>12</v>
      </c>
      <c r="H454" s="12" t="s">
        <v>6369</v>
      </c>
      <c r="I454" s="12"/>
      <c r="J454" s="12" t="s">
        <v>6104</v>
      </c>
      <c r="K454" s="12"/>
      <c r="L454" s="12"/>
      <c r="M454" s="12" t="s">
        <v>6105</v>
      </c>
      <c r="N454" s="12"/>
      <c r="O454" s="12" t="s">
        <v>6106</v>
      </c>
      <c r="P454" s="12" t="str">
        <f>HYPERLINK("https://ceds.ed.gov/cedselementdetails.aspx?termid=9279")</f>
        <v>https://ceds.ed.gov/cedselementdetails.aspx?termid=9279</v>
      </c>
      <c r="Q454" s="12" t="str">
        <f>HYPERLINK("https://ceds.ed.gov/elementComment.aspx?elementName=Telephone Number &amp;elementID=9279", "Click here to submit comment")</f>
        <v>Click here to submit comment</v>
      </c>
    </row>
    <row r="455" spans="1:17" ht="90" x14ac:dyDescent="0.25">
      <c r="A455" s="12" t="s">
        <v>7169</v>
      </c>
      <c r="B455" s="12" t="s">
        <v>7233</v>
      </c>
      <c r="C455" s="12" t="s">
        <v>7204</v>
      </c>
      <c r="D455" s="12" t="s">
        <v>7172</v>
      </c>
      <c r="E455" s="12" t="s">
        <v>2653</v>
      </c>
      <c r="F455" s="12" t="s">
        <v>2654</v>
      </c>
      <c r="G455" s="13" t="s">
        <v>6898</v>
      </c>
      <c r="H455" s="12" t="s">
        <v>6369</v>
      </c>
      <c r="I455" s="12"/>
      <c r="J455" s="12"/>
      <c r="K455" s="12"/>
      <c r="L455" s="12"/>
      <c r="M455" s="12" t="s">
        <v>2655</v>
      </c>
      <c r="N455" s="12" t="s">
        <v>2656</v>
      </c>
      <c r="O455" s="12" t="s">
        <v>2657</v>
      </c>
      <c r="P455" s="12" t="str">
        <f>HYPERLINK("https://ceds.ed.gov/cedselementdetails.aspx?termid=9089")</f>
        <v>https://ceds.ed.gov/cedselementdetails.aspx?termid=9089</v>
      </c>
      <c r="Q455" s="12" t="str">
        <f>HYPERLINK("https://ceds.ed.gov/elementComment.aspx?elementName=Electronic Mail Address Type &amp;elementID=9089", "Click here to submit comment")</f>
        <v>Click here to submit comment</v>
      </c>
    </row>
    <row r="456" spans="1:17" ht="90" x14ac:dyDescent="0.25">
      <c r="A456" s="12" t="s">
        <v>7169</v>
      </c>
      <c r="B456" s="12" t="s">
        <v>7233</v>
      </c>
      <c r="C456" s="12" t="s">
        <v>7204</v>
      </c>
      <c r="D456" s="12" t="s">
        <v>7172</v>
      </c>
      <c r="E456" s="12" t="s">
        <v>2647</v>
      </c>
      <c r="F456" s="12" t="s">
        <v>2648</v>
      </c>
      <c r="G456" s="12" t="s">
        <v>12</v>
      </c>
      <c r="H456" s="12" t="s">
        <v>6369</v>
      </c>
      <c r="I456" s="12"/>
      <c r="J456" s="12" t="s">
        <v>2649</v>
      </c>
      <c r="K456" s="12"/>
      <c r="L456" s="12"/>
      <c r="M456" s="12" t="s">
        <v>2650</v>
      </c>
      <c r="N456" s="12" t="s">
        <v>2651</v>
      </c>
      <c r="O456" s="12" t="s">
        <v>2652</v>
      </c>
      <c r="P456" s="12" t="str">
        <f>HYPERLINK("https://ceds.ed.gov/cedselementdetails.aspx?termid=9088")</f>
        <v>https://ceds.ed.gov/cedselementdetails.aspx?termid=9088</v>
      </c>
      <c r="Q456" s="12" t="str">
        <f>HYPERLINK("https://ceds.ed.gov/elementComment.aspx?elementName=Electronic Mail Address &amp;elementID=9088", "Click here to submit comment")</f>
        <v>Click here to submit comment</v>
      </c>
    </row>
    <row r="457" spans="1:17" ht="240" x14ac:dyDescent="0.25">
      <c r="A457" s="12" t="s">
        <v>7169</v>
      </c>
      <c r="B457" s="12" t="s">
        <v>7233</v>
      </c>
      <c r="C457" s="12" t="s">
        <v>7178</v>
      </c>
      <c r="D457" s="12" t="s">
        <v>7172</v>
      </c>
      <c r="E457" s="12" t="s">
        <v>1571</v>
      </c>
      <c r="F457" s="12" t="s">
        <v>1572</v>
      </c>
      <c r="G457" s="12" t="s">
        <v>12</v>
      </c>
      <c r="H457" s="12" t="s">
        <v>6432</v>
      </c>
      <c r="I457" s="12"/>
      <c r="J457" s="12" t="s">
        <v>73</v>
      </c>
      <c r="K457" s="12"/>
      <c r="L457" s="12"/>
      <c r="M457" s="12" t="s">
        <v>1573</v>
      </c>
      <c r="N457" s="12"/>
      <c r="O457" s="12" t="s">
        <v>1571</v>
      </c>
      <c r="P457" s="12" t="str">
        <f>HYPERLINK("https://ceds.ed.gov/cedselementdetails.aspx?termid=9033")</f>
        <v>https://ceds.ed.gov/cedselementdetails.aspx?termid=9033</v>
      </c>
      <c r="Q457" s="12" t="str">
        <f>HYPERLINK("https://ceds.ed.gov/elementComment.aspx?elementName=Birthdate &amp;elementID=9033", "Click here to submit comment")</f>
        <v>Click here to submit comment</v>
      </c>
    </row>
    <row r="458" spans="1:17" ht="255" x14ac:dyDescent="0.25">
      <c r="A458" s="12" t="s">
        <v>7169</v>
      </c>
      <c r="B458" s="12" t="s">
        <v>7233</v>
      </c>
      <c r="C458" s="12" t="s">
        <v>7178</v>
      </c>
      <c r="D458" s="12" t="s">
        <v>7172</v>
      </c>
      <c r="E458" s="12" t="s">
        <v>5711</v>
      </c>
      <c r="F458" s="12" t="s">
        <v>5712</v>
      </c>
      <c r="G458" s="13" t="s">
        <v>7112</v>
      </c>
      <c r="H458" s="12" t="s">
        <v>6666</v>
      </c>
      <c r="I458" s="12"/>
      <c r="J458" s="12"/>
      <c r="K458" s="12"/>
      <c r="L458" s="12" t="s">
        <v>5713</v>
      </c>
      <c r="M458" s="12" t="s">
        <v>5714</v>
      </c>
      <c r="N458" s="12"/>
      <c r="O458" s="12" t="s">
        <v>5711</v>
      </c>
      <c r="P458" s="12" t="str">
        <f>HYPERLINK("https://ceds.ed.gov/cedselementdetails.aspx?termid=9255")</f>
        <v>https://ceds.ed.gov/cedselementdetails.aspx?termid=9255</v>
      </c>
      <c r="Q458" s="12" t="str">
        <f>HYPERLINK("https://ceds.ed.gov/elementComment.aspx?elementName=Sex &amp;elementID=9255", "Click here to submit comment")</f>
        <v>Click here to submit comment</v>
      </c>
    </row>
    <row r="459" spans="1:17" ht="30" x14ac:dyDescent="0.25">
      <c r="A459" s="18" t="s">
        <v>7169</v>
      </c>
      <c r="B459" s="18" t="s">
        <v>7233</v>
      </c>
      <c r="C459" s="18" t="s">
        <v>7178</v>
      </c>
      <c r="D459" s="18" t="s">
        <v>7172</v>
      </c>
      <c r="E459" s="18" t="s">
        <v>359</v>
      </c>
      <c r="F459" s="18" t="s">
        <v>360</v>
      </c>
      <c r="G459" s="20" t="s">
        <v>6749</v>
      </c>
      <c r="H459" s="18" t="s">
        <v>6390</v>
      </c>
      <c r="I459" s="18"/>
      <c r="J459" s="18"/>
      <c r="K459" s="18"/>
      <c r="L459" s="12" t="s">
        <v>361</v>
      </c>
      <c r="M459" s="18" t="s">
        <v>365</v>
      </c>
      <c r="N459" s="18"/>
      <c r="O459" s="18" t="s">
        <v>366</v>
      </c>
      <c r="P459" s="18" t="str">
        <f>HYPERLINK("https://ceds.ed.gov/cedselementdetails.aspx?termid=9655")</f>
        <v>https://ceds.ed.gov/cedselementdetails.aspx?termid=9655</v>
      </c>
      <c r="Q459" s="18" t="str">
        <f>HYPERLINK("https://ceds.ed.gov/elementComment.aspx?elementName=American Indian or Alaska Native &amp;elementID=9655", "Click here to submit comment")</f>
        <v>Click here to submit comment</v>
      </c>
    </row>
    <row r="460" spans="1:17" x14ac:dyDescent="0.25">
      <c r="A460" s="18"/>
      <c r="B460" s="18"/>
      <c r="C460" s="18"/>
      <c r="D460" s="18"/>
      <c r="E460" s="18"/>
      <c r="F460" s="18"/>
      <c r="G460" s="18"/>
      <c r="H460" s="18"/>
      <c r="I460" s="18"/>
      <c r="J460" s="18"/>
      <c r="K460" s="18"/>
      <c r="L460" s="12"/>
      <c r="M460" s="18"/>
      <c r="N460" s="18"/>
      <c r="O460" s="18"/>
      <c r="P460" s="18"/>
      <c r="Q460" s="18"/>
    </row>
    <row r="461" spans="1:17" x14ac:dyDescent="0.25">
      <c r="A461" s="18"/>
      <c r="B461" s="18"/>
      <c r="C461" s="18"/>
      <c r="D461" s="18"/>
      <c r="E461" s="18"/>
      <c r="F461" s="18"/>
      <c r="G461" s="18"/>
      <c r="H461" s="18"/>
      <c r="I461" s="18"/>
      <c r="J461" s="18"/>
      <c r="K461" s="18"/>
      <c r="L461" s="12" t="s">
        <v>362</v>
      </c>
      <c r="M461" s="18"/>
      <c r="N461" s="18"/>
      <c r="O461" s="18"/>
      <c r="P461" s="18"/>
      <c r="Q461" s="18"/>
    </row>
    <row r="462" spans="1:17" ht="30" x14ac:dyDescent="0.25">
      <c r="A462" s="18"/>
      <c r="B462" s="18"/>
      <c r="C462" s="18"/>
      <c r="D462" s="18"/>
      <c r="E462" s="18"/>
      <c r="F462" s="18"/>
      <c r="G462" s="18"/>
      <c r="H462" s="18"/>
      <c r="I462" s="18"/>
      <c r="J462" s="18"/>
      <c r="K462" s="18"/>
      <c r="L462" s="12" t="s">
        <v>363</v>
      </c>
      <c r="M462" s="18"/>
      <c r="N462" s="18"/>
      <c r="O462" s="18"/>
      <c r="P462" s="18"/>
      <c r="Q462" s="18"/>
    </row>
    <row r="463" spans="1:17" x14ac:dyDescent="0.25">
      <c r="A463" s="18"/>
      <c r="B463" s="18"/>
      <c r="C463" s="18"/>
      <c r="D463" s="18"/>
      <c r="E463" s="18"/>
      <c r="F463" s="18"/>
      <c r="G463" s="18"/>
      <c r="H463" s="18"/>
      <c r="I463" s="18"/>
      <c r="J463" s="18"/>
      <c r="K463" s="18"/>
      <c r="L463" s="12" t="s">
        <v>364</v>
      </c>
      <c r="M463" s="18"/>
      <c r="N463" s="18"/>
      <c r="O463" s="18"/>
      <c r="P463" s="18"/>
      <c r="Q463" s="18"/>
    </row>
    <row r="464" spans="1:17" ht="30" x14ac:dyDescent="0.25">
      <c r="A464" s="18" t="s">
        <v>7169</v>
      </c>
      <c r="B464" s="18" t="s">
        <v>7233</v>
      </c>
      <c r="C464" s="18" t="s">
        <v>7178</v>
      </c>
      <c r="D464" s="18" t="s">
        <v>7172</v>
      </c>
      <c r="E464" s="18" t="s">
        <v>401</v>
      </c>
      <c r="F464" s="18" t="s">
        <v>402</v>
      </c>
      <c r="G464" s="20" t="s">
        <v>6749</v>
      </c>
      <c r="H464" s="18" t="s">
        <v>6390</v>
      </c>
      <c r="I464" s="18"/>
      <c r="J464" s="18"/>
      <c r="K464" s="18"/>
      <c r="L464" s="12" t="s">
        <v>361</v>
      </c>
      <c r="M464" s="18" t="s">
        <v>403</v>
      </c>
      <c r="N464" s="18"/>
      <c r="O464" s="18" t="s">
        <v>401</v>
      </c>
      <c r="P464" s="18" t="str">
        <f>HYPERLINK("https://ceds.ed.gov/cedselementdetails.aspx?termid=9656")</f>
        <v>https://ceds.ed.gov/cedselementdetails.aspx?termid=9656</v>
      </c>
      <c r="Q464" s="18" t="str">
        <f>HYPERLINK("https://ceds.ed.gov/elementComment.aspx?elementName=Asian &amp;elementID=9656", "Click here to submit comment")</f>
        <v>Click here to submit comment</v>
      </c>
    </row>
    <row r="465" spans="1:17" x14ac:dyDescent="0.25">
      <c r="A465" s="18"/>
      <c r="B465" s="18"/>
      <c r="C465" s="18"/>
      <c r="D465" s="18"/>
      <c r="E465" s="18"/>
      <c r="F465" s="18"/>
      <c r="G465" s="18"/>
      <c r="H465" s="18"/>
      <c r="I465" s="18"/>
      <c r="J465" s="18"/>
      <c r="K465" s="18"/>
      <c r="L465" s="12"/>
      <c r="M465" s="18"/>
      <c r="N465" s="18"/>
      <c r="O465" s="18"/>
      <c r="P465" s="18"/>
      <c r="Q465" s="18"/>
    </row>
    <row r="466" spans="1:17" x14ac:dyDescent="0.25">
      <c r="A466" s="18"/>
      <c r="B466" s="18"/>
      <c r="C466" s="18"/>
      <c r="D466" s="18"/>
      <c r="E466" s="18"/>
      <c r="F466" s="18"/>
      <c r="G466" s="18"/>
      <c r="H466" s="18"/>
      <c r="I466" s="18"/>
      <c r="J466" s="18"/>
      <c r="K466" s="18"/>
      <c r="L466" s="12" t="s">
        <v>362</v>
      </c>
      <c r="M466" s="18"/>
      <c r="N466" s="18"/>
      <c r="O466" s="18"/>
      <c r="P466" s="18"/>
      <c r="Q466" s="18"/>
    </row>
    <row r="467" spans="1:17" ht="30" x14ac:dyDescent="0.25">
      <c r="A467" s="18"/>
      <c r="B467" s="18"/>
      <c r="C467" s="18"/>
      <c r="D467" s="18"/>
      <c r="E467" s="18"/>
      <c r="F467" s="18"/>
      <c r="G467" s="18"/>
      <c r="H467" s="18"/>
      <c r="I467" s="18"/>
      <c r="J467" s="18"/>
      <c r="K467" s="18"/>
      <c r="L467" s="12" t="s">
        <v>363</v>
      </c>
      <c r="M467" s="18"/>
      <c r="N467" s="18"/>
      <c r="O467" s="18"/>
      <c r="P467" s="18"/>
      <c r="Q467" s="18"/>
    </row>
    <row r="468" spans="1:17" x14ac:dyDescent="0.25">
      <c r="A468" s="18"/>
      <c r="B468" s="18"/>
      <c r="C468" s="18"/>
      <c r="D468" s="18"/>
      <c r="E468" s="18"/>
      <c r="F468" s="18"/>
      <c r="G468" s="18"/>
      <c r="H468" s="18"/>
      <c r="I468" s="18"/>
      <c r="J468" s="18"/>
      <c r="K468" s="18"/>
      <c r="L468" s="12" t="s">
        <v>364</v>
      </c>
      <c r="M468" s="18"/>
      <c r="N468" s="18"/>
      <c r="O468" s="18"/>
      <c r="P468" s="18"/>
      <c r="Q468" s="18"/>
    </row>
    <row r="469" spans="1:17" ht="30" x14ac:dyDescent="0.25">
      <c r="A469" s="18" t="s">
        <v>7169</v>
      </c>
      <c r="B469" s="18" t="s">
        <v>7233</v>
      </c>
      <c r="C469" s="18" t="s">
        <v>7178</v>
      </c>
      <c r="D469" s="18" t="s">
        <v>7172</v>
      </c>
      <c r="E469" s="18" t="s">
        <v>1579</v>
      </c>
      <c r="F469" s="18" t="s">
        <v>1580</v>
      </c>
      <c r="G469" s="20" t="s">
        <v>6749</v>
      </c>
      <c r="H469" s="18" t="s">
        <v>6390</v>
      </c>
      <c r="I469" s="18"/>
      <c r="J469" s="18"/>
      <c r="K469" s="18"/>
      <c r="L469" s="12" t="s">
        <v>361</v>
      </c>
      <c r="M469" s="18" t="s">
        <v>1581</v>
      </c>
      <c r="N469" s="18"/>
      <c r="O469" s="18" t="s">
        <v>1582</v>
      </c>
      <c r="P469" s="18" t="str">
        <f>HYPERLINK("https://ceds.ed.gov/cedselementdetails.aspx?termid=9657")</f>
        <v>https://ceds.ed.gov/cedselementdetails.aspx?termid=9657</v>
      </c>
      <c r="Q469" s="18" t="str">
        <f>HYPERLINK("https://ceds.ed.gov/elementComment.aspx?elementName=Black or African American &amp;elementID=9657", "Click here to submit comment")</f>
        <v>Click here to submit comment</v>
      </c>
    </row>
    <row r="470" spans="1:17" x14ac:dyDescent="0.25">
      <c r="A470" s="18"/>
      <c r="B470" s="18"/>
      <c r="C470" s="18"/>
      <c r="D470" s="18"/>
      <c r="E470" s="18"/>
      <c r="F470" s="18"/>
      <c r="G470" s="18"/>
      <c r="H470" s="18"/>
      <c r="I470" s="18"/>
      <c r="J470" s="18"/>
      <c r="K470" s="18"/>
      <c r="L470" s="12"/>
      <c r="M470" s="18"/>
      <c r="N470" s="18"/>
      <c r="O470" s="18"/>
      <c r="P470" s="18"/>
      <c r="Q470" s="18"/>
    </row>
    <row r="471" spans="1:17" x14ac:dyDescent="0.25">
      <c r="A471" s="18"/>
      <c r="B471" s="18"/>
      <c r="C471" s="18"/>
      <c r="D471" s="18"/>
      <c r="E471" s="18"/>
      <c r="F471" s="18"/>
      <c r="G471" s="18"/>
      <c r="H471" s="18"/>
      <c r="I471" s="18"/>
      <c r="J471" s="18"/>
      <c r="K471" s="18"/>
      <c r="L471" s="12" t="s">
        <v>362</v>
      </c>
      <c r="M471" s="18"/>
      <c r="N471" s="18"/>
      <c r="O471" s="18"/>
      <c r="P471" s="18"/>
      <c r="Q471" s="18"/>
    </row>
    <row r="472" spans="1:17" ht="30" x14ac:dyDescent="0.25">
      <c r="A472" s="18"/>
      <c r="B472" s="18"/>
      <c r="C472" s="18"/>
      <c r="D472" s="18"/>
      <c r="E472" s="18"/>
      <c r="F472" s="18"/>
      <c r="G472" s="18"/>
      <c r="H472" s="18"/>
      <c r="I472" s="18"/>
      <c r="J472" s="18"/>
      <c r="K472" s="18"/>
      <c r="L472" s="12" t="s">
        <v>363</v>
      </c>
      <c r="M472" s="18"/>
      <c r="N472" s="18"/>
      <c r="O472" s="18"/>
      <c r="P472" s="18"/>
      <c r="Q472" s="18"/>
    </row>
    <row r="473" spans="1:17" x14ac:dyDescent="0.25">
      <c r="A473" s="18"/>
      <c r="B473" s="18"/>
      <c r="C473" s="18"/>
      <c r="D473" s="18"/>
      <c r="E473" s="18"/>
      <c r="F473" s="18"/>
      <c r="G473" s="18"/>
      <c r="H473" s="18"/>
      <c r="I473" s="18"/>
      <c r="J473" s="18"/>
      <c r="K473" s="18"/>
      <c r="L473" s="12" t="s">
        <v>364</v>
      </c>
      <c r="M473" s="18"/>
      <c r="N473" s="18"/>
      <c r="O473" s="18"/>
      <c r="P473" s="18"/>
      <c r="Q473" s="18"/>
    </row>
    <row r="474" spans="1:17" ht="30" x14ac:dyDescent="0.25">
      <c r="A474" s="18" t="s">
        <v>7169</v>
      </c>
      <c r="B474" s="18" t="s">
        <v>7233</v>
      </c>
      <c r="C474" s="18" t="s">
        <v>7178</v>
      </c>
      <c r="D474" s="18" t="s">
        <v>7172</v>
      </c>
      <c r="E474" s="18" t="s">
        <v>4536</v>
      </c>
      <c r="F474" s="18" t="s">
        <v>4537</v>
      </c>
      <c r="G474" s="20" t="s">
        <v>6749</v>
      </c>
      <c r="H474" s="18" t="s">
        <v>6390</v>
      </c>
      <c r="I474" s="18"/>
      <c r="J474" s="18"/>
      <c r="K474" s="18"/>
      <c r="L474" s="12" t="s">
        <v>361</v>
      </c>
      <c r="M474" s="18" t="s">
        <v>4538</v>
      </c>
      <c r="N474" s="18"/>
      <c r="O474" s="18" t="s">
        <v>4539</v>
      </c>
      <c r="P474" s="18" t="str">
        <f>HYPERLINK("https://ceds.ed.gov/cedselementdetails.aspx?termid=9658")</f>
        <v>https://ceds.ed.gov/cedselementdetails.aspx?termid=9658</v>
      </c>
      <c r="Q474" s="18" t="str">
        <f>HYPERLINK("https://ceds.ed.gov/elementComment.aspx?elementName=Native Hawaiian or Other Pacific Islander &amp;elementID=9658", "Click here to submit comment")</f>
        <v>Click here to submit comment</v>
      </c>
    </row>
    <row r="475" spans="1:17" x14ac:dyDescent="0.25">
      <c r="A475" s="18"/>
      <c r="B475" s="18"/>
      <c r="C475" s="18"/>
      <c r="D475" s="18"/>
      <c r="E475" s="18"/>
      <c r="F475" s="18"/>
      <c r="G475" s="18"/>
      <c r="H475" s="18"/>
      <c r="I475" s="18"/>
      <c r="J475" s="18"/>
      <c r="K475" s="18"/>
      <c r="L475" s="12"/>
      <c r="M475" s="18"/>
      <c r="N475" s="18"/>
      <c r="O475" s="18"/>
      <c r="P475" s="18"/>
      <c r="Q475" s="18"/>
    </row>
    <row r="476" spans="1:17" x14ac:dyDescent="0.25">
      <c r="A476" s="18"/>
      <c r="B476" s="18"/>
      <c r="C476" s="18"/>
      <c r="D476" s="18"/>
      <c r="E476" s="18"/>
      <c r="F476" s="18"/>
      <c r="G476" s="18"/>
      <c r="H476" s="18"/>
      <c r="I476" s="18"/>
      <c r="J476" s="18"/>
      <c r="K476" s="18"/>
      <c r="L476" s="12" t="s">
        <v>362</v>
      </c>
      <c r="M476" s="18"/>
      <c r="N476" s="18"/>
      <c r="O476" s="18"/>
      <c r="P476" s="18"/>
      <c r="Q476" s="18"/>
    </row>
    <row r="477" spans="1:17" ht="30" x14ac:dyDescent="0.25">
      <c r="A477" s="18"/>
      <c r="B477" s="18"/>
      <c r="C477" s="18"/>
      <c r="D477" s="18"/>
      <c r="E477" s="18"/>
      <c r="F477" s="18"/>
      <c r="G477" s="18"/>
      <c r="H477" s="18"/>
      <c r="I477" s="18"/>
      <c r="J477" s="18"/>
      <c r="K477" s="18"/>
      <c r="L477" s="12" t="s">
        <v>363</v>
      </c>
      <c r="M477" s="18"/>
      <c r="N477" s="18"/>
      <c r="O477" s="18"/>
      <c r="P477" s="18"/>
      <c r="Q477" s="18"/>
    </row>
    <row r="478" spans="1:17" x14ac:dyDescent="0.25">
      <c r="A478" s="18"/>
      <c r="B478" s="18"/>
      <c r="C478" s="18"/>
      <c r="D478" s="18"/>
      <c r="E478" s="18"/>
      <c r="F478" s="18"/>
      <c r="G478" s="18"/>
      <c r="H478" s="18"/>
      <c r="I478" s="18"/>
      <c r="J478" s="18"/>
      <c r="K478" s="18"/>
      <c r="L478" s="12" t="s">
        <v>364</v>
      </c>
      <c r="M478" s="18"/>
      <c r="N478" s="18"/>
      <c r="O478" s="18"/>
      <c r="P478" s="18"/>
      <c r="Q478" s="18"/>
    </row>
    <row r="479" spans="1:17" ht="30" x14ac:dyDescent="0.25">
      <c r="A479" s="18" t="s">
        <v>7169</v>
      </c>
      <c r="B479" s="18" t="s">
        <v>7233</v>
      </c>
      <c r="C479" s="18" t="s">
        <v>7178</v>
      </c>
      <c r="D479" s="18" t="s">
        <v>7172</v>
      </c>
      <c r="E479" s="18" t="s">
        <v>6333</v>
      </c>
      <c r="F479" s="18" t="s">
        <v>6334</v>
      </c>
      <c r="G479" s="20" t="s">
        <v>6749</v>
      </c>
      <c r="H479" s="18" t="s">
        <v>6390</v>
      </c>
      <c r="I479" s="18"/>
      <c r="J479" s="18"/>
      <c r="K479" s="18"/>
      <c r="L479" s="12" t="s">
        <v>361</v>
      </c>
      <c r="M479" s="18" t="s">
        <v>6335</v>
      </c>
      <c r="N479" s="18"/>
      <c r="O479" s="18" t="s">
        <v>6333</v>
      </c>
      <c r="P479" s="18" t="str">
        <f>HYPERLINK("https://ceds.ed.gov/cedselementdetails.aspx?termid=9659")</f>
        <v>https://ceds.ed.gov/cedselementdetails.aspx?termid=9659</v>
      </c>
      <c r="Q479" s="18" t="str">
        <f>HYPERLINK("https://ceds.ed.gov/elementComment.aspx?elementName=White &amp;elementID=9659", "Click here to submit comment")</f>
        <v>Click here to submit comment</v>
      </c>
    </row>
    <row r="480" spans="1:17" x14ac:dyDescent="0.25">
      <c r="A480" s="18"/>
      <c r="B480" s="18"/>
      <c r="C480" s="18"/>
      <c r="D480" s="18"/>
      <c r="E480" s="18"/>
      <c r="F480" s="18"/>
      <c r="G480" s="18"/>
      <c r="H480" s="18"/>
      <c r="I480" s="18"/>
      <c r="J480" s="18"/>
      <c r="K480" s="18"/>
      <c r="L480" s="12"/>
      <c r="M480" s="18"/>
      <c r="N480" s="18"/>
      <c r="O480" s="18"/>
      <c r="P480" s="18"/>
      <c r="Q480" s="18"/>
    </row>
    <row r="481" spans="1:17" x14ac:dyDescent="0.25">
      <c r="A481" s="18"/>
      <c r="B481" s="18"/>
      <c r="C481" s="18"/>
      <c r="D481" s="18"/>
      <c r="E481" s="18"/>
      <c r="F481" s="18"/>
      <c r="G481" s="18"/>
      <c r="H481" s="18"/>
      <c r="I481" s="18"/>
      <c r="J481" s="18"/>
      <c r="K481" s="18"/>
      <c r="L481" s="12" t="s">
        <v>362</v>
      </c>
      <c r="M481" s="18"/>
      <c r="N481" s="18"/>
      <c r="O481" s="18"/>
      <c r="P481" s="18"/>
      <c r="Q481" s="18"/>
    </row>
    <row r="482" spans="1:17" ht="30" x14ac:dyDescent="0.25">
      <c r="A482" s="18"/>
      <c r="B482" s="18"/>
      <c r="C482" s="18"/>
      <c r="D482" s="18"/>
      <c r="E482" s="18"/>
      <c r="F482" s="18"/>
      <c r="G482" s="18"/>
      <c r="H482" s="18"/>
      <c r="I482" s="18"/>
      <c r="J482" s="18"/>
      <c r="K482" s="18"/>
      <c r="L482" s="12" t="s">
        <v>363</v>
      </c>
      <c r="M482" s="18"/>
      <c r="N482" s="18"/>
      <c r="O482" s="18"/>
      <c r="P482" s="18"/>
      <c r="Q482" s="18"/>
    </row>
    <row r="483" spans="1:17" x14ac:dyDescent="0.25">
      <c r="A483" s="18"/>
      <c r="B483" s="18"/>
      <c r="C483" s="18"/>
      <c r="D483" s="18"/>
      <c r="E483" s="18"/>
      <c r="F483" s="18"/>
      <c r="G483" s="18"/>
      <c r="H483" s="18"/>
      <c r="I483" s="18"/>
      <c r="J483" s="18"/>
      <c r="K483" s="18"/>
      <c r="L483" s="12" t="s">
        <v>364</v>
      </c>
      <c r="M483" s="18"/>
      <c r="N483" s="18"/>
      <c r="O483" s="18"/>
      <c r="P483" s="18"/>
      <c r="Q483" s="18"/>
    </row>
    <row r="484" spans="1:17" ht="30" x14ac:dyDescent="0.25">
      <c r="A484" s="18" t="s">
        <v>7169</v>
      </c>
      <c r="B484" s="18" t="s">
        <v>7233</v>
      </c>
      <c r="C484" s="18" t="s">
        <v>7178</v>
      </c>
      <c r="D484" s="18" t="s">
        <v>7172</v>
      </c>
      <c r="E484" s="18" t="s">
        <v>3227</v>
      </c>
      <c r="F484" s="18" t="s">
        <v>3228</v>
      </c>
      <c r="G484" s="20" t="s">
        <v>6749</v>
      </c>
      <c r="H484" s="18" t="s">
        <v>6390</v>
      </c>
      <c r="I484" s="18"/>
      <c r="J484" s="18"/>
      <c r="K484" s="18"/>
      <c r="L484" s="12" t="s">
        <v>361</v>
      </c>
      <c r="M484" s="18" t="s">
        <v>3229</v>
      </c>
      <c r="N484" s="18"/>
      <c r="O484" s="18" t="s">
        <v>3230</v>
      </c>
      <c r="P484" s="18" t="str">
        <f>HYPERLINK("https://ceds.ed.gov/cedselementdetails.aspx?termid=9144")</f>
        <v>https://ceds.ed.gov/cedselementdetails.aspx?termid=9144</v>
      </c>
      <c r="Q484" s="18" t="str">
        <f>HYPERLINK("https://ceds.ed.gov/elementComment.aspx?elementName=Hispanic or Latino Ethnicity &amp;elementID=9144", "Click here to submit comment")</f>
        <v>Click here to submit comment</v>
      </c>
    </row>
    <row r="485" spans="1:17" x14ac:dyDescent="0.25">
      <c r="A485" s="18"/>
      <c r="B485" s="18"/>
      <c r="C485" s="18"/>
      <c r="D485" s="18"/>
      <c r="E485" s="18"/>
      <c r="F485" s="18"/>
      <c r="G485" s="18"/>
      <c r="H485" s="18"/>
      <c r="I485" s="18"/>
      <c r="J485" s="18"/>
      <c r="K485" s="18"/>
      <c r="L485" s="12"/>
      <c r="M485" s="18"/>
      <c r="N485" s="18"/>
      <c r="O485" s="18"/>
      <c r="P485" s="18"/>
      <c r="Q485" s="18"/>
    </row>
    <row r="486" spans="1:17" x14ac:dyDescent="0.25">
      <c r="A486" s="18"/>
      <c r="B486" s="18"/>
      <c r="C486" s="18"/>
      <c r="D486" s="18"/>
      <c r="E486" s="18"/>
      <c r="F486" s="18"/>
      <c r="G486" s="18"/>
      <c r="H486" s="18"/>
      <c r="I486" s="18"/>
      <c r="J486" s="18"/>
      <c r="K486" s="18"/>
      <c r="L486" s="12" t="s">
        <v>362</v>
      </c>
      <c r="M486" s="18"/>
      <c r="N486" s="18"/>
      <c r="O486" s="18"/>
      <c r="P486" s="18"/>
      <c r="Q486" s="18"/>
    </row>
    <row r="487" spans="1:17" ht="30" x14ac:dyDescent="0.25">
      <c r="A487" s="18"/>
      <c r="B487" s="18"/>
      <c r="C487" s="18"/>
      <c r="D487" s="18"/>
      <c r="E487" s="18"/>
      <c r="F487" s="18"/>
      <c r="G487" s="18"/>
      <c r="H487" s="18"/>
      <c r="I487" s="18"/>
      <c r="J487" s="18"/>
      <c r="K487" s="18"/>
      <c r="L487" s="12" t="s">
        <v>363</v>
      </c>
      <c r="M487" s="18"/>
      <c r="N487" s="18"/>
      <c r="O487" s="18"/>
      <c r="P487" s="18"/>
      <c r="Q487" s="18"/>
    </row>
    <row r="488" spans="1:17" x14ac:dyDescent="0.25">
      <c r="A488" s="18"/>
      <c r="B488" s="18"/>
      <c r="C488" s="18"/>
      <c r="D488" s="18"/>
      <c r="E488" s="18"/>
      <c r="F488" s="18"/>
      <c r="G488" s="18"/>
      <c r="H488" s="18"/>
      <c r="I488" s="18"/>
      <c r="J488" s="18"/>
      <c r="K488" s="18"/>
      <c r="L488" s="12" t="s">
        <v>364</v>
      </c>
      <c r="M488" s="18"/>
      <c r="N488" s="18"/>
      <c r="O488" s="18"/>
      <c r="P488" s="18"/>
      <c r="Q488" s="18"/>
    </row>
    <row r="489" spans="1:17" ht="225" x14ac:dyDescent="0.25">
      <c r="A489" s="12" t="s">
        <v>7169</v>
      </c>
      <c r="B489" s="12" t="s">
        <v>7233</v>
      </c>
      <c r="C489" s="12" t="s">
        <v>7205</v>
      </c>
      <c r="D489" s="12" t="s">
        <v>7172</v>
      </c>
      <c r="E489" s="12" t="s">
        <v>4518</v>
      </c>
      <c r="F489" s="12" t="s">
        <v>4519</v>
      </c>
      <c r="G489" s="12" t="s">
        <v>12</v>
      </c>
      <c r="H489" s="12" t="s">
        <v>6604</v>
      </c>
      <c r="I489" s="12"/>
      <c r="J489" s="12" t="s">
        <v>99</v>
      </c>
      <c r="K489" s="12"/>
      <c r="L489" s="12"/>
      <c r="M489" s="12" t="s">
        <v>4520</v>
      </c>
      <c r="N489" s="12"/>
      <c r="O489" s="12" t="s">
        <v>4521</v>
      </c>
      <c r="P489" s="12" t="str">
        <f>HYPERLINK("https://ceds.ed.gov/cedselementdetails.aspx?termid=9191")</f>
        <v>https://ceds.ed.gov/cedselementdetails.aspx?termid=9191</v>
      </c>
      <c r="Q489" s="12" t="str">
        <f>HYPERLINK("https://ceds.ed.gov/elementComment.aspx?elementName=Name of Institution &amp;elementID=9191", "Click here to submit comment")</f>
        <v>Click here to submit comment</v>
      </c>
    </row>
    <row r="490" spans="1:17" ht="45" x14ac:dyDescent="0.25">
      <c r="A490" s="12" t="s">
        <v>7169</v>
      </c>
      <c r="B490" s="12" t="s">
        <v>7233</v>
      </c>
      <c r="C490" s="12" t="s">
        <v>7205</v>
      </c>
      <c r="D490" s="12" t="s">
        <v>7172</v>
      </c>
      <c r="E490" s="12" t="s">
        <v>2442</v>
      </c>
      <c r="F490" s="12" t="s">
        <v>2443</v>
      </c>
      <c r="G490" s="12" t="s">
        <v>6364</v>
      </c>
      <c r="H490" s="12" t="s">
        <v>205</v>
      </c>
      <c r="I490" s="12"/>
      <c r="J490" s="12"/>
      <c r="K490" s="12"/>
      <c r="L490" s="12"/>
      <c r="M490" s="12" t="s">
        <v>2445</v>
      </c>
      <c r="N490" s="12"/>
      <c r="O490" s="12" t="s">
        <v>2446</v>
      </c>
      <c r="P490" s="12" t="str">
        <f>HYPERLINK("https://ceds.ed.gov/cedselementdetails.aspx?termid=9786")</f>
        <v>https://ceds.ed.gov/cedselementdetails.aspx?termid=9786</v>
      </c>
      <c r="Q490" s="12" t="str">
        <f>HYPERLINK("https://ceds.ed.gov/elementComment.aspx?elementName=Early Childhood Degree or Certificate Holder &amp;elementID=9786", "Click here to submit comment")</f>
        <v>Click here to submit comment</v>
      </c>
    </row>
    <row r="491" spans="1:17" ht="105" x14ac:dyDescent="0.25">
      <c r="A491" s="12" t="s">
        <v>7169</v>
      </c>
      <c r="B491" s="12" t="s">
        <v>7233</v>
      </c>
      <c r="C491" s="12" t="s">
        <v>7205</v>
      </c>
      <c r="D491" s="12" t="s">
        <v>7172</v>
      </c>
      <c r="E491" s="12" t="s">
        <v>4272</v>
      </c>
      <c r="F491" s="12" t="s">
        <v>4273</v>
      </c>
      <c r="G491" s="13" t="s">
        <v>7016</v>
      </c>
      <c r="H491" s="12" t="s">
        <v>6523</v>
      </c>
      <c r="I491" s="12"/>
      <c r="J491" s="12"/>
      <c r="K491" s="12"/>
      <c r="L491" s="12"/>
      <c r="M491" s="12" t="s">
        <v>4274</v>
      </c>
      <c r="N491" s="12"/>
      <c r="O491" s="12" t="s">
        <v>4275</v>
      </c>
      <c r="P491" s="12" t="str">
        <f>HYPERLINK("https://ceds.ed.gov/cedselementdetails.aspx?termid=9340")</f>
        <v>https://ceds.ed.gov/cedselementdetails.aspx?termid=9340</v>
      </c>
      <c r="Q491" s="12" t="str">
        <f>HYPERLINK("https://ceds.ed.gov/elementComment.aspx?elementName=Level of Specialization in Early Learning &amp;elementID=9340", "Click here to submit comment")</f>
        <v>Click here to submit comment</v>
      </c>
    </row>
    <row r="492" spans="1:17" ht="60" x14ac:dyDescent="0.25">
      <c r="A492" s="12" t="s">
        <v>7169</v>
      </c>
      <c r="B492" s="12" t="s">
        <v>7233</v>
      </c>
      <c r="C492" s="12" t="s">
        <v>7205</v>
      </c>
      <c r="D492" s="12" t="s">
        <v>7172</v>
      </c>
      <c r="E492" s="12" t="s">
        <v>2265</v>
      </c>
      <c r="F492" s="12" t="s">
        <v>2266</v>
      </c>
      <c r="G492" s="12" t="s">
        <v>12</v>
      </c>
      <c r="H492" s="12" t="s">
        <v>6495</v>
      </c>
      <c r="I492" s="12"/>
      <c r="J492" s="12" t="s">
        <v>1386</v>
      </c>
      <c r="K492" s="12"/>
      <c r="L492" s="12"/>
      <c r="M492" s="12" t="s">
        <v>2267</v>
      </c>
      <c r="N492" s="12"/>
      <c r="O492" s="12" t="s">
        <v>2268</v>
      </c>
      <c r="P492" s="12" t="str">
        <f>HYPERLINK("https://ceds.ed.gov/cedselementdetails.aspx?termid=9341")</f>
        <v>https://ceds.ed.gov/cedselementdetails.aspx?termid=9341</v>
      </c>
      <c r="Q492" s="12" t="str">
        <f>HYPERLINK("https://ceds.ed.gov/elementComment.aspx?elementName=Degree or Certificate Title or Subject &amp;elementID=9341", "Click here to submit comment")</f>
        <v>Click here to submit comment</v>
      </c>
    </row>
    <row r="493" spans="1:17" ht="405" x14ac:dyDescent="0.25">
      <c r="A493" s="12" t="s">
        <v>7169</v>
      </c>
      <c r="B493" s="12" t="s">
        <v>7233</v>
      </c>
      <c r="C493" s="12" t="s">
        <v>7205</v>
      </c>
      <c r="D493" s="12" t="s">
        <v>7172</v>
      </c>
      <c r="E493" s="12" t="s">
        <v>2269</v>
      </c>
      <c r="F493" s="12" t="s">
        <v>2270</v>
      </c>
      <c r="G493" s="13" t="s">
        <v>6854</v>
      </c>
      <c r="H493" s="12" t="s">
        <v>6495</v>
      </c>
      <c r="I493" s="12"/>
      <c r="J493" s="12"/>
      <c r="K493" s="12"/>
      <c r="L493" s="12"/>
      <c r="M493" s="12" t="s">
        <v>2271</v>
      </c>
      <c r="N493" s="12"/>
      <c r="O493" s="12" t="s">
        <v>2272</v>
      </c>
      <c r="P493" s="12" t="str">
        <f>HYPERLINK("https://ceds.ed.gov/cedselementdetails.aspx?termid=9342")</f>
        <v>https://ceds.ed.gov/cedselementdetails.aspx?termid=9342</v>
      </c>
      <c r="Q493" s="12" t="str">
        <f>HYPERLINK("https://ceds.ed.gov/elementComment.aspx?elementName=Degree or Certificate Type &amp;elementID=9342", "Click here to submit comment")</f>
        <v>Click here to submit comment</v>
      </c>
    </row>
    <row r="494" spans="1:17" ht="60" x14ac:dyDescent="0.25">
      <c r="A494" s="12" t="s">
        <v>7169</v>
      </c>
      <c r="B494" s="12" t="s">
        <v>7233</v>
      </c>
      <c r="C494" s="12" t="s">
        <v>7205</v>
      </c>
      <c r="D494" s="12" t="s">
        <v>7172</v>
      </c>
      <c r="E494" s="12" t="s">
        <v>2257</v>
      </c>
      <c r="F494" s="12" t="s">
        <v>2258</v>
      </c>
      <c r="G494" s="12" t="s">
        <v>12</v>
      </c>
      <c r="H494" s="12" t="s">
        <v>6495</v>
      </c>
      <c r="I494" s="12"/>
      <c r="J494" s="12" t="s">
        <v>73</v>
      </c>
      <c r="K494" s="12"/>
      <c r="L494" s="12"/>
      <c r="M494" s="12" t="s">
        <v>2259</v>
      </c>
      <c r="N494" s="12"/>
      <c r="O494" s="12" t="s">
        <v>2260</v>
      </c>
      <c r="P494" s="12" t="str">
        <f>HYPERLINK("https://ceds.ed.gov/cedselementdetails.aspx?termid=9343")</f>
        <v>https://ceds.ed.gov/cedselementdetails.aspx?termid=9343</v>
      </c>
      <c r="Q494" s="12" t="str">
        <f>HYPERLINK("https://ceds.ed.gov/elementComment.aspx?elementName=Degree or Certificate Conferring Date &amp;elementID=9343", "Click here to submit comment")</f>
        <v>Click here to submit comment</v>
      </c>
    </row>
    <row r="495" spans="1:17" ht="90" x14ac:dyDescent="0.25">
      <c r="A495" s="12" t="s">
        <v>7169</v>
      </c>
      <c r="B495" s="12" t="s">
        <v>7233</v>
      </c>
      <c r="C495" s="12" t="s">
        <v>7205</v>
      </c>
      <c r="D495" s="12" t="s">
        <v>7172</v>
      </c>
      <c r="E495" s="12" t="s">
        <v>6204</v>
      </c>
      <c r="F495" s="12" t="s">
        <v>6205</v>
      </c>
      <c r="G495" s="12" t="s">
        <v>12</v>
      </c>
      <c r="H495" s="12" t="s">
        <v>205</v>
      </c>
      <c r="I495" s="12"/>
      <c r="J495" s="12" t="s">
        <v>2613</v>
      </c>
      <c r="K495" s="12"/>
      <c r="L495" s="12"/>
      <c r="M495" s="12" t="s">
        <v>6206</v>
      </c>
      <c r="N495" s="12"/>
      <c r="O495" s="12" t="s">
        <v>6207</v>
      </c>
      <c r="P495" s="12" t="str">
        <f>HYPERLINK("https://ceds.ed.gov/cedselementdetails.aspx?termid=9787")</f>
        <v>https://ceds.ed.gov/cedselementdetails.aspx?termid=9787</v>
      </c>
      <c r="Q495" s="12" t="str">
        <f>HYPERLINK("https://ceds.ed.gov/elementComment.aspx?elementName=Total Approved Early Childhood Credits Earned &amp;elementID=9787", "Click here to submit comment")</f>
        <v>Click here to submit comment</v>
      </c>
    </row>
    <row r="496" spans="1:17" ht="75" x14ac:dyDescent="0.25">
      <c r="A496" s="12" t="s">
        <v>7169</v>
      </c>
      <c r="B496" s="12" t="s">
        <v>7233</v>
      </c>
      <c r="C496" s="12" t="s">
        <v>7205</v>
      </c>
      <c r="D496" s="12" t="s">
        <v>7172</v>
      </c>
      <c r="E496" s="12" t="s">
        <v>2611</v>
      </c>
      <c r="F496" s="12" t="s">
        <v>2612</v>
      </c>
      <c r="G496" s="12" t="s">
        <v>12</v>
      </c>
      <c r="H496" s="12" t="s">
        <v>205</v>
      </c>
      <c r="I496" s="12"/>
      <c r="J496" s="12" t="s">
        <v>2613</v>
      </c>
      <c r="K496" s="12"/>
      <c r="L496" s="12"/>
      <c r="M496" s="12" t="s">
        <v>2614</v>
      </c>
      <c r="N496" s="12"/>
      <c r="O496" s="12" t="s">
        <v>2615</v>
      </c>
      <c r="P496" s="12" t="str">
        <f>HYPERLINK("https://ceds.ed.gov/cedselementdetails.aspx?termid=9791")</f>
        <v>https://ceds.ed.gov/cedselementdetails.aspx?termid=9791</v>
      </c>
      <c r="Q496" s="12" t="str">
        <f>HYPERLINK("https://ceds.ed.gov/elementComment.aspx?elementName=Early Learning Staff Total College Credits Earned &amp;elementID=9791", "Click here to submit comment")</f>
        <v>Click here to submit comment</v>
      </c>
    </row>
    <row r="497" spans="1:17" ht="75" x14ac:dyDescent="0.25">
      <c r="A497" s="12" t="s">
        <v>7169</v>
      </c>
      <c r="B497" s="12" t="s">
        <v>7233</v>
      </c>
      <c r="C497" s="12" t="s">
        <v>7205</v>
      </c>
      <c r="D497" s="12" t="s">
        <v>7172</v>
      </c>
      <c r="E497" s="12" t="s">
        <v>4639</v>
      </c>
      <c r="F497" s="12" t="s">
        <v>4640</v>
      </c>
      <c r="G497" s="12" t="s">
        <v>12</v>
      </c>
      <c r="H497" s="12" t="s">
        <v>205</v>
      </c>
      <c r="I497" s="12"/>
      <c r="J497" s="12" t="s">
        <v>2613</v>
      </c>
      <c r="K497" s="12"/>
      <c r="L497" s="12"/>
      <c r="M497" s="12" t="s">
        <v>4641</v>
      </c>
      <c r="N497" s="12"/>
      <c r="O497" s="12" t="s">
        <v>4642</v>
      </c>
      <c r="P497" s="12" t="str">
        <f>HYPERLINK("https://ceds.ed.gov/cedselementdetails.aspx?termid=9815")</f>
        <v>https://ceds.ed.gov/cedselementdetails.aspx?termid=9815</v>
      </c>
      <c r="Q497" s="12" t="str">
        <f>HYPERLINK("https://ceds.ed.gov/elementComment.aspx?elementName=Number of School-age Education Postsecondary Credit Hours &amp;elementID=9815", "Click here to submit comment")</f>
        <v>Click here to submit comment</v>
      </c>
    </row>
    <row r="498" spans="1:17" ht="75" x14ac:dyDescent="0.25">
      <c r="A498" s="12" t="s">
        <v>7169</v>
      </c>
      <c r="B498" s="12" t="s">
        <v>7233</v>
      </c>
      <c r="C498" s="12" t="s">
        <v>7205</v>
      </c>
      <c r="D498" s="12" t="s">
        <v>7172</v>
      </c>
      <c r="E498" s="12" t="s">
        <v>5838</v>
      </c>
      <c r="F498" s="12" t="s">
        <v>5839</v>
      </c>
      <c r="G498" s="12" t="s">
        <v>12</v>
      </c>
      <c r="H498" s="12" t="s">
        <v>205</v>
      </c>
      <c r="I498" s="12"/>
      <c r="J498" s="12" t="s">
        <v>73</v>
      </c>
      <c r="K498" s="12"/>
      <c r="L498" s="12"/>
      <c r="M498" s="12" t="s">
        <v>5840</v>
      </c>
      <c r="N498" s="12"/>
      <c r="O498" s="12" t="s">
        <v>5841</v>
      </c>
      <c r="P498" s="12" t="str">
        <f>HYPERLINK("https://ceds.ed.gov/cedselementdetails.aspx?termid=9792")</f>
        <v>https://ceds.ed.gov/cedselementdetails.aspx?termid=9792</v>
      </c>
      <c r="Q498" s="12" t="str">
        <f>HYPERLINK("https://ceds.ed.gov/elementComment.aspx?elementName=Staff Education Entry Date &amp;elementID=9792", "Click here to submit comment")</f>
        <v>Click here to submit comment</v>
      </c>
    </row>
    <row r="499" spans="1:17" ht="75" x14ac:dyDescent="0.25">
      <c r="A499" s="12" t="s">
        <v>7169</v>
      </c>
      <c r="B499" s="12" t="s">
        <v>7233</v>
      </c>
      <c r="C499" s="12" t="s">
        <v>7205</v>
      </c>
      <c r="D499" s="12" t="s">
        <v>7172</v>
      </c>
      <c r="E499" s="12" t="s">
        <v>5842</v>
      </c>
      <c r="F499" s="12" t="s">
        <v>5843</v>
      </c>
      <c r="G499" s="12" t="s">
        <v>12</v>
      </c>
      <c r="H499" s="12" t="s">
        <v>205</v>
      </c>
      <c r="I499" s="12"/>
      <c r="J499" s="12" t="s">
        <v>73</v>
      </c>
      <c r="K499" s="12"/>
      <c r="L499" s="12"/>
      <c r="M499" s="12" t="s">
        <v>5844</v>
      </c>
      <c r="N499" s="12"/>
      <c r="O499" s="12" t="s">
        <v>5845</v>
      </c>
      <c r="P499" s="12" t="str">
        <f>HYPERLINK("https://ceds.ed.gov/cedselementdetails.aspx?termid=9793")</f>
        <v>https://ceds.ed.gov/cedselementdetails.aspx?termid=9793</v>
      </c>
      <c r="Q499" s="12" t="str">
        <f>HYPERLINK("https://ceds.ed.gov/elementComment.aspx?elementName=Staff Education Withdrawal Date &amp;elementID=9793", "Click here to submit comment")</f>
        <v>Click here to submit comment</v>
      </c>
    </row>
    <row r="500" spans="1:17" ht="409.5" x14ac:dyDescent="0.25">
      <c r="A500" s="12" t="s">
        <v>7169</v>
      </c>
      <c r="B500" s="12" t="s">
        <v>7233</v>
      </c>
      <c r="C500" s="12" t="s">
        <v>7205</v>
      </c>
      <c r="D500" s="12" t="s">
        <v>7172</v>
      </c>
      <c r="E500" s="12" t="s">
        <v>3213</v>
      </c>
      <c r="F500" s="12" t="s">
        <v>3214</v>
      </c>
      <c r="G500" s="13" t="s">
        <v>6786</v>
      </c>
      <c r="H500" s="12" t="s">
        <v>6561</v>
      </c>
      <c r="I500" s="12"/>
      <c r="J500" s="12"/>
      <c r="K500" s="12"/>
      <c r="L500" s="12"/>
      <c r="M500" s="12" t="s">
        <v>3215</v>
      </c>
      <c r="N500" s="12"/>
      <c r="O500" s="12" t="s">
        <v>3216</v>
      </c>
      <c r="P500" s="12" t="str">
        <f>HYPERLINK("https://ceds.ed.gov/cedselementdetails.aspx?termid=9141")</f>
        <v>https://ceds.ed.gov/cedselementdetails.aspx?termid=9141</v>
      </c>
      <c r="Q500" s="12" t="str">
        <f>HYPERLINK("https://ceds.ed.gov/elementComment.aspx?elementName=Highest Level of Education Completed &amp;elementID=9141", "Click here to submit comment")</f>
        <v>Click here to submit comment</v>
      </c>
    </row>
    <row r="501" spans="1:17" ht="120" x14ac:dyDescent="0.25">
      <c r="A501" s="12" t="s">
        <v>7169</v>
      </c>
      <c r="B501" s="12" t="s">
        <v>7233</v>
      </c>
      <c r="C501" s="12" t="s">
        <v>7205</v>
      </c>
      <c r="D501" s="12" t="s">
        <v>7172</v>
      </c>
      <c r="E501" s="12" t="s">
        <v>3209</v>
      </c>
      <c r="F501" s="12" t="s">
        <v>3210</v>
      </c>
      <c r="G501" s="13" t="s">
        <v>6948</v>
      </c>
      <c r="H501" s="12" t="s">
        <v>205</v>
      </c>
      <c r="I501" s="12"/>
      <c r="J501" s="12"/>
      <c r="K501" s="12"/>
      <c r="L501" s="12"/>
      <c r="M501" s="12" t="s">
        <v>3211</v>
      </c>
      <c r="N501" s="12"/>
      <c r="O501" s="12" t="s">
        <v>3212</v>
      </c>
      <c r="P501" s="12" t="str">
        <f>HYPERLINK("https://ceds.ed.gov/cedselementdetails.aspx?termid=9817")</f>
        <v>https://ceds.ed.gov/cedselementdetails.aspx?termid=9817</v>
      </c>
      <c r="Q501" s="12" t="str">
        <f>HYPERLINK("https://ceds.ed.gov/elementComment.aspx?elementName=Higher Education Institution Accreditation Status &amp;elementID=9817", "Click here to submit comment")</f>
        <v>Click here to submit comment</v>
      </c>
    </row>
    <row r="502" spans="1:17" ht="90" x14ac:dyDescent="0.25">
      <c r="A502" s="12" t="s">
        <v>7169</v>
      </c>
      <c r="B502" s="12" t="s">
        <v>7233</v>
      </c>
      <c r="C502" s="12" t="s">
        <v>7205</v>
      </c>
      <c r="D502" s="12" t="s">
        <v>7172</v>
      </c>
      <c r="E502" s="12" t="s">
        <v>2639</v>
      </c>
      <c r="F502" s="12" t="s">
        <v>2640</v>
      </c>
      <c r="G502" s="13" t="s">
        <v>6897</v>
      </c>
      <c r="H502" s="12"/>
      <c r="I502" s="12"/>
      <c r="J502" s="12"/>
      <c r="K502" s="12"/>
      <c r="L502" s="12"/>
      <c r="M502" s="12" t="s">
        <v>2641</v>
      </c>
      <c r="N502" s="12"/>
      <c r="O502" s="12" t="s">
        <v>2642</v>
      </c>
      <c r="P502" s="12" t="str">
        <f>HYPERLINK("https://ceds.ed.gov/cedselementdetails.aspx?termid=10586")</f>
        <v>https://ceds.ed.gov/cedselementdetails.aspx?termid=10586</v>
      </c>
      <c r="Q502" s="12" t="str">
        <f>HYPERLINK("https://ceds.ed.gov/elementComment.aspx?elementName=Education Verification Method &amp;elementID=10586", "Click here to submit comment")</f>
        <v>Click here to submit comment</v>
      </c>
    </row>
    <row r="503" spans="1:17" ht="90" x14ac:dyDescent="0.25">
      <c r="A503" s="12" t="s">
        <v>7169</v>
      </c>
      <c r="B503" s="12" t="s">
        <v>7233</v>
      </c>
      <c r="C503" s="12" t="s">
        <v>7205</v>
      </c>
      <c r="D503" s="12" t="s">
        <v>7172</v>
      </c>
      <c r="E503" s="12" t="s">
        <v>5719</v>
      </c>
      <c r="F503" s="12" t="s">
        <v>5720</v>
      </c>
      <c r="G503" s="12" t="s">
        <v>12</v>
      </c>
      <c r="H503" s="12"/>
      <c r="I503" s="12"/>
      <c r="J503" s="12" t="s">
        <v>92</v>
      </c>
      <c r="K503" s="12"/>
      <c r="L503" s="12" t="s">
        <v>5721</v>
      </c>
      <c r="M503" s="12" t="s">
        <v>5722</v>
      </c>
      <c r="N503" s="12"/>
      <c r="O503" s="12" t="s">
        <v>5723</v>
      </c>
      <c r="P503" s="12" t="str">
        <f>HYPERLINK("https://ceds.ed.gov/cedselementdetails.aspx?termid=10459")</f>
        <v>https://ceds.ed.gov/cedselementdetails.aspx?termid=10459</v>
      </c>
      <c r="Q503" s="12" t="str">
        <f>HYPERLINK("https://ceds.ed.gov/elementComment.aspx?elementName=Short Name of Institution &amp;elementID=10459", "Click here to submit comment")</f>
        <v>Click here to submit comment</v>
      </c>
    </row>
    <row r="504" spans="1:17" ht="210" x14ac:dyDescent="0.25">
      <c r="A504" s="12" t="s">
        <v>7169</v>
      </c>
      <c r="B504" s="12" t="s">
        <v>7233</v>
      </c>
      <c r="C504" s="12" t="s">
        <v>7234</v>
      </c>
      <c r="D504" s="12" t="s">
        <v>7172</v>
      </c>
      <c r="E504" s="12" t="s">
        <v>3222</v>
      </c>
      <c r="F504" s="12" t="s">
        <v>3223</v>
      </c>
      <c r="G504" s="12" t="s">
        <v>12</v>
      </c>
      <c r="H504" s="12" t="s">
        <v>6563</v>
      </c>
      <c r="I504" s="12"/>
      <c r="J504" s="12" t="s">
        <v>73</v>
      </c>
      <c r="K504" s="12"/>
      <c r="L504" s="12" t="s">
        <v>3224</v>
      </c>
      <c r="M504" s="12" t="s">
        <v>3225</v>
      </c>
      <c r="N504" s="12"/>
      <c r="O504" s="12" t="s">
        <v>3226</v>
      </c>
      <c r="P504" s="12" t="str">
        <f>HYPERLINK("https://ceds.ed.gov/cedselementdetails.aspx?termid=9143")</f>
        <v>https://ceds.ed.gov/cedselementdetails.aspx?termid=9143</v>
      </c>
      <c r="Q504" s="12" t="str">
        <f>HYPERLINK("https://ceds.ed.gov/elementComment.aspx?elementName=Hire Date &amp;elementID=9143", "Click here to submit comment")</f>
        <v>Click here to submit comment</v>
      </c>
    </row>
    <row r="505" spans="1:17" ht="150" x14ac:dyDescent="0.25">
      <c r="A505" s="12" t="s">
        <v>7169</v>
      </c>
      <c r="B505" s="12" t="s">
        <v>7233</v>
      </c>
      <c r="C505" s="12" t="s">
        <v>7234</v>
      </c>
      <c r="D505" s="12" t="s">
        <v>7172</v>
      </c>
      <c r="E505" s="12" t="s">
        <v>5822</v>
      </c>
      <c r="F505" s="12" t="s">
        <v>5823</v>
      </c>
      <c r="G505" s="12" t="s">
        <v>12</v>
      </c>
      <c r="H505" s="12" t="s">
        <v>1907</v>
      </c>
      <c r="I505" s="12"/>
      <c r="J505" s="12" t="s">
        <v>1554</v>
      </c>
      <c r="K505" s="12"/>
      <c r="L505" s="12"/>
      <c r="M505" s="12" t="s">
        <v>5824</v>
      </c>
      <c r="N505" s="12"/>
      <c r="O505" s="12" t="s">
        <v>5825</v>
      </c>
      <c r="P505" s="12" t="str">
        <f>HYPERLINK("https://ceds.ed.gov/cedselementdetails.aspx?termid=9205")</f>
        <v>https://ceds.ed.gov/cedselementdetails.aspx?termid=9205</v>
      </c>
      <c r="Q505" s="12" t="str">
        <f>HYPERLINK("https://ceds.ed.gov/elementComment.aspx?elementName=Staff Compensation Other Benefits &amp;elementID=9205", "Click here to submit comment")</f>
        <v>Click here to submit comment</v>
      </c>
    </row>
    <row r="506" spans="1:17" ht="60" x14ac:dyDescent="0.25">
      <c r="A506" s="12" t="s">
        <v>7169</v>
      </c>
      <c r="B506" s="12" t="s">
        <v>7233</v>
      </c>
      <c r="C506" s="12" t="s">
        <v>7234</v>
      </c>
      <c r="D506" s="12" t="s">
        <v>7172</v>
      </c>
      <c r="E506" s="12" t="s">
        <v>2727</v>
      </c>
      <c r="F506" s="12" t="s">
        <v>2728</v>
      </c>
      <c r="G506" s="12" t="s">
        <v>12</v>
      </c>
      <c r="H506" s="12" t="s">
        <v>6523</v>
      </c>
      <c r="I506" s="12"/>
      <c r="J506" s="12" t="s">
        <v>73</v>
      </c>
      <c r="K506" s="12"/>
      <c r="L506" s="12"/>
      <c r="M506" s="12" t="s">
        <v>2729</v>
      </c>
      <c r="N506" s="12"/>
      <c r="O506" s="12" t="s">
        <v>2730</v>
      </c>
      <c r="P506" s="12" t="str">
        <f>HYPERLINK("https://ceds.ed.gov/cedselementdetails.aspx?termid=9345")</f>
        <v>https://ceds.ed.gov/cedselementdetails.aspx?termid=9345</v>
      </c>
      <c r="Q506" s="12" t="str">
        <f>HYPERLINK("https://ceds.ed.gov/elementComment.aspx?elementName=Employment Start Date &amp;elementID=9345", "Click here to submit comment")</f>
        <v>Click here to submit comment</v>
      </c>
    </row>
    <row r="507" spans="1:17" ht="60" x14ac:dyDescent="0.25">
      <c r="A507" s="12" t="s">
        <v>7169</v>
      </c>
      <c r="B507" s="12" t="s">
        <v>7233</v>
      </c>
      <c r="C507" s="12" t="s">
        <v>7234</v>
      </c>
      <c r="D507" s="12" t="s">
        <v>7172</v>
      </c>
      <c r="E507" s="12" t="s">
        <v>2691</v>
      </c>
      <c r="F507" s="12" t="s">
        <v>2692</v>
      </c>
      <c r="G507" s="12" t="s">
        <v>12</v>
      </c>
      <c r="H507" s="12" t="s">
        <v>205</v>
      </c>
      <c r="I507" s="12"/>
      <c r="J507" s="12" t="s">
        <v>73</v>
      </c>
      <c r="K507" s="12"/>
      <c r="L507" s="12"/>
      <c r="M507" s="12" t="s">
        <v>2693</v>
      </c>
      <c r="N507" s="12"/>
      <c r="O507" s="12" t="s">
        <v>2694</v>
      </c>
      <c r="P507" s="12" t="str">
        <f>HYPERLINK("https://ceds.ed.gov/cedselementdetails.aspx?termid=9794")</f>
        <v>https://ceds.ed.gov/cedselementdetails.aspx?termid=9794</v>
      </c>
      <c r="Q507" s="12" t="str">
        <f>HYPERLINK("https://ceds.ed.gov/elementComment.aspx?elementName=Employment End Date &amp;elementID=9794", "Click here to submit comment")</f>
        <v>Click here to submit comment</v>
      </c>
    </row>
    <row r="508" spans="1:17" ht="210" x14ac:dyDescent="0.25">
      <c r="A508" s="12" t="s">
        <v>7169</v>
      </c>
      <c r="B508" s="12" t="s">
        <v>7233</v>
      </c>
      <c r="C508" s="12" t="s">
        <v>7234</v>
      </c>
      <c r="D508" s="12" t="s">
        <v>7172</v>
      </c>
      <c r="E508" s="12" t="s">
        <v>2731</v>
      </c>
      <c r="F508" s="12" t="s">
        <v>293</v>
      </c>
      <c r="G508" s="13" t="s">
        <v>6904</v>
      </c>
      <c r="H508" s="12" t="s">
        <v>6495</v>
      </c>
      <c r="I508" s="12"/>
      <c r="J508" s="12"/>
      <c r="K508" s="12"/>
      <c r="L508" s="12"/>
      <c r="M508" s="12" t="s">
        <v>2732</v>
      </c>
      <c r="N508" s="12"/>
      <c r="O508" s="12" t="s">
        <v>2733</v>
      </c>
      <c r="P508" s="12" t="str">
        <f>HYPERLINK("https://ceds.ed.gov/cedselementdetails.aspx?termid=9346")</f>
        <v>https://ceds.ed.gov/cedselementdetails.aspx?termid=9346</v>
      </c>
      <c r="Q508" s="12" t="str">
        <f>HYPERLINK("https://ceds.ed.gov/elementComment.aspx?elementName=Employment Status &amp;elementID=9346", "Click here to submit comment")</f>
        <v>Click here to submit comment</v>
      </c>
    </row>
    <row r="509" spans="1:17" ht="30" x14ac:dyDescent="0.25">
      <c r="A509" s="12" t="s">
        <v>7169</v>
      </c>
      <c r="B509" s="12" t="s">
        <v>7233</v>
      </c>
      <c r="C509" s="12" t="s">
        <v>7234</v>
      </c>
      <c r="D509" s="12" t="s">
        <v>7172</v>
      </c>
      <c r="E509" s="12" t="s">
        <v>3260</v>
      </c>
      <c r="F509" s="12" t="s">
        <v>3261</v>
      </c>
      <c r="G509" s="12" t="s">
        <v>12</v>
      </c>
      <c r="H509" s="12" t="s">
        <v>205</v>
      </c>
      <c r="I509" s="12"/>
      <c r="J509" s="12" t="s">
        <v>2613</v>
      </c>
      <c r="K509" s="12"/>
      <c r="L509" s="12"/>
      <c r="M509" s="12" t="s">
        <v>3262</v>
      </c>
      <c r="N509" s="12"/>
      <c r="O509" s="12" t="s">
        <v>3263</v>
      </c>
      <c r="P509" s="12" t="str">
        <f>HYPERLINK("https://ceds.ed.gov/cedselementdetails.aspx?termid=9795")</f>
        <v>https://ceds.ed.gov/cedselementdetails.aspx?termid=9795</v>
      </c>
      <c r="Q509" s="12" t="str">
        <f>HYPERLINK("https://ceds.ed.gov/elementComment.aspx?elementName=Hours Worked Per Week &amp;elementID=9795", "Click here to submit comment")</f>
        <v>Click here to submit comment</v>
      </c>
    </row>
    <row r="510" spans="1:17" ht="30" x14ac:dyDescent="0.25">
      <c r="A510" s="12" t="s">
        <v>7169</v>
      </c>
      <c r="B510" s="12" t="s">
        <v>7233</v>
      </c>
      <c r="C510" s="12" t="s">
        <v>7234</v>
      </c>
      <c r="D510" s="12" t="s">
        <v>7172</v>
      </c>
      <c r="E510" s="12" t="s">
        <v>3252</v>
      </c>
      <c r="F510" s="12" t="s">
        <v>3253</v>
      </c>
      <c r="G510" s="12" t="s">
        <v>12</v>
      </c>
      <c r="H510" s="12" t="s">
        <v>205</v>
      </c>
      <c r="I510" s="12"/>
      <c r="J510" s="12" t="s">
        <v>2613</v>
      </c>
      <c r="K510" s="12"/>
      <c r="L510" s="12"/>
      <c r="M510" s="12" t="s">
        <v>3254</v>
      </c>
      <c r="N510" s="12"/>
      <c r="O510" s="12" t="s">
        <v>3255</v>
      </c>
      <c r="P510" s="12" t="str">
        <f>HYPERLINK("https://ceds.ed.gov/cedselementdetails.aspx?termid=9796")</f>
        <v>https://ceds.ed.gov/cedselementdetails.aspx?termid=9796</v>
      </c>
      <c r="Q510" s="12" t="str">
        <f>HYPERLINK("https://ceds.ed.gov/elementComment.aspx?elementName=Hourly Wage &amp;elementID=9796", "Click here to submit comment")</f>
        <v>Click here to submit comment</v>
      </c>
    </row>
    <row r="511" spans="1:17" ht="135" x14ac:dyDescent="0.25">
      <c r="A511" s="12" t="s">
        <v>7169</v>
      </c>
      <c r="B511" s="12" t="s">
        <v>7233</v>
      </c>
      <c r="C511" s="12" t="s">
        <v>7234</v>
      </c>
      <c r="D511" s="12" t="s">
        <v>7172</v>
      </c>
      <c r="E511" s="12" t="s">
        <v>6296</v>
      </c>
      <c r="F511" s="12" t="s">
        <v>6297</v>
      </c>
      <c r="G511" s="13" t="s">
        <v>7153</v>
      </c>
      <c r="H511" s="12" t="s">
        <v>205</v>
      </c>
      <c r="I511" s="12"/>
      <c r="J511" s="12"/>
      <c r="K511" s="12"/>
      <c r="L511" s="12"/>
      <c r="M511" s="12" t="s">
        <v>6298</v>
      </c>
      <c r="N511" s="12"/>
      <c r="O511" s="12" t="s">
        <v>6299</v>
      </c>
      <c r="P511" s="12" t="str">
        <f>HYPERLINK("https://ceds.ed.gov/cedselementdetails.aspx?termid=9797")</f>
        <v>https://ceds.ed.gov/cedselementdetails.aspx?termid=9797</v>
      </c>
      <c r="Q511" s="12" t="str">
        <f>HYPERLINK("https://ceds.ed.gov/elementComment.aspx?elementName=Wage Collection Code &amp;elementID=9797", "Click here to submit comment")</f>
        <v>Click here to submit comment</v>
      </c>
    </row>
    <row r="512" spans="1:17" ht="135" x14ac:dyDescent="0.25">
      <c r="A512" s="12" t="s">
        <v>7169</v>
      </c>
      <c r="B512" s="12" t="s">
        <v>7233</v>
      </c>
      <c r="C512" s="12" t="s">
        <v>7234</v>
      </c>
      <c r="D512" s="12" t="s">
        <v>7172</v>
      </c>
      <c r="E512" s="12" t="s">
        <v>5826</v>
      </c>
      <c r="F512" s="12" t="s">
        <v>5827</v>
      </c>
      <c r="G512" s="12" t="s">
        <v>12</v>
      </c>
      <c r="H512" s="12" t="s">
        <v>1907</v>
      </c>
      <c r="I512" s="12"/>
      <c r="J512" s="12" t="s">
        <v>1554</v>
      </c>
      <c r="K512" s="12"/>
      <c r="L512" s="12"/>
      <c r="M512" s="12" t="s">
        <v>5828</v>
      </c>
      <c r="N512" s="12"/>
      <c r="O512" s="12" t="s">
        <v>5829</v>
      </c>
      <c r="P512" s="12" t="str">
        <f>HYPERLINK("https://ceds.ed.gov/cedselementdetails.aspx?termid=9233")</f>
        <v>https://ceds.ed.gov/cedselementdetails.aspx?termid=9233</v>
      </c>
      <c r="Q512" s="12" t="str">
        <f>HYPERLINK("https://ceds.ed.gov/elementComment.aspx?elementName=Staff Compensation Retirement Benefits &amp;elementID=9233", "Click here to submit comment")</f>
        <v>Click here to submit comment</v>
      </c>
    </row>
    <row r="513" spans="1:17" ht="60" x14ac:dyDescent="0.25">
      <c r="A513" s="12" t="s">
        <v>7169</v>
      </c>
      <c r="B513" s="12" t="s">
        <v>7233</v>
      </c>
      <c r="C513" s="12" t="s">
        <v>7234</v>
      </c>
      <c r="D513" s="12" t="s">
        <v>7172</v>
      </c>
      <c r="E513" s="12" t="s">
        <v>6300</v>
      </c>
      <c r="F513" s="12" t="s">
        <v>6301</v>
      </c>
      <c r="G513" s="13" t="s">
        <v>7154</v>
      </c>
      <c r="H513" s="12" t="s">
        <v>205</v>
      </c>
      <c r="I513" s="12"/>
      <c r="J513" s="12"/>
      <c r="K513" s="12"/>
      <c r="L513" s="12"/>
      <c r="M513" s="12" t="s">
        <v>6302</v>
      </c>
      <c r="N513" s="12"/>
      <c r="O513" s="12" t="s">
        <v>6303</v>
      </c>
      <c r="P513" s="12" t="str">
        <f>HYPERLINK("https://ceds.ed.gov/cedselementdetails.aspx?termid=9818")</f>
        <v>https://ceds.ed.gov/cedselementdetails.aspx?termid=9818</v>
      </c>
      <c r="Q513" s="12" t="str">
        <f>HYPERLINK("https://ceds.ed.gov/elementComment.aspx?elementName=Wage Verification Code &amp;elementID=9818", "Click here to submit comment")</f>
        <v>Click here to submit comment</v>
      </c>
    </row>
    <row r="514" spans="1:17" ht="45" x14ac:dyDescent="0.25">
      <c r="A514" s="12" t="s">
        <v>7169</v>
      </c>
      <c r="B514" s="12" t="s">
        <v>7233</v>
      </c>
      <c r="C514" s="12" t="s">
        <v>7234</v>
      </c>
      <c r="D514" s="12" t="s">
        <v>7172</v>
      </c>
      <c r="E514" s="12" t="s">
        <v>4680</v>
      </c>
      <c r="F514" s="12" t="s">
        <v>4681</v>
      </c>
      <c r="G514" s="12" t="s">
        <v>12</v>
      </c>
      <c r="H514" s="12" t="s">
        <v>205</v>
      </c>
      <c r="I514" s="12"/>
      <c r="J514" s="12" t="s">
        <v>99</v>
      </c>
      <c r="K514" s="12"/>
      <c r="L514" s="12"/>
      <c r="M514" s="12" t="s">
        <v>4682</v>
      </c>
      <c r="N514" s="12"/>
      <c r="O514" s="12" t="s">
        <v>4683</v>
      </c>
      <c r="P514" s="12" t="str">
        <f>HYPERLINK("https://ceds.ed.gov/cedselementdetails.aspx?termid=9204")</f>
        <v>https://ceds.ed.gov/cedselementdetails.aspx?termid=9204</v>
      </c>
      <c r="Q514" s="12" t="str">
        <f>HYPERLINK("https://ceds.ed.gov/elementComment.aspx?elementName=Organization Name &amp;elementID=9204", "Click here to submit comment")</f>
        <v>Click here to submit comment</v>
      </c>
    </row>
    <row r="515" spans="1:17" ht="45" x14ac:dyDescent="0.25">
      <c r="A515" s="12" t="s">
        <v>7169</v>
      </c>
      <c r="B515" s="12" t="s">
        <v>7233</v>
      </c>
      <c r="C515" s="12" t="s">
        <v>7234</v>
      </c>
      <c r="D515" s="12" t="s">
        <v>7172</v>
      </c>
      <c r="E515" s="12" t="s">
        <v>6268</v>
      </c>
      <c r="F515" s="12" t="s">
        <v>6269</v>
      </c>
      <c r="G515" s="12" t="s">
        <v>6364</v>
      </c>
      <c r="H515" s="12" t="s">
        <v>205</v>
      </c>
      <c r="I515" s="12"/>
      <c r="J515" s="12"/>
      <c r="K515" s="12"/>
      <c r="L515" s="12"/>
      <c r="M515" s="12" t="s">
        <v>6270</v>
      </c>
      <c r="N515" s="12"/>
      <c r="O515" s="12" t="s">
        <v>6271</v>
      </c>
      <c r="P515" s="12" t="str">
        <f>HYPERLINK("https://ceds.ed.gov/cedselementdetails.aspx?termid=9798")</f>
        <v>https://ceds.ed.gov/cedselementdetails.aspx?termid=9798</v>
      </c>
      <c r="Q515" s="12" t="str">
        <f>HYPERLINK("https://ceds.ed.gov/elementComment.aspx?elementName=Union Membership Status &amp;elementID=9798", "Click here to submit comment")</f>
        <v>Click here to submit comment</v>
      </c>
    </row>
    <row r="516" spans="1:17" ht="165" x14ac:dyDescent="0.25">
      <c r="A516" s="12" t="s">
        <v>7169</v>
      </c>
      <c r="B516" s="12" t="s">
        <v>7233</v>
      </c>
      <c r="C516" s="12" t="s">
        <v>7234</v>
      </c>
      <c r="D516" s="12" t="s">
        <v>7172</v>
      </c>
      <c r="E516" s="12" t="s">
        <v>5830</v>
      </c>
      <c r="F516" s="12" t="s">
        <v>5831</v>
      </c>
      <c r="G516" s="12" t="s">
        <v>12</v>
      </c>
      <c r="H516" s="12" t="s">
        <v>1907</v>
      </c>
      <c r="I516" s="12"/>
      <c r="J516" s="12" t="s">
        <v>1554</v>
      </c>
      <c r="K516" s="12"/>
      <c r="L516" s="12"/>
      <c r="M516" s="12" t="s">
        <v>5832</v>
      </c>
      <c r="N516" s="12"/>
      <c r="O516" s="12" t="s">
        <v>5833</v>
      </c>
      <c r="P516" s="12" t="str">
        <f>HYPERLINK("https://ceds.ed.gov/cedselementdetails.aspx?termid=9293")</f>
        <v>https://ceds.ed.gov/cedselementdetails.aspx?termid=9293</v>
      </c>
      <c r="Q516" s="12" t="str">
        <f>HYPERLINK("https://ceds.ed.gov/elementComment.aspx?elementName=Staff Compensation Total Benefits &amp;elementID=9293", "Click here to submit comment")</f>
        <v>Click here to submit comment</v>
      </c>
    </row>
    <row r="517" spans="1:17" ht="60" x14ac:dyDescent="0.25">
      <c r="A517" s="12" t="s">
        <v>7169</v>
      </c>
      <c r="B517" s="12" t="s">
        <v>7233</v>
      </c>
      <c r="C517" s="12" t="s">
        <v>7234</v>
      </c>
      <c r="D517" s="12" t="s">
        <v>7172</v>
      </c>
      <c r="E517" s="12" t="s">
        <v>5834</v>
      </c>
      <c r="F517" s="12" t="s">
        <v>5835</v>
      </c>
      <c r="G517" s="12" t="s">
        <v>12</v>
      </c>
      <c r="H517" s="12" t="s">
        <v>1907</v>
      </c>
      <c r="I517" s="12"/>
      <c r="J517" s="12" t="s">
        <v>1554</v>
      </c>
      <c r="K517" s="12"/>
      <c r="L517" s="12"/>
      <c r="M517" s="12" t="s">
        <v>5836</v>
      </c>
      <c r="N517" s="12"/>
      <c r="O517" s="12" t="s">
        <v>5837</v>
      </c>
      <c r="P517" s="12" t="str">
        <f>HYPERLINK("https://ceds.ed.gov/cedselementdetails.aspx?termid=9295")</f>
        <v>https://ceds.ed.gov/cedselementdetails.aspx?termid=9295</v>
      </c>
      <c r="Q517" s="12" t="str">
        <f>HYPERLINK("https://ceds.ed.gov/elementComment.aspx?elementName=Staff Compensation Total Salary &amp;elementID=9295", "Click here to submit comment")</f>
        <v>Click here to submit comment</v>
      </c>
    </row>
    <row r="518" spans="1:17" ht="409.5" x14ac:dyDescent="0.25">
      <c r="A518" s="12" t="s">
        <v>7169</v>
      </c>
      <c r="B518" s="12" t="s">
        <v>7233</v>
      </c>
      <c r="C518" s="12" t="s">
        <v>7234</v>
      </c>
      <c r="D518" s="12" t="s">
        <v>7172</v>
      </c>
      <c r="E518" s="12" t="s">
        <v>2494</v>
      </c>
      <c r="F518" s="12" t="s">
        <v>2495</v>
      </c>
      <c r="G518" s="13" t="s">
        <v>6880</v>
      </c>
      <c r="H518" s="12"/>
      <c r="I518" s="12"/>
      <c r="J518" s="12"/>
      <c r="K518" s="12"/>
      <c r="L518" s="12"/>
      <c r="M518" s="12" t="s">
        <v>2497</v>
      </c>
      <c r="N518" s="12"/>
      <c r="O518" s="12" t="s">
        <v>2498</v>
      </c>
      <c r="P518" s="12" t="str">
        <f>HYPERLINK("https://ceds.ed.gov/cedselementdetails.aspx?termid=10581")</f>
        <v>https://ceds.ed.gov/cedselementdetails.aspx?termid=10581</v>
      </c>
      <c r="Q518" s="12" t="str">
        <f>HYPERLINK("https://ceds.ed.gov/elementComment.aspx?elementName=Early Learning Education Staff Classification &amp;elementID=10581", "Click here to submit comment")</f>
        <v>Click here to submit comment</v>
      </c>
    </row>
    <row r="519" spans="1:17" ht="405" x14ac:dyDescent="0.25">
      <c r="A519" s="12" t="s">
        <v>7169</v>
      </c>
      <c r="B519" s="12" t="s">
        <v>7233</v>
      </c>
      <c r="C519" s="12" t="s">
        <v>7234</v>
      </c>
      <c r="D519" s="12" t="s">
        <v>7172</v>
      </c>
      <c r="E519" s="12" t="s">
        <v>2499</v>
      </c>
      <c r="F519" s="12" t="s">
        <v>2500</v>
      </c>
      <c r="G519" s="13" t="s">
        <v>6881</v>
      </c>
      <c r="H519" s="12"/>
      <c r="I519" s="12"/>
      <c r="J519" s="12"/>
      <c r="K519" s="12"/>
      <c r="L519" s="12"/>
      <c r="M519" s="12" t="s">
        <v>2501</v>
      </c>
      <c r="N519" s="12"/>
      <c r="O519" s="12" t="s">
        <v>2502</v>
      </c>
      <c r="P519" s="12" t="str">
        <f>HYPERLINK("https://ceds.ed.gov/cedselementdetails.aspx?termid=10613")</f>
        <v>https://ceds.ed.gov/cedselementdetails.aspx?termid=10613</v>
      </c>
      <c r="Q519" s="12" t="str">
        <f>HYPERLINK("https://ceds.ed.gov/elementComment.aspx?elementName=Early Learning Employment Separation Reason &amp;elementID=10613", "Click here to submit comment")</f>
        <v>Click here to submit comment</v>
      </c>
    </row>
    <row r="520" spans="1:17" ht="409.5" x14ac:dyDescent="0.25">
      <c r="A520" s="12" t="s">
        <v>7169</v>
      </c>
      <c r="B520" s="12" t="s">
        <v>7233</v>
      </c>
      <c r="C520" s="12" t="s">
        <v>7234</v>
      </c>
      <c r="D520" s="12" t="s">
        <v>7172</v>
      </c>
      <c r="E520" s="12" t="s">
        <v>2603</v>
      </c>
      <c r="F520" s="12" t="s">
        <v>2604</v>
      </c>
      <c r="G520" s="13" t="s">
        <v>6892</v>
      </c>
      <c r="H520" s="12"/>
      <c r="I520" s="12"/>
      <c r="J520" s="12"/>
      <c r="K520" s="12"/>
      <c r="L520" s="12"/>
      <c r="M520" s="12" t="s">
        <v>2605</v>
      </c>
      <c r="N520" s="12"/>
      <c r="O520" s="12" t="s">
        <v>2606</v>
      </c>
      <c r="P520" s="12" t="str">
        <f>HYPERLINK("https://ceds.ed.gov/cedselementdetails.aspx?termid=10617")</f>
        <v>https://ceds.ed.gov/cedselementdetails.aspx?termid=10617</v>
      </c>
      <c r="Q520" s="12" t="str">
        <f>HYPERLINK("https://ceds.ed.gov/elementComment.aspx?elementName=Early Learning Service Professional Staff Classification &amp;elementID=10617", "Click here to submit comment")</f>
        <v>Click here to submit comment</v>
      </c>
    </row>
    <row r="521" spans="1:17" ht="405" x14ac:dyDescent="0.25">
      <c r="A521" s="12" t="s">
        <v>7169</v>
      </c>
      <c r="B521" s="12" t="s">
        <v>7233</v>
      </c>
      <c r="C521" s="12" t="s">
        <v>7234</v>
      </c>
      <c r="D521" s="12" t="s">
        <v>7172</v>
      </c>
      <c r="E521" s="12" t="s">
        <v>2720</v>
      </c>
      <c r="F521" s="12" t="s">
        <v>2500</v>
      </c>
      <c r="G521" s="13" t="s">
        <v>6881</v>
      </c>
      <c r="H521" s="12"/>
      <c r="I521" s="12"/>
      <c r="J521" s="12"/>
      <c r="K521" s="12"/>
      <c r="L521" s="12"/>
      <c r="M521" s="12" t="s">
        <v>2721</v>
      </c>
      <c r="N521" s="12"/>
      <c r="O521" s="12" t="s">
        <v>2722</v>
      </c>
      <c r="P521" s="12" t="str">
        <f>HYPERLINK("https://ceds.ed.gov/cedselementdetails.aspx?termid=9613")</f>
        <v>https://ceds.ed.gov/cedselementdetails.aspx?termid=9613</v>
      </c>
      <c r="Q521" s="12" t="str">
        <f>HYPERLINK("https://ceds.ed.gov/elementComment.aspx?elementName=Employment Separation Reason &amp;elementID=9613", "Click here to submit comment")</f>
        <v>Click here to submit comment</v>
      </c>
    </row>
    <row r="522" spans="1:17" ht="75" x14ac:dyDescent="0.25">
      <c r="A522" s="12" t="s">
        <v>7169</v>
      </c>
      <c r="B522" s="12" t="s">
        <v>7233</v>
      </c>
      <c r="C522" s="12" t="s">
        <v>7234</v>
      </c>
      <c r="D522" s="12" t="s">
        <v>7172</v>
      </c>
      <c r="E522" s="12" t="s">
        <v>2723</v>
      </c>
      <c r="F522" s="12" t="s">
        <v>2724</v>
      </c>
      <c r="G522" s="13" t="s">
        <v>6903</v>
      </c>
      <c r="H522" s="12"/>
      <c r="I522" s="12"/>
      <c r="J522" s="12"/>
      <c r="K522" s="12"/>
      <c r="L522" s="12"/>
      <c r="M522" s="12" t="s">
        <v>2725</v>
      </c>
      <c r="N522" s="12"/>
      <c r="O522" s="12" t="s">
        <v>2726</v>
      </c>
      <c r="P522" s="12" t="str">
        <f>HYPERLINK("https://ceds.ed.gov/cedselementdetails.aspx?termid=9614")</f>
        <v>https://ceds.ed.gov/cedselementdetails.aspx?termid=9614</v>
      </c>
      <c r="Q522" s="12" t="str">
        <f>HYPERLINK("https://ceds.ed.gov/elementComment.aspx?elementName=Employment Separation Type &amp;elementID=9614", "Click here to submit comment")</f>
        <v>Click here to submit comment</v>
      </c>
    </row>
    <row r="523" spans="1:17" ht="45" x14ac:dyDescent="0.25">
      <c r="A523" s="12" t="s">
        <v>7169</v>
      </c>
      <c r="B523" s="12" t="s">
        <v>7233</v>
      </c>
      <c r="C523" s="12" t="s">
        <v>7234</v>
      </c>
      <c r="D523" s="12" t="s">
        <v>7172</v>
      </c>
      <c r="E523" s="12" t="s">
        <v>3645</v>
      </c>
      <c r="F523" s="12" t="s">
        <v>3646</v>
      </c>
      <c r="G523" s="12" t="s">
        <v>6364</v>
      </c>
      <c r="H523" s="12"/>
      <c r="I523" s="12"/>
      <c r="J523" s="12"/>
      <c r="K523" s="12"/>
      <c r="L523" s="12"/>
      <c r="M523" s="12" t="s">
        <v>3647</v>
      </c>
      <c r="N523" s="12"/>
      <c r="O523" s="12" t="s">
        <v>3648</v>
      </c>
      <c r="P523" s="12" t="str">
        <f>HYPERLINK("https://ceds.ed.gov/cedselementdetails.aspx?termid=10353")</f>
        <v>https://ceds.ed.gov/cedselementdetails.aspx?termid=10353</v>
      </c>
      <c r="Q523" s="12" t="str">
        <f>HYPERLINK("https://ceds.ed.gov/elementComment.aspx?elementName=Itinerant Provider &amp;elementID=10353", "Click here to submit comment")</f>
        <v>Click here to submit comment</v>
      </c>
    </row>
    <row r="524" spans="1:17" ht="45" x14ac:dyDescent="0.25">
      <c r="A524" s="12" t="s">
        <v>7169</v>
      </c>
      <c r="B524" s="12" t="s">
        <v>7233</v>
      </c>
      <c r="C524" s="12" t="s">
        <v>7234</v>
      </c>
      <c r="D524" s="12" t="s">
        <v>7172</v>
      </c>
      <c r="E524" s="12" t="s">
        <v>5809</v>
      </c>
      <c r="F524" s="12" t="s">
        <v>5810</v>
      </c>
      <c r="G524" s="12" t="s">
        <v>6364</v>
      </c>
      <c r="H524" s="12"/>
      <c r="I524" s="12"/>
      <c r="J524" s="12"/>
      <c r="K524" s="12"/>
      <c r="L524" s="12"/>
      <c r="M524" s="12" t="s">
        <v>5811</v>
      </c>
      <c r="N524" s="12"/>
      <c r="O524" s="12" t="s">
        <v>5812</v>
      </c>
      <c r="P524" s="12" t="str">
        <f>HYPERLINK("https://ceds.ed.gov/cedselementdetails.aspx?termid=10560")</f>
        <v>https://ceds.ed.gov/cedselementdetails.aspx?termid=10560</v>
      </c>
      <c r="Q524" s="12" t="str">
        <f>HYPERLINK("https://ceds.ed.gov/elementComment.aspx?elementName=Staff Approval Indicator &amp;elementID=10560", "Click here to submit comment")</f>
        <v>Click here to submit comment</v>
      </c>
    </row>
    <row r="525" spans="1:17" ht="225" x14ac:dyDescent="0.25">
      <c r="A525" s="12" t="s">
        <v>7169</v>
      </c>
      <c r="B525" s="12" t="s">
        <v>7233</v>
      </c>
      <c r="C525" s="12" t="s">
        <v>7234</v>
      </c>
      <c r="D525" s="12" t="s">
        <v>7172</v>
      </c>
      <c r="E525" s="12" t="s">
        <v>5813</v>
      </c>
      <c r="F525" s="12" t="s">
        <v>5814</v>
      </c>
      <c r="G525" s="12" t="s">
        <v>12</v>
      </c>
      <c r="H525" s="12" t="s">
        <v>1907</v>
      </c>
      <c r="I525" s="12"/>
      <c r="J525" s="12" t="s">
        <v>1554</v>
      </c>
      <c r="K525" s="12"/>
      <c r="L525" s="12" t="s">
        <v>5815</v>
      </c>
      <c r="M525" s="12" t="s">
        <v>5816</v>
      </c>
      <c r="N525" s="12"/>
      <c r="O525" s="12" t="s">
        <v>5817</v>
      </c>
      <c r="P525" s="12" t="str">
        <f>HYPERLINK("https://ceds.ed.gov/cedselementdetails.aspx?termid=9032")</f>
        <v>https://ceds.ed.gov/cedselementdetails.aspx?termid=9032</v>
      </c>
      <c r="Q525" s="12" t="str">
        <f>HYPERLINK("https://ceds.ed.gov/elementComment.aspx?elementName=Staff Compensation Base Salary &amp;elementID=9032", "Click here to submit comment")</f>
        <v>Click here to submit comment</v>
      </c>
    </row>
    <row r="526" spans="1:17" ht="135" x14ac:dyDescent="0.25">
      <c r="A526" s="12" t="s">
        <v>7169</v>
      </c>
      <c r="B526" s="12" t="s">
        <v>7233</v>
      </c>
      <c r="C526" s="12" t="s">
        <v>7234</v>
      </c>
      <c r="D526" s="12" t="s">
        <v>7172</v>
      </c>
      <c r="E526" s="12" t="s">
        <v>5818</v>
      </c>
      <c r="F526" s="12" t="s">
        <v>5819</v>
      </c>
      <c r="G526" s="12" t="s">
        <v>12</v>
      </c>
      <c r="H526" s="12" t="s">
        <v>1907</v>
      </c>
      <c r="I526" s="12"/>
      <c r="J526" s="12" t="s">
        <v>1554</v>
      </c>
      <c r="K526" s="12"/>
      <c r="L526" s="12"/>
      <c r="M526" s="12" t="s">
        <v>5820</v>
      </c>
      <c r="N526" s="12"/>
      <c r="O526" s="12" t="s">
        <v>5821</v>
      </c>
      <c r="P526" s="12" t="str">
        <f>HYPERLINK("https://ceds.ed.gov/cedselementdetails.aspx?termid=9136")</f>
        <v>https://ceds.ed.gov/cedselementdetails.aspx?termid=9136</v>
      </c>
      <c r="Q526" s="12" t="str">
        <f>HYPERLINK("https://ceds.ed.gov/elementComment.aspx?elementName=Staff Compensation Health Benefits &amp;elementID=9136", "Click here to submit comment")</f>
        <v>Click here to submit comment</v>
      </c>
    </row>
    <row r="527" spans="1:17" ht="60" x14ac:dyDescent="0.25">
      <c r="A527" s="12" t="s">
        <v>7169</v>
      </c>
      <c r="B527" s="12" t="s">
        <v>7233</v>
      </c>
      <c r="C527" s="12" t="s">
        <v>7234</v>
      </c>
      <c r="D527" s="12" t="s">
        <v>7172</v>
      </c>
      <c r="E527" s="12" t="s">
        <v>5862</v>
      </c>
      <c r="F527" s="12" t="s">
        <v>5863</v>
      </c>
      <c r="G527" s="12" t="s">
        <v>12</v>
      </c>
      <c r="H527" s="12" t="s">
        <v>6673</v>
      </c>
      <c r="I527" s="12"/>
      <c r="J527" s="12" t="s">
        <v>5864</v>
      </c>
      <c r="K527" s="12"/>
      <c r="L527" s="12"/>
      <c r="M527" s="12" t="s">
        <v>5865</v>
      </c>
      <c r="N527" s="12" t="s">
        <v>5866</v>
      </c>
      <c r="O527" s="12" t="s">
        <v>5867</v>
      </c>
      <c r="P527" s="12" t="str">
        <f>HYPERLINK("https://ceds.ed.gov/cedselementdetails.aspx?termid=9118")</f>
        <v>https://ceds.ed.gov/cedselementdetails.aspx?termid=9118</v>
      </c>
      <c r="Q527" s="12" t="str">
        <f>HYPERLINK("https://ceds.ed.gov/elementComment.aspx?elementName=Staff Full Time Equivalency &amp;elementID=9118", "Click here to submit comment")</f>
        <v>Click here to submit comment</v>
      </c>
    </row>
    <row r="528" spans="1:17" ht="30" x14ac:dyDescent="0.25">
      <c r="A528" s="12" t="s">
        <v>7169</v>
      </c>
      <c r="B528" s="12" t="s">
        <v>7233</v>
      </c>
      <c r="C528" s="12" t="s">
        <v>7234</v>
      </c>
      <c r="D528" s="12" t="s">
        <v>7172</v>
      </c>
      <c r="E528" s="12" t="s">
        <v>6264</v>
      </c>
      <c r="F528" s="12" t="s">
        <v>6265</v>
      </c>
      <c r="G528" s="12" t="s">
        <v>12</v>
      </c>
      <c r="H528" s="12"/>
      <c r="I528" s="12"/>
      <c r="J528" s="12" t="s">
        <v>327</v>
      </c>
      <c r="K528" s="12"/>
      <c r="L528" s="12"/>
      <c r="M528" s="12" t="s">
        <v>6266</v>
      </c>
      <c r="N528" s="12"/>
      <c r="O528" s="12" t="s">
        <v>6267</v>
      </c>
      <c r="P528" s="12" t="str">
        <f>HYPERLINK("https://ceds.ed.gov/cedselementdetails.aspx?termid=10469")</f>
        <v>https://ceds.ed.gov/cedselementdetails.aspx?termid=10469</v>
      </c>
      <c r="Q528" s="12" t="str">
        <f>HYPERLINK("https://ceds.ed.gov/elementComment.aspx?elementName=Union Membership Name &amp;elementID=10469", "Click here to submit comment")</f>
        <v>Click here to submit comment</v>
      </c>
    </row>
    <row r="529" spans="1:17" ht="30" x14ac:dyDescent="0.25">
      <c r="A529" s="12" t="s">
        <v>7169</v>
      </c>
      <c r="B529" s="12" t="s">
        <v>7233</v>
      </c>
      <c r="C529" s="12" t="s">
        <v>7234</v>
      </c>
      <c r="D529" s="12" t="s">
        <v>7172</v>
      </c>
      <c r="E529" s="12" t="s">
        <v>6317</v>
      </c>
      <c r="F529" s="12" t="s">
        <v>6318</v>
      </c>
      <c r="G529" s="12" t="s">
        <v>12</v>
      </c>
      <c r="H529" s="12"/>
      <c r="I529" s="12"/>
      <c r="J529" s="12" t="s">
        <v>620</v>
      </c>
      <c r="K529" s="12"/>
      <c r="L529" s="12"/>
      <c r="M529" s="12" t="s">
        <v>6319</v>
      </c>
      <c r="N529" s="12"/>
      <c r="O529" s="12" t="s">
        <v>6320</v>
      </c>
      <c r="P529" s="12" t="str">
        <f>HYPERLINK("https://ceds.ed.gov/cedselementdetails.aspx?termid=10470")</f>
        <v>https://ceds.ed.gov/cedselementdetails.aspx?termid=10470</v>
      </c>
      <c r="Q529" s="12" t="str">
        <f>HYPERLINK("https://ceds.ed.gov/elementComment.aspx?elementName=Weeks Employed Per Year &amp;elementID=10470", "Click here to submit comment")</f>
        <v>Click here to submit comment</v>
      </c>
    </row>
    <row r="530" spans="1:17" ht="135" x14ac:dyDescent="0.25">
      <c r="A530" s="12" t="s">
        <v>7169</v>
      </c>
      <c r="B530" s="12" t="s">
        <v>7233</v>
      </c>
      <c r="C530" s="12" t="s">
        <v>7190</v>
      </c>
      <c r="D530" s="12" t="s">
        <v>7172</v>
      </c>
      <c r="E530" s="12" t="s">
        <v>3676</v>
      </c>
      <c r="F530" s="12" t="s">
        <v>3677</v>
      </c>
      <c r="G530" s="13" t="s">
        <v>6988</v>
      </c>
      <c r="H530" s="12" t="s">
        <v>6577</v>
      </c>
      <c r="I530" s="12"/>
      <c r="J530" s="12"/>
      <c r="K530" s="12"/>
      <c r="L530" s="12"/>
      <c r="M530" s="12" t="s">
        <v>3678</v>
      </c>
      <c r="N530" s="12"/>
      <c r="O530" s="12" t="s">
        <v>3679</v>
      </c>
      <c r="P530" s="12" t="str">
        <f>HYPERLINK("https://ceds.ed.gov/cedselementdetails.aspx?termid=9316")</f>
        <v>https://ceds.ed.gov/cedselementdetails.aspx?termid=9316</v>
      </c>
      <c r="Q530" s="12" t="str">
        <f>HYPERLINK("https://ceds.ed.gov/elementComment.aspx?elementName=Language Type &amp;elementID=9316", "Click here to submit comment")</f>
        <v>Click here to submit comment</v>
      </c>
    </row>
    <row r="531" spans="1:17" ht="90" x14ac:dyDescent="0.25">
      <c r="A531" s="12" t="s">
        <v>7169</v>
      </c>
      <c r="B531" s="12" t="s">
        <v>7233</v>
      </c>
      <c r="C531" s="12" t="s">
        <v>7190</v>
      </c>
      <c r="D531" s="12" t="s">
        <v>7172</v>
      </c>
      <c r="E531" s="12" t="s">
        <v>3631</v>
      </c>
      <c r="F531" s="12" t="s">
        <v>3632</v>
      </c>
      <c r="G531" s="14" t="s">
        <v>999</v>
      </c>
      <c r="H531" s="12" t="s">
        <v>6577</v>
      </c>
      <c r="I531" s="12" t="s">
        <v>98</v>
      </c>
      <c r="J531" s="12"/>
      <c r="K531" s="12"/>
      <c r="L531" s="14" t="s">
        <v>1000</v>
      </c>
      <c r="M531" s="12" t="s">
        <v>3633</v>
      </c>
      <c r="N531" s="12"/>
      <c r="O531" s="12" t="s">
        <v>3634</v>
      </c>
      <c r="P531" s="12" t="str">
        <f>HYPERLINK("https://ceds.ed.gov/cedselementdetails.aspx?termid=9317")</f>
        <v>https://ceds.ed.gov/cedselementdetails.aspx?termid=9317</v>
      </c>
      <c r="Q531" s="12" t="str">
        <f>HYPERLINK("https://ceds.ed.gov/elementComment.aspx?elementName=ISO 639-2 Language Code &amp;elementID=9317", "Click here to submit comment")</f>
        <v>Click here to submit comment</v>
      </c>
    </row>
    <row r="532" spans="1:17" ht="105" x14ac:dyDescent="0.25">
      <c r="A532" s="12" t="s">
        <v>7169</v>
      </c>
      <c r="B532" s="12" t="s">
        <v>7233</v>
      </c>
      <c r="C532" s="12" t="s">
        <v>7190</v>
      </c>
      <c r="D532" s="12" t="s">
        <v>7172</v>
      </c>
      <c r="E532" s="12" t="s">
        <v>3635</v>
      </c>
      <c r="F532" s="12" t="s">
        <v>3632</v>
      </c>
      <c r="G532" s="14" t="s">
        <v>3636</v>
      </c>
      <c r="H532" s="12"/>
      <c r="I532" s="12" t="s">
        <v>1498</v>
      </c>
      <c r="J532" s="12"/>
      <c r="K532" s="12"/>
      <c r="L532" s="14" t="s">
        <v>3637</v>
      </c>
      <c r="M532" s="12" t="s">
        <v>3638</v>
      </c>
      <c r="N532" s="12"/>
      <c r="O532" s="12" t="s">
        <v>3639</v>
      </c>
      <c r="P532" s="12" t="str">
        <f>HYPERLINK("https://ceds.ed.gov/cedselementdetails.aspx?termid=10618")</f>
        <v>https://ceds.ed.gov/cedselementdetails.aspx?termid=10618</v>
      </c>
      <c r="Q532" s="12" t="str">
        <f>HYPERLINK("https://ceds.ed.gov/elementComment.aspx?elementName=ISO 639-3 Language Code &amp;elementID=10618", "Click here to submit comment")</f>
        <v>Click here to submit comment</v>
      </c>
    </row>
    <row r="533" spans="1:17" ht="409.5" x14ac:dyDescent="0.25">
      <c r="A533" s="12" t="s">
        <v>7169</v>
      </c>
      <c r="B533" s="12" t="s">
        <v>7233</v>
      </c>
      <c r="C533" s="12" t="s">
        <v>7190</v>
      </c>
      <c r="D533" s="12" t="s">
        <v>7172</v>
      </c>
      <c r="E533" s="12" t="s">
        <v>3640</v>
      </c>
      <c r="F533" s="12" t="s">
        <v>3641</v>
      </c>
      <c r="G533" s="13" t="s">
        <v>6983</v>
      </c>
      <c r="H533" s="12"/>
      <c r="I533" s="12" t="s">
        <v>1498</v>
      </c>
      <c r="J533" s="12"/>
      <c r="K533" s="12"/>
      <c r="L533" s="14" t="s">
        <v>3642</v>
      </c>
      <c r="M533" s="12" t="s">
        <v>3643</v>
      </c>
      <c r="N533" s="12"/>
      <c r="O533" s="12" t="s">
        <v>3644</v>
      </c>
      <c r="P533" s="12" t="str">
        <f>HYPERLINK("https://ceds.ed.gov/cedselementdetails.aspx?termid=10619")</f>
        <v>https://ceds.ed.gov/cedselementdetails.aspx?termid=10619</v>
      </c>
      <c r="Q533" s="12" t="str">
        <f>HYPERLINK("https://ceds.ed.gov/elementComment.aspx?elementName=ISO 639-5 Language Family &amp;elementID=10619", "Click here to submit comment")</f>
        <v>Click here to submit comment</v>
      </c>
    </row>
    <row r="534" spans="1:17" ht="180" x14ac:dyDescent="0.25">
      <c r="A534" s="12" t="s">
        <v>7169</v>
      </c>
      <c r="B534" s="12" t="s">
        <v>7233</v>
      </c>
      <c r="C534" s="12" t="s">
        <v>7235</v>
      </c>
      <c r="D534" s="12" t="s">
        <v>7172</v>
      </c>
      <c r="E534" s="12" t="s">
        <v>2438</v>
      </c>
      <c r="F534" s="12" t="s">
        <v>2439</v>
      </c>
      <c r="G534" s="13" t="s">
        <v>6874</v>
      </c>
      <c r="H534" s="12" t="s">
        <v>6495</v>
      </c>
      <c r="I534" s="12"/>
      <c r="J534" s="12"/>
      <c r="K534" s="12"/>
      <c r="L534" s="12"/>
      <c r="M534" s="12" t="s">
        <v>2440</v>
      </c>
      <c r="N534" s="12"/>
      <c r="O534" s="12" t="s">
        <v>2441</v>
      </c>
      <c r="P534" s="12" t="str">
        <f>HYPERLINK("https://ceds.ed.gov/cedselementdetails.aspx?termid=9344")</f>
        <v>https://ceds.ed.gov/cedselementdetails.aspx?termid=9344</v>
      </c>
      <c r="Q534" s="12" t="str">
        <f>HYPERLINK("https://ceds.ed.gov/elementComment.aspx?elementName=Early Childhood Credential &amp;elementID=9344", "Click here to submit comment")</f>
        <v>Click here to submit comment</v>
      </c>
    </row>
    <row r="535" spans="1:17" ht="30" x14ac:dyDescent="0.25">
      <c r="A535" s="12" t="s">
        <v>7169</v>
      </c>
      <c r="B535" s="12" t="s">
        <v>7233</v>
      </c>
      <c r="C535" s="12" t="s">
        <v>7235</v>
      </c>
      <c r="D535" s="12" t="s">
        <v>7172</v>
      </c>
      <c r="E535" s="12" t="s">
        <v>4522</v>
      </c>
      <c r="F535" s="12" t="s">
        <v>4523</v>
      </c>
      <c r="G535" s="12" t="s">
        <v>12</v>
      </c>
      <c r="H535" s="12" t="s">
        <v>205</v>
      </c>
      <c r="I535" s="12"/>
      <c r="J535" s="12" t="s">
        <v>99</v>
      </c>
      <c r="K535" s="12"/>
      <c r="L535" s="12"/>
      <c r="M535" s="12" t="s">
        <v>4524</v>
      </c>
      <c r="N535" s="12"/>
      <c r="O535" s="12" t="s">
        <v>4525</v>
      </c>
      <c r="P535" s="12" t="str">
        <f>HYPERLINK("https://ceds.ed.gov/cedselementdetails.aspx?termid=10064")</f>
        <v>https://ceds.ed.gov/cedselementdetails.aspx?termid=10064</v>
      </c>
      <c r="Q535" s="12" t="str">
        <f>HYPERLINK("https://ceds.ed.gov/elementComment.aspx?elementName=Name of Professional Credential or License &amp;elementID=10064", "Click here to submit comment")</f>
        <v>Click here to submit comment</v>
      </c>
    </row>
    <row r="536" spans="1:17" ht="409.5" x14ac:dyDescent="0.25">
      <c r="A536" s="12" t="s">
        <v>7169</v>
      </c>
      <c r="B536" s="12" t="s">
        <v>7233</v>
      </c>
      <c r="C536" s="12" t="s">
        <v>7235</v>
      </c>
      <c r="D536" s="12" t="s">
        <v>7172</v>
      </c>
      <c r="E536" s="12" t="s">
        <v>5930</v>
      </c>
      <c r="F536" s="12" t="s">
        <v>5931</v>
      </c>
      <c r="G536" s="13" t="s">
        <v>7089</v>
      </c>
      <c r="H536" s="12" t="s">
        <v>205</v>
      </c>
      <c r="I536" s="12"/>
      <c r="J536" s="12"/>
      <c r="K536" s="12"/>
      <c r="L536" s="12"/>
      <c r="M536" s="12" t="s">
        <v>5932</v>
      </c>
      <c r="N536" s="12"/>
      <c r="O536" s="12" t="s">
        <v>5933</v>
      </c>
      <c r="P536" s="12" t="str">
        <f>HYPERLINK("https://ceds.ed.gov/cedselementdetails.aspx?termid=9804")</f>
        <v>https://ceds.ed.gov/cedselementdetails.aspx?termid=9804</v>
      </c>
      <c r="Q536" s="12" t="str">
        <f>HYPERLINK("https://ceds.ed.gov/elementComment.aspx?elementName=State Issuing Professional Credential or License &amp;elementID=9804", "Click here to submit comment")</f>
        <v>Click here to submit comment</v>
      </c>
    </row>
    <row r="537" spans="1:17" ht="45" x14ac:dyDescent="0.25">
      <c r="A537" s="12" t="s">
        <v>7169</v>
      </c>
      <c r="B537" s="12" t="s">
        <v>7233</v>
      </c>
      <c r="C537" s="12" t="s">
        <v>7235</v>
      </c>
      <c r="D537" s="12" t="s">
        <v>7172</v>
      </c>
      <c r="E537" s="12" t="s">
        <v>2158</v>
      </c>
      <c r="F537" s="12" t="s">
        <v>2159</v>
      </c>
      <c r="G537" s="12" t="s">
        <v>12</v>
      </c>
      <c r="H537" s="12" t="s">
        <v>205</v>
      </c>
      <c r="I537" s="12"/>
      <c r="J537" s="12" t="s">
        <v>73</v>
      </c>
      <c r="K537" s="12"/>
      <c r="L537" s="12"/>
      <c r="M537" s="12" t="s">
        <v>2160</v>
      </c>
      <c r="N537" s="12"/>
      <c r="O537" s="12" t="s">
        <v>2161</v>
      </c>
      <c r="P537" s="12" t="str">
        <f>HYPERLINK("https://ceds.ed.gov/cedselementdetails.aspx?termid=9070")</f>
        <v>https://ceds.ed.gov/cedselementdetails.aspx?termid=9070</v>
      </c>
      <c r="Q537" s="12" t="str">
        <f>HYPERLINK("https://ceds.ed.gov/elementComment.aspx?elementName=Credential Issuance Date &amp;elementID=9070", "Click here to submit comment")</f>
        <v>Click here to submit comment</v>
      </c>
    </row>
    <row r="538" spans="1:17" ht="45" x14ac:dyDescent="0.25">
      <c r="A538" s="12" t="s">
        <v>7169</v>
      </c>
      <c r="B538" s="12" t="s">
        <v>7233</v>
      </c>
      <c r="C538" s="12" t="s">
        <v>7235</v>
      </c>
      <c r="D538" s="12" t="s">
        <v>7172</v>
      </c>
      <c r="E538" s="12" t="s">
        <v>2154</v>
      </c>
      <c r="F538" s="12" t="s">
        <v>2155</v>
      </c>
      <c r="G538" s="12" t="s">
        <v>12</v>
      </c>
      <c r="H538" s="12" t="s">
        <v>205</v>
      </c>
      <c r="I538" s="12"/>
      <c r="J538" s="12" t="s">
        <v>73</v>
      </c>
      <c r="K538" s="12"/>
      <c r="L538" s="12"/>
      <c r="M538" s="12" t="s">
        <v>2156</v>
      </c>
      <c r="N538" s="12"/>
      <c r="O538" s="12" t="s">
        <v>2157</v>
      </c>
      <c r="P538" s="12" t="str">
        <f>HYPERLINK("https://ceds.ed.gov/cedselementdetails.aspx?termid=9069")</f>
        <v>https://ceds.ed.gov/cedselementdetails.aspx?termid=9069</v>
      </c>
      <c r="Q538" s="12" t="str">
        <f>HYPERLINK("https://ceds.ed.gov/elementComment.aspx?elementName=Credential Expiration Date &amp;elementID=9069", "Click here to submit comment")</f>
        <v>Click here to submit comment</v>
      </c>
    </row>
    <row r="539" spans="1:17" ht="120" x14ac:dyDescent="0.25">
      <c r="A539" s="12" t="s">
        <v>7169</v>
      </c>
      <c r="B539" s="12" t="s">
        <v>7233</v>
      </c>
      <c r="C539" s="12" t="s">
        <v>7235</v>
      </c>
      <c r="D539" s="12" t="s">
        <v>7172</v>
      </c>
      <c r="E539" s="12" t="s">
        <v>1748</v>
      </c>
      <c r="F539" s="12" t="s">
        <v>1749</v>
      </c>
      <c r="G539" s="13" t="s">
        <v>6814</v>
      </c>
      <c r="H539" s="12" t="s">
        <v>205</v>
      </c>
      <c r="I539" s="12"/>
      <c r="J539" s="12"/>
      <c r="K539" s="12"/>
      <c r="L539" s="12"/>
      <c r="M539" s="12" t="s">
        <v>1751</v>
      </c>
      <c r="N539" s="12" t="s">
        <v>1752</v>
      </c>
      <c r="O539" s="12" t="s">
        <v>1753</v>
      </c>
      <c r="P539" s="12" t="str">
        <f>HYPERLINK("https://ceds.ed.gov/cedselementdetails.aspx?termid=9805")</f>
        <v>https://ceds.ed.gov/cedselementdetails.aspx?termid=9805</v>
      </c>
      <c r="Q539" s="12" t="str">
        <f>HYPERLINK("https://ceds.ed.gov/elementComment.aspx?elementName=Child Development Associate Type &amp;elementID=9805", "Click here to submit comment")</f>
        <v>Click here to submit comment</v>
      </c>
    </row>
    <row r="540" spans="1:17" ht="30" x14ac:dyDescent="0.25">
      <c r="A540" s="12" t="s">
        <v>7169</v>
      </c>
      <c r="B540" s="12" t="s">
        <v>7233</v>
      </c>
      <c r="C540" s="12" t="s">
        <v>7235</v>
      </c>
      <c r="D540" s="12" t="s">
        <v>7172</v>
      </c>
      <c r="E540" s="12" t="s">
        <v>2162</v>
      </c>
      <c r="F540" s="12" t="s">
        <v>2163</v>
      </c>
      <c r="G540" s="12" t="s">
        <v>12</v>
      </c>
      <c r="H540" s="12"/>
      <c r="I540" s="12"/>
      <c r="J540" s="12" t="s">
        <v>99</v>
      </c>
      <c r="K540" s="12"/>
      <c r="L540" s="12"/>
      <c r="M540" s="12" t="s">
        <v>2164</v>
      </c>
      <c r="N540" s="12"/>
      <c r="O540" s="12" t="s">
        <v>2165</v>
      </c>
      <c r="P540" s="12" t="str">
        <f>HYPERLINK("https://ceds.ed.gov/cedselementdetails.aspx?termid=10566")</f>
        <v>https://ceds.ed.gov/cedselementdetails.aspx?termid=10566</v>
      </c>
      <c r="Q540" s="12" t="str">
        <f>HYPERLINK("https://ceds.ed.gov/elementComment.aspx?elementName=Credential or License Award Entity &amp;elementID=10566", "Click here to submit comment")</f>
        <v>Click here to submit comment</v>
      </c>
    </row>
    <row r="541" spans="1:17" ht="90" x14ac:dyDescent="0.25">
      <c r="A541" s="12" t="s">
        <v>7169</v>
      </c>
      <c r="B541" s="12" t="s">
        <v>7233</v>
      </c>
      <c r="C541" s="12" t="s">
        <v>7235</v>
      </c>
      <c r="D541" s="12" t="s">
        <v>7176</v>
      </c>
      <c r="E541" s="12" t="s">
        <v>2166</v>
      </c>
      <c r="F541" s="12" t="s">
        <v>2167</v>
      </c>
      <c r="G541" s="13" t="s">
        <v>6849</v>
      </c>
      <c r="H541" s="12"/>
      <c r="I541" s="12"/>
      <c r="J541" s="12"/>
      <c r="K541" s="12"/>
      <c r="L541" s="12"/>
      <c r="M541" s="12" t="s">
        <v>2168</v>
      </c>
      <c r="N541" s="12"/>
      <c r="O541" s="12" t="s">
        <v>2169</v>
      </c>
      <c r="P541" s="12" t="str">
        <f>HYPERLINK("https://ceds.ed.gov/cedselementdetails.aspx?termid=9071")</f>
        <v>https://ceds.ed.gov/cedselementdetails.aspx?termid=9071</v>
      </c>
      <c r="Q541" s="12" t="str">
        <f>HYPERLINK("https://ceds.ed.gov/elementComment.aspx?elementName=Credential Type &amp;elementID=9071", "Click here to submit comment")</f>
        <v>Click here to submit comment</v>
      </c>
    </row>
    <row r="542" spans="1:17" ht="30" x14ac:dyDescent="0.25">
      <c r="A542" s="12" t="s">
        <v>7169</v>
      </c>
      <c r="B542" s="12" t="s">
        <v>7233</v>
      </c>
      <c r="C542" s="12" t="s">
        <v>7235</v>
      </c>
      <c r="D542" s="12" t="s">
        <v>7176</v>
      </c>
      <c r="E542" s="12" t="s">
        <v>4946</v>
      </c>
      <c r="F542" s="12" t="s">
        <v>4947</v>
      </c>
      <c r="G542" s="12" t="s">
        <v>12</v>
      </c>
      <c r="H542" s="12"/>
      <c r="I542" s="12"/>
      <c r="J542" s="12" t="s">
        <v>92</v>
      </c>
      <c r="K542" s="12"/>
      <c r="L542" s="12"/>
      <c r="M542" s="12" t="s">
        <v>4949</v>
      </c>
      <c r="N542" s="12"/>
      <c r="O542" s="12" t="s">
        <v>4950</v>
      </c>
      <c r="P542" s="12" t="str">
        <f>HYPERLINK("https://ceds.ed.gov/cedselementdetails.aspx?termid=10398")</f>
        <v>https://ceds.ed.gov/cedselementdetails.aspx?termid=10398</v>
      </c>
      <c r="Q542" s="12" t="str">
        <f>HYPERLINK("https://ceds.ed.gov/elementComment.aspx?elementName=Professional Certificate or License Number &amp;elementID=10398", "Click here to submit comment")</f>
        <v>Click here to submit comment</v>
      </c>
    </row>
    <row r="543" spans="1:17" ht="45" x14ac:dyDescent="0.25">
      <c r="A543" s="12" t="s">
        <v>7169</v>
      </c>
      <c r="B543" s="12" t="s">
        <v>7233</v>
      </c>
      <c r="C543" s="12" t="s">
        <v>7229</v>
      </c>
      <c r="D543" s="12" t="s">
        <v>7172</v>
      </c>
      <c r="E543" s="12" t="s">
        <v>5382</v>
      </c>
      <c r="F543" s="12" t="s">
        <v>5383</v>
      </c>
      <c r="G543" s="12" t="s">
        <v>12</v>
      </c>
      <c r="H543" s="12" t="s">
        <v>205</v>
      </c>
      <c r="I543" s="12"/>
      <c r="J543" s="12" t="s">
        <v>2613</v>
      </c>
      <c r="K543" s="12"/>
      <c r="L543" s="12"/>
      <c r="M543" s="12" t="s">
        <v>5384</v>
      </c>
      <c r="N543" s="12"/>
      <c r="O543" s="12" t="s">
        <v>5385</v>
      </c>
      <c r="P543" s="12" t="str">
        <f>HYPERLINK("https://ceds.ed.gov/cedselementdetails.aspx?termid=9803")</f>
        <v>https://ceds.ed.gov/cedselementdetails.aspx?termid=9803</v>
      </c>
      <c r="Q543" s="12" t="str">
        <f>HYPERLINK("https://ceds.ed.gov/elementComment.aspx?elementName=Required Training Clock Hours &amp;elementID=9803", "Click here to submit comment")</f>
        <v>Click here to submit comment</v>
      </c>
    </row>
    <row r="544" spans="1:17" ht="45" x14ac:dyDescent="0.25">
      <c r="A544" s="12" t="s">
        <v>7169</v>
      </c>
      <c r="B544" s="12" t="s">
        <v>7233</v>
      </c>
      <c r="C544" s="12" t="s">
        <v>7229</v>
      </c>
      <c r="D544" s="12" t="s">
        <v>7172</v>
      </c>
      <c r="E544" s="12" t="s">
        <v>4938</v>
      </c>
      <c r="F544" s="12" t="s">
        <v>4939</v>
      </c>
      <c r="G544" s="12" t="s">
        <v>6364</v>
      </c>
      <c r="H544" s="12" t="s">
        <v>205</v>
      </c>
      <c r="I544" s="12"/>
      <c r="J544" s="12"/>
      <c r="K544" s="12"/>
      <c r="L544" s="12"/>
      <c r="M544" s="12" t="s">
        <v>4940</v>
      </c>
      <c r="N544" s="12"/>
      <c r="O544" s="12" t="s">
        <v>4941</v>
      </c>
      <c r="P544" s="12" t="str">
        <f>HYPERLINK("https://ceds.ed.gov/cedselementdetails.aspx?termid=9806")</f>
        <v>https://ceds.ed.gov/cedselementdetails.aspx?termid=9806</v>
      </c>
      <c r="Q544" s="12" t="str">
        <f>HYPERLINK("https://ceds.ed.gov/elementComment.aspx?elementName=Professional Association Membership Status &amp;elementID=9806", "Click here to submit comment")</f>
        <v>Click here to submit comment</v>
      </c>
    </row>
    <row r="545" spans="1:17" ht="30" x14ac:dyDescent="0.25">
      <c r="A545" s="12" t="s">
        <v>7169</v>
      </c>
      <c r="B545" s="12" t="s">
        <v>7233</v>
      </c>
      <c r="C545" s="12" t="s">
        <v>7229</v>
      </c>
      <c r="D545" s="12" t="s">
        <v>7172</v>
      </c>
      <c r="E545" s="12" t="s">
        <v>4942</v>
      </c>
      <c r="F545" s="12" t="s">
        <v>4943</v>
      </c>
      <c r="G545" s="12" t="s">
        <v>12</v>
      </c>
      <c r="H545" s="12" t="s">
        <v>205</v>
      </c>
      <c r="I545" s="12"/>
      <c r="J545" s="12" t="s">
        <v>99</v>
      </c>
      <c r="K545" s="12"/>
      <c r="L545" s="12"/>
      <c r="M545" s="12" t="s">
        <v>4944</v>
      </c>
      <c r="N545" s="12"/>
      <c r="O545" s="12" t="s">
        <v>4945</v>
      </c>
      <c r="P545" s="12" t="str">
        <f>HYPERLINK("https://ceds.ed.gov/cedselementdetails.aspx?termid=9807")</f>
        <v>https://ceds.ed.gov/cedselementdetails.aspx?termid=9807</v>
      </c>
      <c r="Q545" s="12" t="str">
        <f>HYPERLINK("https://ceds.ed.gov/elementComment.aspx?elementName=Professional Association Name &amp;elementID=9807", "Click here to submit comment")</f>
        <v>Click here to submit comment</v>
      </c>
    </row>
    <row r="546" spans="1:17" ht="60" x14ac:dyDescent="0.25">
      <c r="A546" s="12" t="s">
        <v>7169</v>
      </c>
      <c r="B546" s="12" t="s">
        <v>7233</v>
      </c>
      <c r="C546" s="12" t="s">
        <v>7229</v>
      </c>
      <c r="D546" s="12" t="s">
        <v>7172</v>
      </c>
      <c r="E546" s="12" t="s">
        <v>5054</v>
      </c>
      <c r="F546" s="12" t="s">
        <v>5055</v>
      </c>
      <c r="G546" s="12" t="s">
        <v>6364</v>
      </c>
      <c r="H546" s="12" t="s">
        <v>205</v>
      </c>
      <c r="I546" s="12"/>
      <c r="J546" s="12"/>
      <c r="K546" s="12"/>
      <c r="L546" s="12"/>
      <c r="M546" s="12" t="s">
        <v>5056</v>
      </c>
      <c r="N546" s="12"/>
      <c r="O546" s="12" t="s">
        <v>5057</v>
      </c>
      <c r="P546" s="12" t="str">
        <f>HYPERLINK("https://ceds.ed.gov/cedselementdetails.aspx?termid=9810")</f>
        <v>https://ceds.ed.gov/cedselementdetails.aspx?termid=9810</v>
      </c>
      <c r="Q546" s="12" t="str">
        <f>HYPERLINK("https://ceds.ed.gov/elementComment.aspx?elementName=Professional Development Scholarship Status &amp;elementID=9810", "Click here to submit comment")</f>
        <v>Click here to submit comment</v>
      </c>
    </row>
    <row r="547" spans="1:17" ht="180" x14ac:dyDescent="0.25">
      <c r="A547" s="12" t="s">
        <v>7169</v>
      </c>
      <c r="B547" s="12" t="s">
        <v>7233</v>
      </c>
      <c r="C547" s="12" t="s">
        <v>7229</v>
      </c>
      <c r="D547" s="12" t="s">
        <v>7172</v>
      </c>
      <c r="E547" s="12" t="s">
        <v>5026</v>
      </c>
      <c r="F547" s="12" t="s">
        <v>5027</v>
      </c>
      <c r="G547" s="13" t="s">
        <v>7072</v>
      </c>
      <c r="H547" s="12" t="s">
        <v>205</v>
      </c>
      <c r="I547" s="12"/>
      <c r="J547" s="12"/>
      <c r="K547" s="12"/>
      <c r="L547" s="12"/>
      <c r="M547" s="12" t="s">
        <v>5028</v>
      </c>
      <c r="N547" s="12"/>
      <c r="O547" s="12" t="s">
        <v>5029</v>
      </c>
      <c r="P547" s="12" t="str">
        <f>HYPERLINK("https://ceds.ed.gov/cedselementdetails.aspx?termid=9811")</f>
        <v>https://ceds.ed.gov/cedselementdetails.aspx?termid=9811</v>
      </c>
      <c r="Q547" s="12" t="str">
        <f>HYPERLINK("https://ceds.ed.gov/elementComment.aspx?elementName=Professional Development Financial Support Type &amp;elementID=9811", "Click here to submit comment")</f>
        <v>Click here to submit comment</v>
      </c>
    </row>
    <row r="548" spans="1:17" ht="60" x14ac:dyDescent="0.25">
      <c r="A548" s="12" t="s">
        <v>7169</v>
      </c>
      <c r="B548" s="12" t="s">
        <v>7233</v>
      </c>
      <c r="C548" s="12" t="s">
        <v>7229</v>
      </c>
      <c r="D548" s="12" t="s">
        <v>7172</v>
      </c>
      <c r="E548" s="12" t="s">
        <v>5880</v>
      </c>
      <c r="F548" s="12" t="s">
        <v>5881</v>
      </c>
      <c r="G548" s="12" t="s">
        <v>12</v>
      </c>
      <c r="H548" s="12" t="s">
        <v>205</v>
      </c>
      <c r="I548" s="12"/>
      <c r="J548" s="12" t="s">
        <v>73</v>
      </c>
      <c r="K548" s="12"/>
      <c r="L548" s="12"/>
      <c r="M548" s="12" t="s">
        <v>5882</v>
      </c>
      <c r="N548" s="12"/>
      <c r="O548" s="12" t="s">
        <v>5883</v>
      </c>
      <c r="P548" s="12" t="str">
        <f>HYPERLINK("https://ceds.ed.gov/cedselementdetails.aspx?termid=10067")</f>
        <v>https://ceds.ed.gov/cedselementdetails.aspx?termid=10067</v>
      </c>
      <c r="Q548" s="12" t="str">
        <f>HYPERLINK("https://ceds.ed.gov/elementComment.aspx?elementName=Staff Professional Development Activity Start Date &amp;elementID=10067", "Click here to submit comment")</f>
        <v>Click here to submit comment</v>
      </c>
    </row>
    <row r="549" spans="1:17" ht="60" x14ac:dyDescent="0.25">
      <c r="A549" s="12" t="s">
        <v>7169</v>
      </c>
      <c r="B549" s="12" t="s">
        <v>7233</v>
      </c>
      <c r="C549" s="12" t="s">
        <v>7229</v>
      </c>
      <c r="D549" s="12" t="s">
        <v>7172</v>
      </c>
      <c r="E549" s="12" t="s">
        <v>5876</v>
      </c>
      <c r="F549" s="12" t="s">
        <v>5877</v>
      </c>
      <c r="G549" s="12" t="s">
        <v>12</v>
      </c>
      <c r="H549" s="12" t="s">
        <v>205</v>
      </c>
      <c r="I549" s="12"/>
      <c r="J549" s="12" t="s">
        <v>73</v>
      </c>
      <c r="K549" s="12"/>
      <c r="L549" s="12"/>
      <c r="M549" s="12" t="s">
        <v>5878</v>
      </c>
      <c r="N549" s="12"/>
      <c r="O549" s="12" t="s">
        <v>5879</v>
      </c>
      <c r="P549" s="12" t="str">
        <f>HYPERLINK("https://ceds.ed.gov/cedselementdetails.aspx?termid=10068")</f>
        <v>https://ceds.ed.gov/cedselementdetails.aspx?termid=10068</v>
      </c>
      <c r="Q549" s="12" t="str">
        <f>HYPERLINK("https://ceds.ed.gov/elementComment.aspx?elementName=Staff Professional Development Activity Completion Date &amp;elementID=10068", "Click here to submit comment")</f>
        <v>Click here to submit comment</v>
      </c>
    </row>
    <row r="550" spans="1:17" ht="120" x14ac:dyDescent="0.25">
      <c r="A550" s="12" t="s">
        <v>7169</v>
      </c>
      <c r="B550" s="12" t="s">
        <v>7233</v>
      </c>
      <c r="C550" s="12" t="s">
        <v>7229</v>
      </c>
      <c r="D550" s="12" t="s">
        <v>7172</v>
      </c>
      <c r="E550" s="12" t="s">
        <v>4588</v>
      </c>
      <c r="F550" s="12" t="s">
        <v>4589</v>
      </c>
      <c r="G550" s="12" t="s">
        <v>12</v>
      </c>
      <c r="H550" s="12" t="s">
        <v>6596</v>
      </c>
      <c r="I550" s="12"/>
      <c r="J550" s="12" t="s">
        <v>1554</v>
      </c>
      <c r="K550" s="12"/>
      <c r="L550" s="12"/>
      <c r="M550" s="12" t="s">
        <v>4590</v>
      </c>
      <c r="N550" s="12"/>
      <c r="O550" s="12" t="s">
        <v>4591</v>
      </c>
      <c r="P550" s="12" t="str">
        <f>HYPERLINK("https://ceds.ed.gov/cedselementdetails.aspx?termid=9200")</f>
        <v>https://ceds.ed.gov/cedselementdetails.aspx?termid=9200</v>
      </c>
      <c r="Q550" s="12" t="str">
        <f>HYPERLINK("https://ceds.ed.gov/elementComment.aspx?elementName=Number of Credits Earned &amp;elementID=9200", "Click here to submit comment")</f>
        <v>Click here to submit comment</v>
      </c>
    </row>
    <row r="551" spans="1:17" ht="165" x14ac:dyDescent="0.25">
      <c r="A551" s="12" t="s">
        <v>7169</v>
      </c>
      <c r="B551" s="12" t="s">
        <v>7233</v>
      </c>
      <c r="C551" s="12" t="s">
        <v>7229</v>
      </c>
      <c r="D551" s="12" t="s">
        <v>7172</v>
      </c>
      <c r="E551" s="12" t="s">
        <v>1996</v>
      </c>
      <c r="F551" s="12" t="s">
        <v>1997</v>
      </c>
      <c r="G551" s="13" t="s">
        <v>6835</v>
      </c>
      <c r="H551" s="12" t="s">
        <v>25</v>
      </c>
      <c r="I551" s="12"/>
      <c r="J551" s="12"/>
      <c r="K551" s="12"/>
      <c r="L551" s="12"/>
      <c r="M551" s="12" t="s">
        <v>1998</v>
      </c>
      <c r="N551" s="12"/>
      <c r="O551" s="12" t="s">
        <v>1999</v>
      </c>
      <c r="P551" s="12" t="str">
        <f>HYPERLINK("https://ceds.ed.gov/cedselementdetails.aspx?termid=9057")</f>
        <v>https://ceds.ed.gov/cedselementdetails.aspx?termid=9057</v>
      </c>
      <c r="Q551" s="12" t="str">
        <f>HYPERLINK("https://ceds.ed.gov/elementComment.aspx?elementName=Course Credit Units &amp;elementID=9057", "Click here to submit comment")</f>
        <v>Click here to submit comment</v>
      </c>
    </row>
    <row r="552" spans="1:17" ht="45" x14ac:dyDescent="0.25">
      <c r="A552" s="12" t="s">
        <v>7169</v>
      </c>
      <c r="B552" s="12" t="s">
        <v>7233</v>
      </c>
      <c r="C552" s="12" t="s">
        <v>7229</v>
      </c>
      <c r="D552" s="12" t="s">
        <v>7172</v>
      </c>
      <c r="E552" s="12" t="s">
        <v>1633</v>
      </c>
      <c r="F552" s="12" t="s">
        <v>1634</v>
      </c>
      <c r="G552" s="12" t="s">
        <v>12</v>
      </c>
      <c r="H552" s="12" t="s">
        <v>205</v>
      </c>
      <c r="I552" s="12"/>
      <c r="J552" s="12" t="s">
        <v>73</v>
      </c>
      <c r="K552" s="12"/>
      <c r="L552" s="12"/>
      <c r="M552" s="12" t="s">
        <v>1636</v>
      </c>
      <c r="N552" s="12" t="s">
        <v>1637</v>
      </c>
      <c r="O552" s="12" t="s">
        <v>1638</v>
      </c>
      <c r="P552" s="12" t="str">
        <f>HYPERLINK("https://ceds.ed.gov/cedselementdetails.aspx?termid=10065")</f>
        <v>https://ceds.ed.gov/cedselementdetails.aspx?termid=10065</v>
      </c>
      <c r="Q552" s="12" t="str">
        <f>HYPERLINK("https://ceds.ed.gov/elementComment.aspx?elementName=Cardiopulmonary Resuscitation Certification Expiration Date &amp;elementID=10065", "Click here to submit comment")</f>
        <v>Click here to submit comment</v>
      </c>
    </row>
    <row r="553" spans="1:17" ht="30" x14ac:dyDescent="0.25">
      <c r="A553" s="12" t="s">
        <v>7169</v>
      </c>
      <c r="B553" s="12" t="s">
        <v>7233</v>
      </c>
      <c r="C553" s="12" t="s">
        <v>7229</v>
      </c>
      <c r="D553" s="12" t="s">
        <v>7172</v>
      </c>
      <c r="E553" s="12" t="s">
        <v>3004</v>
      </c>
      <c r="F553" s="12" t="s">
        <v>3005</v>
      </c>
      <c r="G553" s="12" t="s">
        <v>12</v>
      </c>
      <c r="H553" s="12" t="s">
        <v>205</v>
      </c>
      <c r="I553" s="12"/>
      <c r="J553" s="12" t="s">
        <v>73</v>
      </c>
      <c r="K553" s="12"/>
      <c r="L553" s="12"/>
      <c r="M553" s="12" t="s">
        <v>3006</v>
      </c>
      <c r="N553" s="12"/>
      <c r="O553" s="12" t="s">
        <v>3007</v>
      </c>
      <c r="P553" s="12" t="str">
        <f>HYPERLINK("https://ceds.ed.gov/cedselementdetails.aspx?termid=10066")</f>
        <v>https://ceds.ed.gov/cedselementdetails.aspx?termid=10066</v>
      </c>
      <c r="Q553" s="12" t="str">
        <f>HYPERLINK("https://ceds.ed.gov/elementComment.aspx?elementName=First Aid Certification Expiration Date &amp;elementID=10066", "Click here to submit comment")</f>
        <v>Click here to submit comment</v>
      </c>
    </row>
    <row r="554" spans="1:17" ht="165" x14ac:dyDescent="0.25">
      <c r="A554" s="12" t="s">
        <v>7169</v>
      </c>
      <c r="B554" s="12" t="s">
        <v>7233</v>
      </c>
      <c r="C554" s="12" t="s">
        <v>7229</v>
      </c>
      <c r="D554" s="12" t="s">
        <v>7172</v>
      </c>
      <c r="E554" s="12" t="s">
        <v>2490</v>
      </c>
      <c r="F554" s="12" t="s">
        <v>2491</v>
      </c>
      <c r="G554" s="13" t="s">
        <v>6879</v>
      </c>
      <c r="H554" s="12" t="s">
        <v>205</v>
      </c>
      <c r="I554" s="12"/>
      <c r="J554" s="12"/>
      <c r="K554" s="12"/>
      <c r="L554" s="12"/>
      <c r="M554" s="12" t="s">
        <v>2492</v>
      </c>
      <c r="N554" s="12"/>
      <c r="O554" s="12" t="s">
        <v>2493</v>
      </c>
      <c r="P554" s="12" t="str">
        <f>HYPERLINK("https://ceds.ed.gov/cedselementdetails.aspx?termid=9812")</f>
        <v>https://ceds.ed.gov/cedselementdetails.aspx?termid=9812</v>
      </c>
      <c r="Q554" s="12" t="str">
        <f>HYPERLINK("https://ceds.ed.gov/elementComment.aspx?elementName=Early Learning Core Knowledge Area &amp;elementID=9812", "Click here to submit comment")</f>
        <v>Click here to submit comment</v>
      </c>
    </row>
    <row r="555" spans="1:17" ht="45" x14ac:dyDescent="0.25">
      <c r="A555" s="12" t="s">
        <v>7169</v>
      </c>
      <c r="B555" s="12" t="s">
        <v>7233</v>
      </c>
      <c r="C555" s="12" t="s">
        <v>7229</v>
      </c>
      <c r="D555" s="12" t="s">
        <v>7172</v>
      </c>
      <c r="E555" s="12" t="s">
        <v>5918</v>
      </c>
      <c r="F555" s="12" t="s">
        <v>5919</v>
      </c>
      <c r="G555" s="12" t="s">
        <v>6364</v>
      </c>
      <c r="H555" s="12" t="s">
        <v>205</v>
      </c>
      <c r="I555" s="12"/>
      <c r="J555" s="12"/>
      <c r="K555" s="12"/>
      <c r="L555" s="12"/>
      <c r="M555" s="12" t="s">
        <v>5920</v>
      </c>
      <c r="N555" s="12"/>
      <c r="O555" s="12" t="s">
        <v>5921</v>
      </c>
      <c r="P555" s="12" t="str">
        <f>HYPERLINK("https://ceds.ed.gov/cedselementdetails.aspx?termid=9813")</f>
        <v>https://ceds.ed.gov/cedselementdetails.aspx?termid=9813</v>
      </c>
      <c r="Q555" s="12" t="str">
        <f>HYPERLINK("https://ceds.ed.gov/elementComment.aspx?elementName=State Approved Trainer Status &amp;elementID=9813", "Click here to submit comment")</f>
        <v>Click here to submit comment</v>
      </c>
    </row>
    <row r="556" spans="1:17" ht="60" x14ac:dyDescent="0.25">
      <c r="A556" s="12" t="s">
        <v>7169</v>
      </c>
      <c r="B556" s="12" t="s">
        <v>7233</v>
      </c>
      <c r="C556" s="12" t="s">
        <v>7229</v>
      </c>
      <c r="D556" s="12" t="s">
        <v>7172</v>
      </c>
      <c r="E556" s="12" t="s">
        <v>5914</v>
      </c>
      <c r="F556" s="12" t="s">
        <v>5915</v>
      </c>
      <c r="G556" s="12" t="s">
        <v>6364</v>
      </c>
      <c r="H556" s="12" t="s">
        <v>205</v>
      </c>
      <c r="I556" s="12"/>
      <c r="J556" s="12"/>
      <c r="K556" s="12"/>
      <c r="L556" s="12"/>
      <c r="M556" s="12" t="s">
        <v>5916</v>
      </c>
      <c r="N556" s="12"/>
      <c r="O556" s="12" t="s">
        <v>5917</v>
      </c>
      <c r="P556" s="12" t="str">
        <f>HYPERLINK("https://ceds.ed.gov/cedselementdetails.aspx?termid=9814")</f>
        <v>https://ceds.ed.gov/cedselementdetails.aspx?termid=9814</v>
      </c>
      <c r="Q556" s="12" t="str">
        <f>HYPERLINK("https://ceds.ed.gov/elementComment.aspx?elementName=State Approved Technical Assistance Provider Status &amp;elementID=9814", "Click here to submit comment")</f>
        <v>Click here to submit comment</v>
      </c>
    </row>
    <row r="557" spans="1:17" ht="45" x14ac:dyDescent="0.25">
      <c r="A557" s="12" t="s">
        <v>7169</v>
      </c>
      <c r="B557" s="12" t="s">
        <v>7233</v>
      </c>
      <c r="C557" s="12" t="s">
        <v>7229</v>
      </c>
      <c r="D557" s="12" t="s">
        <v>7172</v>
      </c>
      <c r="E557" s="12" t="s">
        <v>1675</v>
      </c>
      <c r="F557" s="12" t="s">
        <v>1676</v>
      </c>
      <c r="G557" s="12" t="s">
        <v>12</v>
      </c>
      <c r="H557" s="12"/>
      <c r="I557" s="12"/>
      <c r="J557" s="12" t="s">
        <v>73</v>
      </c>
      <c r="K557" s="12"/>
      <c r="L557" s="12"/>
      <c r="M557" s="12" t="s">
        <v>1677</v>
      </c>
      <c r="N557" s="12"/>
      <c r="O557" s="12" t="s">
        <v>1678</v>
      </c>
      <c r="P557" s="12" t="str">
        <f>HYPERLINK("https://ceds.ed.gov/cedselementdetails.aspx?termid=10255")</f>
        <v>https://ceds.ed.gov/cedselementdetails.aspx?termid=10255</v>
      </c>
      <c r="Q557" s="12" t="str">
        <f>HYPERLINK("https://ceds.ed.gov/elementComment.aspx?elementName=Career Education Plan Date &amp;elementID=10255", "Click here to submit comment")</f>
        <v>Click here to submit comment</v>
      </c>
    </row>
    <row r="558" spans="1:17" ht="75" x14ac:dyDescent="0.25">
      <c r="A558" s="12" t="s">
        <v>7169</v>
      </c>
      <c r="B558" s="12" t="s">
        <v>7233</v>
      </c>
      <c r="C558" s="12" t="s">
        <v>7229</v>
      </c>
      <c r="D558" s="12" t="s">
        <v>7172</v>
      </c>
      <c r="E558" s="12" t="s">
        <v>1679</v>
      </c>
      <c r="F558" s="12" t="s">
        <v>1680</v>
      </c>
      <c r="G558" s="13" t="s">
        <v>6808</v>
      </c>
      <c r="H558" s="12"/>
      <c r="I558" s="12"/>
      <c r="J558" s="12"/>
      <c r="K558" s="12"/>
      <c r="L558" s="12"/>
      <c r="M558" s="12" t="s">
        <v>1681</v>
      </c>
      <c r="N558" s="12"/>
      <c r="O558" s="12" t="s">
        <v>1682</v>
      </c>
      <c r="P558" s="12" t="str">
        <f>HYPERLINK("https://ceds.ed.gov/cedselementdetails.aspx?termid=10256")</f>
        <v>https://ceds.ed.gov/cedselementdetails.aspx?termid=10256</v>
      </c>
      <c r="Q558" s="12" t="str">
        <f>HYPERLINK("https://ceds.ed.gov/elementComment.aspx?elementName=Career Education Plan Type &amp;elementID=10256", "Click here to submit comment")</f>
        <v>Click here to submit comment</v>
      </c>
    </row>
    <row r="559" spans="1:17" ht="180" x14ac:dyDescent="0.25">
      <c r="A559" s="12" t="s">
        <v>7169</v>
      </c>
      <c r="B559" s="12" t="s">
        <v>7233</v>
      </c>
      <c r="C559" s="12" t="s">
        <v>7229</v>
      </c>
      <c r="D559" s="12" t="s">
        <v>7172</v>
      </c>
      <c r="E559" s="12" t="s">
        <v>2556</v>
      </c>
      <c r="F559" s="12" t="s">
        <v>2557</v>
      </c>
      <c r="G559" s="13" t="s">
        <v>6888</v>
      </c>
      <c r="H559" s="12"/>
      <c r="I559" s="12"/>
      <c r="J559" s="12"/>
      <c r="K559" s="12"/>
      <c r="L559" s="12"/>
      <c r="M559" s="12" t="s">
        <v>2558</v>
      </c>
      <c r="N559" s="12"/>
      <c r="O559" s="12" t="s">
        <v>2559</v>
      </c>
      <c r="P559" s="12" t="str">
        <f>HYPERLINK("https://ceds.ed.gov/cedselementdetails.aspx?termid=10304")</f>
        <v>https://ceds.ed.gov/cedselementdetails.aspx?termid=10304</v>
      </c>
      <c r="Q559" s="12" t="str">
        <f>HYPERLINK("https://ceds.ed.gov/elementComment.aspx?elementName=Early Learning Professional Development Topic Area &amp;elementID=10304", "Click here to submit comment")</f>
        <v>Click here to submit comment</v>
      </c>
    </row>
    <row r="560" spans="1:17" ht="45" x14ac:dyDescent="0.25">
      <c r="A560" s="12" t="s">
        <v>7169</v>
      </c>
      <c r="B560" s="12" t="s">
        <v>7233</v>
      </c>
      <c r="C560" s="12" t="s">
        <v>7229</v>
      </c>
      <c r="D560" s="12" t="s">
        <v>7172</v>
      </c>
      <c r="E560" s="12" t="s">
        <v>5018</v>
      </c>
      <c r="F560" s="12" t="s">
        <v>5019</v>
      </c>
      <c r="G560" s="13" t="s">
        <v>7027</v>
      </c>
      <c r="H560" s="12"/>
      <c r="I560" s="12"/>
      <c r="J560" s="12"/>
      <c r="K560" s="12"/>
      <c r="L560" s="12"/>
      <c r="M560" s="12" t="s">
        <v>5020</v>
      </c>
      <c r="N560" s="12"/>
      <c r="O560" s="12" t="s">
        <v>5021</v>
      </c>
      <c r="P560" s="12" t="str">
        <f>HYPERLINK("https://ceds.ed.gov/cedselementdetails.aspx?termid=10399")</f>
        <v>https://ceds.ed.gov/cedselementdetails.aspx?termid=10399</v>
      </c>
      <c r="Q560" s="12" t="str">
        <f>HYPERLINK("https://ceds.ed.gov/elementComment.aspx?elementName=Professional Development Audience Type &amp;elementID=10399", "Click here to submit comment")</f>
        <v>Click here to submit comment</v>
      </c>
    </row>
    <row r="561" spans="1:17" ht="45" x14ac:dyDescent="0.25">
      <c r="A561" s="12" t="s">
        <v>7169</v>
      </c>
      <c r="B561" s="12" t="s">
        <v>7233</v>
      </c>
      <c r="C561" s="12" t="s">
        <v>7229</v>
      </c>
      <c r="D561" s="12" t="s">
        <v>7172</v>
      </c>
      <c r="E561" s="12" t="s">
        <v>5042</v>
      </c>
      <c r="F561" s="12" t="s">
        <v>5043</v>
      </c>
      <c r="G561" s="12" t="s">
        <v>6364</v>
      </c>
      <c r="H561" s="12"/>
      <c r="I561" s="12"/>
      <c r="J561" s="12"/>
      <c r="K561" s="12"/>
      <c r="L561" s="12"/>
      <c r="M561" s="12" t="s">
        <v>5044</v>
      </c>
      <c r="N561" s="12"/>
      <c r="O561" s="12" t="s">
        <v>5045</v>
      </c>
      <c r="P561" s="12" t="str">
        <f>HYPERLINK("https://ceds.ed.gov/cedselementdetails.aspx?termid=10599")</f>
        <v>https://ceds.ed.gov/cedselementdetails.aspx?termid=10599</v>
      </c>
      <c r="Q561" s="12" t="str">
        <f>HYPERLINK("https://ceds.ed.gov/elementComment.aspx?elementName=Professional Development Plan Approved By Supervisor &amp;elementID=10599", "Click here to submit comment")</f>
        <v>Click here to submit comment</v>
      </c>
    </row>
    <row r="562" spans="1:17" ht="30" x14ac:dyDescent="0.25">
      <c r="A562" s="12" t="s">
        <v>7169</v>
      </c>
      <c r="B562" s="12" t="s">
        <v>7233</v>
      </c>
      <c r="C562" s="12" t="s">
        <v>7229</v>
      </c>
      <c r="D562" s="12" t="s">
        <v>7172</v>
      </c>
      <c r="E562" s="12" t="s">
        <v>5046</v>
      </c>
      <c r="F562" s="12" t="s">
        <v>5047</v>
      </c>
      <c r="G562" s="12" t="s">
        <v>12</v>
      </c>
      <c r="H562" s="12"/>
      <c r="I562" s="12"/>
      <c r="J562" s="12" t="s">
        <v>73</v>
      </c>
      <c r="K562" s="12"/>
      <c r="L562" s="12"/>
      <c r="M562" s="12" t="s">
        <v>5048</v>
      </c>
      <c r="N562" s="12"/>
      <c r="O562" s="12" t="s">
        <v>5049</v>
      </c>
      <c r="P562" s="12" t="str">
        <f>HYPERLINK("https://ceds.ed.gov/cedselementdetails.aspx?termid=10600")</f>
        <v>https://ceds.ed.gov/cedselementdetails.aspx?termid=10600</v>
      </c>
      <c r="Q562" s="12" t="str">
        <f>HYPERLINK("https://ceds.ed.gov/elementComment.aspx?elementName=Professional Development Plan Completion &amp;elementID=10600", "Click here to submit comment")</f>
        <v>Click here to submit comment</v>
      </c>
    </row>
    <row r="563" spans="1:17" ht="45" x14ac:dyDescent="0.25">
      <c r="A563" s="12" t="s">
        <v>7169</v>
      </c>
      <c r="B563" s="12" t="s">
        <v>7233</v>
      </c>
      <c r="C563" s="12" t="s">
        <v>7229</v>
      </c>
      <c r="D563" s="12" t="s">
        <v>7172</v>
      </c>
      <c r="E563" s="12" t="s">
        <v>5050</v>
      </c>
      <c r="F563" s="12" t="s">
        <v>5051</v>
      </c>
      <c r="G563" s="12" t="s">
        <v>6364</v>
      </c>
      <c r="H563" s="12"/>
      <c r="I563" s="12"/>
      <c r="J563" s="12"/>
      <c r="K563" s="12"/>
      <c r="L563" s="12"/>
      <c r="M563" s="12" t="s">
        <v>5052</v>
      </c>
      <c r="N563" s="12"/>
      <c r="O563" s="12" t="s">
        <v>5053</v>
      </c>
      <c r="P563" s="12" t="str">
        <f>HYPERLINK("https://ceds.ed.gov/cedselementdetails.aspx?termid=10415")</f>
        <v>https://ceds.ed.gov/cedselementdetails.aspx?termid=10415</v>
      </c>
      <c r="Q563" s="12" t="str">
        <f>HYPERLINK("https://ceds.ed.gov/elementComment.aspx?elementName=Professional Development Publish Activity Indicator &amp;elementID=10415", "Click here to submit comment")</f>
        <v>Click here to submit comment</v>
      </c>
    </row>
    <row r="564" spans="1:17" ht="60" x14ac:dyDescent="0.25">
      <c r="A564" s="12" t="s">
        <v>7169</v>
      </c>
      <c r="B564" s="12" t="s">
        <v>7233</v>
      </c>
      <c r="C564" s="12" t="s">
        <v>7229</v>
      </c>
      <c r="D564" s="12" t="s">
        <v>7172</v>
      </c>
      <c r="E564" s="12" t="s">
        <v>6246</v>
      </c>
      <c r="F564" s="12" t="s">
        <v>6247</v>
      </c>
      <c r="G564" s="12" t="s">
        <v>6364</v>
      </c>
      <c r="H564" s="12"/>
      <c r="I564" s="12"/>
      <c r="J564" s="12"/>
      <c r="K564" s="12"/>
      <c r="L564" s="12" t="s">
        <v>6248</v>
      </c>
      <c r="M564" s="12" t="s">
        <v>6249</v>
      </c>
      <c r="N564" s="12"/>
      <c r="O564" s="12" t="s">
        <v>6250</v>
      </c>
      <c r="P564" s="12" t="str">
        <f>HYPERLINK("https://ceds.ed.gov/cedselementdetails.aspx?termid=10554")</f>
        <v>https://ceds.ed.gov/cedselementdetails.aspx?termid=10554</v>
      </c>
      <c r="Q564" s="12" t="str">
        <f>HYPERLINK("https://ceds.ed.gov/elementComment.aspx?elementName=Tuition Funded &amp;elementID=10554", "Click here to submit comment")</f>
        <v>Click here to submit comment</v>
      </c>
    </row>
    <row r="565" spans="1:17" ht="105" x14ac:dyDescent="0.25">
      <c r="A565" s="18" t="s">
        <v>7169</v>
      </c>
      <c r="B565" s="18" t="s">
        <v>7233</v>
      </c>
      <c r="C565" s="18" t="s">
        <v>7236</v>
      </c>
      <c r="D565" s="18" t="s">
        <v>7172</v>
      </c>
      <c r="E565" s="18" t="s">
        <v>5872</v>
      </c>
      <c r="F565" s="18" t="s">
        <v>5873</v>
      </c>
      <c r="G565" s="18" t="s">
        <v>12</v>
      </c>
      <c r="H565" s="18" t="s">
        <v>6676</v>
      </c>
      <c r="I565" s="18"/>
      <c r="J565" s="18" t="s">
        <v>142</v>
      </c>
      <c r="K565" s="18"/>
      <c r="L565" s="12" t="s">
        <v>143</v>
      </c>
      <c r="M565" s="18" t="s">
        <v>5874</v>
      </c>
      <c r="N565" s="18"/>
      <c r="O565" s="18" t="s">
        <v>5875</v>
      </c>
      <c r="P565" s="18" t="str">
        <f>HYPERLINK("https://ceds.ed.gov/cedselementdetails.aspx?termid=9156")</f>
        <v>https://ceds.ed.gov/cedselementdetails.aspx?termid=9156</v>
      </c>
      <c r="Q565" s="18" t="str">
        <f>HYPERLINK("https://ceds.ed.gov/elementComment.aspx?elementName=Staff Member Identifier &amp;elementID=9156", "Click here to submit comment")</f>
        <v>Click here to submit comment</v>
      </c>
    </row>
    <row r="566" spans="1:17" x14ac:dyDescent="0.25">
      <c r="A566" s="18"/>
      <c r="B566" s="18"/>
      <c r="C566" s="18"/>
      <c r="D566" s="18"/>
      <c r="E566" s="18"/>
      <c r="F566" s="18"/>
      <c r="G566" s="18"/>
      <c r="H566" s="18"/>
      <c r="I566" s="18"/>
      <c r="J566" s="18"/>
      <c r="K566" s="18"/>
      <c r="L566" s="12"/>
      <c r="M566" s="18"/>
      <c r="N566" s="18"/>
      <c r="O566" s="18"/>
      <c r="P566" s="18"/>
      <c r="Q566" s="18"/>
    </row>
    <row r="567" spans="1:17" ht="90" x14ac:dyDescent="0.25">
      <c r="A567" s="18"/>
      <c r="B567" s="18"/>
      <c r="C567" s="18"/>
      <c r="D567" s="18"/>
      <c r="E567" s="18"/>
      <c r="F567" s="18"/>
      <c r="G567" s="18"/>
      <c r="H567" s="18"/>
      <c r="I567" s="18"/>
      <c r="J567" s="18"/>
      <c r="K567" s="18"/>
      <c r="L567" s="12" t="s">
        <v>144</v>
      </c>
      <c r="M567" s="18"/>
      <c r="N567" s="18"/>
      <c r="O567" s="18"/>
      <c r="P567" s="18"/>
      <c r="Q567" s="18"/>
    </row>
    <row r="568" spans="1:17" ht="345" x14ac:dyDescent="0.25">
      <c r="A568" s="12" t="s">
        <v>7169</v>
      </c>
      <c r="B568" s="12" t="s">
        <v>7233</v>
      </c>
      <c r="C568" s="12" t="s">
        <v>7236</v>
      </c>
      <c r="D568" s="12" t="s">
        <v>7172</v>
      </c>
      <c r="E568" s="12" t="s">
        <v>5868</v>
      </c>
      <c r="F568" s="12" t="s">
        <v>5869</v>
      </c>
      <c r="G568" s="13" t="s">
        <v>7118</v>
      </c>
      <c r="H568" s="12" t="s">
        <v>6675</v>
      </c>
      <c r="I568" s="12"/>
      <c r="J568" s="12"/>
      <c r="K568" s="12"/>
      <c r="L568" s="12"/>
      <c r="M568" s="12" t="s">
        <v>5870</v>
      </c>
      <c r="N568" s="12"/>
      <c r="O568" s="12" t="s">
        <v>5871</v>
      </c>
      <c r="P568" s="12" t="str">
        <f>HYPERLINK("https://ceds.ed.gov/cedselementdetails.aspx?termid=9162")</f>
        <v>https://ceds.ed.gov/cedselementdetails.aspx?termid=9162</v>
      </c>
      <c r="Q568" s="12" t="str">
        <f>HYPERLINK("https://ceds.ed.gov/elementComment.aspx?elementName=Staff Member Identification System &amp;elementID=9162", "Click here to submit comment")</f>
        <v>Click here to submit comment</v>
      </c>
    </row>
    <row r="569" spans="1:17" ht="225" x14ac:dyDescent="0.25">
      <c r="A569" s="12" t="s">
        <v>7169</v>
      </c>
      <c r="B569" s="12" t="s">
        <v>7233</v>
      </c>
      <c r="C569" s="12" t="s">
        <v>7236</v>
      </c>
      <c r="D569" s="12" t="s">
        <v>7172</v>
      </c>
      <c r="E569" s="12" t="s">
        <v>172</v>
      </c>
      <c r="F569" s="12" t="s">
        <v>173</v>
      </c>
      <c r="G569" s="12" t="s">
        <v>12</v>
      </c>
      <c r="H569" s="12" t="s">
        <v>6377</v>
      </c>
      <c r="I569" s="12"/>
      <c r="J569" s="12" t="s">
        <v>92</v>
      </c>
      <c r="K569" s="12"/>
      <c r="L569" s="12"/>
      <c r="M569" s="12" t="s">
        <v>174</v>
      </c>
      <c r="N569" s="12"/>
      <c r="O569" s="12" t="s">
        <v>175</v>
      </c>
      <c r="P569" s="12" t="str">
        <f>HYPERLINK("https://ceds.ed.gov/cedselementdetails.aspx?termid=9019")</f>
        <v>https://ceds.ed.gov/cedselementdetails.aspx?termid=9019</v>
      </c>
      <c r="Q569" s="12" t="str">
        <f>HYPERLINK("https://ceds.ed.gov/elementComment.aspx?elementName=Address Apartment Room or Suite Number &amp;elementID=9019", "Click here to submit comment")</f>
        <v>Click here to submit comment</v>
      </c>
    </row>
    <row r="570" spans="1:17" ht="225" x14ac:dyDescent="0.25">
      <c r="A570" s="12" t="s">
        <v>7169</v>
      </c>
      <c r="B570" s="12" t="s">
        <v>7233</v>
      </c>
      <c r="C570" s="12" t="s">
        <v>7236</v>
      </c>
      <c r="D570" s="12" t="s">
        <v>7172</v>
      </c>
      <c r="E570" s="12" t="s">
        <v>176</v>
      </c>
      <c r="F570" s="12" t="s">
        <v>177</v>
      </c>
      <c r="G570" s="12" t="s">
        <v>12</v>
      </c>
      <c r="H570" s="12" t="s">
        <v>6377</v>
      </c>
      <c r="I570" s="12"/>
      <c r="J570" s="12" t="s">
        <v>92</v>
      </c>
      <c r="K570" s="12"/>
      <c r="L570" s="12"/>
      <c r="M570" s="12" t="s">
        <v>178</v>
      </c>
      <c r="N570" s="12"/>
      <c r="O570" s="12" t="s">
        <v>179</v>
      </c>
      <c r="P570" s="12" t="str">
        <f>HYPERLINK("https://ceds.ed.gov/cedselementdetails.aspx?termid=9040")</f>
        <v>https://ceds.ed.gov/cedselementdetails.aspx?termid=9040</v>
      </c>
      <c r="Q570" s="12" t="str">
        <f>HYPERLINK("https://ceds.ed.gov/elementComment.aspx?elementName=Address City &amp;elementID=9040", "Click here to submit comment")</f>
        <v>Click here to submit comment</v>
      </c>
    </row>
    <row r="571" spans="1:17" ht="225" x14ac:dyDescent="0.25">
      <c r="A571" s="12" t="s">
        <v>7169</v>
      </c>
      <c r="B571" s="12" t="s">
        <v>7233</v>
      </c>
      <c r="C571" s="12" t="s">
        <v>7236</v>
      </c>
      <c r="D571" s="12" t="s">
        <v>7172</v>
      </c>
      <c r="E571" s="12" t="s">
        <v>184</v>
      </c>
      <c r="F571" s="12" t="s">
        <v>185</v>
      </c>
      <c r="G571" s="12" t="s">
        <v>12</v>
      </c>
      <c r="H571" s="12" t="s">
        <v>6377</v>
      </c>
      <c r="I571" s="12"/>
      <c r="J571" s="12" t="s">
        <v>186</v>
      </c>
      <c r="K571" s="12"/>
      <c r="L571" s="12"/>
      <c r="M571" s="12" t="s">
        <v>187</v>
      </c>
      <c r="N571" s="12"/>
      <c r="O571" s="12" t="s">
        <v>188</v>
      </c>
      <c r="P571" s="12" t="str">
        <f>HYPERLINK("https://ceds.ed.gov/cedselementdetails.aspx?termid=9214")</f>
        <v>https://ceds.ed.gov/cedselementdetails.aspx?termid=9214</v>
      </c>
      <c r="Q571" s="12" t="str">
        <f>HYPERLINK("https://ceds.ed.gov/elementComment.aspx?elementName=Address Postal Code &amp;elementID=9214", "Click here to submit comment")</f>
        <v>Click here to submit comment</v>
      </c>
    </row>
    <row r="572" spans="1:17" ht="225" x14ac:dyDescent="0.25">
      <c r="A572" s="12" t="s">
        <v>7169</v>
      </c>
      <c r="B572" s="12" t="s">
        <v>7233</v>
      </c>
      <c r="C572" s="12" t="s">
        <v>7236</v>
      </c>
      <c r="D572" s="12" t="s">
        <v>7172</v>
      </c>
      <c r="E572" s="12" t="s">
        <v>189</v>
      </c>
      <c r="F572" s="12" t="s">
        <v>190</v>
      </c>
      <c r="G572" s="12" t="s">
        <v>12</v>
      </c>
      <c r="H572" s="12" t="s">
        <v>6377</v>
      </c>
      <c r="I572" s="12"/>
      <c r="J572" s="12" t="s">
        <v>142</v>
      </c>
      <c r="K572" s="12"/>
      <c r="L572" s="12"/>
      <c r="M572" s="12" t="s">
        <v>191</v>
      </c>
      <c r="N572" s="12"/>
      <c r="O572" s="12" t="s">
        <v>192</v>
      </c>
      <c r="P572" s="12" t="str">
        <f>HYPERLINK("https://ceds.ed.gov/cedselementdetails.aspx?termid=9269")</f>
        <v>https://ceds.ed.gov/cedselementdetails.aspx?termid=9269</v>
      </c>
      <c r="Q572" s="12" t="str">
        <f>HYPERLINK("https://ceds.ed.gov/elementComment.aspx?elementName=Address Street Number and Name &amp;elementID=9269", "Click here to submit comment")</f>
        <v>Click here to submit comment</v>
      </c>
    </row>
    <row r="573" spans="1:17" ht="105" x14ac:dyDescent="0.25">
      <c r="A573" s="12" t="s">
        <v>7169</v>
      </c>
      <c r="B573" s="12" t="s">
        <v>7233</v>
      </c>
      <c r="C573" s="12" t="s">
        <v>7236</v>
      </c>
      <c r="D573" s="12" t="s">
        <v>7172</v>
      </c>
      <c r="E573" s="12" t="s">
        <v>201</v>
      </c>
      <c r="F573" s="12" t="s">
        <v>202</v>
      </c>
      <c r="G573" s="13" t="s">
        <v>6728</v>
      </c>
      <c r="H573" s="12" t="s">
        <v>205</v>
      </c>
      <c r="I573" s="12"/>
      <c r="J573" s="12" t="s">
        <v>92</v>
      </c>
      <c r="K573" s="12"/>
      <c r="L573" s="12"/>
      <c r="M573" s="12" t="s">
        <v>203</v>
      </c>
      <c r="N573" s="12"/>
      <c r="O573" s="12" t="s">
        <v>204</v>
      </c>
      <c r="P573" s="12" t="str">
        <f>HYPERLINK("https://ceds.ed.gov/cedselementdetails.aspx?termid=9698")</f>
        <v>https://ceds.ed.gov/cedselementdetails.aspx?termid=9698</v>
      </c>
      <c r="Q573" s="12" t="str">
        <f>HYPERLINK("https://ceds.ed.gov/elementComment.aspx?elementName=Address Type for Staff &amp;elementID=9698", "Click here to submit comment")</f>
        <v>Click here to submit comment</v>
      </c>
    </row>
    <row r="574" spans="1:17" ht="180" x14ac:dyDescent="0.25">
      <c r="A574" s="12" t="s">
        <v>7169</v>
      </c>
      <c r="B574" s="12" t="s">
        <v>7233</v>
      </c>
      <c r="C574" s="12" t="s">
        <v>7236</v>
      </c>
      <c r="D574" s="12" t="s">
        <v>7172</v>
      </c>
      <c r="E574" s="12" t="s">
        <v>2620</v>
      </c>
      <c r="F574" s="12" t="s">
        <v>2621</v>
      </c>
      <c r="G574" s="13" t="s">
        <v>6895</v>
      </c>
      <c r="H574" s="12"/>
      <c r="I574" s="12"/>
      <c r="J574" s="12"/>
      <c r="K574" s="12"/>
      <c r="L574" s="12"/>
      <c r="M574" s="12" t="s">
        <v>2622</v>
      </c>
      <c r="N574" s="12"/>
      <c r="O574" s="12" t="s">
        <v>2623</v>
      </c>
      <c r="P574" s="12" t="str">
        <f>HYPERLINK("https://ceds.ed.gov/cedselementdetails.aspx?termid=10585")</f>
        <v>https://ceds.ed.gov/cedselementdetails.aspx?termid=10585</v>
      </c>
      <c r="Q574" s="12" t="str">
        <f>HYPERLINK("https://ceds.ed.gov/elementComment.aspx?elementName=Early Learning Trainer Core Knowledge Area &amp;elementID=10585", "Click here to submit comment")</f>
        <v>Click here to submit comment</v>
      </c>
    </row>
    <row r="575" spans="1:17" ht="195" x14ac:dyDescent="0.25">
      <c r="A575" s="12" t="s">
        <v>7169</v>
      </c>
      <c r="B575" s="12" t="s">
        <v>7233</v>
      </c>
      <c r="C575" s="12" t="s">
        <v>7236</v>
      </c>
      <c r="D575" s="12" t="s">
        <v>7172</v>
      </c>
      <c r="E575" s="12" t="s">
        <v>3017</v>
      </c>
      <c r="F575" s="12" t="s">
        <v>3018</v>
      </c>
      <c r="G575" s="12" t="s">
        <v>12</v>
      </c>
      <c r="H575" s="12" t="s">
        <v>6540</v>
      </c>
      <c r="I575" s="12"/>
      <c r="J575" s="12" t="s">
        <v>1349</v>
      </c>
      <c r="K575" s="12"/>
      <c r="L575" s="12" t="s">
        <v>3019</v>
      </c>
      <c r="M575" s="12" t="s">
        <v>3020</v>
      </c>
      <c r="N575" s="12"/>
      <c r="O575" s="12" t="s">
        <v>3021</v>
      </c>
      <c r="P575" s="12" t="str">
        <f>HYPERLINK("https://ceds.ed.gov/cedselementdetails.aspx?termid=9115")</f>
        <v>https://ceds.ed.gov/cedselementdetails.aspx?termid=9115</v>
      </c>
      <c r="Q575" s="12" t="str">
        <f>HYPERLINK("https://ceds.ed.gov/elementComment.aspx?elementName=First Name &amp;elementID=9115", "Click here to submit comment")</f>
        <v>Click here to submit comment</v>
      </c>
    </row>
    <row r="576" spans="1:17" x14ac:dyDescent="0.25">
      <c r="A576" s="18" t="s">
        <v>7169</v>
      </c>
      <c r="B576" s="18" t="s">
        <v>7233</v>
      </c>
      <c r="C576" s="18" t="s">
        <v>7236</v>
      </c>
      <c r="D576" s="18" t="s">
        <v>7172</v>
      </c>
      <c r="E576" s="18" t="s">
        <v>3076</v>
      </c>
      <c r="F576" s="18" t="s">
        <v>3077</v>
      </c>
      <c r="G576" s="18" t="s">
        <v>12</v>
      </c>
      <c r="H576" s="18" t="s">
        <v>6543</v>
      </c>
      <c r="I576" s="18"/>
      <c r="J576" s="18" t="s">
        <v>2143</v>
      </c>
      <c r="K576" s="18"/>
      <c r="L576" s="12" t="s">
        <v>3078</v>
      </c>
      <c r="M576" s="18" t="s">
        <v>3080</v>
      </c>
      <c r="N576" s="18"/>
      <c r="O576" s="18" t="s">
        <v>3081</v>
      </c>
      <c r="P576" s="18" t="str">
        <f>HYPERLINK("https://ceds.ed.gov/cedselementdetails.aspx?termid=9121")</f>
        <v>https://ceds.ed.gov/cedselementdetails.aspx?termid=9121</v>
      </c>
      <c r="Q576" s="18" t="str">
        <f>HYPERLINK("https://ceds.ed.gov/elementComment.aspx?elementName=Generation Code or Suffix &amp;elementID=9121", "Click here to submit comment")</f>
        <v>Click here to submit comment</v>
      </c>
    </row>
    <row r="577" spans="1:17" ht="90" x14ac:dyDescent="0.25">
      <c r="A577" s="18"/>
      <c r="B577" s="18"/>
      <c r="C577" s="18"/>
      <c r="D577" s="18"/>
      <c r="E577" s="18"/>
      <c r="F577" s="18"/>
      <c r="G577" s="18"/>
      <c r="H577" s="18"/>
      <c r="I577" s="18"/>
      <c r="J577" s="18"/>
      <c r="K577" s="18"/>
      <c r="L577" s="12" t="s">
        <v>3079</v>
      </c>
      <c r="M577" s="18"/>
      <c r="N577" s="18"/>
      <c r="O577" s="18"/>
      <c r="P577" s="18"/>
      <c r="Q577" s="18"/>
    </row>
    <row r="578" spans="1:17" x14ac:dyDescent="0.25">
      <c r="A578" s="18" t="s">
        <v>7169</v>
      </c>
      <c r="B578" s="18" t="s">
        <v>7233</v>
      </c>
      <c r="C578" s="18" t="s">
        <v>7236</v>
      </c>
      <c r="D578" s="18" t="s">
        <v>7172</v>
      </c>
      <c r="E578" s="18" t="s">
        <v>3684</v>
      </c>
      <c r="F578" s="18" t="s">
        <v>3685</v>
      </c>
      <c r="G578" s="18" t="s">
        <v>12</v>
      </c>
      <c r="H578" s="18" t="s">
        <v>6540</v>
      </c>
      <c r="I578" s="18"/>
      <c r="J578" s="18" t="s">
        <v>1349</v>
      </c>
      <c r="K578" s="18"/>
      <c r="L578" s="12" t="s">
        <v>3078</v>
      </c>
      <c r="M578" s="18" t="s">
        <v>3686</v>
      </c>
      <c r="N578" s="18" t="s">
        <v>3687</v>
      </c>
      <c r="O578" s="18" t="s">
        <v>3688</v>
      </c>
      <c r="P578" s="18" t="str">
        <f>HYPERLINK("https://ceds.ed.gov/cedselementdetails.aspx?termid=9172")</f>
        <v>https://ceds.ed.gov/cedselementdetails.aspx?termid=9172</v>
      </c>
      <c r="Q578" s="18" t="str">
        <f>HYPERLINK("https://ceds.ed.gov/elementComment.aspx?elementName=Last or Surname &amp;elementID=9172", "Click here to submit comment")</f>
        <v>Click here to submit comment</v>
      </c>
    </row>
    <row r="579" spans="1:17" ht="90" x14ac:dyDescent="0.25">
      <c r="A579" s="18"/>
      <c r="B579" s="18"/>
      <c r="C579" s="18"/>
      <c r="D579" s="18"/>
      <c r="E579" s="18"/>
      <c r="F579" s="18"/>
      <c r="G579" s="18"/>
      <c r="H579" s="18"/>
      <c r="I579" s="18"/>
      <c r="J579" s="18"/>
      <c r="K579" s="18"/>
      <c r="L579" s="12" t="s">
        <v>3079</v>
      </c>
      <c r="M579" s="18"/>
      <c r="N579" s="18"/>
      <c r="O579" s="18"/>
      <c r="P579" s="18"/>
      <c r="Q579" s="18"/>
    </row>
    <row r="580" spans="1:17" x14ac:dyDescent="0.25">
      <c r="A580" s="18" t="s">
        <v>7169</v>
      </c>
      <c r="B580" s="18" t="s">
        <v>7233</v>
      </c>
      <c r="C580" s="18" t="s">
        <v>7236</v>
      </c>
      <c r="D580" s="18" t="s">
        <v>7172</v>
      </c>
      <c r="E580" s="18" t="s">
        <v>4405</v>
      </c>
      <c r="F580" s="18" t="s">
        <v>4406</v>
      </c>
      <c r="G580" s="18" t="s">
        <v>12</v>
      </c>
      <c r="H580" s="18" t="s">
        <v>6540</v>
      </c>
      <c r="I580" s="18"/>
      <c r="J580" s="18" t="s">
        <v>1349</v>
      </c>
      <c r="K580" s="18"/>
      <c r="L580" s="12" t="s">
        <v>3078</v>
      </c>
      <c r="M580" s="18" t="s">
        <v>4407</v>
      </c>
      <c r="N580" s="18"/>
      <c r="O580" s="18" t="s">
        <v>4408</v>
      </c>
      <c r="P580" s="18" t="str">
        <f>HYPERLINK("https://ceds.ed.gov/cedselementdetails.aspx?termid=9184")</f>
        <v>https://ceds.ed.gov/cedselementdetails.aspx?termid=9184</v>
      </c>
      <c r="Q580" s="18" t="str">
        <f>HYPERLINK("https://ceds.ed.gov/elementComment.aspx?elementName=Middle Name &amp;elementID=9184", "Click here to submit comment")</f>
        <v>Click here to submit comment</v>
      </c>
    </row>
    <row r="581" spans="1:17" ht="90" x14ac:dyDescent="0.25">
      <c r="A581" s="18"/>
      <c r="B581" s="18"/>
      <c r="C581" s="18"/>
      <c r="D581" s="18"/>
      <c r="E581" s="18"/>
      <c r="F581" s="18"/>
      <c r="G581" s="18"/>
      <c r="H581" s="18"/>
      <c r="I581" s="18"/>
      <c r="J581" s="18"/>
      <c r="K581" s="18"/>
      <c r="L581" s="12" t="s">
        <v>3079</v>
      </c>
      <c r="M581" s="18"/>
      <c r="N581" s="18"/>
      <c r="O581" s="18"/>
      <c r="P581" s="18"/>
      <c r="Q581" s="18"/>
    </row>
    <row r="582" spans="1:17" ht="105" x14ac:dyDescent="0.25">
      <c r="A582" s="12" t="s">
        <v>7169</v>
      </c>
      <c r="B582" s="12" t="s">
        <v>7233</v>
      </c>
      <c r="C582" s="12" t="s">
        <v>7236</v>
      </c>
      <c r="D582" s="12" t="s">
        <v>7172</v>
      </c>
      <c r="E582" s="12" t="s">
        <v>4835</v>
      </c>
      <c r="F582" s="12" t="s">
        <v>4836</v>
      </c>
      <c r="G582" s="12" t="s">
        <v>12</v>
      </c>
      <c r="H582" s="12" t="s">
        <v>6627</v>
      </c>
      <c r="I582" s="12"/>
      <c r="J582" s="12" t="s">
        <v>92</v>
      </c>
      <c r="K582" s="12"/>
      <c r="L582" s="12"/>
      <c r="M582" s="12" t="s">
        <v>4837</v>
      </c>
      <c r="N582" s="12" t="s">
        <v>4838</v>
      </c>
      <c r="O582" s="12" t="s">
        <v>4839</v>
      </c>
      <c r="P582" s="12" t="str">
        <f>HYPERLINK("https://ceds.ed.gov/cedselementdetails.aspx?termid=9212")</f>
        <v>https://ceds.ed.gov/cedselementdetails.aspx?termid=9212</v>
      </c>
      <c r="Q582" s="12" t="str">
        <f>HYPERLINK("https://ceds.ed.gov/elementComment.aspx?elementName=Personal Title or Prefix &amp;elementID=9212", "Click here to submit comment")</f>
        <v>Click here to submit comment</v>
      </c>
    </row>
    <row r="583" spans="1:17" ht="90" x14ac:dyDescent="0.25">
      <c r="A583" s="12" t="s">
        <v>7169</v>
      </c>
      <c r="B583" s="12" t="s">
        <v>7233</v>
      </c>
      <c r="C583" s="12" t="s">
        <v>7236</v>
      </c>
      <c r="D583" s="12" t="s">
        <v>7172</v>
      </c>
      <c r="E583" s="12" t="s">
        <v>4844</v>
      </c>
      <c r="F583" s="12" t="s">
        <v>4845</v>
      </c>
      <c r="G583" s="12" t="s">
        <v>12</v>
      </c>
      <c r="H583" s="12" t="s">
        <v>6369</v>
      </c>
      <c r="I583" s="12"/>
      <c r="J583" s="12" t="s">
        <v>1386</v>
      </c>
      <c r="K583" s="12"/>
      <c r="L583" s="12"/>
      <c r="M583" s="12" t="s">
        <v>4846</v>
      </c>
      <c r="N583" s="12"/>
      <c r="O583" s="12" t="s">
        <v>4847</v>
      </c>
      <c r="P583" s="12" t="str">
        <f>HYPERLINK("https://ceds.ed.gov/cedselementdetails.aspx?termid=9213")</f>
        <v>https://ceds.ed.gov/cedselementdetails.aspx?termid=9213</v>
      </c>
      <c r="Q583" s="12" t="str">
        <f>HYPERLINK("https://ceds.ed.gov/elementComment.aspx?elementName=Position Title &amp;elementID=9213", "Click here to submit comment")</f>
        <v>Click here to submit comment</v>
      </c>
    </row>
    <row r="584" spans="1:17" ht="90" x14ac:dyDescent="0.25">
      <c r="A584" s="12" t="s">
        <v>7169</v>
      </c>
      <c r="B584" s="12" t="s">
        <v>7233</v>
      </c>
      <c r="C584" s="12" t="s">
        <v>7236</v>
      </c>
      <c r="D584" s="12" t="s">
        <v>7172</v>
      </c>
      <c r="E584" s="12" t="s">
        <v>4934</v>
      </c>
      <c r="F584" s="12" t="s">
        <v>4935</v>
      </c>
      <c r="G584" s="12" t="s">
        <v>6364</v>
      </c>
      <c r="H584" s="12" t="s">
        <v>6369</v>
      </c>
      <c r="I584" s="12"/>
      <c r="J584" s="12"/>
      <c r="K584" s="12"/>
      <c r="L584" s="12"/>
      <c r="M584" s="12" t="s">
        <v>4936</v>
      </c>
      <c r="N584" s="12"/>
      <c r="O584" s="12" t="s">
        <v>4937</v>
      </c>
      <c r="P584" s="12" t="str">
        <f>HYPERLINK("https://ceds.ed.gov/cedselementdetails.aspx?termid=9219")</f>
        <v>https://ceds.ed.gov/cedselementdetails.aspx?termid=9219</v>
      </c>
      <c r="Q584" s="12" t="str">
        <f>HYPERLINK("https://ceds.ed.gov/elementComment.aspx?elementName=Primary Telephone Number Indicator &amp;elementID=9219", "Click here to submit comment")</f>
        <v>Click here to submit comment</v>
      </c>
    </row>
    <row r="585" spans="1:17" ht="409.5" x14ac:dyDescent="0.25">
      <c r="A585" s="12" t="s">
        <v>7169</v>
      </c>
      <c r="B585" s="12" t="s">
        <v>7233</v>
      </c>
      <c r="C585" s="12" t="s">
        <v>7236</v>
      </c>
      <c r="D585" s="12" t="s">
        <v>7172</v>
      </c>
      <c r="E585" s="12" t="s">
        <v>5898</v>
      </c>
      <c r="F585" s="12" t="s">
        <v>5899</v>
      </c>
      <c r="G585" s="13" t="s">
        <v>7120</v>
      </c>
      <c r="H585" s="12" t="s">
        <v>6678</v>
      </c>
      <c r="I585" s="12"/>
      <c r="J585" s="12"/>
      <c r="K585" s="12"/>
      <c r="L585" s="12"/>
      <c r="M585" s="12" t="s">
        <v>5900</v>
      </c>
      <c r="N585" s="12"/>
      <c r="O585" s="12" t="s">
        <v>5901</v>
      </c>
      <c r="P585" s="12" t="str">
        <f>HYPERLINK("https://ceds.ed.gov/cedselementdetails.aspx?termid=9267")</f>
        <v>https://ceds.ed.gov/cedselementdetails.aspx?termid=9267</v>
      </c>
      <c r="Q585" s="12" t="str">
        <f>HYPERLINK("https://ceds.ed.gov/elementComment.aspx?elementName=State Abbreviation &amp;elementID=9267", "Click here to submit comment")</f>
        <v>Click here to submit comment</v>
      </c>
    </row>
    <row r="586" spans="1:17" ht="90" x14ac:dyDescent="0.25">
      <c r="A586" s="12" t="s">
        <v>7169</v>
      </c>
      <c r="B586" s="12" t="s">
        <v>7233</v>
      </c>
      <c r="C586" s="12" t="s">
        <v>7236</v>
      </c>
      <c r="D586" s="12" t="s">
        <v>7172</v>
      </c>
      <c r="E586" s="12" t="s">
        <v>6102</v>
      </c>
      <c r="F586" s="12" t="s">
        <v>6103</v>
      </c>
      <c r="G586" s="12" t="s">
        <v>12</v>
      </c>
      <c r="H586" s="12" t="s">
        <v>6369</v>
      </c>
      <c r="I586" s="12"/>
      <c r="J586" s="12" t="s">
        <v>6104</v>
      </c>
      <c r="K586" s="12"/>
      <c r="L586" s="12"/>
      <c r="M586" s="12" t="s">
        <v>6105</v>
      </c>
      <c r="N586" s="12"/>
      <c r="O586" s="12" t="s">
        <v>6106</v>
      </c>
      <c r="P586" s="12" t="str">
        <f>HYPERLINK("https://ceds.ed.gov/cedselementdetails.aspx?termid=9279")</f>
        <v>https://ceds.ed.gov/cedselementdetails.aspx?termid=9279</v>
      </c>
      <c r="Q586" s="12" t="str">
        <f>HYPERLINK("https://ceds.ed.gov/elementComment.aspx?elementName=Telephone Number &amp;elementID=9279", "Click here to submit comment")</f>
        <v>Click here to submit comment</v>
      </c>
    </row>
    <row r="587" spans="1:17" ht="90" x14ac:dyDescent="0.25">
      <c r="A587" s="12" t="s">
        <v>7169</v>
      </c>
      <c r="B587" s="12" t="s">
        <v>7233</v>
      </c>
      <c r="C587" s="12" t="s">
        <v>7236</v>
      </c>
      <c r="D587" s="12" t="s">
        <v>7172</v>
      </c>
      <c r="E587" s="12" t="s">
        <v>6107</v>
      </c>
      <c r="F587" s="12" t="s">
        <v>6108</v>
      </c>
      <c r="G587" s="13" t="s">
        <v>7135</v>
      </c>
      <c r="H587" s="12" t="s">
        <v>6369</v>
      </c>
      <c r="I587" s="12"/>
      <c r="J587" s="12" t="s">
        <v>1950</v>
      </c>
      <c r="K587" s="12"/>
      <c r="L587" s="12"/>
      <c r="M587" s="12" t="s">
        <v>6109</v>
      </c>
      <c r="N587" s="12"/>
      <c r="O587" s="12" t="s">
        <v>6110</v>
      </c>
      <c r="P587" s="12" t="str">
        <f>HYPERLINK("https://ceds.ed.gov/cedselementdetails.aspx?termid=9280")</f>
        <v>https://ceds.ed.gov/cedselementdetails.aspx?termid=9280</v>
      </c>
      <c r="Q587" s="12" t="str">
        <f>HYPERLINK("https://ceds.ed.gov/elementComment.aspx?elementName=Telephone Number Type &amp;elementID=9280", "Click here to submit comment")</f>
        <v>Click here to submit comment</v>
      </c>
    </row>
    <row r="588" spans="1:17" ht="60" x14ac:dyDescent="0.25">
      <c r="A588" s="12" t="s">
        <v>7169</v>
      </c>
      <c r="B588" s="12" t="s">
        <v>7233</v>
      </c>
      <c r="C588" s="12" t="s">
        <v>7236</v>
      </c>
      <c r="D588" s="12" t="s">
        <v>7172</v>
      </c>
      <c r="E588" s="12" t="s">
        <v>6208</v>
      </c>
      <c r="F588" s="12" t="s">
        <v>6209</v>
      </c>
      <c r="G588" s="12" t="s">
        <v>12</v>
      </c>
      <c r="H588" s="12"/>
      <c r="I588" s="12"/>
      <c r="J588" s="12" t="s">
        <v>794</v>
      </c>
      <c r="K588" s="12"/>
      <c r="L588" s="12"/>
      <c r="M588" s="12" t="s">
        <v>6210</v>
      </c>
      <c r="N588" s="12"/>
      <c r="O588" s="12" t="s">
        <v>6211</v>
      </c>
      <c r="P588" s="12" t="str">
        <f>HYPERLINK("https://ceds.ed.gov/cedselementdetails.aspx?termid=10609")</f>
        <v>https://ceds.ed.gov/cedselementdetails.aspx?termid=10609</v>
      </c>
      <c r="Q588" s="12" t="str">
        <f>HYPERLINK("https://ceds.ed.gov/elementComment.aspx?elementName=Training and Technical Assistance Level &amp;elementID=10609", "Click here to submit comment")</f>
        <v>Click here to submit comment</v>
      </c>
    </row>
    <row r="589" spans="1:17" ht="105" x14ac:dyDescent="0.25">
      <c r="A589" s="12" t="s">
        <v>7169</v>
      </c>
      <c r="B589" s="12" t="s">
        <v>7233</v>
      </c>
      <c r="C589" s="12" t="s">
        <v>7237</v>
      </c>
      <c r="D589" s="12" t="s">
        <v>7172</v>
      </c>
      <c r="E589" s="12" t="s">
        <v>4988</v>
      </c>
      <c r="F589" s="12" t="s">
        <v>4989</v>
      </c>
      <c r="G589" s="12" t="s">
        <v>12</v>
      </c>
      <c r="H589" s="12" t="s">
        <v>205</v>
      </c>
      <c r="I589" s="12"/>
      <c r="J589" s="12" t="s">
        <v>142</v>
      </c>
      <c r="K589" s="12"/>
      <c r="L589" s="12" t="s">
        <v>143</v>
      </c>
      <c r="M589" s="12" t="s">
        <v>4990</v>
      </c>
      <c r="N589" s="12"/>
      <c r="O589" s="12" t="s">
        <v>4991</v>
      </c>
      <c r="P589" s="12" t="str">
        <f>HYPERLINK("https://ceds.ed.gov/cedselementdetails.aspx?termid=9808")</f>
        <v>https://ceds.ed.gov/cedselementdetails.aspx?termid=9808</v>
      </c>
      <c r="Q589" s="12" t="str">
        <f>HYPERLINK("https://ceds.ed.gov/elementComment.aspx?elementName=Professional Development Activity Identifier &amp;elementID=9808", "Click here to submit comment")</f>
        <v>Click here to submit comment</v>
      </c>
    </row>
    <row r="590" spans="1:17" ht="60" x14ac:dyDescent="0.25">
      <c r="A590" s="12" t="s">
        <v>7169</v>
      </c>
      <c r="B590" s="12" t="s">
        <v>7233</v>
      </c>
      <c r="C590" s="12" t="s">
        <v>7237</v>
      </c>
      <c r="D590" s="12" t="s">
        <v>7172</v>
      </c>
      <c r="E590" s="12" t="s">
        <v>4984</v>
      </c>
      <c r="F590" s="12" t="s">
        <v>4985</v>
      </c>
      <c r="G590" s="12" t="s">
        <v>12</v>
      </c>
      <c r="H590" s="12"/>
      <c r="I590" s="12"/>
      <c r="J590" s="12" t="s">
        <v>73</v>
      </c>
      <c r="K590" s="12"/>
      <c r="L590" s="12"/>
      <c r="M590" s="12" t="s">
        <v>4986</v>
      </c>
      <c r="N590" s="12"/>
      <c r="O590" s="12" t="s">
        <v>4987</v>
      </c>
      <c r="P590" s="12" t="str">
        <f>HYPERLINK("https://ceds.ed.gov/cedselementdetails.aspx?termid=10421")</f>
        <v>https://ceds.ed.gov/cedselementdetails.aspx?termid=10421</v>
      </c>
      <c r="Q590" s="12" t="str">
        <f>HYPERLINK("https://ceds.ed.gov/elementComment.aspx?elementName=Professional Development Activity Expiration Date &amp;elementID=10421", "Click here to submit comment")</f>
        <v>Click here to submit comment</v>
      </c>
    </row>
    <row r="591" spans="1:17" ht="45" x14ac:dyDescent="0.25">
      <c r="A591" s="12" t="s">
        <v>7169</v>
      </c>
      <c r="B591" s="12" t="s">
        <v>7233</v>
      </c>
      <c r="C591" s="12" t="s">
        <v>7237</v>
      </c>
      <c r="D591" s="12" t="s">
        <v>7172</v>
      </c>
      <c r="E591" s="12" t="s">
        <v>4951</v>
      </c>
      <c r="F591" s="12" t="s">
        <v>4952</v>
      </c>
      <c r="G591" s="12" t="s">
        <v>12</v>
      </c>
      <c r="H591" s="12"/>
      <c r="I591" s="12"/>
      <c r="J591" s="12" t="s">
        <v>92</v>
      </c>
      <c r="K591" s="12"/>
      <c r="L591" s="12"/>
      <c r="M591" s="12" t="s">
        <v>4953</v>
      </c>
      <c r="N591" s="12"/>
      <c r="O591" s="12" t="s">
        <v>4954</v>
      </c>
      <c r="P591" s="12" t="str">
        <f>HYPERLINK("https://ceds.ed.gov/cedselementdetails.aspx?termid=10402")</f>
        <v>https://ceds.ed.gov/cedselementdetails.aspx?termid=10402</v>
      </c>
      <c r="Q591" s="12" t="str">
        <f>HYPERLINK("https://ceds.ed.gov/elementComment.aspx?elementName=Professional Development Activity Approval Code &amp;elementID=10402", "Click here to submit comment")</f>
        <v>Click here to submit comment</v>
      </c>
    </row>
    <row r="592" spans="1:17" ht="90" x14ac:dyDescent="0.25">
      <c r="A592" s="12" t="s">
        <v>7169</v>
      </c>
      <c r="B592" s="12" t="s">
        <v>7233</v>
      </c>
      <c r="C592" s="12" t="s">
        <v>7237</v>
      </c>
      <c r="D592" s="12" t="s">
        <v>7172</v>
      </c>
      <c r="E592" s="12" t="s">
        <v>4955</v>
      </c>
      <c r="F592" s="12" t="s">
        <v>4956</v>
      </c>
      <c r="G592" s="13" t="s">
        <v>7065</v>
      </c>
      <c r="H592" s="12"/>
      <c r="I592" s="12"/>
      <c r="J592" s="12"/>
      <c r="K592" s="12"/>
      <c r="L592" s="12"/>
      <c r="M592" s="12" t="s">
        <v>4957</v>
      </c>
      <c r="N592" s="12"/>
      <c r="O592" s="12" t="s">
        <v>4958</v>
      </c>
      <c r="P592" s="12" t="str">
        <f>HYPERLINK("https://ceds.ed.gov/cedselementdetails.aspx?termid=10403")</f>
        <v>https://ceds.ed.gov/cedselementdetails.aspx?termid=10403</v>
      </c>
      <c r="Q592" s="12" t="str">
        <f>HYPERLINK("https://ceds.ed.gov/elementComment.aspx?elementName=Professional Development Activity Approved Purpose &amp;elementID=10403", "Click here to submit comment")</f>
        <v>Click here to submit comment</v>
      </c>
    </row>
    <row r="593" spans="1:17" ht="75" x14ac:dyDescent="0.25">
      <c r="A593" s="12" t="s">
        <v>7169</v>
      </c>
      <c r="B593" s="12" t="s">
        <v>7233</v>
      </c>
      <c r="C593" s="12" t="s">
        <v>7237</v>
      </c>
      <c r="D593" s="12" t="s">
        <v>7172</v>
      </c>
      <c r="E593" s="12" t="s">
        <v>4959</v>
      </c>
      <c r="F593" s="12" t="s">
        <v>4960</v>
      </c>
      <c r="G593" s="12" t="s">
        <v>12</v>
      </c>
      <c r="H593" s="12"/>
      <c r="I593" s="12"/>
      <c r="J593" s="12" t="s">
        <v>92</v>
      </c>
      <c r="K593" s="12"/>
      <c r="L593" s="12"/>
      <c r="M593" s="12" t="s">
        <v>4961</v>
      </c>
      <c r="N593" s="12"/>
      <c r="O593" s="12" t="s">
        <v>4962</v>
      </c>
      <c r="P593" s="12" t="str">
        <f>HYPERLINK("https://ceds.ed.gov/cedselementdetails.aspx?termid=10404")</f>
        <v>https://ceds.ed.gov/cedselementdetails.aspx?termid=10404</v>
      </c>
      <c r="Q593" s="12" t="str">
        <f>HYPERLINK("https://ceds.ed.gov/elementComment.aspx?elementName=Professional Development Activity Code &amp;elementID=10404", "Click here to submit comment")</f>
        <v>Click here to submit comment</v>
      </c>
    </row>
    <row r="594" spans="1:17" ht="30" x14ac:dyDescent="0.25">
      <c r="A594" s="12" t="s">
        <v>7169</v>
      </c>
      <c r="B594" s="12" t="s">
        <v>7233</v>
      </c>
      <c r="C594" s="12" t="s">
        <v>7237</v>
      </c>
      <c r="D594" s="12" t="s">
        <v>7172</v>
      </c>
      <c r="E594" s="12" t="s">
        <v>4963</v>
      </c>
      <c r="F594" s="12" t="s">
        <v>4964</v>
      </c>
      <c r="G594" s="12" t="s">
        <v>12</v>
      </c>
      <c r="H594" s="12"/>
      <c r="I594" s="12"/>
      <c r="J594" s="12" t="s">
        <v>1554</v>
      </c>
      <c r="K594" s="12"/>
      <c r="L594" s="12"/>
      <c r="M594" s="12" t="s">
        <v>4965</v>
      </c>
      <c r="N594" s="12"/>
      <c r="O594" s="12" t="s">
        <v>4966</v>
      </c>
      <c r="P594" s="12" t="str">
        <f>HYPERLINK("https://ceds.ed.gov/cedselementdetails.aspx?termid=10405")</f>
        <v>https://ceds.ed.gov/cedselementdetails.aspx?termid=10405</v>
      </c>
      <c r="Q594" s="12" t="str">
        <f>HYPERLINK("https://ceds.ed.gov/elementComment.aspx?elementName=Professional Development Activity Cost &amp;elementID=10405", "Click here to submit comment")</f>
        <v>Click here to submit comment</v>
      </c>
    </row>
    <row r="595" spans="1:17" ht="75" x14ac:dyDescent="0.25">
      <c r="A595" s="12" t="s">
        <v>7169</v>
      </c>
      <c r="B595" s="12" t="s">
        <v>7233</v>
      </c>
      <c r="C595" s="12" t="s">
        <v>7237</v>
      </c>
      <c r="D595" s="12" t="s">
        <v>7172</v>
      </c>
      <c r="E595" s="12" t="s">
        <v>4967</v>
      </c>
      <c r="F595" s="12" t="s">
        <v>4968</v>
      </c>
      <c r="G595" s="13" t="s">
        <v>7066</v>
      </c>
      <c r="H595" s="12"/>
      <c r="I595" s="12"/>
      <c r="J595" s="12"/>
      <c r="K595" s="12"/>
      <c r="L595" s="12"/>
      <c r="M595" s="12" t="s">
        <v>4969</v>
      </c>
      <c r="N595" s="12"/>
      <c r="O595" s="12" t="s">
        <v>4970</v>
      </c>
      <c r="P595" s="12" t="str">
        <f>HYPERLINK("https://ceds.ed.gov/cedselementdetails.aspx?termid=10406")</f>
        <v>https://ceds.ed.gov/cedselementdetails.aspx?termid=10406</v>
      </c>
      <c r="Q595" s="12" t="str">
        <f>HYPERLINK("https://ceds.ed.gov/elementComment.aspx?elementName=Professional Development Activity Credit Type &amp;elementID=10406", "Click here to submit comment")</f>
        <v>Click here to submit comment</v>
      </c>
    </row>
    <row r="596" spans="1:17" ht="30" x14ac:dyDescent="0.25">
      <c r="A596" s="12" t="s">
        <v>7169</v>
      </c>
      <c r="B596" s="12" t="s">
        <v>7233</v>
      </c>
      <c r="C596" s="12" t="s">
        <v>7237</v>
      </c>
      <c r="D596" s="12" t="s">
        <v>7172</v>
      </c>
      <c r="E596" s="12" t="s">
        <v>4971</v>
      </c>
      <c r="F596" s="12" t="s">
        <v>4972</v>
      </c>
      <c r="G596" s="12" t="s">
        <v>12</v>
      </c>
      <c r="H596" s="12"/>
      <c r="I596" s="12"/>
      <c r="J596" s="12" t="s">
        <v>1554</v>
      </c>
      <c r="K596" s="12"/>
      <c r="L596" s="12"/>
      <c r="M596" s="12" t="s">
        <v>4973</v>
      </c>
      <c r="N596" s="12"/>
      <c r="O596" s="12" t="s">
        <v>4974</v>
      </c>
      <c r="P596" s="12" t="str">
        <f>HYPERLINK("https://ceds.ed.gov/cedselementdetails.aspx?termid=10407")</f>
        <v>https://ceds.ed.gov/cedselementdetails.aspx?termid=10407</v>
      </c>
      <c r="Q596" s="12" t="str">
        <f>HYPERLINK("https://ceds.ed.gov/elementComment.aspx?elementName=Professional Development Activity Credits &amp;elementID=10407", "Click here to submit comment")</f>
        <v>Click here to submit comment</v>
      </c>
    </row>
    <row r="597" spans="1:17" ht="30" x14ac:dyDescent="0.25">
      <c r="A597" s="12" t="s">
        <v>7169</v>
      </c>
      <c r="B597" s="12" t="s">
        <v>7233</v>
      </c>
      <c r="C597" s="12" t="s">
        <v>7237</v>
      </c>
      <c r="D597" s="12" t="s">
        <v>7172</v>
      </c>
      <c r="E597" s="12" t="s">
        <v>4975</v>
      </c>
      <c r="F597" s="12" t="s">
        <v>4976</v>
      </c>
      <c r="G597" s="12" t="s">
        <v>12</v>
      </c>
      <c r="H597" s="12"/>
      <c r="I597" s="12"/>
      <c r="J597" s="12" t="s">
        <v>327</v>
      </c>
      <c r="K597" s="12"/>
      <c r="L597" s="12"/>
      <c r="M597" s="12" t="s">
        <v>4977</v>
      </c>
      <c r="N597" s="12"/>
      <c r="O597" s="12" t="s">
        <v>4978</v>
      </c>
      <c r="P597" s="12" t="str">
        <f>HYPERLINK("https://ceds.ed.gov/cedselementdetails.aspx?termid=10408")</f>
        <v>https://ceds.ed.gov/cedselementdetails.aspx?termid=10408</v>
      </c>
      <c r="Q597" s="12" t="str">
        <f>HYPERLINK("https://ceds.ed.gov/elementComment.aspx?elementName=Professional Development Activity Description &amp;elementID=10408", "Click here to submit comment")</f>
        <v>Click here to submit comment</v>
      </c>
    </row>
    <row r="598" spans="1:17" ht="409.5" x14ac:dyDescent="0.25">
      <c r="A598" s="12" t="s">
        <v>7169</v>
      </c>
      <c r="B598" s="12" t="s">
        <v>7233</v>
      </c>
      <c r="C598" s="12" t="s">
        <v>7237</v>
      </c>
      <c r="D598" s="12" t="s">
        <v>7172</v>
      </c>
      <c r="E598" s="12" t="s">
        <v>4979</v>
      </c>
      <c r="F598" s="12" t="s">
        <v>4980</v>
      </c>
      <c r="G598" s="13" t="s">
        <v>7067</v>
      </c>
      <c r="H598" s="12"/>
      <c r="I598" s="12"/>
      <c r="J598" s="12"/>
      <c r="K598" s="12"/>
      <c r="L598" s="12" t="s">
        <v>4981</v>
      </c>
      <c r="M598" s="12" t="s">
        <v>4982</v>
      </c>
      <c r="N598" s="12"/>
      <c r="O598" s="12" t="s">
        <v>4983</v>
      </c>
      <c r="P598" s="12" t="str">
        <f>HYPERLINK("https://ceds.ed.gov/cedselementdetails.aspx?termid=10245")</f>
        <v>https://ceds.ed.gov/cedselementdetails.aspx?termid=10245</v>
      </c>
      <c r="Q598" s="12" t="str">
        <f>HYPERLINK("https://ceds.ed.gov/elementComment.aspx?elementName=Professional Development Activity Education Levels Addressed &amp;elementID=10245", "Click here to submit comment")</f>
        <v>Click here to submit comment</v>
      </c>
    </row>
    <row r="599" spans="1:17" ht="60" x14ac:dyDescent="0.25">
      <c r="A599" s="12" t="s">
        <v>7169</v>
      </c>
      <c r="B599" s="12" t="s">
        <v>7233</v>
      </c>
      <c r="C599" s="12" t="s">
        <v>7237</v>
      </c>
      <c r="D599" s="12" t="s">
        <v>7172</v>
      </c>
      <c r="E599" s="12" t="s">
        <v>4992</v>
      </c>
      <c r="F599" s="12" t="s">
        <v>4993</v>
      </c>
      <c r="G599" s="13" t="s">
        <v>7068</v>
      </c>
      <c r="H599" s="12"/>
      <c r="I599" s="12"/>
      <c r="J599" s="12"/>
      <c r="K599" s="12"/>
      <c r="L599" s="12"/>
      <c r="M599" s="12" t="s">
        <v>4994</v>
      </c>
      <c r="N599" s="12"/>
      <c r="O599" s="12" t="s">
        <v>4995</v>
      </c>
      <c r="P599" s="12" t="str">
        <f>HYPERLINK("https://ceds.ed.gov/cedselementdetails.aspx?termid=10409")</f>
        <v>https://ceds.ed.gov/cedselementdetails.aspx?termid=10409</v>
      </c>
      <c r="Q599" s="12" t="str">
        <f>HYPERLINK("https://ceds.ed.gov/elementComment.aspx?elementName=Professional Development Activity Level &amp;elementID=10409", "Click here to submit comment")</f>
        <v>Click here to submit comment</v>
      </c>
    </row>
    <row r="600" spans="1:17" ht="30" x14ac:dyDescent="0.25">
      <c r="A600" s="12" t="s">
        <v>7169</v>
      </c>
      <c r="B600" s="12" t="s">
        <v>7233</v>
      </c>
      <c r="C600" s="12" t="s">
        <v>7237</v>
      </c>
      <c r="D600" s="12" t="s">
        <v>7172</v>
      </c>
      <c r="E600" s="12" t="s">
        <v>4996</v>
      </c>
      <c r="F600" s="12" t="s">
        <v>4997</v>
      </c>
      <c r="G600" s="12" t="s">
        <v>12</v>
      </c>
      <c r="H600" s="12"/>
      <c r="I600" s="12"/>
      <c r="J600" s="12" t="s">
        <v>327</v>
      </c>
      <c r="K600" s="12"/>
      <c r="L600" s="12"/>
      <c r="M600" s="12" t="s">
        <v>4998</v>
      </c>
      <c r="N600" s="12"/>
      <c r="O600" s="12" t="s">
        <v>4999</v>
      </c>
      <c r="P600" s="12" t="str">
        <f>HYPERLINK("https://ceds.ed.gov/cedselementdetails.aspx?termid=10410")</f>
        <v>https://ceds.ed.gov/cedselementdetails.aspx?termid=10410</v>
      </c>
      <c r="Q600" s="12" t="str">
        <f>HYPERLINK("https://ceds.ed.gov/elementComment.aspx?elementName=Professional Development Activity Objective &amp;elementID=10410", "Click here to submit comment")</f>
        <v>Click here to submit comment</v>
      </c>
    </row>
    <row r="601" spans="1:17" ht="45" x14ac:dyDescent="0.25">
      <c r="A601" s="12" t="s">
        <v>7169</v>
      </c>
      <c r="B601" s="12" t="s">
        <v>7233</v>
      </c>
      <c r="C601" s="12" t="s">
        <v>7237</v>
      </c>
      <c r="D601" s="12" t="s">
        <v>7172</v>
      </c>
      <c r="E601" s="12" t="s">
        <v>5000</v>
      </c>
      <c r="F601" s="12" t="s">
        <v>5001</v>
      </c>
      <c r="G601" s="12" t="s">
        <v>6364</v>
      </c>
      <c r="H601" s="12"/>
      <c r="I601" s="12"/>
      <c r="J601" s="12"/>
      <c r="K601" s="12"/>
      <c r="L601" s="12"/>
      <c r="M601" s="12" t="s">
        <v>5003</v>
      </c>
      <c r="N601" s="12"/>
      <c r="O601" s="12" t="s">
        <v>5004</v>
      </c>
      <c r="P601" s="12" t="str">
        <f>HYPERLINK("https://ceds.ed.gov/cedselementdetails.aspx?termid=10598")</f>
        <v>https://ceds.ed.gov/cedselementdetails.aspx?termid=10598</v>
      </c>
      <c r="Q601" s="12" t="str">
        <f>HYPERLINK("https://ceds.ed.gov/elementComment.aspx?elementName=Professional Development Activity State Approved Status &amp;elementID=10598", "Click here to submit comment")</f>
        <v>Click here to submit comment</v>
      </c>
    </row>
    <row r="602" spans="1:17" ht="409.5" x14ac:dyDescent="0.25">
      <c r="A602" s="12" t="s">
        <v>7169</v>
      </c>
      <c r="B602" s="12" t="s">
        <v>7233</v>
      </c>
      <c r="C602" s="12" t="s">
        <v>7237</v>
      </c>
      <c r="D602" s="12" t="s">
        <v>7172</v>
      </c>
      <c r="E602" s="12" t="s">
        <v>5005</v>
      </c>
      <c r="F602" s="12" t="s">
        <v>5006</v>
      </c>
      <c r="G602" s="13" t="s">
        <v>7069</v>
      </c>
      <c r="H602" s="12"/>
      <c r="I602" s="12"/>
      <c r="J602" s="12"/>
      <c r="K602" s="12"/>
      <c r="L602" s="12"/>
      <c r="M602" s="12" t="s">
        <v>5007</v>
      </c>
      <c r="N602" s="12"/>
      <c r="O602" s="12" t="s">
        <v>5008</v>
      </c>
      <c r="P602" s="12" t="str">
        <f>HYPERLINK("https://ceds.ed.gov/cedselementdetails.aspx?termid=10464")</f>
        <v>https://ceds.ed.gov/cedselementdetails.aspx?termid=10464</v>
      </c>
      <c r="Q602" s="12" t="str">
        <f>HYPERLINK("https://ceds.ed.gov/elementComment.aspx?elementName=Professional Development Activity Target Audience &amp;elementID=10464", "Click here to submit comment")</f>
        <v>Click here to submit comment</v>
      </c>
    </row>
    <row r="603" spans="1:17" ht="45" x14ac:dyDescent="0.25">
      <c r="A603" s="12" t="s">
        <v>7169</v>
      </c>
      <c r="B603" s="12" t="s">
        <v>7233</v>
      </c>
      <c r="C603" s="12" t="s">
        <v>7237</v>
      </c>
      <c r="D603" s="12" t="s">
        <v>7172</v>
      </c>
      <c r="E603" s="12" t="s">
        <v>5009</v>
      </c>
      <c r="F603" s="12" t="s">
        <v>5010</v>
      </c>
      <c r="G603" s="12" t="s">
        <v>12</v>
      </c>
      <c r="H603" s="12" t="s">
        <v>205</v>
      </c>
      <c r="I603" s="12"/>
      <c r="J603" s="12" t="s">
        <v>99</v>
      </c>
      <c r="K603" s="12"/>
      <c r="L603" s="12"/>
      <c r="M603" s="12" t="s">
        <v>5011</v>
      </c>
      <c r="N603" s="12"/>
      <c r="O603" s="12" t="s">
        <v>5012</v>
      </c>
      <c r="P603" s="12" t="str">
        <f>HYPERLINK("https://ceds.ed.gov/cedselementdetails.aspx?termid=9809")</f>
        <v>https://ceds.ed.gov/cedselementdetails.aspx?termid=9809</v>
      </c>
      <c r="Q603" s="12" t="str">
        <f>HYPERLINK("https://ceds.ed.gov/elementComment.aspx?elementName=Professional Development Activity Title &amp;elementID=9809", "Click here to submit comment")</f>
        <v>Click here to submit comment</v>
      </c>
    </row>
    <row r="604" spans="1:17" ht="210" x14ac:dyDescent="0.25">
      <c r="A604" s="12" t="s">
        <v>7169</v>
      </c>
      <c r="B604" s="12" t="s">
        <v>7233</v>
      </c>
      <c r="C604" s="12" t="s">
        <v>7237</v>
      </c>
      <c r="D604" s="12" t="s">
        <v>7172</v>
      </c>
      <c r="E604" s="12" t="s">
        <v>5013</v>
      </c>
      <c r="F604" s="12" t="s">
        <v>5014</v>
      </c>
      <c r="G604" s="13" t="s">
        <v>7070</v>
      </c>
      <c r="H604" s="12"/>
      <c r="I604" s="12"/>
      <c r="J604" s="12"/>
      <c r="K604" s="12"/>
      <c r="L604" s="12" t="s">
        <v>5015</v>
      </c>
      <c r="M604" s="12" t="s">
        <v>5016</v>
      </c>
      <c r="N604" s="12"/>
      <c r="O604" s="12" t="s">
        <v>5017</v>
      </c>
      <c r="P604" s="12" t="str">
        <f>HYPERLINK("https://ceds.ed.gov/cedselementdetails.aspx?termid=10412")</f>
        <v>https://ceds.ed.gov/cedselementdetails.aspx?termid=10412</v>
      </c>
      <c r="Q604" s="12" t="str">
        <f>HYPERLINK("https://ceds.ed.gov/elementComment.aspx?elementName=Professional Development Activity Type &amp;elementID=10412", "Click here to submit comment")</f>
        <v>Click here to submit comment</v>
      </c>
    </row>
    <row r="605" spans="1:17" ht="90" x14ac:dyDescent="0.25">
      <c r="A605" s="12" t="s">
        <v>7169</v>
      </c>
      <c r="B605" s="12" t="s">
        <v>7233</v>
      </c>
      <c r="C605" s="12" t="s">
        <v>7237</v>
      </c>
      <c r="D605" s="12" t="s">
        <v>7172</v>
      </c>
      <c r="E605" s="12" t="s">
        <v>5083</v>
      </c>
      <c r="F605" s="12" t="s">
        <v>5084</v>
      </c>
      <c r="G605" s="14" t="s">
        <v>999</v>
      </c>
      <c r="H605" s="12"/>
      <c r="I605" s="12" t="s">
        <v>98</v>
      </c>
      <c r="J605" s="12"/>
      <c r="K605" s="12"/>
      <c r="L605" s="14" t="s">
        <v>1000</v>
      </c>
      <c r="M605" s="12" t="s">
        <v>5085</v>
      </c>
      <c r="N605" s="12"/>
      <c r="O605" s="12" t="s">
        <v>5086</v>
      </c>
      <c r="P605" s="12" t="str">
        <f>HYPERLINK("https://ceds.ed.gov/cedselementdetails.aspx?termid=10357")</f>
        <v>https://ceds.ed.gov/cedselementdetails.aspx?termid=10357</v>
      </c>
      <c r="Q605" s="12" t="str">
        <f>HYPERLINK("https://ceds.ed.gov/elementComment.aspx?elementName=Professional Development Session Language &amp;elementID=10357", "Click here to submit comment")</f>
        <v>Click here to submit comment</v>
      </c>
    </row>
    <row r="606" spans="1:17" ht="45" x14ac:dyDescent="0.25">
      <c r="A606" s="12" t="s">
        <v>7169</v>
      </c>
      <c r="B606" s="12" t="s">
        <v>7233</v>
      </c>
      <c r="C606" s="12" t="s">
        <v>7238</v>
      </c>
      <c r="D606" s="12" t="s">
        <v>7172</v>
      </c>
      <c r="E606" s="12" t="s">
        <v>5058</v>
      </c>
      <c r="F606" s="12" t="s">
        <v>5059</v>
      </c>
      <c r="G606" s="12" t="s">
        <v>12</v>
      </c>
      <c r="H606" s="12"/>
      <c r="I606" s="12"/>
      <c r="J606" s="12" t="s">
        <v>620</v>
      </c>
      <c r="K606" s="12"/>
      <c r="L606" s="12"/>
      <c r="M606" s="12" t="s">
        <v>5060</v>
      </c>
      <c r="N606" s="12"/>
      <c r="O606" s="12" t="s">
        <v>5061</v>
      </c>
      <c r="P606" s="12" t="str">
        <f>HYPERLINK("https://ceds.ed.gov/cedselementdetails.aspx?termid=10416")</f>
        <v>https://ceds.ed.gov/cedselementdetails.aspx?termid=10416</v>
      </c>
      <c r="Q606" s="12" t="str">
        <f>HYPERLINK("https://ceds.ed.gov/elementComment.aspx?elementName=Professional Development Session Capacity &amp;elementID=10416", "Click here to submit comment")</f>
        <v>Click here to submit comment</v>
      </c>
    </row>
    <row r="607" spans="1:17" ht="30" x14ac:dyDescent="0.25">
      <c r="A607" s="12" t="s">
        <v>7169</v>
      </c>
      <c r="B607" s="12" t="s">
        <v>7233</v>
      </c>
      <c r="C607" s="12" t="s">
        <v>7238</v>
      </c>
      <c r="D607" s="12" t="s">
        <v>7172</v>
      </c>
      <c r="E607" s="12" t="s">
        <v>5062</v>
      </c>
      <c r="F607" s="12" t="s">
        <v>5063</v>
      </c>
      <c r="G607" s="12" t="s">
        <v>12</v>
      </c>
      <c r="H607" s="12"/>
      <c r="I607" s="12"/>
      <c r="J607" s="12" t="s">
        <v>73</v>
      </c>
      <c r="K607" s="12"/>
      <c r="L607" s="12"/>
      <c r="M607" s="12" t="s">
        <v>5064</v>
      </c>
      <c r="N607" s="12"/>
      <c r="O607" s="12" t="s">
        <v>5065</v>
      </c>
      <c r="P607" s="12" t="str">
        <f>HYPERLINK("https://ceds.ed.gov/cedselementdetails.aspx?termid=10417")</f>
        <v>https://ceds.ed.gov/cedselementdetails.aspx?termid=10417</v>
      </c>
      <c r="Q607" s="12" t="str">
        <f>HYPERLINK("https://ceds.ed.gov/elementComment.aspx?elementName=Professional Development Session End Date &amp;elementID=10417", "Click here to submit comment")</f>
        <v>Click here to submit comment</v>
      </c>
    </row>
    <row r="608" spans="1:17" ht="30" x14ac:dyDescent="0.25">
      <c r="A608" s="12" t="s">
        <v>7169</v>
      </c>
      <c r="B608" s="12" t="s">
        <v>7233</v>
      </c>
      <c r="C608" s="12" t="s">
        <v>7238</v>
      </c>
      <c r="D608" s="12" t="s">
        <v>7172</v>
      </c>
      <c r="E608" s="12" t="s">
        <v>5066</v>
      </c>
      <c r="F608" s="12" t="s">
        <v>5067</v>
      </c>
      <c r="G608" s="12" t="s">
        <v>12</v>
      </c>
      <c r="H608" s="12"/>
      <c r="I608" s="12"/>
      <c r="J608" s="12" t="s">
        <v>5068</v>
      </c>
      <c r="K608" s="12"/>
      <c r="L608" s="12"/>
      <c r="M608" s="12" t="s">
        <v>5069</v>
      </c>
      <c r="N608" s="12"/>
      <c r="O608" s="12" t="s">
        <v>5070</v>
      </c>
      <c r="P608" s="12" t="str">
        <f>HYPERLINK("https://ceds.ed.gov/cedselementdetails.aspx?termid=10418")</f>
        <v>https://ceds.ed.gov/cedselementdetails.aspx?termid=10418</v>
      </c>
      <c r="Q608" s="12" t="str">
        <f>HYPERLINK("https://ceds.ed.gov/elementComment.aspx?elementName=Professional Development Session End Time &amp;elementID=10418", "Click here to submit comment")</f>
        <v>Click here to submit comment</v>
      </c>
    </row>
    <row r="609" spans="1:17" ht="30" x14ac:dyDescent="0.25">
      <c r="A609" s="12" t="s">
        <v>7169</v>
      </c>
      <c r="B609" s="12" t="s">
        <v>7233</v>
      </c>
      <c r="C609" s="12" t="s">
        <v>7238</v>
      </c>
      <c r="D609" s="12" t="s">
        <v>7172</v>
      </c>
      <c r="E609" s="12" t="s">
        <v>5071</v>
      </c>
      <c r="F609" s="12" t="s">
        <v>5072</v>
      </c>
      <c r="G609" s="12" t="s">
        <v>12</v>
      </c>
      <c r="H609" s="12"/>
      <c r="I609" s="12"/>
      <c r="J609" s="12" t="s">
        <v>92</v>
      </c>
      <c r="K609" s="12"/>
      <c r="L609" s="12"/>
      <c r="M609" s="12" t="s">
        <v>5073</v>
      </c>
      <c r="N609" s="12"/>
      <c r="O609" s="12" t="s">
        <v>5074</v>
      </c>
      <c r="P609" s="12" t="str">
        <f>HYPERLINK("https://ceds.ed.gov/cedselementdetails.aspx?termid=10419")</f>
        <v>https://ceds.ed.gov/cedselementdetails.aspx?termid=10419</v>
      </c>
      <c r="Q609" s="12" t="str">
        <f>HYPERLINK("https://ceds.ed.gov/elementComment.aspx?elementName=Professional Development Session Evaluation Method &amp;elementID=10419", "Click here to submit comment")</f>
        <v>Click here to submit comment</v>
      </c>
    </row>
    <row r="610" spans="1:17" ht="45" x14ac:dyDescent="0.25">
      <c r="A610" s="12" t="s">
        <v>7169</v>
      </c>
      <c r="B610" s="12" t="s">
        <v>7233</v>
      </c>
      <c r="C610" s="12" t="s">
        <v>7238</v>
      </c>
      <c r="D610" s="12" t="s">
        <v>7172</v>
      </c>
      <c r="E610" s="12" t="s">
        <v>5075</v>
      </c>
      <c r="F610" s="12" t="s">
        <v>5076</v>
      </c>
      <c r="G610" s="12" t="s">
        <v>12</v>
      </c>
      <c r="H610" s="12"/>
      <c r="I610" s="12"/>
      <c r="J610" s="12" t="s">
        <v>92</v>
      </c>
      <c r="K610" s="12"/>
      <c r="L610" s="12"/>
      <c r="M610" s="12" t="s">
        <v>5077</v>
      </c>
      <c r="N610" s="12"/>
      <c r="O610" s="12" t="s">
        <v>5078</v>
      </c>
      <c r="P610" s="12" t="str">
        <f>HYPERLINK("https://ceds.ed.gov/cedselementdetails.aspx?termid=10420")</f>
        <v>https://ceds.ed.gov/cedselementdetails.aspx?termid=10420</v>
      </c>
      <c r="Q610" s="12" t="str">
        <f>HYPERLINK("https://ceds.ed.gov/elementComment.aspx?elementName=Professional Development Session Evaluation Score &amp;elementID=10420", "Click here to submit comment")</f>
        <v>Click here to submit comment</v>
      </c>
    </row>
    <row r="611" spans="1:17" ht="105" x14ac:dyDescent="0.25">
      <c r="A611" s="18" t="s">
        <v>7169</v>
      </c>
      <c r="B611" s="18" t="s">
        <v>7233</v>
      </c>
      <c r="C611" s="18" t="s">
        <v>7238</v>
      </c>
      <c r="D611" s="18" t="s">
        <v>7172</v>
      </c>
      <c r="E611" s="18" t="s">
        <v>5079</v>
      </c>
      <c r="F611" s="18" t="s">
        <v>5080</v>
      </c>
      <c r="G611" s="18" t="s">
        <v>12</v>
      </c>
      <c r="H611" s="18"/>
      <c r="I611" s="18"/>
      <c r="J611" s="18" t="s">
        <v>142</v>
      </c>
      <c r="K611" s="18"/>
      <c r="L611" s="12" t="s">
        <v>143</v>
      </c>
      <c r="M611" s="18" t="s">
        <v>5081</v>
      </c>
      <c r="N611" s="18"/>
      <c r="O611" s="18" t="s">
        <v>5082</v>
      </c>
      <c r="P611" s="18" t="str">
        <f>HYPERLINK("https://ceds.ed.gov/cedselementdetails.aspx?termid=10422")</f>
        <v>https://ceds.ed.gov/cedselementdetails.aspx?termid=10422</v>
      </c>
      <c r="Q611" s="18" t="str">
        <f>HYPERLINK("https://ceds.ed.gov/elementComment.aspx?elementName=Professional Development Session Identifier &amp;elementID=10422", "Click here to submit comment")</f>
        <v>Click here to submit comment</v>
      </c>
    </row>
    <row r="612" spans="1:17" x14ac:dyDescent="0.25">
      <c r="A612" s="18"/>
      <c r="B612" s="18"/>
      <c r="C612" s="18"/>
      <c r="D612" s="18"/>
      <c r="E612" s="18"/>
      <c r="F612" s="18"/>
      <c r="G612" s="18"/>
      <c r="H612" s="18"/>
      <c r="I612" s="18"/>
      <c r="J612" s="18"/>
      <c r="K612" s="18"/>
      <c r="L612" s="12"/>
      <c r="M612" s="18"/>
      <c r="N612" s="18"/>
      <c r="O612" s="18"/>
      <c r="P612" s="18"/>
      <c r="Q612" s="18"/>
    </row>
    <row r="613" spans="1:17" ht="90" x14ac:dyDescent="0.25">
      <c r="A613" s="18"/>
      <c r="B613" s="18"/>
      <c r="C613" s="18"/>
      <c r="D613" s="18"/>
      <c r="E613" s="18"/>
      <c r="F613" s="18"/>
      <c r="G613" s="18"/>
      <c r="H613" s="18"/>
      <c r="I613" s="18"/>
      <c r="J613" s="18"/>
      <c r="K613" s="18"/>
      <c r="L613" s="12" t="s">
        <v>144</v>
      </c>
      <c r="M613" s="18"/>
      <c r="N613" s="18"/>
      <c r="O613" s="18"/>
      <c r="P613" s="18"/>
      <c r="Q613" s="18"/>
    </row>
    <row r="614" spans="1:17" ht="45" x14ac:dyDescent="0.25">
      <c r="A614" s="12" t="s">
        <v>7169</v>
      </c>
      <c r="B614" s="12" t="s">
        <v>7233</v>
      </c>
      <c r="C614" s="12" t="s">
        <v>7238</v>
      </c>
      <c r="D614" s="12" t="s">
        <v>7172</v>
      </c>
      <c r="E614" s="12" t="s">
        <v>5091</v>
      </c>
      <c r="F614" s="12" t="s">
        <v>5092</v>
      </c>
      <c r="G614" s="12" t="s">
        <v>12</v>
      </c>
      <c r="H614" s="12"/>
      <c r="I614" s="12"/>
      <c r="J614" s="12" t="s">
        <v>73</v>
      </c>
      <c r="K614" s="12"/>
      <c r="L614" s="12"/>
      <c r="M614" s="12" t="s">
        <v>5093</v>
      </c>
      <c r="N614" s="12"/>
      <c r="O614" s="12" t="s">
        <v>5094</v>
      </c>
      <c r="P614" s="12" t="str">
        <f>HYPERLINK("https://ceds.ed.gov/cedselementdetails.aspx?termid=10426")</f>
        <v>https://ceds.ed.gov/cedselementdetails.aspx?termid=10426</v>
      </c>
      <c r="Q614" s="12" t="str">
        <f>HYPERLINK("https://ceds.ed.gov/elementComment.aspx?elementName=Professional Development Session Start Date &amp;elementID=10426", "Click here to submit comment")</f>
        <v>Click here to submit comment</v>
      </c>
    </row>
    <row r="615" spans="1:17" ht="30" x14ac:dyDescent="0.25">
      <c r="A615" s="12" t="s">
        <v>7169</v>
      </c>
      <c r="B615" s="12" t="s">
        <v>7233</v>
      </c>
      <c r="C615" s="12" t="s">
        <v>7238</v>
      </c>
      <c r="D615" s="12" t="s">
        <v>7172</v>
      </c>
      <c r="E615" s="12" t="s">
        <v>5095</v>
      </c>
      <c r="F615" s="12" t="s">
        <v>5096</v>
      </c>
      <c r="G615" s="12" t="s">
        <v>12</v>
      </c>
      <c r="H615" s="12"/>
      <c r="I615" s="12"/>
      <c r="J615" s="12" t="s">
        <v>5068</v>
      </c>
      <c r="K615" s="12"/>
      <c r="L615" s="12"/>
      <c r="M615" s="12" t="s">
        <v>5097</v>
      </c>
      <c r="N615" s="12"/>
      <c r="O615" s="12" t="s">
        <v>5098</v>
      </c>
      <c r="P615" s="12" t="str">
        <f>HYPERLINK("https://ceds.ed.gov/cedselementdetails.aspx?termid=10427")</f>
        <v>https://ceds.ed.gov/cedselementdetails.aspx?termid=10427</v>
      </c>
      <c r="Q615" s="12" t="str">
        <f>HYPERLINK("https://ceds.ed.gov/elementComment.aspx?elementName=Professional Development Session Start Time &amp;elementID=10427", "Click here to submit comment")</f>
        <v>Click here to submit comment</v>
      </c>
    </row>
    <row r="616" spans="1:17" ht="60" x14ac:dyDescent="0.25">
      <c r="A616" s="12" t="s">
        <v>7169</v>
      </c>
      <c r="B616" s="12" t="s">
        <v>7233</v>
      </c>
      <c r="C616" s="12" t="s">
        <v>7238</v>
      </c>
      <c r="D616" s="12" t="s">
        <v>7172</v>
      </c>
      <c r="E616" s="12" t="s">
        <v>5099</v>
      </c>
      <c r="F616" s="12" t="s">
        <v>5100</v>
      </c>
      <c r="G616" s="13" t="s">
        <v>7074</v>
      </c>
      <c r="H616" s="12"/>
      <c r="I616" s="12"/>
      <c r="J616" s="12"/>
      <c r="K616" s="12"/>
      <c r="L616" s="12"/>
      <c r="M616" s="12" t="s">
        <v>5101</v>
      </c>
      <c r="N616" s="12"/>
      <c r="O616" s="12" t="s">
        <v>5102</v>
      </c>
      <c r="P616" s="12" t="str">
        <f>HYPERLINK("https://ceds.ed.gov/cedselementdetails.aspx?termid=10428")</f>
        <v>https://ceds.ed.gov/cedselementdetails.aspx?termid=10428</v>
      </c>
      <c r="Q616" s="12" t="str">
        <f>HYPERLINK("https://ceds.ed.gov/elementComment.aspx?elementName=Professional Development Session Status &amp;elementID=10428", "Click here to submit comment")</f>
        <v>Click here to submit comment</v>
      </c>
    </row>
    <row r="617" spans="1:17" ht="180" x14ac:dyDescent="0.25">
      <c r="A617" s="12" t="s">
        <v>7169</v>
      </c>
      <c r="B617" s="12" t="s">
        <v>7233</v>
      </c>
      <c r="C617" s="12" t="s">
        <v>7238</v>
      </c>
      <c r="D617" s="12" t="s">
        <v>7172</v>
      </c>
      <c r="E617" s="12" t="s">
        <v>2620</v>
      </c>
      <c r="F617" s="12" t="s">
        <v>2621</v>
      </c>
      <c r="G617" s="13" t="s">
        <v>6895</v>
      </c>
      <c r="H617" s="12"/>
      <c r="I617" s="12"/>
      <c r="J617" s="12"/>
      <c r="K617" s="12"/>
      <c r="L617" s="12"/>
      <c r="M617" s="12" t="s">
        <v>2622</v>
      </c>
      <c r="N617" s="12"/>
      <c r="O617" s="12" t="s">
        <v>2623</v>
      </c>
      <c r="P617" s="12" t="str">
        <f>HYPERLINK("https://ceds.ed.gov/cedselementdetails.aspx?termid=10585")</f>
        <v>https://ceds.ed.gov/cedselementdetails.aspx?termid=10585</v>
      </c>
      <c r="Q617" s="12" t="str">
        <f>HYPERLINK("https://ceds.ed.gov/elementComment.aspx?elementName=Early Learning Trainer Core Knowledge Area &amp;elementID=10585", "Click here to submit comment")</f>
        <v>Click here to submit comment</v>
      </c>
    </row>
    <row r="618" spans="1:17" ht="75" x14ac:dyDescent="0.25">
      <c r="A618" s="12" t="s">
        <v>7169</v>
      </c>
      <c r="B618" s="12" t="s">
        <v>7233</v>
      </c>
      <c r="C618" s="12" t="s">
        <v>7238</v>
      </c>
      <c r="D618" s="12" t="s">
        <v>7172</v>
      </c>
      <c r="E618" s="12" t="s">
        <v>5022</v>
      </c>
      <c r="F618" s="12" t="s">
        <v>5023</v>
      </c>
      <c r="G618" s="13" t="s">
        <v>7071</v>
      </c>
      <c r="H618" s="12"/>
      <c r="I618" s="12"/>
      <c r="J618" s="12"/>
      <c r="K618" s="12"/>
      <c r="L618" s="12"/>
      <c r="M618" s="12" t="s">
        <v>5024</v>
      </c>
      <c r="N618" s="12"/>
      <c r="O618" s="12" t="s">
        <v>5025</v>
      </c>
      <c r="P618" s="12" t="str">
        <f>HYPERLINK("https://ceds.ed.gov/cedselementdetails.aspx?termid=10401")</f>
        <v>https://ceds.ed.gov/cedselementdetails.aspx?termid=10401</v>
      </c>
      <c r="Q618" s="12" t="str">
        <f>HYPERLINK("https://ceds.ed.gov/elementComment.aspx?elementName=Professional Development Delivery Method &amp;elementID=10401", "Click here to submit comment")</f>
        <v>Click here to submit comment</v>
      </c>
    </row>
    <row r="619" spans="1:17" ht="30" x14ac:dyDescent="0.25">
      <c r="A619" s="12" t="s">
        <v>7169</v>
      </c>
      <c r="B619" s="12" t="s">
        <v>7233</v>
      </c>
      <c r="C619" s="12" t="s">
        <v>7238</v>
      </c>
      <c r="D619" s="12" t="s">
        <v>7172</v>
      </c>
      <c r="E619" s="12" t="s">
        <v>5030</v>
      </c>
      <c r="F619" s="12" t="s">
        <v>5031</v>
      </c>
      <c r="G619" s="12" t="s">
        <v>12</v>
      </c>
      <c r="H619" s="12"/>
      <c r="I619" s="12"/>
      <c r="J619" s="12" t="s">
        <v>92</v>
      </c>
      <c r="K619" s="12"/>
      <c r="L619" s="12"/>
      <c r="M619" s="12" t="s">
        <v>5032</v>
      </c>
      <c r="N619" s="12"/>
      <c r="O619" s="12" t="s">
        <v>5033</v>
      </c>
      <c r="P619" s="12" t="str">
        <f>HYPERLINK("https://ceds.ed.gov/cedselementdetails.aspx?termid=10413")</f>
        <v>https://ceds.ed.gov/cedselementdetails.aspx?termid=10413</v>
      </c>
      <c r="Q619" s="12" t="str">
        <f>HYPERLINK("https://ceds.ed.gov/elementComment.aspx?elementName=Professional Development Funding Source &amp;elementID=10413", "Click here to submit comment")</f>
        <v>Click here to submit comment</v>
      </c>
    </row>
    <row r="620" spans="1:17" ht="180" x14ac:dyDescent="0.25">
      <c r="A620" s="12" t="s">
        <v>7169</v>
      </c>
      <c r="B620" s="12" t="s">
        <v>7233</v>
      </c>
      <c r="C620" s="12" t="s">
        <v>7238</v>
      </c>
      <c r="D620" s="12" t="s">
        <v>7172</v>
      </c>
      <c r="E620" s="12" t="s">
        <v>5034</v>
      </c>
      <c r="F620" s="12" t="s">
        <v>5035</v>
      </c>
      <c r="G620" s="13" t="s">
        <v>7073</v>
      </c>
      <c r="H620" s="12"/>
      <c r="I620" s="12"/>
      <c r="J620" s="12"/>
      <c r="K620" s="12"/>
      <c r="L620" s="12"/>
      <c r="M620" s="12" t="s">
        <v>5036</v>
      </c>
      <c r="N620" s="12"/>
      <c r="O620" s="12" t="s">
        <v>5037</v>
      </c>
      <c r="P620" s="12" t="str">
        <f>HYPERLINK("https://ceds.ed.gov/cedselementdetails.aspx?termid=10429")</f>
        <v>https://ceds.ed.gov/cedselementdetails.aspx?termid=10429</v>
      </c>
      <c r="Q620" s="12" t="str">
        <f>HYPERLINK("https://ceds.ed.gov/elementComment.aspx?elementName=Professional Development Instructional Delivery Mode &amp;elementID=10429", "Click here to submit comment")</f>
        <v>Click here to submit comment</v>
      </c>
    </row>
    <row r="621" spans="1:17" ht="105" x14ac:dyDescent="0.25">
      <c r="A621" s="18" t="s">
        <v>7169</v>
      </c>
      <c r="B621" s="18" t="s">
        <v>7233</v>
      </c>
      <c r="C621" s="18" t="s">
        <v>7238</v>
      </c>
      <c r="D621" s="18" t="s">
        <v>7172</v>
      </c>
      <c r="E621" s="18" t="s">
        <v>5038</v>
      </c>
      <c r="F621" s="18" t="s">
        <v>5039</v>
      </c>
      <c r="G621" s="18" t="s">
        <v>12</v>
      </c>
      <c r="H621" s="18"/>
      <c r="I621" s="18"/>
      <c r="J621" s="18" t="s">
        <v>142</v>
      </c>
      <c r="K621" s="18"/>
      <c r="L621" s="12" t="s">
        <v>143</v>
      </c>
      <c r="M621" s="18" t="s">
        <v>5040</v>
      </c>
      <c r="N621" s="18"/>
      <c r="O621" s="18" t="s">
        <v>5041</v>
      </c>
      <c r="P621" s="18" t="str">
        <f>HYPERLINK("https://ceds.ed.gov/cedselementdetails.aspx?termid=10414")</f>
        <v>https://ceds.ed.gov/cedselementdetails.aspx?termid=10414</v>
      </c>
      <c r="Q621" s="18" t="str">
        <f>HYPERLINK("https://ceds.ed.gov/elementComment.aspx?elementName=Professional Development Instructor Identifier &amp;elementID=10414", "Click here to submit comment")</f>
        <v>Click here to submit comment</v>
      </c>
    </row>
    <row r="622" spans="1:17" x14ac:dyDescent="0.25">
      <c r="A622" s="18"/>
      <c r="B622" s="18"/>
      <c r="C622" s="18"/>
      <c r="D622" s="18"/>
      <c r="E622" s="18"/>
      <c r="F622" s="18"/>
      <c r="G622" s="18"/>
      <c r="H622" s="18"/>
      <c r="I622" s="18"/>
      <c r="J622" s="18"/>
      <c r="K622" s="18"/>
      <c r="L622" s="12"/>
      <c r="M622" s="18"/>
      <c r="N622" s="18"/>
      <c r="O622" s="18"/>
      <c r="P622" s="18"/>
      <c r="Q622" s="18"/>
    </row>
    <row r="623" spans="1:17" ht="90" x14ac:dyDescent="0.25">
      <c r="A623" s="18"/>
      <c r="B623" s="18"/>
      <c r="C623" s="18"/>
      <c r="D623" s="18"/>
      <c r="E623" s="18"/>
      <c r="F623" s="18"/>
      <c r="G623" s="18"/>
      <c r="H623" s="18"/>
      <c r="I623" s="18"/>
      <c r="J623" s="18"/>
      <c r="K623" s="18"/>
      <c r="L623" s="12" t="s">
        <v>144</v>
      </c>
      <c r="M623" s="18"/>
      <c r="N623" s="18"/>
      <c r="O623" s="18"/>
      <c r="P623" s="18"/>
      <c r="Q623" s="18"/>
    </row>
    <row r="624" spans="1:17" ht="30" x14ac:dyDescent="0.25">
      <c r="A624" s="12" t="s">
        <v>7169</v>
      </c>
      <c r="B624" s="12" t="s">
        <v>7233</v>
      </c>
      <c r="C624" s="12" t="s">
        <v>7238</v>
      </c>
      <c r="D624" s="12" t="s">
        <v>7172</v>
      </c>
      <c r="E624" s="12" t="s">
        <v>5805</v>
      </c>
      <c r="F624" s="12" t="s">
        <v>5806</v>
      </c>
      <c r="G624" s="12" t="s">
        <v>12</v>
      </c>
      <c r="H624" s="12"/>
      <c r="I624" s="12"/>
      <c r="J624" s="12" t="s">
        <v>99</v>
      </c>
      <c r="K624" s="12"/>
      <c r="L624" s="12"/>
      <c r="M624" s="12" t="s">
        <v>5807</v>
      </c>
      <c r="N624" s="12"/>
      <c r="O624" s="12" t="s">
        <v>5808</v>
      </c>
      <c r="P624" s="12" t="str">
        <f>HYPERLINK("https://ceds.ed.gov/cedselementdetails.aspx?termid=10461")</f>
        <v>https://ceds.ed.gov/cedselementdetails.aspx?termid=10461</v>
      </c>
      <c r="Q624" s="12" t="str">
        <f>HYPERLINK("https://ceds.ed.gov/elementComment.aspx?elementName=Sponsoring Agency Name &amp;elementID=10461", "Click here to submit comment")</f>
        <v>Click here to submit comment</v>
      </c>
    </row>
    <row r="625" spans="1:17" ht="60" x14ac:dyDescent="0.25">
      <c r="A625" s="12" t="s">
        <v>7169</v>
      </c>
      <c r="B625" s="12" t="s">
        <v>7233</v>
      </c>
      <c r="C625" s="12" t="s">
        <v>7238</v>
      </c>
      <c r="D625" s="12" t="s">
        <v>7172</v>
      </c>
      <c r="E625" s="12" t="s">
        <v>6208</v>
      </c>
      <c r="F625" s="12" t="s">
        <v>6209</v>
      </c>
      <c r="G625" s="12" t="s">
        <v>12</v>
      </c>
      <c r="H625" s="12"/>
      <c r="I625" s="12"/>
      <c r="J625" s="12" t="s">
        <v>794</v>
      </c>
      <c r="K625" s="12"/>
      <c r="L625" s="12"/>
      <c r="M625" s="12" t="s">
        <v>6210</v>
      </c>
      <c r="N625" s="12"/>
      <c r="O625" s="12" t="s">
        <v>6211</v>
      </c>
      <c r="P625" s="12" t="str">
        <f>HYPERLINK("https://ceds.ed.gov/cedselementdetails.aspx?termid=10609")</f>
        <v>https://ceds.ed.gov/cedselementdetails.aspx?termid=10609</v>
      </c>
      <c r="Q625" s="12" t="str">
        <f>HYPERLINK("https://ceds.ed.gov/elementComment.aspx?elementName=Training and Technical Assistance Level &amp;elementID=10609", "Click here to submit comment")</f>
        <v>Click here to submit comment</v>
      </c>
    </row>
    <row r="626" spans="1:17" ht="45" x14ac:dyDescent="0.25">
      <c r="A626" s="12" t="s">
        <v>7169</v>
      </c>
      <c r="B626" s="12" t="s">
        <v>7233</v>
      </c>
      <c r="C626" s="12" t="s">
        <v>7239</v>
      </c>
      <c r="D626" s="12" t="s">
        <v>7172</v>
      </c>
      <c r="E626" s="12" t="s">
        <v>5087</v>
      </c>
      <c r="F626" s="12" t="s">
        <v>5088</v>
      </c>
      <c r="G626" s="12" t="s">
        <v>12</v>
      </c>
      <c r="H626" s="12"/>
      <c r="I626" s="12"/>
      <c r="J626" s="12" t="s">
        <v>99</v>
      </c>
      <c r="K626" s="12"/>
      <c r="L626" s="12"/>
      <c r="M626" s="12" t="s">
        <v>5089</v>
      </c>
      <c r="N626" s="12"/>
      <c r="O626" s="12" t="s">
        <v>5090</v>
      </c>
      <c r="P626" s="12" t="str">
        <f>HYPERLINK("https://ceds.ed.gov/cedselementdetails.aspx?termid=10424")</f>
        <v>https://ceds.ed.gov/cedselementdetails.aspx?termid=10424</v>
      </c>
      <c r="Q626" s="12" t="str">
        <f>HYPERLINK("https://ceds.ed.gov/elementComment.aspx?elementName=Professional Development Session Location Name &amp;elementID=10424", "Click here to submit comment")</f>
        <v>Click here to submit comment</v>
      </c>
    </row>
    <row r="627" spans="1:17" ht="225" x14ac:dyDescent="0.25">
      <c r="A627" s="12" t="s">
        <v>7169</v>
      </c>
      <c r="B627" s="12" t="s">
        <v>7233</v>
      </c>
      <c r="C627" s="12" t="s">
        <v>7239</v>
      </c>
      <c r="D627" s="12" t="s">
        <v>7172</v>
      </c>
      <c r="E627" s="12" t="s">
        <v>189</v>
      </c>
      <c r="F627" s="12" t="s">
        <v>190</v>
      </c>
      <c r="G627" s="12" t="s">
        <v>12</v>
      </c>
      <c r="H627" s="12" t="s">
        <v>6377</v>
      </c>
      <c r="I627" s="12"/>
      <c r="J627" s="12" t="s">
        <v>142</v>
      </c>
      <c r="K627" s="12"/>
      <c r="L627" s="12"/>
      <c r="M627" s="12" t="s">
        <v>191</v>
      </c>
      <c r="N627" s="12"/>
      <c r="O627" s="12" t="s">
        <v>192</v>
      </c>
      <c r="P627" s="12" t="str">
        <f>HYPERLINK("https://ceds.ed.gov/cedselementdetails.aspx?termid=9269")</f>
        <v>https://ceds.ed.gov/cedselementdetails.aspx?termid=9269</v>
      </c>
      <c r="Q627" s="12" t="str">
        <f>HYPERLINK("https://ceds.ed.gov/elementComment.aspx?elementName=Address Street Number and Name &amp;elementID=9269", "Click here to submit comment")</f>
        <v>Click here to submit comment</v>
      </c>
    </row>
    <row r="628" spans="1:17" ht="225" x14ac:dyDescent="0.25">
      <c r="A628" s="12" t="s">
        <v>7169</v>
      </c>
      <c r="B628" s="12" t="s">
        <v>7233</v>
      </c>
      <c r="C628" s="12" t="s">
        <v>7239</v>
      </c>
      <c r="D628" s="12" t="s">
        <v>7172</v>
      </c>
      <c r="E628" s="12" t="s">
        <v>172</v>
      </c>
      <c r="F628" s="12" t="s">
        <v>173</v>
      </c>
      <c r="G628" s="12" t="s">
        <v>12</v>
      </c>
      <c r="H628" s="12" t="s">
        <v>6377</v>
      </c>
      <c r="I628" s="12"/>
      <c r="J628" s="12" t="s">
        <v>92</v>
      </c>
      <c r="K628" s="12"/>
      <c r="L628" s="12"/>
      <c r="M628" s="12" t="s">
        <v>174</v>
      </c>
      <c r="N628" s="12"/>
      <c r="O628" s="12" t="s">
        <v>175</v>
      </c>
      <c r="P628" s="12" t="str">
        <f>HYPERLINK("https://ceds.ed.gov/cedselementdetails.aspx?termid=9019")</f>
        <v>https://ceds.ed.gov/cedselementdetails.aspx?termid=9019</v>
      </c>
      <c r="Q628" s="12" t="str">
        <f>HYPERLINK("https://ceds.ed.gov/elementComment.aspx?elementName=Address Apartment Room or Suite Number &amp;elementID=9019", "Click here to submit comment")</f>
        <v>Click here to submit comment</v>
      </c>
    </row>
    <row r="629" spans="1:17" ht="225" x14ac:dyDescent="0.25">
      <c r="A629" s="12" t="s">
        <v>7169</v>
      </c>
      <c r="B629" s="12" t="s">
        <v>7233</v>
      </c>
      <c r="C629" s="12" t="s">
        <v>7239</v>
      </c>
      <c r="D629" s="12" t="s">
        <v>7172</v>
      </c>
      <c r="E629" s="12" t="s">
        <v>176</v>
      </c>
      <c r="F629" s="12" t="s">
        <v>177</v>
      </c>
      <c r="G629" s="12" t="s">
        <v>12</v>
      </c>
      <c r="H629" s="12" t="s">
        <v>6377</v>
      </c>
      <c r="I629" s="12"/>
      <c r="J629" s="12" t="s">
        <v>92</v>
      </c>
      <c r="K629" s="12"/>
      <c r="L629" s="12"/>
      <c r="M629" s="12" t="s">
        <v>178</v>
      </c>
      <c r="N629" s="12"/>
      <c r="O629" s="12" t="s">
        <v>179</v>
      </c>
      <c r="P629" s="12" t="str">
        <f>HYPERLINK("https://ceds.ed.gov/cedselementdetails.aspx?termid=9040")</f>
        <v>https://ceds.ed.gov/cedselementdetails.aspx?termid=9040</v>
      </c>
      <c r="Q629" s="12" t="str">
        <f>HYPERLINK("https://ceds.ed.gov/elementComment.aspx?elementName=Address City &amp;elementID=9040", "Click here to submit comment")</f>
        <v>Click here to submit comment</v>
      </c>
    </row>
    <row r="630" spans="1:17" ht="409.5" x14ac:dyDescent="0.25">
      <c r="A630" s="12" t="s">
        <v>7169</v>
      </c>
      <c r="B630" s="12" t="s">
        <v>7233</v>
      </c>
      <c r="C630" s="12" t="s">
        <v>7239</v>
      </c>
      <c r="D630" s="12" t="s">
        <v>7172</v>
      </c>
      <c r="E630" s="12" t="s">
        <v>5898</v>
      </c>
      <c r="F630" s="12" t="s">
        <v>5899</v>
      </c>
      <c r="G630" s="13" t="s">
        <v>7120</v>
      </c>
      <c r="H630" s="12" t="s">
        <v>6678</v>
      </c>
      <c r="I630" s="12"/>
      <c r="J630" s="12"/>
      <c r="K630" s="12"/>
      <c r="L630" s="12"/>
      <c r="M630" s="12" t="s">
        <v>5900</v>
      </c>
      <c r="N630" s="12"/>
      <c r="O630" s="12" t="s">
        <v>5901</v>
      </c>
      <c r="P630" s="12" t="str">
        <f>HYPERLINK("https://ceds.ed.gov/cedselementdetails.aspx?termid=9267")</f>
        <v>https://ceds.ed.gov/cedselementdetails.aspx?termid=9267</v>
      </c>
      <c r="Q630" s="12" t="str">
        <f>HYPERLINK("https://ceds.ed.gov/elementComment.aspx?elementName=State Abbreviation &amp;elementID=9267", "Click here to submit comment")</f>
        <v>Click here to submit comment</v>
      </c>
    </row>
    <row r="631" spans="1:17" ht="225" x14ac:dyDescent="0.25">
      <c r="A631" s="12" t="s">
        <v>7169</v>
      </c>
      <c r="B631" s="12" t="s">
        <v>7233</v>
      </c>
      <c r="C631" s="12" t="s">
        <v>7239</v>
      </c>
      <c r="D631" s="12" t="s">
        <v>7172</v>
      </c>
      <c r="E631" s="12" t="s">
        <v>184</v>
      </c>
      <c r="F631" s="12" t="s">
        <v>185</v>
      </c>
      <c r="G631" s="12" t="s">
        <v>12</v>
      </c>
      <c r="H631" s="12" t="s">
        <v>6377</v>
      </c>
      <c r="I631" s="12"/>
      <c r="J631" s="12" t="s">
        <v>186</v>
      </c>
      <c r="K631" s="12"/>
      <c r="L631" s="12"/>
      <c r="M631" s="12" t="s">
        <v>187</v>
      </c>
      <c r="N631" s="12"/>
      <c r="O631" s="12" t="s">
        <v>188</v>
      </c>
      <c r="P631" s="12" t="str">
        <f>HYPERLINK("https://ceds.ed.gov/cedselementdetails.aspx?termid=9214")</f>
        <v>https://ceds.ed.gov/cedselementdetails.aspx?termid=9214</v>
      </c>
      <c r="Q631" s="12" t="str">
        <f>HYPERLINK("https://ceds.ed.gov/elementComment.aspx?elementName=Address Postal Code &amp;elementID=9214", "Click here to submit comment")</f>
        <v>Click here to submit comment</v>
      </c>
    </row>
    <row r="632" spans="1:17" ht="90" x14ac:dyDescent="0.25">
      <c r="A632" s="12" t="s">
        <v>7169</v>
      </c>
      <c r="B632" s="12" t="s">
        <v>7233</v>
      </c>
      <c r="C632" s="12" t="s">
        <v>7239</v>
      </c>
      <c r="D632" s="12" t="s">
        <v>7172</v>
      </c>
      <c r="E632" s="12" t="s">
        <v>6102</v>
      </c>
      <c r="F632" s="12" t="s">
        <v>6103</v>
      </c>
      <c r="G632" s="12" t="s">
        <v>12</v>
      </c>
      <c r="H632" s="12" t="s">
        <v>6369</v>
      </c>
      <c r="I632" s="12"/>
      <c r="J632" s="12" t="s">
        <v>6104</v>
      </c>
      <c r="K632" s="12"/>
      <c r="L632" s="12"/>
      <c r="M632" s="12" t="s">
        <v>6105</v>
      </c>
      <c r="N632" s="12"/>
      <c r="O632" s="12" t="s">
        <v>6106</v>
      </c>
      <c r="P632" s="12" t="str">
        <f>HYPERLINK("https://ceds.ed.gov/cedselementdetails.aspx?termid=9279")</f>
        <v>https://ceds.ed.gov/cedselementdetails.aspx?termid=9279</v>
      </c>
      <c r="Q632" s="12" t="str">
        <f>HYPERLINK("https://ceds.ed.gov/elementComment.aspx?elementName=Telephone Number &amp;elementID=9279", "Click here to submit comment")</f>
        <v>Click here to submit comment</v>
      </c>
    </row>
    <row r="633" spans="1:17" ht="60" x14ac:dyDescent="0.25">
      <c r="A633" s="12" t="s">
        <v>7169</v>
      </c>
      <c r="B633" s="12" t="s">
        <v>7240</v>
      </c>
      <c r="C633" s="12"/>
      <c r="D633" s="12" t="s">
        <v>7176</v>
      </c>
      <c r="E633" s="12" t="s">
        <v>2486</v>
      </c>
      <c r="F633" s="12" t="s">
        <v>2487</v>
      </c>
      <c r="G633" s="12" t="s">
        <v>12</v>
      </c>
      <c r="H633" s="12" t="s">
        <v>6450</v>
      </c>
      <c r="I633" s="12"/>
      <c r="J633" s="12" t="s">
        <v>99</v>
      </c>
      <c r="K633" s="12"/>
      <c r="L633" s="12"/>
      <c r="M633" s="12" t="s">
        <v>2488</v>
      </c>
      <c r="N633" s="12"/>
      <c r="O633" s="12" t="s">
        <v>2489</v>
      </c>
      <c r="P633" s="12" t="str">
        <f>HYPERLINK("https://ceds.ed.gov/cedselementdetails.aspx?termid=9820")</f>
        <v>https://ceds.ed.gov/cedselementdetails.aspx?termid=9820</v>
      </c>
      <c r="Q633" s="12" t="str">
        <f>HYPERLINK("https://ceds.ed.gov/elementComment.aspx?elementName=Early Learning Class Group Name &amp;elementID=9820", "Click here to submit comment")</f>
        <v>Click here to submit comment</v>
      </c>
    </row>
    <row r="634" spans="1:17" ht="105" x14ac:dyDescent="0.25">
      <c r="A634" s="18" t="s">
        <v>7169</v>
      </c>
      <c r="B634" s="18" t="s">
        <v>7240</v>
      </c>
      <c r="C634" s="18"/>
      <c r="D634" s="18" t="s">
        <v>7176</v>
      </c>
      <c r="E634" s="18" t="s">
        <v>2482</v>
      </c>
      <c r="F634" s="18" t="s">
        <v>2483</v>
      </c>
      <c r="G634" s="18" t="s">
        <v>12</v>
      </c>
      <c r="H634" s="18" t="s">
        <v>6450</v>
      </c>
      <c r="I634" s="18"/>
      <c r="J634" s="18" t="s">
        <v>142</v>
      </c>
      <c r="K634" s="18"/>
      <c r="L634" s="12" t="s">
        <v>143</v>
      </c>
      <c r="M634" s="18" t="s">
        <v>2484</v>
      </c>
      <c r="N634" s="18"/>
      <c r="O634" s="18" t="s">
        <v>2485</v>
      </c>
      <c r="P634" s="18" t="str">
        <f>HYPERLINK("https://ceds.ed.gov/cedselementdetails.aspx?termid=9819")</f>
        <v>https://ceds.ed.gov/cedselementdetails.aspx?termid=9819</v>
      </c>
      <c r="Q634" s="18" t="str">
        <f>HYPERLINK("https://ceds.ed.gov/elementComment.aspx?elementName=Early Learning Class Group Identifier &amp;elementID=9819", "Click here to submit comment")</f>
        <v>Click here to submit comment</v>
      </c>
    </row>
    <row r="635" spans="1:17" x14ac:dyDescent="0.25">
      <c r="A635" s="18"/>
      <c r="B635" s="18"/>
      <c r="C635" s="18"/>
      <c r="D635" s="18"/>
      <c r="E635" s="18"/>
      <c r="F635" s="18"/>
      <c r="G635" s="18"/>
      <c r="H635" s="18"/>
      <c r="I635" s="18"/>
      <c r="J635" s="18"/>
      <c r="K635" s="18"/>
      <c r="L635" s="12"/>
      <c r="M635" s="18"/>
      <c r="N635" s="18"/>
      <c r="O635" s="18"/>
      <c r="P635" s="18"/>
      <c r="Q635" s="18"/>
    </row>
    <row r="636" spans="1:17" ht="90" x14ac:dyDescent="0.25">
      <c r="A636" s="18"/>
      <c r="B636" s="18"/>
      <c r="C636" s="18"/>
      <c r="D636" s="18"/>
      <c r="E636" s="18"/>
      <c r="F636" s="18"/>
      <c r="G636" s="18"/>
      <c r="H636" s="18"/>
      <c r="I636" s="18"/>
      <c r="J636" s="18"/>
      <c r="K636" s="18"/>
      <c r="L636" s="12" t="s">
        <v>144</v>
      </c>
      <c r="M636" s="18"/>
      <c r="N636" s="18"/>
      <c r="O636" s="18"/>
      <c r="P636" s="18"/>
      <c r="Q636" s="18"/>
    </row>
    <row r="637" spans="1:17" ht="30" x14ac:dyDescent="0.25">
      <c r="A637" s="12" t="s">
        <v>7169</v>
      </c>
      <c r="B637" s="12" t="s">
        <v>7240</v>
      </c>
      <c r="C637" s="12"/>
      <c r="D637" s="12" t="s">
        <v>7176</v>
      </c>
      <c r="E637" s="12" t="s">
        <v>1804</v>
      </c>
      <c r="F637" s="12" t="s">
        <v>1805</v>
      </c>
      <c r="G637" s="12" t="s">
        <v>12</v>
      </c>
      <c r="H637" s="12" t="s">
        <v>6453</v>
      </c>
      <c r="I637" s="12"/>
      <c r="J637" s="12" t="s">
        <v>437</v>
      </c>
      <c r="K637" s="12"/>
      <c r="L637" s="12"/>
      <c r="M637" s="12" t="s">
        <v>1806</v>
      </c>
      <c r="N637" s="12"/>
      <c r="O637" s="12" t="s">
        <v>1807</v>
      </c>
      <c r="P637" s="12" t="str">
        <f>HYPERLINK("https://ceds.ed.gov/cedselementdetails.aspx?termid=9510")</f>
        <v>https://ceds.ed.gov/cedselementdetails.aspx?termid=9510</v>
      </c>
      <c r="Q637" s="12" t="str">
        <f>HYPERLINK("https://ceds.ed.gov/elementComment.aspx?elementName=Class Beginning Time &amp;elementID=9510", "Click here to submit comment")</f>
        <v>Click here to submit comment</v>
      </c>
    </row>
    <row r="638" spans="1:17" ht="30" x14ac:dyDescent="0.25">
      <c r="A638" s="12" t="s">
        <v>7169</v>
      </c>
      <c r="B638" s="12" t="s">
        <v>7240</v>
      </c>
      <c r="C638" s="12"/>
      <c r="D638" s="12" t="s">
        <v>7176</v>
      </c>
      <c r="E638" s="12" t="s">
        <v>1808</v>
      </c>
      <c r="F638" s="12" t="s">
        <v>1809</v>
      </c>
      <c r="G638" s="12" t="s">
        <v>12</v>
      </c>
      <c r="H638" s="12" t="s">
        <v>6453</v>
      </c>
      <c r="I638" s="12"/>
      <c r="J638" s="12" t="s">
        <v>1810</v>
      </c>
      <c r="K638" s="12"/>
      <c r="L638" s="12"/>
      <c r="M638" s="12" t="s">
        <v>1811</v>
      </c>
      <c r="N638" s="12"/>
      <c r="O638" s="12" t="s">
        <v>1812</v>
      </c>
      <c r="P638" s="12" t="str">
        <f>HYPERLINK("https://ceds.ed.gov/cedselementdetails.aspx?termid=9511")</f>
        <v>https://ceds.ed.gov/cedselementdetails.aspx?termid=9511</v>
      </c>
      <c r="Q638" s="12" t="str">
        <f>HYPERLINK("https://ceds.ed.gov/elementComment.aspx?elementName=Class Ending Time &amp;elementID=9511", "Click here to submit comment")</f>
        <v>Click here to submit comment</v>
      </c>
    </row>
    <row r="639" spans="1:17" ht="105" x14ac:dyDescent="0.25">
      <c r="A639" s="12" t="s">
        <v>7169</v>
      </c>
      <c r="B639" s="12" t="s">
        <v>7240</v>
      </c>
      <c r="C639" s="12"/>
      <c r="D639" s="12" t="s">
        <v>7176</v>
      </c>
      <c r="E639" s="12" t="s">
        <v>5655</v>
      </c>
      <c r="F639" s="12" t="s">
        <v>5656</v>
      </c>
      <c r="G639" s="13" t="s">
        <v>7110</v>
      </c>
      <c r="H639" s="12" t="s">
        <v>6493</v>
      </c>
      <c r="I639" s="12"/>
      <c r="J639" s="12"/>
      <c r="K639" s="12"/>
      <c r="L639" s="12"/>
      <c r="M639" s="12" t="s">
        <v>5657</v>
      </c>
      <c r="N639" s="12"/>
      <c r="O639" s="12" t="s">
        <v>5658</v>
      </c>
      <c r="P639" s="12" t="str">
        <f>HYPERLINK("https://ceds.ed.gov/cedselementdetails.aspx?termid=9352")</f>
        <v>https://ceds.ed.gov/cedselementdetails.aspx?termid=9352</v>
      </c>
      <c r="Q639" s="12" t="str">
        <f>HYPERLINK("https://ceds.ed.gov/elementComment.aspx?elementName=Service Option Variation &amp;elementID=9352", "Click here to submit comment")</f>
        <v>Click here to submit comment</v>
      </c>
    </row>
    <row r="640" spans="1:17" ht="60" x14ac:dyDescent="0.25">
      <c r="A640" s="12" t="s">
        <v>7169</v>
      </c>
      <c r="B640" s="12" t="s">
        <v>7240</v>
      </c>
      <c r="C640" s="12"/>
      <c r="D640" s="12" t="s">
        <v>7176</v>
      </c>
      <c r="E640" s="12" t="s">
        <v>3256</v>
      </c>
      <c r="F640" s="12" t="s">
        <v>3257</v>
      </c>
      <c r="G640" s="12" t="s">
        <v>12</v>
      </c>
      <c r="H640" s="12" t="s">
        <v>6493</v>
      </c>
      <c r="I640" s="12"/>
      <c r="J640" s="12" t="s">
        <v>1554</v>
      </c>
      <c r="K640" s="12"/>
      <c r="L640" s="12"/>
      <c r="M640" s="12" t="s">
        <v>3258</v>
      </c>
      <c r="N640" s="12"/>
      <c r="O640" s="12" t="s">
        <v>3259</v>
      </c>
      <c r="P640" s="12" t="str">
        <f>HYPERLINK("https://ceds.ed.gov/cedselementdetails.aspx?termid=9353")</f>
        <v>https://ceds.ed.gov/cedselementdetails.aspx?termid=9353</v>
      </c>
      <c r="Q640" s="12" t="str">
        <f>HYPERLINK("https://ceds.ed.gov/elementComment.aspx?elementName=Hours Available Per Day &amp;elementID=9353", "Click here to submit comment")</f>
        <v>Click here to submit comment</v>
      </c>
    </row>
    <row r="641" spans="1:17" ht="60" x14ac:dyDescent="0.25">
      <c r="A641" s="12" t="s">
        <v>7169</v>
      </c>
      <c r="B641" s="12" t="s">
        <v>7240</v>
      </c>
      <c r="C641" s="12"/>
      <c r="D641" s="12" t="s">
        <v>7176</v>
      </c>
      <c r="E641" s="12" t="s">
        <v>2244</v>
      </c>
      <c r="F641" s="12" t="s">
        <v>2245</v>
      </c>
      <c r="G641" s="12" t="s">
        <v>12</v>
      </c>
      <c r="H641" s="12" t="s">
        <v>6493</v>
      </c>
      <c r="I641" s="12"/>
      <c r="J641" s="12" t="s">
        <v>317</v>
      </c>
      <c r="K641" s="12"/>
      <c r="L641" s="12"/>
      <c r="M641" s="12" t="s">
        <v>2246</v>
      </c>
      <c r="N641" s="12"/>
      <c r="O641" s="12" t="s">
        <v>2247</v>
      </c>
      <c r="P641" s="12" t="str">
        <f>HYPERLINK("https://ceds.ed.gov/cedselementdetails.aspx?termid=9354")</f>
        <v>https://ceds.ed.gov/cedselementdetails.aspx?termid=9354</v>
      </c>
      <c r="Q641" s="12" t="str">
        <f>HYPERLINK("https://ceds.ed.gov/elementComment.aspx?elementName=Days Available Per Week &amp;elementID=9354", "Click here to submit comment")</f>
        <v>Click here to submit comment</v>
      </c>
    </row>
    <row r="642" spans="1:17" ht="195" x14ac:dyDescent="0.25">
      <c r="A642" s="12" t="s">
        <v>7169</v>
      </c>
      <c r="B642" s="12" t="s">
        <v>7240</v>
      </c>
      <c r="C642" s="12"/>
      <c r="D642" s="12" t="s">
        <v>7176</v>
      </c>
      <c r="E642" s="12" t="s">
        <v>2464</v>
      </c>
      <c r="F642" s="12" t="s">
        <v>2465</v>
      </c>
      <c r="G642" s="13" t="s">
        <v>6877</v>
      </c>
      <c r="H642" s="12" t="s">
        <v>6493</v>
      </c>
      <c r="I642" s="12"/>
      <c r="J642" s="12"/>
      <c r="K642" s="12"/>
      <c r="L642" s="12"/>
      <c r="M642" s="12" t="s">
        <v>2466</v>
      </c>
      <c r="N642" s="12"/>
      <c r="O642" s="12" t="s">
        <v>2467</v>
      </c>
      <c r="P642" s="12" t="str">
        <f>HYPERLINK("https://ceds.ed.gov/cedselementdetails.aspx?termid=9355")</f>
        <v>https://ceds.ed.gov/cedselementdetails.aspx?termid=9355</v>
      </c>
      <c r="Q642" s="12" t="str">
        <f>HYPERLINK("https://ceds.ed.gov/elementComment.aspx?elementName=Early Childhood Setting &amp;elementID=9355", "Click here to submit comment")</f>
        <v>Click here to submit comment</v>
      </c>
    </row>
    <row r="643" spans="1:17" ht="30" x14ac:dyDescent="0.25">
      <c r="A643" s="12" t="s">
        <v>7169</v>
      </c>
      <c r="B643" s="12" t="s">
        <v>7240</v>
      </c>
      <c r="C643" s="12"/>
      <c r="D643" s="12" t="s">
        <v>7176</v>
      </c>
      <c r="E643" s="12" t="s">
        <v>2560</v>
      </c>
      <c r="F643" s="12" t="s">
        <v>2561</v>
      </c>
      <c r="G643" s="12" t="s">
        <v>12</v>
      </c>
      <c r="H643" s="12" t="s">
        <v>6453</v>
      </c>
      <c r="I643" s="12"/>
      <c r="J643" s="12" t="s">
        <v>2562</v>
      </c>
      <c r="K643" s="12"/>
      <c r="L643" s="12"/>
      <c r="M643" s="12" t="s">
        <v>2563</v>
      </c>
      <c r="N643" s="12"/>
      <c r="O643" s="12" t="s">
        <v>2564</v>
      </c>
      <c r="P643" s="12" t="str">
        <f>HYPERLINK("https://ceds.ed.gov/cedselementdetails.aspx?termid=9824")</f>
        <v>https://ceds.ed.gov/cedselementdetails.aspx?termid=9824</v>
      </c>
      <c r="Q643" s="12" t="str">
        <f>HYPERLINK("https://ceds.ed.gov/elementComment.aspx?elementName=Early Learning Program Annual Operating Weeks &amp;elementID=9824", "Click here to submit comment")</f>
        <v>Click here to submit comment</v>
      </c>
    </row>
    <row r="644" spans="1:17" ht="45" x14ac:dyDescent="0.25">
      <c r="A644" s="12" t="s">
        <v>7169</v>
      </c>
      <c r="B644" s="12" t="s">
        <v>7240</v>
      </c>
      <c r="C644" s="12"/>
      <c r="D644" s="12" t="s">
        <v>7176</v>
      </c>
      <c r="E644" s="12" t="s">
        <v>3672</v>
      </c>
      <c r="F644" s="12" t="s">
        <v>3673</v>
      </c>
      <c r="G644" s="12" t="s">
        <v>6364</v>
      </c>
      <c r="H644" s="12"/>
      <c r="I644" s="12"/>
      <c r="J644" s="12"/>
      <c r="K644" s="12"/>
      <c r="L644" s="12"/>
      <c r="M644" s="12" t="s">
        <v>3674</v>
      </c>
      <c r="N644" s="12"/>
      <c r="O644" s="12" t="s">
        <v>3675</v>
      </c>
      <c r="P644" s="12" t="str">
        <f>HYPERLINK("https://ceds.ed.gov/cedselementdetails.aspx?termid=10190")</f>
        <v>https://ceds.ed.gov/cedselementdetails.aspx?termid=10190</v>
      </c>
      <c r="Q644" s="12" t="str">
        <f>HYPERLINK("https://ceds.ed.gov/elementComment.aspx?elementName=Language Translation Policy &amp;elementID=10190", "Click here to submit comment")</f>
        <v>Click here to submit comment</v>
      </c>
    </row>
    <row r="645" spans="1:17" ht="60" x14ac:dyDescent="0.25">
      <c r="A645" s="12" t="s">
        <v>7169</v>
      </c>
      <c r="B645" s="12" t="s">
        <v>7240</v>
      </c>
      <c r="C645" s="12"/>
      <c r="D645" s="12" t="s">
        <v>7176</v>
      </c>
      <c r="E645" s="12" t="s">
        <v>2624</v>
      </c>
      <c r="F645" s="12" t="s">
        <v>2625</v>
      </c>
      <c r="G645" s="12" t="s">
        <v>12</v>
      </c>
      <c r="H645" s="12" t="s">
        <v>6512</v>
      </c>
      <c r="I645" s="12"/>
      <c r="J645" s="12" t="s">
        <v>620</v>
      </c>
      <c r="K645" s="12"/>
      <c r="L645" s="12"/>
      <c r="M645" s="12" t="s">
        <v>2626</v>
      </c>
      <c r="N645" s="12"/>
      <c r="O645" s="12" t="s">
        <v>2627</v>
      </c>
      <c r="P645" s="12" t="str">
        <f>HYPERLINK("https://ceds.ed.gov/cedselementdetails.aspx?termid=9626")</f>
        <v>https://ceds.ed.gov/cedselementdetails.aspx?termid=9626</v>
      </c>
      <c r="Q645" s="12" t="str">
        <f>HYPERLINK("https://ceds.ed.gov/elementComment.aspx?elementName=Early Learning Youngest Age Authorized to Serve &amp;elementID=9626", "Click here to submit comment")</f>
        <v>Click here to submit comment</v>
      </c>
    </row>
    <row r="646" spans="1:17" ht="60" x14ac:dyDescent="0.25">
      <c r="A646" s="12" t="s">
        <v>7169</v>
      </c>
      <c r="B646" s="12" t="s">
        <v>7240</v>
      </c>
      <c r="C646" s="12"/>
      <c r="D646" s="12" t="s">
        <v>7176</v>
      </c>
      <c r="E646" s="12" t="s">
        <v>2539</v>
      </c>
      <c r="F646" s="12" t="s">
        <v>2540</v>
      </c>
      <c r="G646" s="12" t="s">
        <v>12</v>
      </c>
      <c r="H646" s="12" t="s">
        <v>6512</v>
      </c>
      <c r="I646" s="12"/>
      <c r="J646" s="12" t="s">
        <v>620</v>
      </c>
      <c r="K646" s="12"/>
      <c r="L646" s="12"/>
      <c r="M646" s="12" t="s">
        <v>2541</v>
      </c>
      <c r="N646" s="12"/>
      <c r="O646" s="12" t="s">
        <v>2542</v>
      </c>
      <c r="P646" s="12" t="str">
        <f>HYPERLINK("https://ceds.ed.gov/cedselementdetails.aspx?termid=10189")</f>
        <v>https://ceds.ed.gov/cedselementdetails.aspx?termid=10189</v>
      </c>
      <c r="Q646" s="12" t="str">
        <f>HYPERLINK("https://ceds.ed.gov/elementComment.aspx?elementName=Early Learning Oldest Age Authorized to Serve &amp;elementID=10189", "Click here to submit comment")</f>
        <v>Click here to submit comment</v>
      </c>
    </row>
    <row r="647" spans="1:17" ht="45" x14ac:dyDescent="0.25">
      <c r="A647" s="12" t="s">
        <v>7169</v>
      </c>
      <c r="B647" s="12" t="s">
        <v>7240</v>
      </c>
      <c r="C647" s="12"/>
      <c r="D647" s="12" t="s">
        <v>7176</v>
      </c>
      <c r="E647" s="12" t="s">
        <v>5639</v>
      </c>
      <c r="F647" s="12" t="s">
        <v>5640</v>
      </c>
      <c r="G647" s="12" t="s">
        <v>6364</v>
      </c>
      <c r="H647" s="12" t="s">
        <v>6453</v>
      </c>
      <c r="I647" s="12"/>
      <c r="J647" s="12"/>
      <c r="K647" s="12"/>
      <c r="L647" s="12"/>
      <c r="M647" s="12" t="s">
        <v>5641</v>
      </c>
      <c r="N647" s="12"/>
      <c r="O647" s="12" t="s">
        <v>5642</v>
      </c>
      <c r="P647" s="12" t="str">
        <f>HYPERLINK("https://ceds.ed.gov/cedselementdetails.aspx?termid=9821")</f>
        <v>https://ceds.ed.gov/cedselementdetails.aspx?termid=9821</v>
      </c>
      <c r="Q647" s="12" t="str">
        <f>HYPERLINK("https://ceds.ed.gov/elementComment.aspx?elementName=Serves Children with Special Needs &amp;elementID=9821", "Click here to submit comment")</f>
        <v>Click here to submit comment</v>
      </c>
    </row>
    <row r="648" spans="1:17" ht="135" x14ac:dyDescent="0.25">
      <c r="A648" s="12" t="s">
        <v>7169</v>
      </c>
      <c r="B648" s="12" t="s">
        <v>7240</v>
      </c>
      <c r="C648" s="12"/>
      <c r="D648" s="12" t="s">
        <v>7176</v>
      </c>
      <c r="E648" s="12" t="s">
        <v>2531</v>
      </c>
      <c r="F648" s="12" t="s">
        <v>2532</v>
      </c>
      <c r="G648" s="13" t="s">
        <v>6883</v>
      </c>
      <c r="H648" s="12" t="s">
        <v>64</v>
      </c>
      <c r="I648" s="12"/>
      <c r="J648" s="12"/>
      <c r="K648" s="12"/>
      <c r="L648" s="12"/>
      <c r="M648" s="12" t="s">
        <v>2533</v>
      </c>
      <c r="N648" s="12"/>
      <c r="O648" s="12" t="s">
        <v>2534</v>
      </c>
      <c r="P648" s="12" t="str">
        <f>HYPERLINK("https://ceds.ed.gov/cedselementdetails.aspx?termid=9823")</f>
        <v>https://ceds.ed.gov/cedselementdetails.aspx?termid=9823</v>
      </c>
      <c r="Q648" s="12" t="str">
        <f>HYPERLINK("https://ceds.ed.gov/elementComment.aspx?elementName=Early Learning Group Size Standards Met &amp;elementID=9823", "Click here to submit comment")</f>
        <v>Click here to submit comment</v>
      </c>
    </row>
    <row r="649" spans="1:17" ht="180" x14ac:dyDescent="0.25">
      <c r="A649" s="12" t="s">
        <v>7169</v>
      </c>
      <c r="B649" s="12" t="s">
        <v>7240</v>
      </c>
      <c r="C649" s="12"/>
      <c r="D649" s="12" t="s">
        <v>7176</v>
      </c>
      <c r="E649" s="12" t="s">
        <v>2477</v>
      </c>
      <c r="F649" s="12" t="s">
        <v>2478</v>
      </c>
      <c r="G649" s="13" t="s">
        <v>6878</v>
      </c>
      <c r="H649" s="12" t="s">
        <v>64</v>
      </c>
      <c r="I649" s="12"/>
      <c r="J649" s="12" t="s">
        <v>99</v>
      </c>
      <c r="K649" s="12"/>
      <c r="L649" s="12"/>
      <c r="M649" s="12" t="s">
        <v>2480</v>
      </c>
      <c r="N649" s="12"/>
      <c r="O649" s="12" t="s">
        <v>2481</v>
      </c>
      <c r="P649" s="12" t="str">
        <f>HYPERLINK("https://ceds.ed.gov/cedselementdetails.aspx?termid=9822")</f>
        <v>https://ceds.ed.gov/cedselementdetails.aspx?termid=9822</v>
      </c>
      <c r="Q649" s="12" t="str">
        <f>HYPERLINK("https://ceds.ed.gov/elementComment.aspx?elementName=Early Learning Class Group Curriculum Type &amp;elementID=9822", "Click here to submit comment")</f>
        <v>Click here to submit comment</v>
      </c>
    </row>
    <row r="650" spans="1:17" ht="75" x14ac:dyDescent="0.25">
      <c r="A650" s="12" t="s">
        <v>7169</v>
      </c>
      <c r="B650" s="12" t="s">
        <v>7241</v>
      </c>
      <c r="C650" s="12"/>
      <c r="D650" s="12" t="s">
        <v>7172</v>
      </c>
      <c r="E650" s="12" t="s">
        <v>1566</v>
      </c>
      <c r="F650" s="12" t="s">
        <v>1567</v>
      </c>
      <c r="G650" s="13" t="s">
        <v>6801</v>
      </c>
      <c r="H650" s="12"/>
      <c r="I650" s="12"/>
      <c r="J650" s="12"/>
      <c r="K650" s="12"/>
      <c r="L650" s="12"/>
      <c r="M650" s="12" t="s">
        <v>1569</v>
      </c>
      <c r="N650" s="12"/>
      <c r="O650" s="12" t="s">
        <v>1570</v>
      </c>
      <c r="P650" s="12" t="str">
        <f>HYPERLINK("https://ceds.ed.gov/cedselementdetails.aspx?termid=10561")</f>
        <v>https://ceds.ed.gov/cedselementdetails.aspx?termid=10561</v>
      </c>
      <c r="Q650" s="12" t="str">
        <f>HYPERLINK("https://ceds.ed.gov/elementComment.aspx?elementName=Billable Basis Type &amp;elementID=10561", "Click here to submit comment")</f>
        <v>Click here to submit comment</v>
      </c>
    </row>
    <row r="651" spans="1:17" ht="30" x14ac:dyDescent="0.25">
      <c r="A651" s="12" t="s">
        <v>7169</v>
      </c>
      <c r="B651" s="12" t="s">
        <v>7240</v>
      </c>
      <c r="C651" s="12"/>
      <c r="D651" s="12" t="s">
        <v>7176</v>
      </c>
      <c r="E651" s="12" t="s">
        <v>2527</v>
      </c>
      <c r="F651" s="12" t="s">
        <v>2528</v>
      </c>
      <c r="G651" s="12" t="s">
        <v>12</v>
      </c>
      <c r="H651" s="12"/>
      <c r="I651" s="12"/>
      <c r="J651" s="12" t="s">
        <v>620</v>
      </c>
      <c r="K651" s="12"/>
      <c r="L651" s="12"/>
      <c r="M651" s="12" t="s">
        <v>2529</v>
      </c>
      <c r="N651" s="12"/>
      <c r="O651" s="12" t="s">
        <v>2530</v>
      </c>
      <c r="P651" s="12" t="str">
        <f>HYPERLINK("https://ceds.ed.gov/cedselementdetails.aspx?termid=10295")</f>
        <v>https://ceds.ed.gov/cedselementdetails.aspx?termid=10295</v>
      </c>
      <c r="Q651" s="12" t="str">
        <f>HYPERLINK("https://ceds.ed.gov/elementComment.aspx?elementName=Early Learning Group Size &amp;elementID=10295", "Click here to submit comment")</f>
        <v>Click here to submit comment</v>
      </c>
    </row>
    <row r="652" spans="1:17" ht="180" x14ac:dyDescent="0.25">
      <c r="A652" s="12" t="s">
        <v>7169</v>
      </c>
      <c r="B652" s="12" t="s">
        <v>7241</v>
      </c>
      <c r="C652" s="12"/>
      <c r="D652" s="12" t="s">
        <v>7172</v>
      </c>
      <c r="E652" s="12" t="s">
        <v>2535</v>
      </c>
      <c r="F652" s="12" t="s">
        <v>2536</v>
      </c>
      <c r="G652" s="13" t="s">
        <v>6884</v>
      </c>
      <c r="H652" s="12"/>
      <c r="I652" s="12"/>
      <c r="J652" s="12"/>
      <c r="K652" s="12"/>
      <c r="L652" s="12"/>
      <c r="M652" s="12" t="s">
        <v>2537</v>
      </c>
      <c r="N652" s="12"/>
      <c r="O652" s="12" t="s">
        <v>2538</v>
      </c>
      <c r="P652" s="12" t="str">
        <f>HYPERLINK("https://ceds.ed.gov/cedselementdetails.aspx?termid=10582")</f>
        <v>https://ceds.ed.gov/cedselementdetails.aspx?termid=10582</v>
      </c>
      <c r="Q652" s="12" t="str">
        <f>HYPERLINK("https://ceds.ed.gov/elementComment.aspx?elementName=Early Learning Local Revenue Source &amp;elementID=10582", "Click here to submit comment")</f>
        <v>Click here to submit comment</v>
      </c>
    </row>
    <row r="653" spans="1:17" ht="409.5" x14ac:dyDescent="0.25">
      <c r="A653" s="12" t="s">
        <v>7169</v>
      </c>
      <c r="B653" s="12" t="s">
        <v>7241</v>
      </c>
      <c r="C653" s="12"/>
      <c r="D653" s="12" t="s">
        <v>7172</v>
      </c>
      <c r="E653" s="12" t="s">
        <v>2616</v>
      </c>
      <c r="F653" s="12" t="s">
        <v>2617</v>
      </c>
      <c r="G653" s="13" t="s">
        <v>6894</v>
      </c>
      <c r="H653" s="12"/>
      <c r="I653" s="12"/>
      <c r="J653" s="12"/>
      <c r="K653" s="12"/>
      <c r="L653" s="12"/>
      <c r="M653" s="12" t="s">
        <v>2618</v>
      </c>
      <c r="N653" s="12"/>
      <c r="O653" s="12" t="s">
        <v>2619</v>
      </c>
      <c r="P653" s="12" t="str">
        <f>HYPERLINK("https://ceds.ed.gov/cedselementdetails.aspx?termid=10584")</f>
        <v>https://ceds.ed.gov/cedselementdetails.aspx?termid=10584</v>
      </c>
      <c r="Q653" s="12" t="str">
        <f>HYPERLINK("https://ceds.ed.gov/elementComment.aspx?elementName=Early Learning State Revenue Source &amp;elementID=10584", "Click here to submit comment")</f>
        <v>Click here to submit comment</v>
      </c>
    </row>
    <row r="654" spans="1:17" ht="135" x14ac:dyDescent="0.25">
      <c r="A654" s="12" t="s">
        <v>7169</v>
      </c>
      <c r="B654" s="12" t="s">
        <v>7241</v>
      </c>
      <c r="C654" s="12"/>
      <c r="D654" s="12" t="s">
        <v>7172</v>
      </c>
      <c r="E654" s="12" t="s">
        <v>2846</v>
      </c>
      <c r="F654" s="12" t="s">
        <v>2847</v>
      </c>
      <c r="G654" s="12" t="s">
        <v>12</v>
      </c>
      <c r="H654" s="12" t="s">
        <v>222</v>
      </c>
      <c r="I654" s="12"/>
      <c r="J654" s="12" t="s">
        <v>1554</v>
      </c>
      <c r="K654" s="12"/>
      <c r="L654" s="12"/>
      <c r="M654" s="12" t="s">
        <v>2848</v>
      </c>
      <c r="N654" s="12"/>
      <c r="O654" s="12" t="s">
        <v>2849</v>
      </c>
      <c r="P654" s="12" t="str">
        <f>HYPERLINK("https://ceds.ed.gov/cedselementdetails.aspx?termid=9540")</f>
        <v>https://ceds.ed.gov/cedselementdetails.aspx?termid=9540</v>
      </c>
      <c r="Q654" s="12" t="str">
        <f>HYPERLINK("https://ceds.ed.gov/elementComment.aspx?elementName=Federal Programs Funding Allocation &amp;elementID=9540", "Click here to submit comment")</f>
        <v>Click here to submit comment</v>
      </c>
    </row>
    <row r="655" spans="1:17" ht="60" x14ac:dyDescent="0.25">
      <c r="A655" s="18" t="s">
        <v>7169</v>
      </c>
      <c r="B655" s="18" t="s">
        <v>7241</v>
      </c>
      <c r="C655" s="18"/>
      <c r="D655" s="18" t="s">
        <v>7172</v>
      </c>
      <c r="E655" s="18" t="s">
        <v>2896</v>
      </c>
      <c r="F655" s="18" t="s">
        <v>2897</v>
      </c>
      <c r="G655" s="20" t="s">
        <v>6922</v>
      </c>
      <c r="H655" s="18"/>
      <c r="I655" s="18" t="s">
        <v>98</v>
      </c>
      <c r="J655" s="18"/>
      <c r="K655" s="18"/>
      <c r="L655" s="14" t="s">
        <v>2861</v>
      </c>
      <c r="M655" s="18" t="s">
        <v>2899</v>
      </c>
      <c r="N655" s="18"/>
      <c r="O655" s="18" t="s">
        <v>2900</v>
      </c>
      <c r="P655" s="18" t="str">
        <f>HYPERLINK("https://ceds.ed.gov/cedselementdetails.aspx?termid=10440")</f>
        <v>https://ceds.ed.gov/cedselementdetails.aspx?termid=10440</v>
      </c>
      <c r="Q655" s="18" t="str">
        <f>HYPERLINK("https://ceds.ed.gov/elementComment.aspx?elementName=Financial Account Revenue Code &amp;elementID=10440", "Click here to submit comment")</f>
        <v>Click here to submit comment</v>
      </c>
    </row>
    <row r="656" spans="1:17" x14ac:dyDescent="0.25">
      <c r="A656" s="18"/>
      <c r="B656" s="18"/>
      <c r="C656" s="18"/>
      <c r="D656" s="18"/>
      <c r="E656" s="18"/>
      <c r="F656" s="18"/>
      <c r="G656" s="18"/>
      <c r="H656" s="18"/>
      <c r="I656" s="18"/>
      <c r="J656" s="18"/>
      <c r="K656" s="18"/>
      <c r="L656" s="12"/>
      <c r="M656" s="18"/>
      <c r="N656" s="18"/>
      <c r="O656" s="18"/>
      <c r="P656" s="18"/>
      <c r="Q656" s="18"/>
    </row>
    <row r="657" spans="1:17" ht="30" x14ac:dyDescent="0.25">
      <c r="A657" s="18"/>
      <c r="B657" s="18"/>
      <c r="C657" s="18"/>
      <c r="D657" s="18"/>
      <c r="E657" s="18"/>
      <c r="F657" s="18"/>
      <c r="G657" s="18"/>
      <c r="H657" s="18"/>
      <c r="I657" s="18"/>
      <c r="J657" s="18"/>
      <c r="K657" s="18"/>
      <c r="L657" s="12" t="s">
        <v>2898</v>
      </c>
      <c r="M657" s="18"/>
      <c r="N657" s="18"/>
      <c r="O657" s="18"/>
      <c r="P657" s="18"/>
      <c r="Q657" s="18"/>
    </row>
    <row r="658" spans="1:17" ht="90" x14ac:dyDescent="0.25">
      <c r="A658" s="12" t="s">
        <v>7169</v>
      </c>
      <c r="B658" s="12" t="s">
        <v>7241</v>
      </c>
      <c r="C658" s="12"/>
      <c r="D658" s="12" t="s">
        <v>7172</v>
      </c>
      <c r="E658" s="12" t="s">
        <v>5358</v>
      </c>
      <c r="F658" s="12" t="s">
        <v>5359</v>
      </c>
      <c r="G658" s="13" t="s">
        <v>7097</v>
      </c>
      <c r="H658" s="12"/>
      <c r="I658" s="12"/>
      <c r="J658" s="12"/>
      <c r="K658" s="12"/>
      <c r="L658" s="12"/>
      <c r="M658" s="12" t="s">
        <v>5360</v>
      </c>
      <c r="N658" s="12"/>
      <c r="O658" s="12" t="s">
        <v>5361</v>
      </c>
      <c r="P658" s="12" t="str">
        <f>HYPERLINK("https://ceds.ed.gov/cedselementdetails.aspx?termid=10601")</f>
        <v>https://ceds.ed.gov/cedselementdetails.aspx?termid=10601</v>
      </c>
      <c r="Q658" s="12" t="str">
        <f>HYPERLINK("https://ceds.ed.gov/elementComment.aspx?elementName=Reimbursement Type &amp;elementID=10601", "Click here to submit comment")</f>
        <v>Click here to submit comment</v>
      </c>
    </row>
    <row r="659" spans="1:17" ht="105" x14ac:dyDescent="0.25">
      <c r="A659" s="18" t="s">
        <v>7242</v>
      </c>
      <c r="B659" s="18" t="s">
        <v>7243</v>
      </c>
      <c r="C659" s="18" t="s">
        <v>7208</v>
      </c>
      <c r="D659" s="18" t="s">
        <v>7172</v>
      </c>
      <c r="E659" s="18" t="s">
        <v>5583</v>
      </c>
      <c r="F659" s="18" t="s">
        <v>279</v>
      </c>
      <c r="G659" s="18" t="s">
        <v>12</v>
      </c>
      <c r="H659" s="18" t="s">
        <v>6657</v>
      </c>
      <c r="I659" s="18"/>
      <c r="J659" s="18" t="s">
        <v>142</v>
      </c>
      <c r="K659" s="18"/>
      <c r="L659" s="12" t="s">
        <v>143</v>
      </c>
      <c r="M659" s="18" t="s">
        <v>5584</v>
      </c>
      <c r="N659" s="18"/>
      <c r="O659" s="18" t="s">
        <v>5585</v>
      </c>
      <c r="P659" s="18" t="str">
        <f>HYPERLINK("https://ceds.ed.gov/cedselementdetails.aspx?termid=9155")</f>
        <v>https://ceds.ed.gov/cedselementdetails.aspx?termid=9155</v>
      </c>
      <c r="Q659" s="18" t="str">
        <f>HYPERLINK("https://ceds.ed.gov/elementComment.aspx?elementName=School Identifier &amp;elementID=9155", "Click here to submit comment")</f>
        <v>Click here to submit comment</v>
      </c>
    </row>
    <row r="660" spans="1:17" x14ac:dyDescent="0.25">
      <c r="A660" s="18"/>
      <c r="B660" s="18"/>
      <c r="C660" s="18"/>
      <c r="D660" s="18"/>
      <c r="E660" s="18"/>
      <c r="F660" s="18"/>
      <c r="G660" s="18"/>
      <c r="H660" s="18"/>
      <c r="I660" s="18"/>
      <c r="J660" s="18"/>
      <c r="K660" s="18"/>
      <c r="L660" s="12"/>
      <c r="M660" s="18"/>
      <c r="N660" s="18"/>
      <c r="O660" s="18"/>
      <c r="P660" s="18"/>
      <c r="Q660" s="18"/>
    </row>
    <row r="661" spans="1:17" ht="90" x14ac:dyDescent="0.25">
      <c r="A661" s="18"/>
      <c r="B661" s="18"/>
      <c r="C661" s="18"/>
      <c r="D661" s="18"/>
      <c r="E661" s="18"/>
      <c r="F661" s="18"/>
      <c r="G661" s="18"/>
      <c r="H661" s="18"/>
      <c r="I661" s="18"/>
      <c r="J661" s="18"/>
      <c r="K661" s="18"/>
      <c r="L661" s="12" t="s">
        <v>144</v>
      </c>
      <c r="M661" s="18"/>
      <c r="N661" s="18"/>
      <c r="O661" s="18"/>
      <c r="P661" s="18"/>
      <c r="Q661" s="18"/>
    </row>
    <row r="662" spans="1:17" ht="270" x14ac:dyDescent="0.25">
      <c r="A662" s="12" t="s">
        <v>7242</v>
      </c>
      <c r="B662" s="12" t="s">
        <v>7243</v>
      </c>
      <c r="C662" s="12" t="s">
        <v>7208</v>
      </c>
      <c r="D662" s="12" t="s">
        <v>7172</v>
      </c>
      <c r="E662" s="12" t="s">
        <v>5580</v>
      </c>
      <c r="F662" s="12" t="s">
        <v>275</v>
      </c>
      <c r="G662" s="13" t="s">
        <v>7103</v>
      </c>
      <c r="H662" s="12" t="s">
        <v>6657</v>
      </c>
      <c r="I662" s="12"/>
      <c r="J662" s="12"/>
      <c r="K662" s="12"/>
      <c r="L662" s="12"/>
      <c r="M662" s="12" t="s">
        <v>5581</v>
      </c>
      <c r="N662" s="12"/>
      <c r="O662" s="12" t="s">
        <v>5582</v>
      </c>
      <c r="P662" s="12" t="str">
        <f>HYPERLINK("https://ceds.ed.gov/cedselementdetails.aspx?termid=9161")</f>
        <v>https://ceds.ed.gov/cedselementdetails.aspx?termid=9161</v>
      </c>
      <c r="Q662" s="12" t="str">
        <f>HYPERLINK("https://ceds.ed.gov/elementComment.aspx?elementName=School Identification System &amp;elementID=9161", "Click here to submit comment")</f>
        <v>Click here to submit comment</v>
      </c>
    </row>
    <row r="663" spans="1:17" ht="225" x14ac:dyDescent="0.25">
      <c r="A663" s="12" t="s">
        <v>7242</v>
      </c>
      <c r="B663" s="12" t="s">
        <v>7243</v>
      </c>
      <c r="C663" s="12" t="s">
        <v>7208</v>
      </c>
      <c r="D663" s="12" t="s">
        <v>7172</v>
      </c>
      <c r="E663" s="12" t="s">
        <v>4518</v>
      </c>
      <c r="F663" s="12" t="s">
        <v>4519</v>
      </c>
      <c r="G663" s="12" t="s">
        <v>12</v>
      </c>
      <c r="H663" s="12" t="s">
        <v>6604</v>
      </c>
      <c r="I663" s="12"/>
      <c r="J663" s="12" t="s">
        <v>99</v>
      </c>
      <c r="K663" s="12"/>
      <c r="L663" s="12"/>
      <c r="M663" s="12" t="s">
        <v>4520</v>
      </c>
      <c r="N663" s="12"/>
      <c r="O663" s="12" t="s">
        <v>4521</v>
      </c>
      <c r="P663" s="12" t="str">
        <f>HYPERLINK("https://ceds.ed.gov/cedselementdetails.aspx?termid=9191")</f>
        <v>https://ceds.ed.gov/cedselementdetails.aspx?termid=9191</v>
      </c>
      <c r="Q663" s="12" t="str">
        <f>HYPERLINK("https://ceds.ed.gov/elementComment.aspx?elementName=Name of Institution &amp;elementID=9191", "Click here to submit comment")</f>
        <v>Click here to submit comment</v>
      </c>
    </row>
    <row r="664" spans="1:17" ht="409.5" x14ac:dyDescent="0.25">
      <c r="A664" s="12" t="s">
        <v>7242</v>
      </c>
      <c r="B664" s="12" t="s">
        <v>7243</v>
      </c>
      <c r="C664" s="12" t="s">
        <v>7208</v>
      </c>
      <c r="D664" s="12" t="s">
        <v>7172</v>
      </c>
      <c r="E664" s="12" t="s">
        <v>4692</v>
      </c>
      <c r="F664" s="12" t="s">
        <v>4693</v>
      </c>
      <c r="G664" s="13" t="s">
        <v>7045</v>
      </c>
      <c r="H664" s="12"/>
      <c r="I664" s="12" t="s">
        <v>98</v>
      </c>
      <c r="J664" s="12" t="s">
        <v>142</v>
      </c>
      <c r="K664" s="12"/>
      <c r="L664" s="12" t="s">
        <v>4694</v>
      </c>
      <c r="M664" s="12" t="s">
        <v>4695</v>
      </c>
      <c r="N664" s="12"/>
      <c r="O664" s="12" t="s">
        <v>4696</v>
      </c>
      <c r="P664" s="12" t="str">
        <f>HYPERLINK("https://ceds.ed.gov/cedselementdetails.aspx?termid=10165")</f>
        <v>https://ceds.ed.gov/cedselementdetails.aspx?termid=10165</v>
      </c>
      <c r="Q664" s="12" t="str">
        <f>HYPERLINK("https://ceds.ed.gov/elementComment.aspx?elementName=Organization Type &amp;elementID=10165", "Click here to submit comment")</f>
        <v>Click here to submit comment</v>
      </c>
    </row>
    <row r="665" spans="1:17" ht="90" x14ac:dyDescent="0.25">
      <c r="A665" s="12" t="s">
        <v>7242</v>
      </c>
      <c r="B665" s="12" t="s">
        <v>7243</v>
      </c>
      <c r="C665" s="12" t="s">
        <v>7208</v>
      </c>
      <c r="D665" s="12" t="s">
        <v>7172</v>
      </c>
      <c r="E665" s="12" t="s">
        <v>5719</v>
      </c>
      <c r="F665" s="12" t="s">
        <v>5720</v>
      </c>
      <c r="G665" s="12" t="s">
        <v>12</v>
      </c>
      <c r="H665" s="12"/>
      <c r="I665" s="12"/>
      <c r="J665" s="12" t="s">
        <v>92</v>
      </c>
      <c r="K665" s="12"/>
      <c r="L665" s="12" t="s">
        <v>5721</v>
      </c>
      <c r="M665" s="12" t="s">
        <v>5722</v>
      </c>
      <c r="N665" s="12"/>
      <c r="O665" s="12" t="s">
        <v>5723</v>
      </c>
      <c r="P665" s="12" t="str">
        <f>HYPERLINK("https://ceds.ed.gov/cedselementdetails.aspx?termid=10459")</f>
        <v>https://ceds.ed.gov/cedselementdetails.aspx?termid=10459</v>
      </c>
      <c r="Q665" s="12" t="str">
        <f>HYPERLINK("https://ceds.ed.gov/elementComment.aspx?elementName=Short Name of Institution &amp;elementID=10459", "Click here to submit comment")</f>
        <v>Click here to submit comment</v>
      </c>
    </row>
    <row r="666" spans="1:17" ht="90" x14ac:dyDescent="0.25">
      <c r="A666" s="12" t="s">
        <v>7242</v>
      </c>
      <c r="B666" s="12" t="s">
        <v>7243</v>
      </c>
      <c r="C666" s="12" t="s">
        <v>7214</v>
      </c>
      <c r="D666" s="12" t="s">
        <v>7172</v>
      </c>
      <c r="E666" s="12" t="s">
        <v>197</v>
      </c>
      <c r="F666" s="12" t="s">
        <v>198</v>
      </c>
      <c r="G666" s="13" t="s">
        <v>6727</v>
      </c>
      <c r="H666" s="12" t="s">
        <v>6369</v>
      </c>
      <c r="I666" s="12"/>
      <c r="J666" s="12" t="s">
        <v>92</v>
      </c>
      <c r="K666" s="12"/>
      <c r="L666" s="12"/>
      <c r="M666" s="12" t="s">
        <v>199</v>
      </c>
      <c r="N666" s="12"/>
      <c r="O666" s="12" t="s">
        <v>200</v>
      </c>
      <c r="P666" s="12" t="str">
        <f>HYPERLINK("https://ceds.ed.gov/cedselementdetails.aspx?termid=9644")</f>
        <v>https://ceds.ed.gov/cedselementdetails.aspx?termid=9644</v>
      </c>
      <c r="Q666" s="12" t="str">
        <f>HYPERLINK("https://ceds.ed.gov/elementComment.aspx?elementName=Address Type for Organization &amp;elementID=9644", "Click here to submit comment")</f>
        <v>Click here to submit comment</v>
      </c>
    </row>
    <row r="667" spans="1:17" ht="225" x14ac:dyDescent="0.25">
      <c r="A667" s="12" t="s">
        <v>7242</v>
      </c>
      <c r="B667" s="12" t="s">
        <v>7243</v>
      </c>
      <c r="C667" s="12" t="s">
        <v>7214</v>
      </c>
      <c r="D667" s="12" t="s">
        <v>7172</v>
      </c>
      <c r="E667" s="12" t="s">
        <v>189</v>
      </c>
      <c r="F667" s="12" t="s">
        <v>190</v>
      </c>
      <c r="G667" s="12" t="s">
        <v>12</v>
      </c>
      <c r="H667" s="12" t="s">
        <v>6377</v>
      </c>
      <c r="I667" s="12"/>
      <c r="J667" s="12" t="s">
        <v>142</v>
      </c>
      <c r="K667" s="12"/>
      <c r="L667" s="12"/>
      <c r="M667" s="12" t="s">
        <v>191</v>
      </c>
      <c r="N667" s="12"/>
      <c r="O667" s="12" t="s">
        <v>192</v>
      </c>
      <c r="P667" s="12" t="str">
        <f>HYPERLINK("https://ceds.ed.gov/cedselementdetails.aspx?termid=9269")</f>
        <v>https://ceds.ed.gov/cedselementdetails.aspx?termid=9269</v>
      </c>
      <c r="Q667" s="12" t="str">
        <f>HYPERLINK("https://ceds.ed.gov/elementComment.aspx?elementName=Address Street Number and Name &amp;elementID=9269", "Click here to submit comment")</f>
        <v>Click here to submit comment</v>
      </c>
    </row>
    <row r="668" spans="1:17" ht="225" x14ac:dyDescent="0.25">
      <c r="A668" s="12" t="s">
        <v>7242</v>
      </c>
      <c r="B668" s="12" t="s">
        <v>7243</v>
      </c>
      <c r="C668" s="12" t="s">
        <v>7214</v>
      </c>
      <c r="D668" s="12" t="s">
        <v>7172</v>
      </c>
      <c r="E668" s="12" t="s">
        <v>172</v>
      </c>
      <c r="F668" s="12" t="s">
        <v>173</v>
      </c>
      <c r="G668" s="12" t="s">
        <v>12</v>
      </c>
      <c r="H668" s="12" t="s">
        <v>6377</v>
      </c>
      <c r="I668" s="12"/>
      <c r="J668" s="12" t="s">
        <v>92</v>
      </c>
      <c r="K668" s="12"/>
      <c r="L668" s="12"/>
      <c r="M668" s="12" t="s">
        <v>174</v>
      </c>
      <c r="N668" s="12"/>
      <c r="O668" s="12" t="s">
        <v>175</v>
      </c>
      <c r="P668" s="12" t="str">
        <f>HYPERLINK("https://ceds.ed.gov/cedselementdetails.aspx?termid=9019")</f>
        <v>https://ceds.ed.gov/cedselementdetails.aspx?termid=9019</v>
      </c>
      <c r="Q668" s="12" t="str">
        <f>HYPERLINK("https://ceds.ed.gov/elementComment.aspx?elementName=Address Apartment Room or Suite Number &amp;elementID=9019", "Click here to submit comment")</f>
        <v>Click here to submit comment</v>
      </c>
    </row>
    <row r="669" spans="1:17" ht="45" x14ac:dyDescent="0.25">
      <c r="A669" s="12" t="s">
        <v>7242</v>
      </c>
      <c r="B669" s="12" t="s">
        <v>7243</v>
      </c>
      <c r="C669" s="12" t="s">
        <v>7214</v>
      </c>
      <c r="D669" s="12" t="s">
        <v>7172</v>
      </c>
      <c r="E669" s="12" t="s">
        <v>1598</v>
      </c>
      <c r="F669" s="12" t="s">
        <v>1599</v>
      </c>
      <c r="G669" s="12" t="s">
        <v>12</v>
      </c>
      <c r="H669" s="12"/>
      <c r="I669" s="12"/>
      <c r="J669" s="12" t="s">
        <v>92</v>
      </c>
      <c r="K669" s="12"/>
      <c r="L669" s="12"/>
      <c r="M669" s="12" t="s">
        <v>1600</v>
      </c>
      <c r="N669" s="12"/>
      <c r="O669" s="12" t="s">
        <v>1601</v>
      </c>
      <c r="P669" s="12" t="str">
        <f>HYPERLINK("https://ceds.ed.gov/cedselementdetails.aspx?termid=9595")</f>
        <v>https://ceds.ed.gov/cedselementdetails.aspx?termid=9595</v>
      </c>
      <c r="Q669" s="12" t="str">
        <f>HYPERLINK("https://ceds.ed.gov/elementComment.aspx?elementName=Building Site Number &amp;elementID=9595", "Click here to submit comment")</f>
        <v>Click here to submit comment</v>
      </c>
    </row>
    <row r="670" spans="1:17" ht="225" x14ac:dyDescent="0.25">
      <c r="A670" s="12" t="s">
        <v>7242</v>
      </c>
      <c r="B670" s="12" t="s">
        <v>7243</v>
      </c>
      <c r="C670" s="12" t="s">
        <v>7214</v>
      </c>
      <c r="D670" s="12" t="s">
        <v>7172</v>
      </c>
      <c r="E670" s="12" t="s">
        <v>176</v>
      </c>
      <c r="F670" s="12" t="s">
        <v>177</v>
      </c>
      <c r="G670" s="12" t="s">
        <v>12</v>
      </c>
      <c r="H670" s="12" t="s">
        <v>6377</v>
      </c>
      <c r="I670" s="12"/>
      <c r="J670" s="12" t="s">
        <v>92</v>
      </c>
      <c r="K670" s="12"/>
      <c r="L670" s="12"/>
      <c r="M670" s="12" t="s">
        <v>178</v>
      </c>
      <c r="N670" s="12"/>
      <c r="O670" s="12" t="s">
        <v>179</v>
      </c>
      <c r="P670" s="12" t="str">
        <f>HYPERLINK("https://ceds.ed.gov/cedselementdetails.aspx?termid=9040")</f>
        <v>https://ceds.ed.gov/cedselementdetails.aspx?termid=9040</v>
      </c>
      <c r="Q670" s="12" t="str">
        <f>HYPERLINK("https://ceds.ed.gov/elementComment.aspx?elementName=Address City &amp;elementID=9040", "Click here to submit comment")</f>
        <v>Click here to submit comment</v>
      </c>
    </row>
    <row r="671" spans="1:17" ht="409.5" x14ac:dyDescent="0.25">
      <c r="A671" s="12" t="s">
        <v>7242</v>
      </c>
      <c r="B671" s="12" t="s">
        <v>7243</v>
      </c>
      <c r="C671" s="12" t="s">
        <v>7214</v>
      </c>
      <c r="D671" s="12" t="s">
        <v>7172</v>
      </c>
      <c r="E671" s="12" t="s">
        <v>5898</v>
      </c>
      <c r="F671" s="12" t="s">
        <v>5899</v>
      </c>
      <c r="G671" s="13" t="s">
        <v>7120</v>
      </c>
      <c r="H671" s="12" t="s">
        <v>6678</v>
      </c>
      <c r="I671" s="12"/>
      <c r="J671" s="12"/>
      <c r="K671" s="12"/>
      <c r="L671" s="12"/>
      <c r="M671" s="12" t="s">
        <v>5900</v>
      </c>
      <c r="N671" s="12"/>
      <c r="O671" s="12" t="s">
        <v>5901</v>
      </c>
      <c r="P671" s="12" t="str">
        <f>HYPERLINK("https://ceds.ed.gov/cedselementdetails.aspx?termid=9267")</f>
        <v>https://ceds.ed.gov/cedselementdetails.aspx?termid=9267</v>
      </c>
      <c r="Q671" s="12" t="str">
        <f>HYPERLINK("https://ceds.ed.gov/elementComment.aspx?elementName=State Abbreviation &amp;elementID=9267", "Click here to submit comment")</f>
        <v>Click here to submit comment</v>
      </c>
    </row>
    <row r="672" spans="1:17" ht="225" x14ac:dyDescent="0.25">
      <c r="A672" s="12" t="s">
        <v>7242</v>
      </c>
      <c r="B672" s="12" t="s">
        <v>7243</v>
      </c>
      <c r="C672" s="12" t="s">
        <v>7214</v>
      </c>
      <c r="D672" s="12" t="s">
        <v>7172</v>
      </c>
      <c r="E672" s="12" t="s">
        <v>184</v>
      </c>
      <c r="F672" s="12" t="s">
        <v>185</v>
      </c>
      <c r="G672" s="12" t="s">
        <v>12</v>
      </c>
      <c r="H672" s="12" t="s">
        <v>6377</v>
      </c>
      <c r="I672" s="12"/>
      <c r="J672" s="12" t="s">
        <v>186</v>
      </c>
      <c r="K672" s="12"/>
      <c r="L672" s="12"/>
      <c r="M672" s="12" t="s">
        <v>187</v>
      </c>
      <c r="N672" s="12"/>
      <c r="O672" s="12" t="s">
        <v>188</v>
      </c>
      <c r="P672" s="12" t="str">
        <f>HYPERLINK("https://ceds.ed.gov/cedselementdetails.aspx?termid=9214")</f>
        <v>https://ceds.ed.gov/cedselementdetails.aspx?termid=9214</v>
      </c>
      <c r="Q672" s="12" t="str">
        <f>HYPERLINK("https://ceds.ed.gov/elementComment.aspx?elementName=Address Postal Code &amp;elementID=9214", "Click here to submit comment")</f>
        <v>Click here to submit comment</v>
      </c>
    </row>
    <row r="673" spans="1:17" ht="225" x14ac:dyDescent="0.25">
      <c r="A673" s="12" t="s">
        <v>7242</v>
      </c>
      <c r="B673" s="12" t="s">
        <v>7243</v>
      </c>
      <c r="C673" s="12" t="s">
        <v>7214</v>
      </c>
      <c r="D673" s="12" t="s">
        <v>7172</v>
      </c>
      <c r="E673" s="12" t="s">
        <v>180</v>
      </c>
      <c r="F673" s="12" t="s">
        <v>181</v>
      </c>
      <c r="G673" s="12" t="s">
        <v>12</v>
      </c>
      <c r="H673" s="12" t="s">
        <v>6377</v>
      </c>
      <c r="I673" s="12"/>
      <c r="J673" s="12" t="s">
        <v>92</v>
      </c>
      <c r="K673" s="12"/>
      <c r="L673" s="12"/>
      <c r="M673" s="12" t="s">
        <v>182</v>
      </c>
      <c r="N673" s="12"/>
      <c r="O673" s="12" t="s">
        <v>183</v>
      </c>
      <c r="P673" s="12" t="str">
        <f>HYPERLINK("https://ceds.ed.gov/cedselementdetails.aspx?termid=9190")</f>
        <v>https://ceds.ed.gov/cedselementdetails.aspx?termid=9190</v>
      </c>
      <c r="Q673" s="12" t="str">
        <f>HYPERLINK("https://ceds.ed.gov/elementComment.aspx?elementName=Address County Name &amp;elementID=9190", "Click here to submit comment")</f>
        <v>Click here to submit comment</v>
      </c>
    </row>
    <row r="674" spans="1:17" ht="180" x14ac:dyDescent="0.25">
      <c r="A674" s="12" t="s">
        <v>7242</v>
      </c>
      <c r="B674" s="12" t="s">
        <v>7243</v>
      </c>
      <c r="C674" s="12" t="s">
        <v>7214</v>
      </c>
      <c r="D674" s="12" t="s">
        <v>7172</v>
      </c>
      <c r="E674" s="12" t="s">
        <v>1943</v>
      </c>
      <c r="F674" s="12" t="s">
        <v>1944</v>
      </c>
      <c r="G674" s="12" t="s">
        <v>12</v>
      </c>
      <c r="H674" s="12"/>
      <c r="I674" s="12"/>
      <c r="J674" s="12" t="s">
        <v>1945</v>
      </c>
      <c r="K674" s="12"/>
      <c r="L674" s="12"/>
      <c r="M674" s="12" t="s">
        <v>1946</v>
      </c>
      <c r="N674" s="12"/>
      <c r="O674" s="12" t="s">
        <v>1947</v>
      </c>
      <c r="P674" s="12" t="str">
        <f>HYPERLINK("https://ceds.ed.gov/cedselementdetails.aspx?termid=10176")</f>
        <v>https://ceds.ed.gov/cedselementdetails.aspx?termid=10176</v>
      </c>
      <c r="Q674" s="12" t="str">
        <f>HYPERLINK("https://ceds.ed.gov/elementComment.aspx?elementName=County ANSI Code &amp;elementID=10176", "Click here to submit comment")</f>
        <v>Click here to submit comment</v>
      </c>
    </row>
    <row r="675" spans="1:17" ht="75" x14ac:dyDescent="0.25">
      <c r="A675" s="12" t="s">
        <v>7242</v>
      </c>
      <c r="B675" s="12" t="s">
        <v>7243</v>
      </c>
      <c r="C675" s="12" t="s">
        <v>7214</v>
      </c>
      <c r="D675" s="12" t="s">
        <v>7172</v>
      </c>
      <c r="E675" s="12" t="s">
        <v>3693</v>
      </c>
      <c r="F675" s="12" t="s">
        <v>3694</v>
      </c>
      <c r="G675" s="12" t="s">
        <v>12</v>
      </c>
      <c r="H675" s="12"/>
      <c r="I675" s="12"/>
      <c r="J675" s="12" t="s">
        <v>1201</v>
      </c>
      <c r="K675" s="12"/>
      <c r="L675" s="12"/>
      <c r="M675" s="12" t="s">
        <v>3695</v>
      </c>
      <c r="N675" s="12"/>
      <c r="O675" s="12" t="s">
        <v>3693</v>
      </c>
      <c r="P675" s="12" t="str">
        <f>HYPERLINK("https://ceds.ed.gov/cedselementdetails.aspx?termid=9599")</f>
        <v>https://ceds.ed.gov/cedselementdetails.aspx?termid=9599</v>
      </c>
      <c r="Q675" s="12" t="str">
        <f>HYPERLINK("https://ceds.ed.gov/elementComment.aspx?elementName=Latitude &amp;elementID=9599", "Click here to submit comment")</f>
        <v>Click here to submit comment</v>
      </c>
    </row>
    <row r="676" spans="1:17" ht="75" x14ac:dyDescent="0.25">
      <c r="A676" s="12" t="s">
        <v>7242</v>
      </c>
      <c r="B676" s="12" t="s">
        <v>7243</v>
      </c>
      <c r="C676" s="12" t="s">
        <v>7214</v>
      </c>
      <c r="D676" s="12" t="s">
        <v>7172</v>
      </c>
      <c r="E676" s="12" t="s">
        <v>4361</v>
      </c>
      <c r="F676" s="12" t="s">
        <v>4362</v>
      </c>
      <c r="G676" s="12" t="s">
        <v>12</v>
      </c>
      <c r="H676" s="12"/>
      <c r="I676" s="12"/>
      <c r="J676" s="12" t="s">
        <v>1201</v>
      </c>
      <c r="K676" s="12"/>
      <c r="L676" s="12"/>
      <c r="M676" s="12" t="s">
        <v>4363</v>
      </c>
      <c r="N676" s="12"/>
      <c r="O676" s="12" t="s">
        <v>4361</v>
      </c>
      <c r="P676" s="12" t="str">
        <f>HYPERLINK("https://ceds.ed.gov/cedselementdetails.aspx?termid=9600")</f>
        <v>https://ceds.ed.gov/cedselementdetails.aspx?termid=9600</v>
      </c>
      <c r="Q676" s="12" t="str">
        <f>HYPERLINK("https://ceds.ed.gov/elementComment.aspx?elementName=Longitude &amp;elementID=9600", "Click here to submit comment")</f>
        <v>Click here to submit comment</v>
      </c>
    </row>
    <row r="677" spans="1:17" ht="165" x14ac:dyDescent="0.25">
      <c r="A677" s="12" t="s">
        <v>7242</v>
      </c>
      <c r="B677" s="12" t="s">
        <v>7243</v>
      </c>
      <c r="C677" s="12" t="s">
        <v>7215</v>
      </c>
      <c r="D677" s="12" t="s">
        <v>7172</v>
      </c>
      <c r="E677" s="12" t="s">
        <v>3531</v>
      </c>
      <c r="F677" s="12" t="s">
        <v>3532</v>
      </c>
      <c r="G677" s="13" t="s">
        <v>6975</v>
      </c>
      <c r="H677" s="12"/>
      <c r="I677" s="12"/>
      <c r="J677" s="12"/>
      <c r="K677" s="12"/>
      <c r="L677" s="12"/>
      <c r="M677" s="12" t="s">
        <v>3533</v>
      </c>
      <c r="N677" s="12"/>
      <c r="O677" s="12" t="s">
        <v>3534</v>
      </c>
      <c r="P677" s="12" t="str">
        <f>HYPERLINK("https://ceds.ed.gov/cedselementdetails.aspx?termid=9167")</f>
        <v>https://ceds.ed.gov/cedselementdetails.aspx?termid=9167</v>
      </c>
      <c r="Q677" s="12" t="str">
        <f>HYPERLINK("https://ceds.ed.gov/elementComment.aspx?elementName=Institution Telephone Number Type &amp;elementID=9167", "Click here to submit comment")</f>
        <v>Click here to submit comment</v>
      </c>
    </row>
    <row r="678" spans="1:17" ht="90" x14ac:dyDescent="0.25">
      <c r="A678" s="12" t="s">
        <v>7242</v>
      </c>
      <c r="B678" s="12" t="s">
        <v>7243</v>
      </c>
      <c r="C678" s="12" t="s">
        <v>7215</v>
      </c>
      <c r="D678" s="12" t="s">
        <v>7172</v>
      </c>
      <c r="E678" s="12" t="s">
        <v>4934</v>
      </c>
      <c r="F678" s="12" t="s">
        <v>4935</v>
      </c>
      <c r="G678" s="12" t="s">
        <v>6364</v>
      </c>
      <c r="H678" s="12" t="s">
        <v>6369</v>
      </c>
      <c r="I678" s="12"/>
      <c r="J678" s="12"/>
      <c r="K678" s="12"/>
      <c r="L678" s="12"/>
      <c r="M678" s="12" t="s">
        <v>4936</v>
      </c>
      <c r="N678" s="12"/>
      <c r="O678" s="12" t="s">
        <v>4937</v>
      </c>
      <c r="P678" s="12" t="str">
        <f>HYPERLINK("https://ceds.ed.gov/cedselementdetails.aspx?termid=9219")</f>
        <v>https://ceds.ed.gov/cedselementdetails.aspx?termid=9219</v>
      </c>
      <c r="Q678" s="12" t="str">
        <f>HYPERLINK("https://ceds.ed.gov/elementComment.aspx?elementName=Primary Telephone Number Indicator &amp;elementID=9219", "Click here to submit comment")</f>
        <v>Click here to submit comment</v>
      </c>
    </row>
    <row r="679" spans="1:17" ht="90" x14ac:dyDescent="0.25">
      <c r="A679" s="12" t="s">
        <v>7242</v>
      </c>
      <c r="B679" s="12" t="s">
        <v>7243</v>
      </c>
      <c r="C679" s="12" t="s">
        <v>7215</v>
      </c>
      <c r="D679" s="12" t="s">
        <v>7172</v>
      </c>
      <c r="E679" s="12" t="s">
        <v>6102</v>
      </c>
      <c r="F679" s="12" t="s">
        <v>6103</v>
      </c>
      <c r="G679" s="12" t="s">
        <v>12</v>
      </c>
      <c r="H679" s="12" t="s">
        <v>6369</v>
      </c>
      <c r="I679" s="12"/>
      <c r="J679" s="12" t="s">
        <v>6104</v>
      </c>
      <c r="K679" s="12"/>
      <c r="L679" s="12"/>
      <c r="M679" s="12" t="s">
        <v>6105</v>
      </c>
      <c r="N679" s="12"/>
      <c r="O679" s="12" t="s">
        <v>6106</v>
      </c>
      <c r="P679" s="12" t="str">
        <f>HYPERLINK("https://ceds.ed.gov/cedselementdetails.aspx?termid=9279")</f>
        <v>https://ceds.ed.gov/cedselementdetails.aspx?termid=9279</v>
      </c>
      <c r="Q679" s="12" t="str">
        <f>HYPERLINK("https://ceds.ed.gov/elementComment.aspx?elementName=Telephone Number &amp;elementID=9279", "Click here to submit comment")</f>
        <v>Click here to submit comment</v>
      </c>
    </row>
    <row r="680" spans="1:17" ht="390" x14ac:dyDescent="0.25">
      <c r="A680" s="12" t="s">
        <v>7242</v>
      </c>
      <c r="B680" s="12" t="s">
        <v>7243</v>
      </c>
      <c r="C680" s="12" t="s">
        <v>7217</v>
      </c>
      <c r="D680" s="12" t="s">
        <v>7172</v>
      </c>
      <c r="E680" s="12" t="s">
        <v>3134</v>
      </c>
      <c r="F680" s="12" t="s">
        <v>3135</v>
      </c>
      <c r="G680" s="13" t="s">
        <v>6940</v>
      </c>
      <c r="H680" s="12" t="s">
        <v>6369</v>
      </c>
      <c r="I680" s="12"/>
      <c r="J680" s="12"/>
      <c r="K680" s="12"/>
      <c r="L680" s="12"/>
      <c r="M680" s="12" t="s">
        <v>3136</v>
      </c>
      <c r="N680" s="12"/>
      <c r="O680" s="12" t="s">
        <v>3137</v>
      </c>
      <c r="P680" s="12" t="str">
        <f>HYPERLINK("https://ceds.ed.gov/cedselementdetails.aspx?termid=9131")</f>
        <v>https://ceds.ed.gov/cedselementdetails.aspx?termid=9131</v>
      </c>
      <c r="Q680" s="12" t="str">
        <f>HYPERLINK("https://ceds.ed.gov/elementComment.aspx?elementName=Grades Offered &amp;elementID=9131", "Click here to submit comment")</f>
        <v>Click here to submit comment</v>
      </c>
    </row>
    <row r="681" spans="1:17" ht="105" x14ac:dyDescent="0.25">
      <c r="A681" s="12" t="s">
        <v>7242</v>
      </c>
      <c r="B681" s="12" t="s">
        <v>7243</v>
      </c>
      <c r="C681" s="12" t="s">
        <v>7217</v>
      </c>
      <c r="D681" s="12" t="s">
        <v>7172</v>
      </c>
      <c r="E681" s="12" t="s">
        <v>5618</v>
      </c>
      <c r="F681" s="12" t="s">
        <v>5619</v>
      </c>
      <c r="G681" s="13" t="s">
        <v>7108</v>
      </c>
      <c r="H681" s="12" t="s">
        <v>6369</v>
      </c>
      <c r="I681" s="12" t="s">
        <v>98</v>
      </c>
      <c r="J681" s="12"/>
      <c r="K681" s="12"/>
      <c r="L681" s="12"/>
      <c r="M681" s="12" t="s">
        <v>5620</v>
      </c>
      <c r="N681" s="12"/>
      <c r="O681" s="12" t="s">
        <v>5621</v>
      </c>
      <c r="P681" s="12" t="str">
        <f>HYPERLINK("https://ceds.ed.gov/cedselementdetails.aspx?termid=9242")</f>
        <v>https://ceds.ed.gov/cedselementdetails.aspx?termid=9242</v>
      </c>
      <c r="Q681" s="12" t="str">
        <f>HYPERLINK("https://ceds.ed.gov/elementComment.aspx?elementName=School Type &amp;elementID=9242", "Click here to submit comment")</f>
        <v>Click here to submit comment</v>
      </c>
    </row>
    <row r="682" spans="1:17" ht="135" x14ac:dyDescent="0.25">
      <c r="A682" s="12" t="s">
        <v>7242</v>
      </c>
      <c r="B682" s="12" t="s">
        <v>7243</v>
      </c>
      <c r="C682" s="12" t="s">
        <v>7217</v>
      </c>
      <c r="D682" s="12" t="s">
        <v>7172</v>
      </c>
      <c r="E682" s="12" t="s">
        <v>4368</v>
      </c>
      <c r="F682" s="12" t="s">
        <v>4369</v>
      </c>
      <c r="G682" s="13" t="s">
        <v>7024</v>
      </c>
      <c r="H682" s="12" t="s">
        <v>6369</v>
      </c>
      <c r="I682" s="12"/>
      <c r="J682" s="12"/>
      <c r="K682" s="12"/>
      <c r="L682" s="12"/>
      <c r="M682" s="12" t="s">
        <v>4370</v>
      </c>
      <c r="N682" s="12"/>
      <c r="O682" s="12" t="s">
        <v>4371</v>
      </c>
      <c r="P682" s="12" t="str">
        <f>HYPERLINK("https://ceds.ed.gov/cedselementdetails.aspx?termid=9181")</f>
        <v>https://ceds.ed.gov/cedselementdetails.aspx?termid=9181</v>
      </c>
      <c r="Q682" s="12" t="str">
        <f>HYPERLINK("https://ceds.ed.gov/elementComment.aspx?elementName=Magnet or Special Program Emphasis School &amp;elementID=9181", "Click here to submit comment")</f>
        <v>Click here to submit comment</v>
      </c>
    </row>
    <row r="683" spans="1:17" ht="225" x14ac:dyDescent="0.25">
      <c r="A683" s="12" t="s">
        <v>7242</v>
      </c>
      <c r="B683" s="12" t="s">
        <v>7243</v>
      </c>
      <c r="C683" s="12" t="s">
        <v>7217</v>
      </c>
      <c r="D683" s="12" t="s">
        <v>7172</v>
      </c>
      <c r="E683" s="12" t="s">
        <v>5610</v>
      </c>
      <c r="F683" s="12" t="s">
        <v>5611</v>
      </c>
      <c r="G683" s="13" t="s">
        <v>7106</v>
      </c>
      <c r="H683" s="12"/>
      <c r="I683" s="12"/>
      <c r="J683" s="12"/>
      <c r="K683" s="12"/>
      <c r="L683" s="12"/>
      <c r="M683" s="12" t="s">
        <v>5612</v>
      </c>
      <c r="N683" s="12"/>
      <c r="O683" s="12" t="s">
        <v>5613</v>
      </c>
      <c r="P683" s="12" t="str">
        <f>HYPERLINK("https://ceds.ed.gov/cedselementdetails.aspx?termid=9241")</f>
        <v>https://ceds.ed.gov/cedselementdetails.aspx?termid=9241</v>
      </c>
      <c r="Q683" s="12" t="str">
        <f>HYPERLINK("https://ceds.ed.gov/elementComment.aspx?elementName=School Level &amp;elementID=9241", "Click here to submit comment")</f>
        <v>Click here to submit comment</v>
      </c>
    </row>
    <row r="684" spans="1:17" ht="135" x14ac:dyDescent="0.25">
      <c r="A684" s="12" t="s">
        <v>7242</v>
      </c>
      <c r="B684" s="12" t="s">
        <v>7243</v>
      </c>
      <c r="C684" s="12" t="s">
        <v>7217</v>
      </c>
      <c r="D684" s="12" t="s">
        <v>7172</v>
      </c>
      <c r="E684" s="12" t="s">
        <v>1732</v>
      </c>
      <c r="F684" s="12" t="s">
        <v>1733</v>
      </c>
      <c r="G684" s="12" t="s">
        <v>6364</v>
      </c>
      <c r="H684" s="12" t="s">
        <v>6369</v>
      </c>
      <c r="I684" s="12" t="s">
        <v>98</v>
      </c>
      <c r="J684" s="12"/>
      <c r="K684" s="12"/>
      <c r="L684" s="12"/>
      <c r="M684" s="12" t="s">
        <v>1734</v>
      </c>
      <c r="N684" s="12"/>
      <c r="O684" s="12" t="s">
        <v>1735</v>
      </c>
      <c r="P684" s="12" t="str">
        <f>HYPERLINK("https://ceds.ed.gov/cedselementdetails.aspx?termid=9039")</f>
        <v>https://ceds.ed.gov/cedselementdetails.aspx?termid=9039</v>
      </c>
      <c r="Q684" s="12" t="str">
        <f>HYPERLINK("https://ceds.ed.gov/elementComment.aspx?elementName=Charter School Indicator &amp;elementID=9039", "Click here to submit comment")</f>
        <v>Click here to submit comment</v>
      </c>
    </row>
    <row r="685" spans="1:17" ht="75" x14ac:dyDescent="0.25">
      <c r="A685" s="12" t="s">
        <v>7242</v>
      </c>
      <c r="B685" s="12" t="s">
        <v>7243</v>
      </c>
      <c r="C685" s="12" t="s">
        <v>7217</v>
      </c>
      <c r="D685" s="12" t="s">
        <v>7172</v>
      </c>
      <c r="E685" s="12" t="s">
        <v>1744</v>
      </c>
      <c r="F685" s="12" t="s">
        <v>1745</v>
      </c>
      <c r="G685" s="13" t="s">
        <v>6813</v>
      </c>
      <c r="H685" s="12"/>
      <c r="I685" s="12"/>
      <c r="J685" s="12"/>
      <c r="K685" s="12"/>
      <c r="L685" s="12"/>
      <c r="M685" s="12" t="s">
        <v>1746</v>
      </c>
      <c r="N685" s="12"/>
      <c r="O685" s="12" t="s">
        <v>1747</v>
      </c>
      <c r="P685" s="12" t="str">
        <f>HYPERLINK("https://ceds.ed.gov/cedselementdetails.aspx?termid=9686")</f>
        <v>https://ceds.ed.gov/cedselementdetails.aspx?termid=9686</v>
      </c>
      <c r="Q685" s="12" t="str">
        <f>HYPERLINK("https://ceds.ed.gov/elementComment.aspx?elementName=Charter School Type &amp;elementID=9686", "Click here to submit comment")</f>
        <v>Click here to submit comment</v>
      </c>
    </row>
    <row r="686" spans="1:17" ht="75" x14ac:dyDescent="0.25">
      <c r="A686" s="12" t="s">
        <v>7242</v>
      </c>
      <c r="B686" s="12" t="s">
        <v>7243</v>
      </c>
      <c r="C686" s="12" t="s">
        <v>7217</v>
      </c>
      <c r="D686" s="12" t="s">
        <v>7172</v>
      </c>
      <c r="E686" s="12" t="s">
        <v>1724</v>
      </c>
      <c r="F686" s="12" t="s">
        <v>1725</v>
      </c>
      <c r="G686" s="12" t="s">
        <v>12</v>
      </c>
      <c r="H686" s="12" t="s">
        <v>222</v>
      </c>
      <c r="I686" s="12" t="s">
        <v>1498</v>
      </c>
      <c r="J686" s="12" t="s">
        <v>92</v>
      </c>
      <c r="K686" s="12"/>
      <c r="L686" s="12"/>
      <c r="M686" s="12" t="s">
        <v>1726</v>
      </c>
      <c r="N686" s="12"/>
      <c r="O686" s="12" t="s">
        <v>1727</v>
      </c>
      <c r="P686" s="12" t="str">
        <f>HYPERLINK("https://ceds.ed.gov/cedselementdetails.aspx?termid=10632")</f>
        <v>https://ceds.ed.gov/cedselementdetails.aspx?termid=10632</v>
      </c>
      <c r="Q686" s="12" t="str">
        <f>HYPERLINK("https://ceds.ed.gov/elementComment.aspx?elementName=Charter School Contract Id Number &amp;elementID=10632", "Click here to submit comment")</f>
        <v>Click here to submit comment</v>
      </c>
    </row>
    <row r="687" spans="1:17" ht="90" x14ac:dyDescent="0.25">
      <c r="A687" s="12" t="s">
        <v>7242</v>
      </c>
      <c r="B687" s="12" t="s">
        <v>7243</v>
      </c>
      <c r="C687" s="12" t="s">
        <v>7217</v>
      </c>
      <c r="D687" s="12" t="s">
        <v>7172</v>
      </c>
      <c r="E687" s="12" t="s">
        <v>1720</v>
      </c>
      <c r="F687" s="12" t="s">
        <v>1721</v>
      </c>
      <c r="G687" s="12" t="s">
        <v>12</v>
      </c>
      <c r="H687" s="12" t="s">
        <v>222</v>
      </c>
      <c r="I687" s="12" t="s">
        <v>1498</v>
      </c>
      <c r="J687" s="12" t="s">
        <v>73</v>
      </c>
      <c r="K687" s="12"/>
      <c r="L687" s="12"/>
      <c r="M687" s="12" t="s">
        <v>1722</v>
      </c>
      <c r="N687" s="12"/>
      <c r="O687" s="12" t="s">
        <v>1723</v>
      </c>
      <c r="P687" s="12" t="str">
        <f>HYPERLINK("https://ceds.ed.gov/cedselementdetails.aspx?termid=10633")</f>
        <v>https://ceds.ed.gov/cedselementdetails.aspx?termid=10633</v>
      </c>
      <c r="Q687" s="12" t="str">
        <f>HYPERLINK("https://ceds.ed.gov/elementComment.aspx?elementName=Charter School Contract Approval Date &amp;elementID=10633", "Click here to submit comment")</f>
        <v>Click here to submit comment</v>
      </c>
    </row>
    <row r="688" spans="1:17" ht="30" x14ac:dyDescent="0.25">
      <c r="A688" s="12" t="s">
        <v>7242</v>
      </c>
      <c r="B688" s="12" t="s">
        <v>7243</v>
      </c>
      <c r="C688" s="12" t="s">
        <v>7217</v>
      </c>
      <c r="D688" s="12" t="s">
        <v>7172</v>
      </c>
      <c r="E688" s="12" t="s">
        <v>1716</v>
      </c>
      <c r="F688" s="12" t="s">
        <v>1717</v>
      </c>
      <c r="G688" s="12" t="s">
        <v>12</v>
      </c>
      <c r="H688" s="12"/>
      <c r="I688" s="12"/>
      <c r="J688" s="12" t="s">
        <v>45</v>
      </c>
      <c r="K688" s="12"/>
      <c r="L688" s="12"/>
      <c r="M688" s="12" t="s">
        <v>1718</v>
      </c>
      <c r="N688" s="12"/>
      <c r="O688" s="12" t="s">
        <v>1719</v>
      </c>
      <c r="P688" s="12" t="str">
        <f>HYPERLINK("https://ceds.ed.gov/cedselementdetails.aspx?termid=10259")</f>
        <v>https://ceds.ed.gov/cedselementdetails.aspx?termid=10259</v>
      </c>
      <c r="Q688" s="12" t="str">
        <f>HYPERLINK("https://ceds.ed.gov/elementComment.aspx?elementName=Charter School Approval Year &amp;elementID=10259", "Click here to submit comment")</f>
        <v>Click here to submit comment</v>
      </c>
    </row>
    <row r="689" spans="1:17" ht="90" x14ac:dyDescent="0.25">
      <c r="A689" s="12" t="s">
        <v>7242</v>
      </c>
      <c r="B689" s="12" t="s">
        <v>7243</v>
      </c>
      <c r="C689" s="12" t="s">
        <v>7217</v>
      </c>
      <c r="D689" s="12" t="s">
        <v>7172</v>
      </c>
      <c r="E689" s="12" t="s">
        <v>1728</v>
      </c>
      <c r="F689" s="12" t="s">
        <v>1729</v>
      </c>
      <c r="G689" s="12" t="s">
        <v>12</v>
      </c>
      <c r="H689" s="12" t="s">
        <v>222</v>
      </c>
      <c r="I689" s="12" t="s">
        <v>1498</v>
      </c>
      <c r="J689" s="12" t="s">
        <v>73</v>
      </c>
      <c r="K689" s="12"/>
      <c r="L689" s="12"/>
      <c r="M689" s="12" t="s">
        <v>1730</v>
      </c>
      <c r="N689" s="12"/>
      <c r="O689" s="12" t="s">
        <v>1731</v>
      </c>
      <c r="P689" s="12" t="str">
        <f>HYPERLINK("https://ceds.ed.gov/cedselementdetails.aspx?termid=10634")</f>
        <v>https://ceds.ed.gov/cedselementdetails.aspx?termid=10634</v>
      </c>
      <c r="Q689" s="12" t="str">
        <f>HYPERLINK("https://ceds.ed.gov/elementComment.aspx?elementName=Charter School Contract Renewal Date &amp;elementID=10634", "Click here to submit comment")</f>
        <v>Click here to submit comment</v>
      </c>
    </row>
    <row r="690" spans="1:17" ht="45" x14ac:dyDescent="0.25">
      <c r="A690" s="12" t="s">
        <v>7242</v>
      </c>
      <c r="B690" s="12" t="s">
        <v>7243</v>
      </c>
      <c r="C690" s="12" t="s">
        <v>7217</v>
      </c>
      <c r="D690" s="12" t="s">
        <v>7172</v>
      </c>
      <c r="E690" s="12" t="s">
        <v>1740</v>
      </c>
      <c r="F690" s="12" t="s">
        <v>1741</v>
      </c>
      <c r="G690" s="12" t="s">
        <v>6364</v>
      </c>
      <c r="H690" s="12"/>
      <c r="I690" s="12"/>
      <c r="J690" s="12"/>
      <c r="K690" s="12"/>
      <c r="L690" s="12"/>
      <c r="M690" s="12" t="s">
        <v>1742</v>
      </c>
      <c r="N690" s="12"/>
      <c r="O690" s="12" t="s">
        <v>1743</v>
      </c>
      <c r="P690" s="12" t="str">
        <f>HYPERLINK("https://ceds.ed.gov/cedselementdetails.aspx?termid=10524")</f>
        <v>https://ceds.ed.gov/cedselementdetails.aspx?termid=10524</v>
      </c>
      <c r="Q690" s="12" t="str">
        <f>HYPERLINK("https://ceds.ed.gov/elementComment.aspx?elementName=Charter School Open Enrollment Indicator &amp;elementID=10524", "Click here to submit comment")</f>
        <v>Click here to submit comment</v>
      </c>
    </row>
    <row r="691" spans="1:17" ht="60" x14ac:dyDescent="0.25">
      <c r="A691" s="12" t="s">
        <v>7242</v>
      </c>
      <c r="B691" s="12" t="s">
        <v>7243</v>
      </c>
      <c r="C691" s="12" t="s">
        <v>7217</v>
      </c>
      <c r="D691" s="12" t="s">
        <v>7172</v>
      </c>
      <c r="E691" s="12" t="s">
        <v>223</v>
      </c>
      <c r="F691" s="12" t="s">
        <v>224</v>
      </c>
      <c r="G691" s="13" t="s">
        <v>6730</v>
      </c>
      <c r="H691" s="12"/>
      <c r="I691" s="12"/>
      <c r="J691" s="12"/>
      <c r="K691" s="12"/>
      <c r="L691" s="12"/>
      <c r="M691" s="12" t="s">
        <v>226</v>
      </c>
      <c r="N691" s="12"/>
      <c r="O691" s="12" t="s">
        <v>227</v>
      </c>
      <c r="P691" s="12" t="str">
        <f>HYPERLINK("https://ceds.ed.gov/cedselementdetails.aspx?termid=9012")</f>
        <v>https://ceds.ed.gov/cedselementdetails.aspx?termid=9012</v>
      </c>
      <c r="Q691" s="12" t="str">
        <f>HYPERLINK("https://ceds.ed.gov/elementComment.aspx?elementName=Administrative Funding Control &amp;elementID=9012", "Click here to submit comment")</f>
        <v>Click here to submit comment</v>
      </c>
    </row>
    <row r="692" spans="1:17" ht="135" x14ac:dyDescent="0.25">
      <c r="A692" s="12" t="s">
        <v>7242</v>
      </c>
      <c r="B692" s="12" t="s">
        <v>7243</v>
      </c>
      <c r="C692" s="12" t="s">
        <v>7217</v>
      </c>
      <c r="D692" s="12" t="s">
        <v>7172</v>
      </c>
      <c r="E692" s="12" t="s">
        <v>5614</v>
      </c>
      <c r="F692" s="12" t="s">
        <v>5615</v>
      </c>
      <c r="G692" s="13" t="s">
        <v>7107</v>
      </c>
      <c r="H692" s="12" t="s">
        <v>222</v>
      </c>
      <c r="I692" s="12"/>
      <c r="J692" s="12"/>
      <c r="K692" s="12"/>
      <c r="L692" s="12"/>
      <c r="M692" s="12" t="s">
        <v>5616</v>
      </c>
      <c r="N692" s="12"/>
      <c r="O692" s="12" t="s">
        <v>5617</v>
      </c>
      <c r="P692" s="12" t="str">
        <f>HYPERLINK("https://ceds.ed.gov/cedselementdetails.aspx?termid=9524")</f>
        <v>https://ceds.ed.gov/cedselementdetails.aspx?termid=9524</v>
      </c>
      <c r="Q692" s="12" t="str">
        <f>HYPERLINK("https://ceds.ed.gov/elementComment.aspx?elementName=School Operational Status &amp;elementID=9524", "Click here to submit comment")</f>
        <v>Click here to submit comment</v>
      </c>
    </row>
    <row r="693" spans="1:17" ht="30" x14ac:dyDescent="0.25">
      <c r="A693" s="12" t="s">
        <v>7242</v>
      </c>
      <c r="B693" s="12" t="s">
        <v>7243</v>
      </c>
      <c r="C693" s="12" t="s">
        <v>7217</v>
      </c>
      <c r="D693" s="12" t="s">
        <v>7172</v>
      </c>
      <c r="E693" s="12" t="s">
        <v>4656</v>
      </c>
      <c r="F693" s="12" t="s">
        <v>4657</v>
      </c>
      <c r="G693" s="12" t="s">
        <v>12</v>
      </c>
      <c r="H693" s="12" t="s">
        <v>222</v>
      </c>
      <c r="I693" s="12"/>
      <c r="J693" s="12" t="s">
        <v>73</v>
      </c>
      <c r="K693" s="12"/>
      <c r="L693" s="12"/>
      <c r="M693" s="12" t="s">
        <v>4658</v>
      </c>
      <c r="N693" s="12"/>
      <c r="O693" s="12" t="s">
        <v>4659</v>
      </c>
      <c r="P693" s="12" t="str">
        <f>HYPERLINK("https://ceds.ed.gov/cedselementdetails.aspx?termid=9525")</f>
        <v>https://ceds.ed.gov/cedselementdetails.aspx?termid=9525</v>
      </c>
      <c r="Q693" s="12" t="str">
        <f>HYPERLINK("https://ceds.ed.gov/elementComment.aspx?elementName=Operational Status Effective Date &amp;elementID=9525", "Click here to submit comment")</f>
        <v>Click here to submit comment</v>
      </c>
    </row>
    <row r="694" spans="1:17" ht="409.5" x14ac:dyDescent="0.25">
      <c r="A694" s="12" t="s">
        <v>7242</v>
      </c>
      <c r="B694" s="12" t="s">
        <v>7243</v>
      </c>
      <c r="C694" s="12" t="s">
        <v>7217</v>
      </c>
      <c r="D694" s="12" t="s">
        <v>7172</v>
      </c>
      <c r="E694" s="12" t="s">
        <v>5197</v>
      </c>
      <c r="F694" s="12" t="s">
        <v>5198</v>
      </c>
      <c r="G694" s="13" t="s">
        <v>7082</v>
      </c>
      <c r="H694" s="12" t="s">
        <v>6369</v>
      </c>
      <c r="I694" s="12"/>
      <c r="J694" s="12"/>
      <c r="K694" s="12"/>
      <c r="L694" s="12"/>
      <c r="M694" s="12" t="s">
        <v>5199</v>
      </c>
      <c r="N694" s="12"/>
      <c r="O694" s="12" t="s">
        <v>5200</v>
      </c>
      <c r="P694" s="12" t="str">
        <f>HYPERLINK("https://ceds.ed.gov/cedselementdetails.aspx?termid=9225")</f>
        <v>https://ceds.ed.gov/cedselementdetails.aspx?termid=9225</v>
      </c>
      <c r="Q694" s="12" t="str">
        <f>HYPERLINK("https://ceds.ed.gov/elementComment.aspx?elementName=Program Type &amp;elementID=9225", "Click here to submit comment")</f>
        <v>Click here to submit comment</v>
      </c>
    </row>
    <row r="695" spans="1:17" ht="120" x14ac:dyDescent="0.25">
      <c r="A695" s="12" t="s">
        <v>7242</v>
      </c>
      <c r="B695" s="12" t="s">
        <v>7243</v>
      </c>
      <c r="C695" s="12" t="s">
        <v>7217</v>
      </c>
      <c r="D695" s="12" t="s">
        <v>7172</v>
      </c>
      <c r="E695" s="12" t="s">
        <v>355</v>
      </c>
      <c r="F695" s="12" t="s">
        <v>356</v>
      </c>
      <c r="G695" s="13" t="s">
        <v>6748</v>
      </c>
      <c r="H695" s="12" t="s">
        <v>4</v>
      </c>
      <c r="I695" s="12"/>
      <c r="J695" s="12"/>
      <c r="K695" s="12"/>
      <c r="L695" s="12"/>
      <c r="M695" s="12" t="s">
        <v>357</v>
      </c>
      <c r="N695" s="12"/>
      <c r="O695" s="12" t="s">
        <v>358</v>
      </c>
      <c r="P695" s="12" t="str">
        <f>HYPERLINK("https://ceds.ed.gov/cedselementdetails.aspx?termid=9015")</f>
        <v>https://ceds.ed.gov/cedselementdetails.aspx?termid=9015</v>
      </c>
      <c r="Q695" s="12" t="str">
        <f>HYPERLINK("https://ceds.ed.gov/elementComment.aspx?elementName=Alternative School Focus Type &amp;elementID=9015", "Click here to submit comment")</f>
        <v>Click here to submit comment</v>
      </c>
    </row>
    <row r="696" spans="1:17" ht="60" x14ac:dyDescent="0.25">
      <c r="A696" s="12" t="s">
        <v>7242</v>
      </c>
      <c r="B696" s="12" t="s">
        <v>7243</v>
      </c>
      <c r="C696" s="12" t="s">
        <v>7217</v>
      </c>
      <c r="D696" s="12" t="s">
        <v>7172</v>
      </c>
      <c r="E696" s="12" t="s">
        <v>309</v>
      </c>
      <c r="F696" s="12" t="s">
        <v>310</v>
      </c>
      <c r="G696" s="12" t="s">
        <v>6364</v>
      </c>
      <c r="H696" s="12" t="s">
        <v>4</v>
      </c>
      <c r="I696" s="12"/>
      <c r="J696" s="12"/>
      <c r="K696" s="12"/>
      <c r="L696" s="12"/>
      <c r="M696" s="12" t="s">
        <v>311</v>
      </c>
      <c r="N696" s="12" t="s">
        <v>312</v>
      </c>
      <c r="O696" s="12" t="s">
        <v>313</v>
      </c>
      <c r="P696" s="12" t="str">
        <f>HYPERLINK("https://ceds.ed.gov/cedselementdetails.aspx?termid=9017")</f>
        <v>https://ceds.ed.gov/cedselementdetails.aspx?termid=9017</v>
      </c>
      <c r="Q696" s="12" t="str">
        <f>HYPERLINK("https://ceds.ed.gov/elementComment.aspx?elementName=Advanced Placement Course Self Selection &amp;elementID=9017", "Click here to submit comment")</f>
        <v>Click here to submit comment</v>
      </c>
    </row>
    <row r="697" spans="1:17" ht="60" x14ac:dyDescent="0.25">
      <c r="A697" s="12" t="s">
        <v>7242</v>
      </c>
      <c r="B697" s="12" t="s">
        <v>7243</v>
      </c>
      <c r="C697" s="12" t="s">
        <v>7217</v>
      </c>
      <c r="D697" s="12" t="s">
        <v>7172</v>
      </c>
      <c r="E697" s="12" t="s">
        <v>3594</v>
      </c>
      <c r="F697" s="12" t="s">
        <v>3595</v>
      </c>
      <c r="G697" s="13" t="s">
        <v>6981</v>
      </c>
      <c r="H697" s="12" t="s">
        <v>222</v>
      </c>
      <c r="I697" s="12"/>
      <c r="J697" s="12"/>
      <c r="K697" s="12"/>
      <c r="L697" s="12"/>
      <c r="M697" s="12" t="s">
        <v>3596</v>
      </c>
      <c r="N697" s="12"/>
      <c r="O697" s="12" t="s">
        <v>3597</v>
      </c>
      <c r="P697" s="12" t="str">
        <f>HYPERLINK("https://ceds.ed.gov/cedselementdetails.aspx?termid=9580")</f>
        <v>https://ceds.ed.gov/cedselementdetails.aspx?termid=9580</v>
      </c>
      <c r="Q697" s="12" t="str">
        <f>HYPERLINK("https://ceds.ed.gov/elementComment.aspx?elementName=Internet Access &amp;elementID=9580", "Click here to submit comment")</f>
        <v>Click here to submit comment</v>
      </c>
    </row>
    <row r="698" spans="1:17" ht="105" x14ac:dyDescent="0.25">
      <c r="A698" s="12" t="s">
        <v>7242</v>
      </c>
      <c r="B698" s="12" t="s">
        <v>7243</v>
      </c>
      <c r="C698" s="12" t="s">
        <v>7217</v>
      </c>
      <c r="D698" s="12" t="s">
        <v>7172</v>
      </c>
      <c r="E698" s="12" t="s">
        <v>5606</v>
      </c>
      <c r="F698" s="12" t="s">
        <v>5607</v>
      </c>
      <c r="G698" s="13" t="s">
        <v>7105</v>
      </c>
      <c r="H698" s="12" t="s">
        <v>222</v>
      </c>
      <c r="I698" s="12"/>
      <c r="J698" s="12"/>
      <c r="K698" s="12"/>
      <c r="L698" s="12"/>
      <c r="M698" s="12" t="s">
        <v>5608</v>
      </c>
      <c r="N698" s="12"/>
      <c r="O698" s="12" t="s">
        <v>5609</v>
      </c>
      <c r="P698" s="12" t="str">
        <f>HYPERLINK("https://ceds.ed.gov/cedselementdetails.aspx?termid=9240")</f>
        <v>https://ceds.ed.gov/cedselementdetails.aspx?termid=9240</v>
      </c>
      <c r="Q698" s="12" t="str">
        <f>HYPERLINK("https://ceds.ed.gov/elementComment.aspx?elementName=School Improvement Status &amp;elementID=9240", "Click here to submit comment")</f>
        <v>Click here to submit comment</v>
      </c>
    </row>
    <row r="699" spans="1:17" ht="90" x14ac:dyDescent="0.25">
      <c r="A699" s="12" t="s">
        <v>7242</v>
      </c>
      <c r="B699" s="12" t="s">
        <v>7243</v>
      </c>
      <c r="C699" s="12" t="s">
        <v>7217</v>
      </c>
      <c r="D699" s="12" t="s">
        <v>7172</v>
      </c>
      <c r="E699" s="12" t="s">
        <v>5715</v>
      </c>
      <c r="F699" s="12" t="s">
        <v>5716</v>
      </c>
      <c r="G699" s="12" t="s">
        <v>6364</v>
      </c>
      <c r="H699" s="12" t="s">
        <v>222</v>
      </c>
      <c r="I699" s="12"/>
      <c r="J699" s="12"/>
      <c r="K699" s="12"/>
      <c r="L699" s="12"/>
      <c r="M699" s="12" t="s">
        <v>5717</v>
      </c>
      <c r="N699" s="12"/>
      <c r="O699" s="12" t="s">
        <v>5718</v>
      </c>
      <c r="P699" s="12" t="str">
        <f>HYPERLINK("https://ceds.ed.gov/cedselementdetails.aspx?termid=9257")</f>
        <v>https://ceds.ed.gov/cedselementdetails.aspx?termid=9257</v>
      </c>
      <c r="Q699" s="12" t="str">
        <f>HYPERLINK("https://ceds.ed.gov/elementComment.aspx?elementName=Shared Time Indicator &amp;elementID=9257", "Click here to submit comment")</f>
        <v>Click here to submit comment</v>
      </c>
    </row>
    <row r="700" spans="1:17" ht="105" x14ac:dyDescent="0.25">
      <c r="A700" s="12" t="s">
        <v>7242</v>
      </c>
      <c r="B700" s="12" t="s">
        <v>7243</v>
      </c>
      <c r="C700" s="12" t="s">
        <v>7217</v>
      </c>
      <c r="D700" s="12" t="s">
        <v>7172</v>
      </c>
      <c r="E700" s="12" t="s">
        <v>6280</v>
      </c>
      <c r="F700" s="12" t="s">
        <v>6281</v>
      </c>
      <c r="G700" s="12" t="s">
        <v>6364</v>
      </c>
      <c r="H700" s="12"/>
      <c r="I700" s="12"/>
      <c r="J700" s="12"/>
      <c r="K700" s="12"/>
      <c r="L700" s="12"/>
      <c r="M700" s="12" t="s">
        <v>6282</v>
      </c>
      <c r="N700" s="12"/>
      <c r="O700" s="12" t="s">
        <v>6283</v>
      </c>
      <c r="P700" s="12" t="str">
        <f>HYPERLINK("https://ceds.ed.gov/cedselementdetails.aspx?termid=10167")</f>
        <v>https://ceds.ed.gov/cedselementdetails.aspx?termid=10167</v>
      </c>
      <c r="Q700" s="12" t="str">
        <f>HYPERLINK("https://ceds.ed.gov/elementComment.aspx?elementName=Virtual Indicator &amp;elementID=10167", "Click here to submit comment")</f>
        <v>Click here to submit comment</v>
      </c>
    </row>
    <row r="701" spans="1:17" ht="30" x14ac:dyDescent="0.25">
      <c r="A701" s="12" t="s">
        <v>7242</v>
      </c>
      <c r="B701" s="12" t="s">
        <v>7243</v>
      </c>
      <c r="C701" s="12" t="s">
        <v>7217</v>
      </c>
      <c r="D701" s="12" t="s">
        <v>7172</v>
      </c>
      <c r="E701" s="12" t="s">
        <v>6313</v>
      </c>
      <c r="F701" s="12" t="s">
        <v>6314</v>
      </c>
      <c r="G701" s="12" t="s">
        <v>12</v>
      </c>
      <c r="H701" s="12" t="s">
        <v>222</v>
      </c>
      <c r="I701" s="12"/>
      <c r="J701" s="12" t="s">
        <v>68</v>
      </c>
      <c r="K701" s="12"/>
      <c r="L701" s="12"/>
      <c r="M701" s="12" t="s">
        <v>6315</v>
      </c>
      <c r="N701" s="12"/>
      <c r="O701" s="12" t="s">
        <v>6316</v>
      </c>
      <c r="P701" s="12" t="str">
        <f>HYPERLINK("https://ceds.ed.gov/cedselementdetails.aspx?termid=9300")</f>
        <v>https://ceds.ed.gov/cedselementdetails.aspx?termid=9300</v>
      </c>
      <c r="Q701" s="12" t="str">
        <f>HYPERLINK("https://ceds.ed.gov/elementComment.aspx?elementName=Web Site Address &amp;elementID=9300", "Click here to submit comment")</f>
        <v>Click here to submit comment</v>
      </c>
    </row>
    <row r="702" spans="1:17" ht="90" x14ac:dyDescent="0.25">
      <c r="A702" s="12" t="s">
        <v>7242</v>
      </c>
      <c r="B702" s="12" t="s">
        <v>7243</v>
      </c>
      <c r="C702" s="12" t="s">
        <v>7244</v>
      </c>
      <c r="D702" s="12" t="s">
        <v>7176</v>
      </c>
      <c r="E702" s="12" t="s">
        <v>1711</v>
      </c>
      <c r="F702" s="12" t="s">
        <v>1712</v>
      </c>
      <c r="G702" s="13" t="s">
        <v>6811</v>
      </c>
      <c r="H702" s="12"/>
      <c r="I702" s="12"/>
      <c r="J702" s="12"/>
      <c r="K702" s="12"/>
      <c r="L702" s="12"/>
      <c r="M702" s="12" t="s">
        <v>1714</v>
      </c>
      <c r="N702" s="12"/>
      <c r="O702" s="12" t="s">
        <v>1715</v>
      </c>
      <c r="P702" s="12" t="str">
        <f>HYPERLINK("https://ceds.ed.gov/cedselementdetails.aspx?termid=10258")</f>
        <v>https://ceds.ed.gov/cedselementdetails.aspx?termid=10258</v>
      </c>
      <c r="Q702" s="12" t="str">
        <f>HYPERLINK("https://ceds.ed.gov/elementComment.aspx?elementName=Charter School Approval Agency Type &amp;elementID=10258", "Click here to submit comment")</f>
        <v>Click here to submit comment</v>
      </c>
    </row>
    <row r="703" spans="1:17" ht="105" x14ac:dyDescent="0.25">
      <c r="A703" s="12" t="s">
        <v>7242</v>
      </c>
      <c r="B703" s="12" t="s">
        <v>7243</v>
      </c>
      <c r="C703" s="12" t="s">
        <v>7245</v>
      </c>
      <c r="D703" s="12" t="s">
        <v>7172</v>
      </c>
      <c r="E703" s="12" t="s">
        <v>1736</v>
      </c>
      <c r="F703" s="12" t="s">
        <v>1737</v>
      </c>
      <c r="G703" s="13" t="s">
        <v>6812</v>
      </c>
      <c r="H703" s="12" t="s">
        <v>222</v>
      </c>
      <c r="I703" s="12" t="s">
        <v>1498</v>
      </c>
      <c r="J703" s="12"/>
      <c r="K703" s="12"/>
      <c r="L703" s="12"/>
      <c r="M703" s="12" t="s">
        <v>1738</v>
      </c>
      <c r="N703" s="12"/>
      <c r="O703" s="12" t="s">
        <v>1739</v>
      </c>
      <c r="P703" s="12" t="str">
        <f>HYPERLINK("https://ceds.ed.gov/cedselementdetails.aspx?termid=10631")</f>
        <v>https://ceds.ed.gov/cedselementdetails.aspx?termid=10631</v>
      </c>
      <c r="Q703" s="12" t="str">
        <f>HYPERLINK("https://ceds.ed.gov/elementComment.aspx?elementName=Charter School Management Organization Type &amp;elementID=10631", "Click here to submit comment")</f>
        <v>Click here to submit comment</v>
      </c>
    </row>
    <row r="704" spans="1:17" ht="240" x14ac:dyDescent="0.25">
      <c r="A704" s="12" t="s">
        <v>7242</v>
      </c>
      <c r="B704" s="12" t="s">
        <v>7243</v>
      </c>
      <c r="C704" s="12" t="s">
        <v>7244</v>
      </c>
      <c r="D704" s="12" t="s">
        <v>7176</v>
      </c>
      <c r="E704" s="12" t="s">
        <v>4668</v>
      </c>
      <c r="F704" s="12" t="s">
        <v>4669</v>
      </c>
      <c r="G704" s="13" t="s">
        <v>6739</v>
      </c>
      <c r="H704" s="12" t="s">
        <v>64</v>
      </c>
      <c r="I704" s="12"/>
      <c r="J704" s="12"/>
      <c r="K704" s="12"/>
      <c r="L704" s="12"/>
      <c r="M704" s="12" t="s">
        <v>4670</v>
      </c>
      <c r="N704" s="12"/>
      <c r="O704" s="12" t="s">
        <v>4671</v>
      </c>
      <c r="P704" s="12" t="str">
        <f>HYPERLINK("https://ceds.ed.gov/cedselementdetails.aspx?termid=9827")</f>
        <v>https://ceds.ed.gov/cedselementdetails.aspx?termid=9827</v>
      </c>
      <c r="Q704" s="12" t="str">
        <f>HYPERLINK("https://ceds.ed.gov/elementComment.aspx?elementName=Organization Identification System &amp;elementID=9827", "Click here to submit comment")</f>
        <v>Click here to submit comment</v>
      </c>
    </row>
    <row r="705" spans="1:17" ht="240" x14ac:dyDescent="0.25">
      <c r="A705" s="12" t="s">
        <v>7242</v>
      </c>
      <c r="B705" s="12" t="s">
        <v>7243</v>
      </c>
      <c r="C705" s="12" t="s">
        <v>7245</v>
      </c>
      <c r="D705" s="12" t="s">
        <v>7176</v>
      </c>
      <c r="E705" s="12" t="s">
        <v>4668</v>
      </c>
      <c r="F705" s="12" t="s">
        <v>4669</v>
      </c>
      <c r="G705" s="13" t="s">
        <v>6739</v>
      </c>
      <c r="H705" s="12" t="s">
        <v>64</v>
      </c>
      <c r="I705" s="12"/>
      <c r="J705" s="12"/>
      <c r="K705" s="12"/>
      <c r="L705" s="12"/>
      <c r="M705" s="12" t="s">
        <v>4670</v>
      </c>
      <c r="N705" s="12"/>
      <c r="O705" s="12" t="s">
        <v>4671</v>
      </c>
      <c r="P705" s="12" t="str">
        <f>HYPERLINK("https://ceds.ed.gov/cedselementdetails.aspx?termid=9827")</f>
        <v>https://ceds.ed.gov/cedselementdetails.aspx?termid=9827</v>
      </c>
      <c r="Q705" s="12" t="str">
        <f>HYPERLINK("https://ceds.ed.gov/elementComment.aspx?elementName=Organization Identification System &amp;elementID=9827", "Click here to submit comment")</f>
        <v>Click here to submit comment</v>
      </c>
    </row>
    <row r="706" spans="1:17" ht="105" x14ac:dyDescent="0.25">
      <c r="A706" s="18" t="s">
        <v>7242</v>
      </c>
      <c r="B706" s="18" t="s">
        <v>7243</v>
      </c>
      <c r="C706" s="18" t="s">
        <v>7244</v>
      </c>
      <c r="D706" s="18" t="s">
        <v>7176</v>
      </c>
      <c r="E706" s="18" t="s">
        <v>4672</v>
      </c>
      <c r="F706" s="18" t="s">
        <v>4673</v>
      </c>
      <c r="G706" s="18" t="s">
        <v>12</v>
      </c>
      <c r="H706" s="18" t="s">
        <v>64</v>
      </c>
      <c r="I706" s="18"/>
      <c r="J706" s="18" t="s">
        <v>142</v>
      </c>
      <c r="K706" s="18"/>
      <c r="L706" s="12" t="s">
        <v>143</v>
      </c>
      <c r="M706" s="18" t="s">
        <v>4674</v>
      </c>
      <c r="N706" s="18"/>
      <c r="O706" s="18" t="s">
        <v>4675</v>
      </c>
      <c r="P706" s="18" t="str">
        <f>HYPERLINK("https://ceds.ed.gov/cedselementdetails.aspx?termid=9825")</f>
        <v>https://ceds.ed.gov/cedselementdetails.aspx?termid=9825</v>
      </c>
      <c r="Q706" s="18" t="str">
        <f>HYPERLINK("https://ceds.ed.gov/elementComment.aspx?elementName=Organization Identifier &amp;elementID=9825", "Click here to submit comment")</f>
        <v>Click here to submit comment</v>
      </c>
    </row>
    <row r="707" spans="1:17" x14ac:dyDescent="0.25">
      <c r="A707" s="18"/>
      <c r="B707" s="18"/>
      <c r="C707" s="18"/>
      <c r="D707" s="18"/>
      <c r="E707" s="18"/>
      <c r="F707" s="18"/>
      <c r="G707" s="18"/>
      <c r="H707" s="18"/>
      <c r="I707" s="18"/>
      <c r="J707" s="18"/>
      <c r="K707" s="18"/>
      <c r="L707" s="12"/>
      <c r="M707" s="18"/>
      <c r="N707" s="18"/>
      <c r="O707" s="18"/>
      <c r="P707" s="18"/>
      <c r="Q707" s="18"/>
    </row>
    <row r="708" spans="1:17" ht="90" x14ac:dyDescent="0.25">
      <c r="A708" s="18"/>
      <c r="B708" s="18"/>
      <c r="C708" s="18"/>
      <c r="D708" s="18"/>
      <c r="E708" s="18"/>
      <c r="F708" s="18"/>
      <c r="G708" s="18"/>
      <c r="H708" s="18"/>
      <c r="I708" s="18"/>
      <c r="J708" s="18"/>
      <c r="K708" s="18"/>
      <c r="L708" s="12" t="s">
        <v>144</v>
      </c>
      <c r="M708" s="18"/>
      <c r="N708" s="18"/>
      <c r="O708" s="18"/>
      <c r="P708" s="18"/>
      <c r="Q708" s="18"/>
    </row>
    <row r="709" spans="1:17" ht="105" x14ac:dyDescent="0.25">
      <c r="A709" s="18" t="s">
        <v>7242</v>
      </c>
      <c r="B709" s="18" t="s">
        <v>7243</v>
      </c>
      <c r="C709" s="18" t="s">
        <v>7245</v>
      </c>
      <c r="D709" s="18" t="s">
        <v>7176</v>
      </c>
      <c r="E709" s="18" t="s">
        <v>4672</v>
      </c>
      <c r="F709" s="18" t="s">
        <v>4673</v>
      </c>
      <c r="G709" s="18" t="s">
        <v>12</v>
      </c>
      <c r="H709" s="18" t="s">
        <v>64</v>
      </c>
      <c r="I709" s="18"/>
      <c r="J709" s="18" t="s">
        <v>142</v>
      </c>
      <c r="K709" s="18"/>
      <c r="L709" s="12" t="s">
        <v>143</v>
      </c>
      <c r="M709" s="18" t="s">
        <v>4674</v>
      </c>
      <c r="N709" s="18"/>
      <c r="O709" s="18" t="s">
        <v>4675</v>
      </c>
      <c r="P709" s="18" t="str">
        <f>HYPERLINK("https://ceds.ed.gov/cedselementdetails.aspx?termid=9825")</f>
        <v>https://ceds.ed.gov/cedselementdetails.aspx?termid=9825</v>
      </c>
      <c r="Q709" s="18" t="str">
        <f>HYPERLINK("https://ceds.ed.gov/elementComment.aspx?elementName=Organization Identifier &amp;elementID=9825", "Click here to submit comment")</f>
        <v>Click here to submit comment</v>
      </c>
    </row>
    <row r="710" spans="1:17" x14ac:dyDescent="0.25">
      <c r="A710" s="18"/>
      <c r="B710" s="18"/>
      <c r="C710" s="18"/>
      <c r="D710" s="18"/>
      <c r="E710" s="18"/>
      <c r="F710" s="18"/>
      <c r="G710" s="18"/>
      <c r="H710" s="18"/>
      <c r="I710" s="18"/>
      <c r="J710" s="18"/>
      <c r="K710" s="18"/>
      <c r="L710" s="12"/>
      <c r="M710" s="18"/>
      <c r="N710" s="18"/>
      <c r="O710" s="18"/>
      <c r="P710" s="18"/>
      <c r="Q710" s="18"/>
    </row>
    <row r="711" spans="1:17" ht="90" x14ac:dyDescent="0.25">
      <c r="A711" s="18"/>
      <c r="B711" s="18"/>
      <c r="C711" s="18"/>
      <c r="D711" s="18"/>
      <c r="E711" s="18"/>
      <c r="F711" s="18"/>
      <c r="G711" s="18"/>
      <c r="H711" s="18"/>
      <c r="I711" s="18"/>
      <c r="J711" s="18"/>
      <c r="K711" s="18"/>
      <c r="L711" s="12" t="s">
        <v>144</v>
      </c>
      <c r="M711" s="18"/>
      <c r="N711" s="18"/>
      <c r="O711" s="18"/>
      <c r="P711" s="18"/>
      <c r="Q711" s="18"/>
    </row>
    <row r="712" spans="1:17" ht="75" x14ac:dyDescent="0.25">
      <c r="A712" s="12" t="s">
        <v>7242</v>
      </c>
      <c r="B712" s="12" t="s">
        <v>7243</v>
      </c>
      <c r="C712" s="12" t="s">
        <v>7246</v>
      </c>
      <c r="D712" s="12" t="s">
        <v>7172</v>
      </c>
      <c r="E712" s="12" t="s">
        <v>0</v>
      </c>
      <c r="F712" s="12" t="s">
        <v>1</v>
      </c>
      <c r="G712" s="12" t="s">
        <v>6364</v>
      </c>
      <c r="H712" s="12" t="s">
        <v>4</v>
      </c>
      <c r="I712" s="12"/>
      <c r="J712" s="12"/>
      <c r="K712" s="12"/>
      <c r="L712" s="12"/>
      <c r="M712" s="12" t="s">
        <v>2</v>
      </c>
      <c r="N712" s="12"/>
      <c r="O712" s="12" t="s">
        <v>3</v>
      </c>
      <c r="P712" s="12" t="str">
        <f>HYPERLINK("https://ceds.ed.gov/cedselementdetails.aspx?termid=9000")</f>
        <v>https://ceds.ed.gov/cedselementdetails.aspx?termid=9000</v>
      </c>
      <c r="Q712" s="12" t="str">
        <f>HYPERLINK("https://ceds.ed.gov/elementComment.aspx?elementName=Ability Grouping Status &amp;elementID=9000", "Click here to submit comment")</f>
        <v>Click here to submit comment</v>
      </c>
    </row>
    <row r="713" spans="1:17" ht="409.5" x14ac:dyDescent="0.25">
      <c r="A713" s="12" t="s">
        <v>7242</v>
      </c>
      <c r="B713" s="12" t="s">
        <v>7243</v>
      </c>
      <c r="C713" s="12" t="s">
        <v>7246</v>
      </c>
      <c r="D713" s="12" t="s">
        <v>7172</v>
      </c>
      <c r="E713" s="12" t="s">
        <v>5132</v>
      </c>
      <c r="F713" s="12" t="s">
        <v>5133</v>
      </c>
      <c r="G713" s="13" t="s">
        <v>7079</v>
      </c>
      <c r="H713" s="12"/>
      <c r="I713" s="12"/>
      <c r="J713" s="12"/>
      <c r="K713" s="12"/>
      <c r="L713" s="12"/>
      <c r="M713" s="12" t="s">
        <v>5134</v>
      </c>
      <c r="N713" s="12"/>
      <c r="O713" s="12" t="s">
        <v>5135</v>
      </c>
      <c r="P713" s="12" t="str">
        <f>HYPERLINK("https://ceds.ed.gov/cedselementdetails.aspx?termid=10210")</f>
        <v>https://ceds.ed.gov/cedselementdetails.aspx?termid=10210</v>
      </c>
      <c r="Q713" s="12" t="str">
        <f>HYPERLINK("https://ceds.ed.gov/elementComment.aspx?elementName=Program Gifted Eligibility Criteria &amp;elementID=10210", "Click here to submit comment")</f>
        <v>Click here to submit comment</v>
      </c>
    </row>
    <row r="714" spans="1:17" ht="120" x14ac:dyDescent="0.25">
      <c r="A714" s="12" t="s">
        <v>7242</v>
      </c>
      <c r="B714" s="12" t="s">
        <v>7243</v>
      </c>
      <c r="C714" s="12" t="s">
        <v>7246</v>
      </c>
      <c r="D714" s="12" t="s">
        <v>7172</v>
      </c>
      <c r="E714" s="12" t="s">
        <v>3436</v>
      </c>
      <c r="F714" s="12" t="s">
        <v>3437</v>
      </c>
      <c r="G714" s="13" t="s">
        <v>6968</v>
      </c>
      <c r="H714" s="12" t="s">
        <v>222</v>
      </c>
      <c r="I714" s="12"/>
      <c r="J714" s="12"/>
      <c r="K714" s="12"/>
      <c r="L714" s="12"/>
      <c r="M714" s="12" t="s">
        <v>3438</v>
      </c>
      <c r="N714" s="12"/>
      <c r="O714" s="12" t="s">
        <v>3439</v>
      </c>
      <c r="P714" s="12" t="str">
        <f>HYPERLINK("https://ceds.ed.gov/cedselementdetails.aspx?termid=9164")</f>
        <v>https://ceds.ed.gov/cedselementdetails.aspx?termid=9164</v>
      </c>
      <c r="Q714" s="12" t="str">
        <f>HYPERLINK("https://ceds.ed.gov/elementComment.aspx?elementName=Increased Learning Time Type &amp;elementID=9164", "Click here to submit comment")</f>
        <v>Click here to submit comment</v>
      </c>
    </row>
    <row r="715" spans="1:17" ht="105" x14ac:dyDescent="0.25">
      <c r="A715" s="12" t="s">
        <v>7242</v>
      </c>
      <c r="B715" s="12" t="s">
        <v>7243</v>
      </c>
      <c r="C715" s="12" t="s">
        <v>7246</v>
      </c>
      <c r="D715" s="12" t="s">
        <v>7172</v>
      </c>
      <c r="E715" s="12" t="s">
        <v>5947</v>
      </c>
      <c r="F715" s="12" t="s">
        <v>5948</v>
      </c>
      <c r="G715" s="13" t="s">
        <v>7123</v>
      </c>
      <c r="H715" s="12" t="s">
        <v>222</v>
      </c>
      <c r="I715" s="12"/>
      <c r="J715" s="12"/>
      <c r="K715" s="12"/>
      <c r="L715" s="12"/>
      <c r="M715" s="12" t="s">
        <v>5949</v>
      </c>
      <c r="N715" s="12"/>
      <c r="O715" s="12" t="s">
        <v>5950</v>
      </c>
      <c r="P715" s="12" t="str">
        <f>HYPERLINK("https://ceds.ed.gov/cedselementdetails.aspx?termid=9578")</f>
        <v>https://ceds.ed.gov/cedselementdetails.aspx?termid=9578</v>
      </c>
      <c r="Q715" s="12" t="str">
        <f>HYPERLINK("https://ceds.ed.gov/elementComment.aspx?elementName=State Poverty Designation &amp;elementID=9578", "Click here to submit comment")</f>
        <v>Click here to submit comment</v>
      </c>
    </row>
    <row r="716" spans="1:17" ht="409.5" x14ac:dyDescent="0.25">
      <c r="A716" s="12" t="s">
        <v>7242</v>
      </c>
      <c r="B716" s="12" t="s">
        <v>7243</v>
      </c>
      <c r="C716" s="12" t="s">
        <v>7246</v>
      </c>
      <c r="D716" s="12" t="s">
        <v>7172</v>
      </c>
      <c r="E716" s="12" t="s">
        <v>5992</v>
      </c>
      <c r="F716" s="12" t="s">
        <v>5993</v>
      </c>
      <c r="G716" s="13" t="s">
        <v>7126</v>
      </c>
      <c r="H716" s="12"/>
      <c r="I716" s="12"/>
      <c r="J716" s="12"/>
      <c r="K716" s="12"/>
      <c r="L716" s="12"/>
      <c r="M716" s="12" t="s">
        <v>5994</v>
      </c>
      <c r="N716" s="12"/>
      <c r="O716" s="12" t="s">
        <v>5995</v>
      </c>
      <c r="P716" s="12" t="str">
        <f>HYPERLINK("https://ceds.ed.gov/cedselementdetails.aspx?termid=9273")</f>
        <v>https://ceds.ed.gov/cedselementdetails.aspx?termid=9273</v>
      </c>
      <c r="Q716" s="12" t="str">
        <f>HYPERLINK("https://ceds.ed.gov/elementComment.aspx?elementName=Student Support Service Type &amp;elementID=9273", "Click here to submit comment")</f>
        <v>Click here to submit comment</v>
      </c>
    </row>
    <row r="717" spans="1:17" ht="135" x14ac:dyDescent="0.25">
      <c r="A717" s="12" t="s">
        <v>7242</v>
      </c>
      <c r="B717" s="12" t="s">
        <v>7243</v>
      </c>
      <c r="C717" s="12" t="s">
        <v>7246</v>
      </c>
      <c r="D717" s="12" t="s">
        <v>7172</v>
      </c>
      <c r="E717" s="12" t="s">
        <v>6139</v>
      </c>
      <c r="F717" s="12" t="s">
        <v>6140</v>
      </c>
      <c r="G717" s="13" t="s">
        <v>7139</v>
      </c>
      <c r="H717" s="12" t="s">
        <v>222</v>
      </c>
      <c r="I717" s="12"/>
      <c r="J717" s="12"/>
      <c r="K717" s="12"/>
      <c r="L717" s="12"/>
      <c r="M717" s="12" t="s">
        <v>6141</v>
      </c>
      <c r="N717" s="12"/>
      <c r="O717" s="12" t="s">
        <v>6142</v>
      </c>
      <c r="P717" s="12" t="str">
        <f>HYPERLINK("https://ceds.ed.gov/cedselementdetails.aspx?termid=9284")</f>
        <v>https://ceds.ed.gov/cedselementdetails.aspx?termid=9284</v>
      </c>
      <c r="Q717" s="12" t="str">
        <f>HYPERLINK("https://ceds.ed.gov/elementComment.aspx?elementName=Title I Program Type &amp;elementID=9284", "Click here to submit comment")</f>
        <v>Click here to submit comment</v>
      </c>
    </row>
    <row r="718" spans="1:17" ht="195" x14ac:dyDescent="0.25">
      <c r="A718" s="12" t="s">
        <v>7242</v>
      </c>
      <c r="B718" s="12" t="s">
        <v>7243</v>
      </c>
      <c r="C718" s="12" t="s">
        <v>7246</v>
      </c>
      <c r="D718" s="12" t="s">
        <v>7172</v>
      </c>
      <c r="E718" s="12" t="s">
        <v>6143</v>
      </c>
      <c r="F718" s="12" t="s">
        <v>6144</v>
      </c>
      <c r="G718" s="13" t="s">
        <v>7140</v>
      </c>
      <c r="H718" s="12" t="s">
        <v>222</v>
      </c>
      <c r="I718" s="12"/>
      <c r="J718" s="12"/>
      <c r="K718" s="12"/>
      <c r="L718" s="12"/>
      <c r="M718" s="12" t="s">
        <v>6145</v>
      </c>
      <c r="N718" s="12"/>
      <c r="O718" s="12" t="s">
        <v>6146</v>
      </c>
      <c r="P718" s="12" t="str">
        <f>HYPERLINK("https://ceds.ed.gov/cedselementdetails.aspx?termid=9285")</f>
        <v>https://ceds.ed.gov/cedselementdetails.aspx?termid=9285</v>
      </c>
      <c r="Q718" s="12" t="str">
        <f>HYPERLINK("https://ceds.ed.gov/elementComment.aspx?elementName=Title I School Status &amp;elementID=9285", "Click here to submit comment")</f>
        <v>Click here to submit comment</v>
      </c>
    </row>
    <row r="719" spans="1:17" ht="270" x14ac:dyDescent="0.25">
      <c r="A719" s="12" t="s">
        <v>7242</v>
      </c>
      <c r="B719" s="12" t="s">
        <v>7243</v>
      </c>
      <c r="C719" s="12" t="s">
        <v>7246</v>
      </c>
      <c r="D719" s="12" t="s">
        <v>7172</v>
      </c>
      <c r="E719" s="12" t="s">
        <v>6187</v>
      </c>
      <c r="F719" s="12" t="s">
        <v>6188</v>
      </c>
      <c r="G719" s="13" t="s">
        <v>7143</v>
      </c>
      <c r="H719" s="12" t="s">
        <v>211</v>
      </c>
      <c r="I719" s="12"/>
      <c r="J719" s="12"/>
      <c r="K719" s="12"/>
      <c r="L719" s="12"/>
      <c r="M719" s="12" t="s">
        <v>6189</v>
      </c>
      <c r="N719" s="12"/>
      <c r="O719" s="12" t="s">
        <v>6190</v>
      </c>
      <c r="P719" s="12" t="str">
        <f>HYPERLINK("https://ceds.ed.gov/cedselementdetails.aspx?termid=9437")</f>
        <v>https://ceds.ed.gov/cedselementdetails.aspx?termid=9437</v>
      </c>
      <c r="Q719" s="12" t="str">
        <f>HYPERLINK("https://ceds.ed.gov/elementComment.aspx?elementName=Title III Language Instruction Program Type &amp;elementID=9437", "Click here to submit comment")</f>
        <v>Click here to submit comment</v>
      </c>
    </row>
    <row r="720" spans="1:17" ht="30" x14ac:dyDescent="0.25">
      <c r="A720" s="12" t="s">
        <v>7242</v>
      </c>
      <c r="B720" s="12" t="s">
        <v>7243</v>
      </c>
      <c r="C720" s="12" t="s">
        <v>7246</v>
      </c>
      <c r="D720" s="12" t="s">
        <v>7172</v>
      </c>
      <c r="E720" s="12" t="s">
        <v>65</v>
      </c>
      <c r="F720" s="12" t="s">
        <v>66</v>
      </c>
      <c r="G720" s="12" t="s">
        <v>12</v>
      </c>
      <c r="H720" s="12"/>
      <c r="I720" s="12"/>
      <c r="J720" s="12" t="s">
        <v>68</v>
      </c>
      <c r="K720" s="12"/>
      <c r="L720" s="12"/>
      <c r="M720" s="12" t="s">
        <v>69</v>
      </c>
      <c r="N720" s="12"/>
      <c r="O720" s="12" t="s">
        <v>70</v>
      </c>
      <c r="P720" s="12" t="str">
        <f>HYPERLINK("https://ceds.ed.gov/cedselementdetails.aspx?termid=10500")</f>
        <v>https://ceds.ed.gov/cedselementdetails.aspx?termid=10500</v>
      </c>
      <c r="Q720" s="12" t="str">
        <f>HYPERLINK("https://ceds.ed.gov/elementComment.aspx?elementName=Accreditation Agency Name &amp;elementID=10500", "Click here to submit comment")</f>
        <v>Click here to submit comment</v>
      </c>
    </row>
    <row r="721" spans="1:17" ht="30" x14ac:dyDescent="0.25">
      <c r="A721" s="12" t="s">
        <v>7242</v>
      </c>
      <c r="B721" s="12" t="s">
        <v>7243</v>
      </c>
      <c r="C721" s="12" t="s">
        <v>7246</v>
      </c>
      <c r="D721" s="12" t="s">
        <v>7172</v>
      </c>
      <c r="E721" s="12" t="s">
        <v>71</v>
      </c>
      <c r="F721" s="12" t="s">
        <v>72</v>
      </c>
      <c r="G721" s="12" t="s">
        <v>12</v>
      </c>
      <c r="H721" s="12" t="s">
        <v>64</v>
      </c>
      <c r="I721" s="12"/>
      <c r="J721" s="12" t="s">
        <v>73</v>
      </c>
      <c r="K721" s="12"/>
      <c r="L721" s="12"/>
      <c r="M721" s="12" t="s">
        <v>74</v>
      </c>
      <c r="N721" s="12"/>
      <c r="O721" s="12" t="s">
        <v>75</v>
      </c>
      <c r="P721" s="12" t="str">
        <f>HYPERLINK("https://ceds.ed.gov/cedselementdetails.aspx?termid=9840")</f>
        <v>https://ceds.ed.gov/cedselementdetails.aspx?termid=9840</v>
      </c>
      <c r="Q721" s="12" t="str">
        <f>HYPERLINK("https://ceds.ed.gov/elementComment.aspx?elementName=Accreditation Award Date &amp;elementID=9840", "Click here to submit comment")</f>
        <v>Click here to submit comment</v>
      </c>
    </row>
    <row r="722" spans="1:17" ht="30" x14ac:dyDescent="0.25">
      <c r="A722" s="12" t="s">
        <v>7242</v>
      </c>
      <c r="B722" s="12" t="s">
        <v>7243</v>
      </c>
      <c r="C722" s="12" t="s">
        <v>7246</v>
      </c>
      <c r="D722" s="12" t="s">
        <v>7172</v>
      </c>
      <c r="E722" s="12" t="s">
        <v>76</v>
      </c>
      <c r="F722" s="12" t="s">
        <v>77</v>
      </c>
      <c r="G722" s="12" t="s">
        <v>12</v>
      </c>
      <c r="H722" s="12" t="s">
        <v>64</v>
      </c>
      <c r="I722" s="12"/>
      <c r="J722" s="12" t="s">
        <v>73</v>
      </c>
      <c r="K722" s="12"/>
      <c r="L722" s="12"/>
      <c r="M722" s="12" t="s">
        <v>78</v>
      </c>
      <c r="N722" s="12"/>
      <c r="O722" s="12" t="s">
        <v>79</v>
      </c>
      <c r="P722" s="12" t="str">
        <f>HYPERLINK("https://ceds.ed.gov/cedselementdetails.aspx?termid=9841")</f>
        <v>https://ceds.ed.gov/cedselementdetails.aspx?termid=9841</v>
      </c>
      <c r="Q722" s="12" t="str">
        <f>HYPERLINK("https://ceds.ed.gov/elementComment.aspx?elementName=Accreditation Expiration Date &amp;elementID=9841", "Click here to submit comment")</f>
        <v>Click here to submit comment</v>
      </c>
    </row>
    <row r="723" spans="1:17" ht="75" x14ac:dyDescent="0.25">
      <c r="A723" s="12" t="s">
        <v>7242</v>
      </c>
      <c r="B723" s="12" t="s">
        <v>7243</v>
      </c>
      <c r="C723" s="12" t="s">
        <v>7247</v>
      </c>
      <c r="D723" s="12" t="s">
        <v>7172</v>
      </c>
      <c r="E723" s="12" t="s">
        <v>217</v>
      </c>
      <c r="F723" s="12" t="s">
        <v>218</v>
      </c>
      <c r="G723" s="13" t="s">
        <v>6729</v>
      </c>
      <c r="H723" s="12" t="s">
        <v>222</v>
      </c>
      <c r="I723" s="12"/>
      <c r="J723" s="12"/>
      <c r="K723" s="12"/>
      <c r="L723" s="12"/>
      <c r="M723" s="12" t="s">
        <v>219</v>
      </c>
      <c r="N723" s="12" t="s">
        <v>220</v>
      </c>
      <c r="O723" s="12" t="s">
        <v>221</v>
      </c>
      <c r="P723" s="12" t="str">
        <f>HYPERLINK("https://ceds.ed.gov/cedselementdetails.aspx?termid=9011")</f>
        <v>https://ceds.ed.gov/cedselementdetails.aspx?termid=9011</v>
      </c>
      <c r="Q723" s="12" t="str">
        <f>HYPERLINK("https://ceds.ed.gov/elementComment.aspx?elementName=Adequate Yearly Progress Status &amp;elementID=9011", "Click here to submit comment")</f>
        <v>Click here to submit comment</v>
      </c>
    </row>
    <row r="724" spans="1:17" ht="45" x14ac:dyDescent="0.25">
      <c r="A724" s="12" t="s">
        <v>7242</v>
      </c>
      <c r="B724" s="12" t="s">
        <v>7243</v>
      </c>
      <c r="C724" s="12" t="s">
        <v>7247</v>
      </c>
      <c r="D724" s="12" t="s">
        <v>7172</v>
      </c>
      <c r="E724" s="12" t="s">
        <v>206</v>
      </c>
      <c r="F724" s="12" t="s">
        <v>207</v>
      </c>
      <c r="G724" s="12" t="s">
        <v>6364</v>
      </c>
      <c r="H724" s="12" t="s">
        <v>211</v>
      </c>
      <c r="I724" s="12"/>
      <c r="J724" s="12"/>
      <c r="K724" s="12"/>
      <c r="L724" s="12"/>
      <c r="M724" s="12" t="s">
        <v>208</v>
      </c>
      <c r="N724" s="12" t="s">
        <v>209</v>
      </c>
      <c r="O724" s="12" t="s">
        <v>210</v>
      </c>
      <c r="P724" s="12" t="str">
        <f>HYPERLINK("https://ceds.ed.gov/cedselementdetails.aspx?termid=9433")</f>
        <v>https://ceds.ed.gov/cedselementdetails.aspx?termid=9433</v>
      </c>
      <c r="Q724" s="12" t="str">
        <f>HYPERLINK("https://ceds.ed.gov/elementComment.aspx?elementName=Adequate Yearly Progress Appeal Changed Designation &amp;elementID=9433", "Click here to submit comment")</f>
        <v>Click here to submit comment</v>
      </c>
    </row>
    <row r="725" spans="1:17" ht="30" x14ac:dyDescent="0.25">
      <c r="A725" s="12" t="s">
        <v>7242</v>
      </c>
      <c r="B725" s="12" t="s">
        <v>7243</v>
      </c>
      <c r="C725" s="12" t="s">
        <v>7247</v>
      </c>
      <c r="D725" s="12" t="s">
        <v>7172</v>
      </c>
      <c r="E725" s="12" t="s">
        <v>212</v>
      </c>
      <c r="F725" s="12" t="s">
        <v>213</v>
      </c>
      <c r="G725" s="12" t="s">
        <v>12</v>
      </c>
      <c r="H725" s="12" t="s">
        <v>211</v>
      </c>
      <c r="I725" s="12"/>
      <c r="J725" s="12" t="s">
        <v>73</v>
      </c>
      <c r="K725" s="12"/>
      <c r="L725" s="12"/>
      <c r="M725" s="12" t="s">
        <v>214</v>
      </c>
      <c r="N725" s="12" t="s">
        <v>215</v>
      </c>
      <c r="O725" s="12" t="s">
        <v>216</v>
      </c>
      <c r="P725" s="12" t="str">
        <f>HYPERLINK("https://ceds.ed.gov/cedselementdetails.aspx?termid=9434")</f>
        <v>https://ceds.ed.gov/cedselementdetails.aspx?termid=9434</v>
      </c>
      <c r="Q725" s="12" t="str">
        <f>HYPERLINK("https://ceds.ed.gov/elementComment.aspx?elementName=Adequate Yearly Progress Appeal Process Date &amp;elementID=9434", "Click here to submit comment")</f>
        <v>Click here to submit comment</v>
      </c>
    </row>
    <row r="726" spans="1:17" ht="45" x14ac:dyDescent="0.25">
      <c r="A726" s="12" t="s">
        <v>7242</v>
      </c>
      <c r="B726" s="12" t="s">
        <v>7243</v>
      </c>
      <c r="C726" s="12" t="s">
        <v>7247</v>
      </c>
      <c r="D726" s="12" t="s">
        <v>7172</v>
      </c>
      <c r="E726" s="12" t="s">
        <v>392</v>
      </c>
      <c r="F726" s="12" t="s">
        <v>393</v>
      </c>
      <c r="G726" s="12" t="s">
        <v>6364</v>
      </c>
      <c r="H726" s="12" t="s">
        <v>211</v>
      </c>
      <c r="I726" s="12"/>
      <c r="J726" s="12"/>
      <c r="K726" s="12"/>
      <c r="L726" s="12"/>
      <c r="M726" s="12" t="s">
        <v>394</v>
      </c>
      <c r="N726" s="12" t="s">
        <v>395</v>
      </c>
      <c r="O726" s="12" t="s">
        <v>396</v>
      </c>
      <c r="P726" s="12" t="str">
        <f>HYPERLINK("https://ceds.ed.gov/cedselementdetails.aspx?termid=9432")</f>
        <v>https://ceds.ed.gov/cedselementdetails.aspx?termid=9432</v>
      </c>
      <c r="Q726" s="12" t="str">
        <f>HYPERLINK("https://ceds.ed.gov/elementComment.aspx?elementName=Appealed Adequate Yearly Progress Designation &amp;elementID=9432", "Click here to submit comment")</f>
        <v>Click here to submit comment</v>
      </c>
    </row>
    <row r="727" spans="1:17" ht="60" x14ac:dyDescent="0.25">
      <c r="A727" s="12" t="s">
        <v>7242</v>
      </c>
      <c r="B727" s="12" t="s">
        <v>7243</v>
      </c>
      <c r="C727" s="12" t="s">
        <v>7247</v>
      </c>
      <c r="D727" s="12" t="s">
        <v>7172</v>
      </c>
      <c r="E727" s="12" t="s">
        <v>339</v>
      </c>
      <c r="F727" s="12" t="s">
        <v>340</v>
      </c>
      <c r="G727" s="12" t="s">
        <v>6364</v>
      </c>
      <c r="H727" s="12" t="s">
        <v>222</v>
      </c>
      <c r="I727" s="12"/>
      <c r="J727" s="12"/>
      <c r="K727" s="12"/>
      <c r="L727" s="12"/>
      <c r="M727" s="12" t="s">
        <v>341</v>
      </c>
      <c r="N727" s="12" t="s">
        <v>342</v>
      </c>
      <c r="O727" s="12" t="s">
        <v>343</v>
      </c>
      <c r="P727" s="12" t="str">
        <f>HYPERLINK("https://ceds.ed.gov/cedselementdetails.aspx?termid=9014")</f>
        <v>https://ceds.ed.gov/cedselementdetails.aspx?termid=9014</v>
      </c>
      <c r="Q727" s="12" t="str">
        <f>HYPERLINK("https://ceds.ed.gov/elementComment.aspx?elementName=Alternate Adequate Yearly Progress Approach Indicator &amp;elementID=9014", "Click here to submit comment")</f>
        <v>Click here to submit comment</v>
      </c>
    </row>
    <row r="728" spans="1:17" ht="105" x14ac:dyDescent="0.25">
      <c r="A728" s="12" t="s">
        <v>7242</v>
      </c>
      <c r="B728" s="12" t="s">
        <v>7243</v>
      </c>
      <c r="C728" s="12" t="s">
        <v>7247</v>
      </c>
      <c r="D728" s="12" t="s">
        <v>7172</v>
      </c>
      <c r="E728" s="12" t="s">
        <v>377</v>
      </c>
      <c r="F728" s="12" t="s">
        <v>378</v>
      </c>
      <c r="G728" s="13" t="s">
        <v>6750</v>
      </c>
      <c r="H728" s="12" t="s">
        <v>222</v>
      </c>
      <c r="I728" s="12"/>
      <c r="J728" s="12"/>
      <c r="K728" s="12"/>
      <c r="L728" s="12"/>
      <c r="M728" s="12" t="s">
        <v>379</v>
      </c>
      <c r="N728" s="12" t="s">
        <v>380</v>
      </c>
      <c r="O728" s="12" t="s">
        <v>381</v>
      </c>
      <c r="P728" s="12" t="str">
        <f>HYPERLINK("https://ceds.ed.gov/cedselementdetails.aspx?termid=9535")</f>
        <v>https://ceds.ed.gov/cedselementdetails.aspx?termid=9535</v>
      </c>
      <c r="Q728" s="12" t="str">
        <f>HYPERLINK("https://ceds.ed.gov/elementComment.aspx?elementName=Annual Measurable Achievement Objective Proficiency Attainment Status for LEP Students &amp;elementID=9535", "Click here to submit comment")</f>
        <v>Click here to submit comment</v>
      </c>
    </row>
    <row r="729" spans="1:17" ht="105" x14ac:dyDescent="0.25">
      <c r="A729" s="12" t="s">
        <v>7242</v>
      </c>
      <c r="B729" s="12" t="s">
        <v>7243</v>
      </c>
      <c r="C729" s="12" t="s">
        <v>7247</v>
      </c>
      <c r="D729" s="12" t="s">
        <v>7172</v>
      </c>
      <c r="E729" s="12" t="s">
        <v>382</v>
      </c>
      <c r="F729" s="12" t="s">
        <v>383</v>
      </c>
      <c r="G729" s="13" t="s">
        <v>6750</v>
      </c>
      <c r="H729" s="12" t="s">
        <v>222</v>
      </c>
      <c r="I729" s="12"/>
      <c r="J729" s="12"/>
      <c r="K729" s="12"/>
      <c r="L729" s="12"/>
      <c r="M729" s="12" t="s">
        <v>384</v>
      </c>
      <c r="N729" s="12" t="s">
        <v>385</v>
      </c>
      <c r="O729" s="12" t="s">
        <v>386</v>
      </c>
      <c r="P729" s="12" t="str">
        <f>HYPERLINK("https://ceds.ed.gov/cedselementdetails.aspx?termid=9545")</f>
        <v>https://ceds.ed.gov/cedselementdetails.aspx?termid=9545</v>
      </c>
      <c r="Q729" s="12" t="str">
        <f>HYPERLINK("https://ceds.ed.gov/elementComment.aspx?elementName=Annual Measurable Achievement Objective Progress Attainment Status for LEP Students &amp;elementID=9545", "Click here to submit comment")</f>
        <v>Click here to submit comment</v>
      </c>
    </row>
    <row r="730" spans="1:17" ht="255" x14ac:dyDescent="0.25">
      <c r="A730" s="12" t="s">
        <v>7242</v>
      </c>
      <c r="B730" s="12" t="s">
        <v>7243</v>
      </c>
      <c r="C730" s="12" t="s">
        <v>7247</v>
      </c>
      <c r="D730" s="12" t="s">
        <v>7172</v>
      </c>
      <c r="E730" s="12" t="s">
        <v>1929</v>
      </c>
      <c r="F730" s="12" t="s">
        <v>1930</v>
      </c>
      <c r="G730" s="13" t="s">
        <v>6828</v>
      </c>
      <c r="H730" s="12" t="s">
        <v>222</v>
      </c>
      <c r="I730" s="12"/>
      <c r="J730" s="12"/>
      <c r="K730" s="12"/>
      <c r="L730" s="12"/>
      <c r="M730" s="12" t="s">
        <v>1932</v>
      </c>
      <c r="N730" s="12"/>
      <c r="O730" s="12" t="s">
        <v>1933</v>
      </c>
      <c r="P730" s="12" t="str">
        <f>HYPERLINK("https://ceds.ed.gov/cedselementdetails.aspx?termid=9049")</f>
        <v>https://ceds.ed.gov/cedselementdetails.aspx?termid=9049</v>
      </c>
      <c r="Q730" s="12" t="str">
        <f>HYPERLINK("https://ceds.ed.gov/elementComment.aspx?elementName=Corrective Action Type &amp;elementID=9049", "Click here to submit comment")</f>
        <v>Click here to submit comment</v>
      </c>
    </row>
    <row r="731" spans="1:17" ht="105" x14ac:dyDescent="0.25">
      <c r="A731" s="12" t="s">
        <v>7242</v>
      </c>
      <c r="B731" s="12" t="s">
        <v>7243</v>
      </c>
      <c r="C731" s="12" t="s">
        <v>7247</v>
      </c>
      <c r="D731" s="12" t="s">
        <v>7172</v>
      </c>
      <c r="E731" s="12" t="s">
        <v>2658</v>
      </c>
      <c r="F731" s="12" t="s">
        <v>2659</v>
      </c>
      <c r="G731" s="13" t="s">
        <v>6899</v>
      </c>
      <c r="H731" s="12" t="s">
        <v>222</v>
      </c>
      <c r="I731" s="12"/>
      <c r="J731" s="12"/>
      <c r="K731" s="12"/>
      <c r="L731" s="12"/>
      <c r="M731" s="12" t="s">
        <v>2660</v>
      </c>
      <c r="N731" s="12"/>
      <c r="O731" s="12" t="s">
        <v>2661</v>
      </c>
      <c r="P731" s="12" t="str">
        <f>HYPERLINK("https://ceds.ed.gov/cedselementdetails.aspx?termid=9091")</f>
        <v>https://ceds.ed.gov/cedselementdetails.aspx?termid=9091</v>
      </c>
      <c r="Q731" s="12" t="str">
        <f>HYPERLINK("https://ceds.ed.gov/elementComment.aspx?elementName=Elementary-Middle Additional Indicator Status &amp;elementID=9091", "Click here to submit comment")</f>
        <v>Click here to submit comment</v>
      </c>
    </row>
    <row r="732" spans="1:17" ht="120" x14ac:dyDescent="0.25">
      <c r="A732" s="12" t="s">
        <v>7242</v>
      </c>
      <c r="B732" s="12" t="s">
        <v>7243</v>
      </c>
      <c r="C732" s="12" t="s">
        <v>7247</v>
      </c>
      <c r="D732" s="12" t="s">
        <v>7172</v>
      </c>
      <c r="E732" s="12" t="s">
        <v>3159</v>
      </c>
      <c r="F732" s="12" t="s">
        <v>3160</v>
      </c>
      <c r="G732" s="13" t="s">
        <v>6943</v>
      </c>
      <c r="H732" s="12" t="s">
        <v>222</v>
      </c>
      <c r="I732" s="12"/>
      <c r="J732" s="12"/>
      <c r="K732" s="12"/>
      <c r="L732" s="12"/>
      <c r="M732" s="12" t="s">
        <v>3161</v>
      </c>
      <c r="N732" s="12"/>
      <c r="O732" s="12" t="s">
        <v>3162</v>
      </c>
      <c r="P732" s="12" t="str">
        <f>HYPERLINK("https://ceds.ed.gov/cedselementdetails.aspx?termid=9134")</f>
        <v>https://ceds.ed.gov/cedselementdetails.aspx?termid=9134</v>
      </c>
      <c r="Q732" s="12" t="str">
        <f>HYPERLINK("https://ceds.ed.gov/elementComment.aspx?elementName=Gun Free Schools Act Reporting Status &amp;elementID=9134", "Click here to submit comment")</f>
        <v>Click here to submit comment</v>
      </c>
    </row>
    <row r="733" spans="1:17" ht="120" x14ac:dyDescent="0.25">
      <c r="A733" s="12" t="s">
        <v>7242</v>
      </c>
      <c r="B733" s="12" t="s">
        <v>7243</v>
      </c>
      <c r="C733" s="12" t="s">
        <v>7247</v>
      </c>
      <c r="D733" s="12" t="s">
        <v>7172</v>
      </c>
      <c r="E733" s="12" t="s">
        <v>3195</v>
      </c>
      <c r="F733" s="12" t="s">
        <v>3196</v>
      </c>
      <c r="G733" s="13" t="s">
        <v>6947</v>
      </c>
      <c r="H733" s="12" t="s">
        <v>222</v>
      </c>
      <c r="I733" s="12"/>
      <c r="J733" s="12"/>
      <c r="K733" s="12"/>
      <c r="L733" s="12"/>
      <c r="M733" s="12" t="s">
        <v>3197</v>
      </c>
      <c r="N733" s="12"/>
      <c r="O733" s="12" t="s">
        <v>3198</v>
      </c>
      <c r="P733" s="12" t="str">
        <f>HYPERLINK("https://ceds.ed.gov/cedselementdetails.aspx?termid=9140")</f>
        <v>https://ceds.ed.gov/cedselementdetails.aspx?termid=9140</v>
      </c>
      <c r="Q733" s="12" t="str">
        <f>HYPERLINK("https://ceds.ed.gov/elementComment.aspx?elementName=High School Graduation Rate Indicator Status &amp;elementID=9140", "Click here to submit comment")</f>
        <v>Click here to submit comment</v>
      </c>
    </row>
    <row r="734" spans="1:17" ht="120" x14ac:dyDescent="0.25">
      <c r="A734" s="12" t="s">
        <v>7242</v>
      </c>
      <c r="B734" s="12" t="s">
        <v>7243</v>
      </c>
      <c r="C734" s="12" t="s">
        <v>7247</v>
      </c>
      <c r="D734" s="12" t="s">
        <v>7172</v>
      </c>
      <c r="E734" s="12" t="s">
        <v>4757</v>
      </c>
      <c r="F734" s="12" t="s">
        <v>4758</v>
      </c>
      <c r="G734" s="13" t="s">
        <v>7050</v>
      </c>
      <c r="H734" s="12" t="s">
        <v>222</v>
      </c>
      <c r="I734" s="12"/>
      <c r="J734" s="12"/>
      <c r="K734" s="12"/>
      <c r="L734" s="12"/>
      <c r="M734" s="12" t="s">
        <v>4759</v>
      </c>
      <c r="N734" s="12"/>
      <c r="O734" s="12" t="s">
        <v>4760</v>
      </c>
      <c r="P734" s="12" t="str">
        <f>HYPERLINK("https://ceds.ed.gov/cedselementdetails.aspx?termid=9208")</f>
        <v>https://ceds.ed.gov/cedselementdetails.aspx?termid=9208</v>
      </c>
      <c r="Q734" s="12" t="str">
        <f>HYPERLINK("https://ceds.ed.gov/elementComment.aspx?elementName=Participation Status for Math &amp;elementID=9208", "Click here to submit comment")</f>
        <v>Click here to submit comment</v>
      </c>
    </row>
    <row r="735" spans="1:17" ht="120" x14ac:dyDescent="0.25">
      <c r="A735" s="12" t="s">
        <v>7242</v>
      </c>
      <c r="B735" s="12" t="s">
        <v>7243</v>
      </c>
      <c r="C735" s="12" t="s">
        <v>7247</v>
      </c>
      <c r="D735" s="12" t="s">
        <v>7172</v>
      </c>
      <c r="E735" s="12" t="s">
        <v>4761</v>
      </c>
      <c r="F735" s="12" t="s">
        <v>4762</v>
      </c>
      <c r="G735" s="13" t="s">
        <v>7050</v>
      </c>
      <c r="H735" s="12" t="s">
        <v>222</v>
      </c>
      <c r="I735" s="12"/>
      <c r="J735" s="12"/>
      <c r="K735" s="12"/>
      <c r="L735" s="12"/>
      <c r="M735" s="12" t="s">
        <v>4763</v>
      </c>
      <c r="N735" s="12"/>
      <c r="O735" s="12" t="s">
        <v>4764</v>
      </c>
      <c r="P735" s="12" t="str">
        <f>HYPERLINK("https://ceds.ed.gov/cedselementdetails.aspx?termid=9209")</f>
        <v>https://ceds.ed.gov/cedselementdetails.aspx?termid=9209</v>
      </c>
      <c r="Q735" s="12" t="str">
        <f>HYPERLINK("https://ceds.ed.gov/elementComment.aspx?elementName=Participation Status for Reading and Language Arts &amp;elementID=9209", "Click here to submit comment")</f>
        <v>Click here to submit comment</v>
      </c>
    </row>
    <row r="736" spans="1:17" ht="195" x14ac:dyDescent="0.25">
      <c r="A736" s="12" t="s">
        <v>7242</v>
      </c>
      <c r="B736" s="12" t="s">
        <v>7243</v>
      </c>
      <c r="C736" s="12" t="s">
        <v>7247</v>
      </c>
      <c r="D736" s="12" t="s">
        <v>7172</v>
      </c>
      <c r="E736" s="12" t="s">
        <v>5115</v>
      </c>
      <c r="F736" s="12" t="s">
        <v>5116</v>
      </c>
      <c r="G736" s="13" t="s">
        <v>7078</v>
      </c>
      <c r="H736" s="12" t="s">
        <v>222</v>
      </c>
      <c r="I736" s="12"/>
      <c r="J736" s="12"/>
      <c r="K736" s="12"/>
      <c r="L736" s="12"/>
      <c r="M736" s="12" t="s">
        <v>5117</v>
      </c>
      <c r="N736" s="12"/>
      <c r="O736" s="12" t="s">
        <v>5118</v>
      </c>
      <c r="P736" s="12" t="str">
        <f>HYPERLINK("https://ceds.ed.gov/cedselementdetails.aspx?termid=9221")</f>
        <v>https://ceds.ed.gov/cedselementdetails.aspx?termid=9221</v>
      </c>
      <c r="Q736" s="12" t="str">
        <f>HYPERLINK("https://ceds.ed.gov/elementComment.aspx?elementName=Proficiency Target Status for Math &amp;elementID=9221", "Click here to submit comment")</f>
        <v>Click here to submit comment</v>
      </c>
    </row>
    <row r="737" spans="1:17" ht="45" x14ac:dyDescent="0.25">
      <c r="A737" s="12" t="s">
        <v>7242</v>
      </c>
      <c r="B737" s="12" t="s">
        <v>7243</v>
      </c>
      <c r="C737" s="12" t="s">
        <v>7247</v>
      </c>
      <c r="D737" s="12" t="s">
        <v>7172</v>
      </c>
      <c r="E737" s="12" t="s">
        <v>4794</v>
      </c>
      <c r="F737" s="12" t="s">
        <v>4795</v>
      </c>
      <c r="G737" s="12" t="s">
        <v>6364</v>
      </c>
      <c r="H737" s="12" t="s">
        <v>222</v>
      </c>
      <c r="I737" s="12"/>
      <c r="J737" s="12"/>
      <c r="K737" s="12"/>
      <c r="L737" s="12"/>
      <c r="M737" s="12" t="s">
        <v>4796</v>
      </c>
      <c r="N737" s="12"/>
      <c r="O737" s="12" t="s">
        <v>4797</v>
      </c>
      <c r="P737" s="12" t="str">
        <f>HYPERLINK("https://ceds.ed.gov/cedselementdetails.aspx?termid=9210")</f>
        <v>https://ceds.ed.gov/cedselementdetails.aspx?termid=9210</v>
      </c>
      <c r="Q737" s="12" t="str">
        <f>HYPERLINK("https://ceds.ed.gov/elementComment.aspx?elementName=Persistently Dangerous Status &amp;elementID=9210", "Click here to submit comment")</f>
        <v>Click here to submit comment</v>
      </c>
    </row>
    <row r="738" spans="1:17" ht="195" x14ac:dyDescent="0.25">
      <c r="A738" s="12" t="s">
        <v>7242</v>
      </c>
      <c r="B738" s="12" t="s">
        <v>7243</v>
      </c>
      <c r="C738" s="12" t="s">
        <v>7247</v>
      </c>
      <c r="D738" s="12" t="s">
        <v>7172</v>
      </c>
      <c r="E738" s="12" t="s">
        <v>5119</v>
      </c>
      <c r="F738" s="12" t="s">
        <v>5120</v>
      </c>
      <c r="G738" s="13" t="s">
        <v>7078</v>
      </c>
      <c r="H738" s="12" t="s">
        <v>222</v>
      </c>
      <c r="I738" s="12"/>
      <c r="J738" s="12"/>
      <c r="K738" s="12"/>
      <c r="L738" s="12"/>
      <c r="M738" s="12" t="s">
        <v>5121</v>
      </c>
      <c r="N738" s="12"/>
      <c r="O738" s="12" t="s">
        <v>5122</v>
      </c>
      <c r="P738" s="12" t="str">
        <f>HYPERLINK("https://ceds.ed.gov/cedselementdetails.aspx?termid=9544")</f>
        <v>https://ceds.ed.gov/cedselementdetails.aspx?termid=9544</v>
      </c>
      <c r="Q738" s="12" t="str">
        <f>HYPERLINK("https://ceds.ed.gov/elementComment.aspx?elementName=Proficiency Target Status for Reading and Language Arts &amp;elementID=9544", "Click here to submit comment")</f>
        <v>Click here to submit comment</v>
      </c>
    </row>
    <row r="739" spans="1:17" ht="45" x14ac:dyDescent="0.25">
      <c r="A739" s="12" t="s">
        <v>7242</v>
      </c>
      <c r="B739" s="12" t="s">
        <v>7243</v>
      </c>
      <c r="C739" s="12" t="s">
        <v>7247</v>
      </c>
      <c r="D739" s="12" t="s">
        <v>7172</v>
      </c>
      <c r="E739" s="12" t="s">
        <v>4798</v>
      </c>
      <c r="F739" s="12" t="s">
        <v>4799</v>
      </c>
      <c r="G739" s="12" t="s">
        <v>6364</v>
      </c>
      <c r="H739" s="12" t="s">
        <v>222</v>
      </c>
      <c r="I739" s="12"/>
      <c r="J739" s="12"/>
      <c r="K739" s="12"/>
      <c r="L739" s="12"/>
      <c r="M739" s="12" t="s">
        <v>4800</v>
      </c>
      <c r="N739" s="12"/>
      <c r="O739" s="12" t="s">
        <v>4801</v>
      </c>
      <c r="P739" s="12" t="str">
        <f>HYPERLINK("https://ceds.ed.gov/cedselementdetails.aspx?termid=9211")</f>
        <v>https://ceds.ed.gov/cedselementdetails.aspx?termid=9211</v>
      </c>
      <c r="Q739" s="12" t="str">
        <f>HYPERLINK("https://ceds.ed.gov/elementComment.aspx?elementName=Persistently Lowest Achieving School Status &amp;elementID=9211", "Click here to submit comment")</f>
        <v>Click here to submit comment</v>
      </c>
    </row>
    <row r="740" spans="1:17" ht="90" x14ac:dyDescent="0.25">
      <c r="A740" s="12" t="s">
        <v>7242</v>
      </c>
      <c r="B740" s="12" t="s">
        <v>7243</v>
      </c>
      <c r="C740" s="12" t="s">
        <v>7247</v>
      </c>
      <c r="D740" s="12" t="s">
        <v>7172</v>
      </c>
      <c r="E740" s="12" t="s">
        <v>5325</v>
      </c>
      <c r="F740" s="12" t="s">
        <v>5326</v>
      </c>
      <c r="G740" s="13" t="s">
        <v>7095</v>
      </c>
      <c r="H740" s="12" t="s">
        <v>222</v>
      </c>
      <c r="I740" s="12"/>
      <c r="J740" s="12"/>
      <c r="K740" s="12"/>
      <c r="L740" s="12"/>
      <c r="M740" s="12" t="s">
        <v>5327</v>
      </c>
      <c r="N740" s="12"/>
      <c r="O740" s="12" t="s">
        <v>5328</v>
      </c>
      <c r="P740" s="12" t="str">
        <f>HYPERLINK("https://ceds.ed.gov/cedselementdetails.aspx?termid=9230")</f>
        <v>https://ceds.ed.gov/cedselementdetails.aspx?termid=9230</v>
      </c>
      <c r="Q740" s="12" t="str">
        <f>HYPERLINK("https://ceds.ed.gov/elementComment.aspx?elementName=Reconstituted Status &amp;elementID=9230", "Click here to submit comment")</f>
        <v>Click here to submit comment</v>
      </c>
    </row>
    <row r="741" spans="1:17" ht="165" x14ac:dyDescent="0.25">
      <c r="A741" s="12" t="s">
        <v>7242</v>
      </c>
      <c r="B741" s="12" t="s">
        <v>7243</v>
      </c>
      <c r="C741" s="12" t="s">
        <v>7247</v>
      </c>
      <c r="D741" s="12" t="s">
        <v>7172</v>
      </c>
      <c r="E741" s="12" t="s">
        <v>5417</v>
      </c>
      <c r="F741" s="12" t="s">
        <v>5418</v>
      </c>
      <c r="G741" s="13" t="s">
        <v>7099</v>
      </c>
      <c r="H741" s="12" t="s">
        <v>222</v>
      </c>
      <c r="I741" s="12"/>
      <c r="J741" s="12"/>
      <c r="K741" s="12"/>
      <c r="L741" s="12"/>
      <c r="M741" s="12" t="s">
        <v>5419</v>
      </c>
      <c r="N741" s="12"/>
      <c r="O741" s="12" t="s">
        <v>5420</v>
      </c>
      <c r="P741" s="12" t="str">
        <f>HYPERLINK("https://ceds.ed.gov/cedselementdetails.aspx?termid=9232")</f>
        <v>https://ceds.ed.gov/cedselementdetails.aspx?termid=9232</v>
      </c>
      <c r="Q741" s="12" t="str">
        <f>HYPERLINK("https://ceds.ed.gov/elementComment.aspx?elementName=Restructuring Action &amp;elementID=9232", "Click here to submit comment")</f>
        <v>Click here to submit comment</v>
      </c>
    </row>
    <row r="742" spans="1:17" ht="30" x14ac:dyDescent="0.25">
      <c r="A742" s="12" t="s">
        <v>7242</v>
      </c>
      <c r="B742" s="12" t="s">
        <v>7243</v>
      </c>
      <c r="C742" s="12" t="s">
        <v>7247</v>
      </c>
      <c r="D742" s="12" t="s">
        <v>7172</v>
      </c>
      <c r="E742" s="12" t="s">
        <v>5590</v>
      </c>
      <c r="F742" s="12" t="s">
        <v>5591</v>
      </c>
      <c r="G742" s="12" t="s">
        <v>12</v>
      </c>
      <c r="H742" s="12" t="s">
        <v>211</v>
      </c>
      <c r="I742" s="12"/>
      <c r="J742" s="12" t="s">
        <v>73</v>
      </c>
      <c r="K742" s="12"/>
      <c r="L742" s="12"/>
      <c r="M742" s="12" t="s">
        <v>5592</v>
      </c>
      <c r="N742" s="12"/>
      <c r="O742" s="12" t="s">
        <v>5593</v>
      </c>
      <c r="P742" s="12" t="str">
        <f>HYPERLINK("https://ceds.ed.gov/cedselementdetails.aspx?termid=9472")</f>
        <v>https://ceds.ed.gov/cedselementdetails.aspx?termid=9472</v>
      </c>
      <c r="Q742" s="12" t="str">
        <f>HYPERLINK("https://ceds.ed.gov/elementComment.aspx?elementName=School Improvement Exit Date &amp;elementID=9472", "Click here to submit comment")</f>
        <v>Click here to submit comment</v>
      </c>
    </row>
    <row r="743" spans="1:17" ht="45" x14ac:dyDescent="0.25">
      <c r="A743" s="12" t="s">
        <v>7242</v>
      </c>
      <c r="B743" s="12" t="s">
        <v>7243</v>
      </c>
      <c r="C743" s="12" t="s">
        <v>7247</v>
      </c>
      <c r="D743" s="12" t="s">
        <v>7172</v>
      </c>
      <c r="E743" s="12" t="s">
        <v>5594</v>
      </c>
      <c r="F743" s="12" t="s">
        <v>5595</v>
      </c>
      <c r="G743" s="12" t="s">
        <v>6364</v>
      </c>
      <c r="H743" s="12" t="s">
        <v>222</v>
      </c>
      <c r="I743" s="12"/>
      <c r="J743" s="12"/>
      <c r="K743" s="12"/>
      <c r="L743" s="12"/>
      <c r="M743" s="12" t="s">
        <v>5596</v>
      </c>
      <c r="N743" s="12"/>
      <c r="O743" s="12" t="s">
        <v>5597</v>
      </c>
      <c r="P743" s="12" t="str">
        <f>HYPERLINK("https://ceds.ed.gov/cedselementdetails.aspx?termid=9238")</f>
        <v>https://ceds.ed.gov/cedselementdetails.aspx?termid=9238</v>
      </c>
      <c r="Q743" s="12" t="str">
        <f>HYPERLINK("https://ceds.ed.gov/elementComment.aspx?elementName=School Improvement Funds Status &amp;elementID=9238", "Click here to submit comment")</f>
        <v>Click here to submit comment</v>
      </c>
    </row>
    <row r="744" spans="1:17" ht="45" x14ac:dyDescent="0.25">
      <c r="A744" s="12" t="s">
        <v>7242</v>
      </c>
      <c r="B744" s="12" t="s">
        <v>7243</v>
      </c>
      <c r="C744" s="12" t="s">
        <v>7247</v>
      </c>
      <c r="D744" s="12" t="s">
        <v>7172</v>
      </c>
      <c r="E744" s="12" t="s">
        <v>5622</v>
      </c>
      <c r="F744" s="12" t="s">
        <v>5623</v>
      </c>
      <c r="G744" s="12" t="s">
        <v>12</v>
      </c>
      <c r="H744" s="12" t="s">
        <v>1907</v>
      </c>
      <c r="I744" s="12"/>
      <c r="J744" s="12" t="s">
        <v>1861</v>
      </c>
      <c r="K744" s="12"/>
      <c r="L744" s="12" t="s">
        <v>5624</v>
      </c>
      <c r="M744" s="12" t="s">
        <v>5625</v>
      </c>
      <c r="N744" s="12"/>
      <c r="O744" s="12" t="s">
        <v>5626</v>
      </c>
      <c r="P744" s="12" t="str">
        <f>HYPERLINK("https://ceds.ed.gov/cedselementdetails.aspx?termid=9243")</f>
        <v>https://ceds.ed.gov/cedselementdetails.aspx?termid=9243</v>
      </c>
      <c r="Q744" s="12" t="str">
        <f>HYPERLINK("https://ceds.ed.gov/elementComment.aspx?elementName=School Year &amp;elementID=9243", "Click here to submit comment")</f>
        <v>Click here to submit comment</v>
      </c>
    </row>
    <row r="745" spans="1:17" ht="105" x14ac:dyDescent="0.25">
      <c r="A745" s="12" t="s">
        <v>7242</v>
      </c>
      <c r="B745" s="12" t="s">
        <v>7243</v>
      </c>
      <c r="C745" s="12" t="s">
        <v>7192</v>
      </c>
      <c r="D745" s="12" t="s">
        <v>7172</v>
      </c>
      <c r="E745" s="12" t="s">
        <v>2880</v>
      </c>
      <c r="F745" s="12" t="s">
        <v>2881</v>
      </c>
      <c r="G745" s="12" t="s">
        <v>12</v>
      </c>
      <c r="H745" s="12"/>
      <c r="I745" s="12" t="s">
        <v>98</v>
      </c>
      <c r="J745" s="12" t="s">
        <v>92</v>
      </c>
      <c r="K745" s="12"/>
      <c r="L745" s="12"/>
      <c r="M745" s="12" t="s">
        <v>2882</v>
      </c>
      <c r="N745" s="12"/>
      <c r="O745" s="12" t="s">
        <v>2883</v>
      </c>
      <c r="P745" s="12" t="str">
        <f>HYPERLINK("https://ceds.ed.gov/cedselementdetails.aspx?termid=10530")</f>
        <v>https://ceds.ed.gov/cedselementdetails.aspx?termid=10530</v>
      </c>
      <c r="Q745" s="12" t="str">
        <f>HYPERLINK("https://ceds.ed.gov/elementComment.aspx?elementName=Financial Account Number &amp;elementID=10530", "Click here to submit comment")</f>
        <v>Click here to submit comment</v>
      </c>
    </row>
    <row r="746" spans="1:17" ht="45" x14ac:dyDescent="0.25">
      <c r="A746" s="12" t="s">
        <v>7242</v>
      </c>
      <c r="B746" s="12" t="s">
        <v>7243</v>
      </c>
      <c r="C746" s="12" t="s">
        <v>7192</v>
      </c>
      <c r="D746" s="12" t="s">
        <v>7172</v>
      </c>
      <c r="E746" s="12" t="s">
        <v>2876</v>
      </c>
      <c r="F746" s="12" t="s">
        <v>2877</v>
      </c>
      <c r="G746" s="12" t="s">
        <v>12</v>
      </c>
      <c r="H746" s="12"/>
      <c r="I746" s="12"/>
      <c r="J746" s="12" t="s">
        <v>794</v>
      </c>
      <c r="K746" s="12"/>
      <c r="L746" s="12"/>
      <c r="M746" s="12" t="s">
        <v>2878</v>
      </c>
      <c r="N746" s="12"/>
      <c r="O746" s="12" t="s">
        <v>2879</v>
      </c>
      <c r="P746" s="12" t="str">
        <f>HYPERLINK("https://ceds.ed.gov/cedselementdetails.aspx?termid=10315")</f>
        <v>https://ceds.ed.gov/cedselementdetails.aspx?termid=10315</v>
      </c>
      <c r="Q746" s="12" t="str">
        <f>HYPERLINK("https://ceds.ed.gov/elementComment.aspx?elementName=Financial Account Name &amp;elementID=10315", "Click here to submit comment")</f>
        <v>Click here to submit comment</v>
      </c>
    </row>
    <row r="747" spans="1:17" ht="45" x14ac:dyDescent="0.25">
      <c r="A747" s="12" t="s">
        <v>7242</v>
      </c>
      <c r="B747" s="12" t="s">
        <v>7243</v>
      </c>
      <c r="C747" s="12" t="s">
        <v>7192</v>
      </c>
      <c r="D747" s="12" t="s">
        <v>7172</v>
      </c>
      <c r="E747" s="12" t="s">
        <v>2868</v>
      </c>
      <c r="F747" s="12" t="s">
        <v>2869</v>
      </c>
      <c r="G747" s="12" t="s">
        <v>12</v>
      </c>
      <c r="H747" s="12"/>
      <c r="I747" s="12"/>
      <c r="J747" s="12" t="s">
        <v>68</v>
      </c>
      <c r="K747" s="12"/>
      <c r="L747" s="12"/>
      <c r="M747" s="12" t="s">
        <v>2870</v>
      </c>
      <c r="N747" s="12"/>
      <c r="O747" s="12" t="s">
        <v>2871</v>
      </c>
      <c r="P747" s="12" t="str">
        <f>HYPERLINK("https://ceds.ed.gov/cedselementdetails.aspx?termid=10313")</f>
        <v>https://ceds.ed.gov/cedselementdetails.aspx?termid=10313</v>
      </c>
      <c r="Q747" s="12" t="str">
        <f>HYPERLINK("https://ceds.ed.gov/elementComment.aspx?elementName=Financial Account Description &amp;elementID=10313", "Click here to submit comment")</f>
        <v>Click here to submit comment</v>
      </c>
    </row>
    <row r="748" spans="1:17" ht="105" x14ac:dyDescent="0.25">
      <c r="A748" s="12" t="s">
        <v>7242</v>
      </c>
      <c r="B748" s="12" t="s">
        <v>7243</v>
      </c>
      <c r="C748" s="12" t="s">
        <v>7192</v>
      </c>
      <c r="D748" s="12" t="s">
        <v>7172</v>
      </c>
      <c r="E748" s="12" t="s">
        <v>2864</v>
      </c>
      <c r="F748" s="12" t="s">
        <v>2865</v>
      </c>
      <c r="G748" s="13" t="s">
        <v>6919</v>
      </c>
      <c r="H748" s="12"/>
      <c r="I748" s="12"/>
      <c r="J748" s="12"/>
      <c r="K748" s="12"/>
      <c r="L748" s="12"/>
      <c r="M748" s="12" t="s">
        <v>2866</v>
      </c>
      <c r="N748" s="12"/>
      <c r="O748" s="12" t="s">
        <v>2867</v>
      </c>
      <c r="P748" s="12" t="str">
        <f>HYPERLINK("https://ceds.ed.gov/cedselementdetails.aspx?termid=10312")</f>
        <v>https://ceds.ed.gov/cedselementdetails.aspx?termid=10312</v>
      </c>
      <c r="Q748" s="12" t="str">
        <f>HYPERLINK("https://ceds.ed.gov/elementComment.aspx?elementName=Financial Account Category &amp;elementID=10312", "Click here to submit comment")</f>
        <v>Click here to submit comment</v>
      </c>
    </row>
    <row r="749" spans="1:17" ht="409.5" x14ac:dyDescent="0.25">
      <c r="A749" s="12" t="s">
        <v>7242</v>
      </c>
      <c r="B749" s="12" t="s">
        <v>7243</v>
      </c>
      <c r="C749" s="12" t="s">
        <v>7192</v>
      </c>
      <c r="D749" s="12" t="s">
        <v>7172</v>
      </c>
      <c r="E749" s="12" t="s">
        <v>2859</v>
      </c>
      <c r="F749" s="12" t="s">
        <v>2860</v>
      </c>
      <c r="G749" s="13" t="s">
        <v>6918</v>
      </c>
      <c r="H749" s="12"/>
      <c r="I749" s="12" t="s">
        <v>98</v>
      </c>
      <c r="J749" s="12"/>
      <c r="K749" s="12"/>
      <c r="L749" s="14" t="s">
        <v>2861</v>
      </c>
      <c r="M749" s="12" t="s">
        <v>2862</v>
      </c>
      <c r="N749" s="12"/>
      <c r="O749" s="12" t="s">
        <v>2863</v>
      </c>
      <c r="P749" s="12" t="str">
        <f>HYPERLINK("https://ceds.ed.gov/cedselementdetails.aspx?termid=10320")</f>
        <v>https://ceds.ed.gov/cedselementdetails.aspx?termid=10320</v>
      </c>
      <c r="Q749" s="12" t="str">
        <f>HYPERLINK("https://ceds.ed.gov/elementComment.aspx?elementName=Financial Account Balance Sheet Code &amp;elementID=10320", "Click here to submit comment")</f>
        <v>Click here to submit comment</v>
      </c>
    </row>
    <row r="750" spans="1:17" ht="45" x14ac:dyDescent="0.25">
      <c r="A750" s="12" t="s">
        <v>7242</v>
      </c>
      <c r="B750" s="12" t="s">
        <v>7243</v>
      </c>
      <c r="C750" s="12" t="s">
        <v>7192</v>
      </c>
      <c r="D750" s="12" t="s">
        <v>7172</v>
      </c>
      <c r="E750" s="12" t="s">
        <v>2905</v>
      </c>
      <c r="F750" s="12" t="s">
        <v>2906</v>
      </c>
      <c r="G750" s="12" t="s">
        <v>12</v>
      </c>
      <c r="H750" s="12"/>
      <c r="I750" s="12" t="s">
        <v>98</v>
      </c>
      <c r="J750" s="12" t="s">
        <v>1554</v>
      </c>
      <c r="K750" s="12"/>
      <c r="L750" s="12"/>
      <c r="M750" s="12" t="s">
        <v>2907</v>
      </c>
      <c r="N750" s="12"/>
      <c r="O750" s="12" t="s">
        <v>2908</v>
      </c>
      <c r="P750" s="12" t="str">
        <f>HYPERLINK("https://ceds.ed.gov/cedselementdetails.aspx?termid=10317")</f>
        <v>https://ceds.ed.gov/cedselementdetails.aspx?termid=10317</v>
      </c>
      <c r="Q750" s="12" t="str">
        <f>HYPERLINK("https://ceds.ed.gov/elementComment.aspx?elementName=Financial Accounting Period Actual Value &amp;elementID=10317", "Click here to submit comment")</f>
        <v>Click here to submit comment</v>
      </c>
    </row>
    <row r="751" spans="1:17" ht="45" x14ac:dyDescent="0.25">
      <c r="A751" s="12" t="s">
        <v>7242</v>
      </c>
      <c r="B751" s="12" t="s">
        <v>7243</v>
      </c>
      <c r="C751" s="12" t="s">
        <v>7192</v>
      </c>
      <c r="D751" s="12" t="s">
        <v>7172</v>
      </c>
      <c r="E751" s="12" t="s">
        <v>2909</v>
      </c>
      <c r="F751" s="12" t="s">
        <v>2910</v>
      </c>
      <c r="G751" s="12" t="s">
        <v>12</v>
      </c>
      <c r="H751" s="12"/>
      <c r="I751" s="12" t="s">
        <v>98</v>
      </c>
      <c r="J751" s="12" t="s">
        <v>1554</v>
      </c>
      <c r="K751" s="12"/>
      <c r="L751" s="12"/>
      <c r="M751" s="12" t="s">
        <v>2911</v>
      </c>
      <c r="N751" s="12"/>
      <c r="O751" s="12" t="s">
        <v>2912</v>
      </c>
      <c r="P751" s="12" t="str">
        <f>HYPERLINK("https://ceds.ed.gov/cedselementdetails.aspx?termid=10318")</f>
        <v>https://ceds.ed.gov/cedselementdetails.aspx?termid=10318</v>
      </c>
      <c r="Q751" s="12" t="str">
        <f>HYPERLINK("https://ceds.ed.gov/elementComment.aspx?elementName=Financial Accounting Period Budgeted Value &amp;elementID=10318", "Click here to submit comment")</f>
        <v>Click here to submit comment</v>
      </c>
    </row>
    <row r="752" spans="1:17" ht="60" x14ac:dyDescent="0.25">
      <c r="A752" s="12" t="s">
        <v>7242</v>
      </c>
      <c r="B752" s="12" t="s">
        <v>7243</v>
      </c>
      <c r="C752" s="12" t="s">
        <v>7192</v>
      </c>
      <c r="D752" s="12" t="s">
        <v>7172</v>
      </c>
      <c r="E752" s="12" t="s">
        <v>2913</v>
      </c>
      <c r="F752" s="12" t="s">
        <v>2914</v>
      </c>
      <c r="G752" s="12" t="s">
        <v>12</v>
      </c>
      <c r="H752" s="12"/>
      <c r="I752" s="12" t="s">
        <v>1498</v>
      </c>
      <c r="J752" s="12" t="s">
        <v>1554</v>
      </c>
      <c r="K752" s="12"/>
      <c r="L752" s="12" t="s">
        <v>2915</v>
      </c>
      <c r="M752" s="12" t="s">
        <v>2916</v>
      </c>
      <c r="N752" s="12"/>
      <c r="O752" s="12" t="s">
        <v>2917</v>
      </c>
      <c r="P752" s="12" t="str">
        <f>HYPERLINK("https://ceds.ed.gov/cedselementdetails.aspx?termid=10625")</f>
        <v>https://ceds.ed.gov/cedselementdetails.aspx?termid=10625</v>
      </c>
      <c r="Q752" s="12" t="str">
        <f>HYPERLINK("https://ceds.ed.gov/elementComment.aspx?elementName=Financial Accounting Period Encumbered Value &amp;elementID=10625", "Click here to submit comment")</f>
        <v>Click here to submit comment</v>
      </c>
    </row>
    <row r="753" spans="1:17" ht="30" x14ac:dyDescent="0.25">
      <c r="A753" s="12" t="s">
        <v>7242</v>
      </c>
      <c r="B753" s="12" t="s">
        <v>7243</v>
      </c>
      <c r="C753" s="12" t="s">
        <v>7192</v>
      </c>
      <c r="D753" s="12" t="s">
        <v>7172</v>
      </c>
      <c r="E753" s="12" t="s">
        <v>3034</v>
      </c>
      <c r="F753" s="12" t="s">
        <v>3035</v>
      </c>
      <c r="G753" s="12" t="s">
        <v>12</v>
      </c>
      <c r="H753" s="12"/>
      <c r="I753" s="12" t="s">
        <v>1498</v>
      </c>
      <c r="J753" s="12" t="s">
        <v>1861</v>
      </c>
      <c r="K753" s="12"/>
      <c r="L753" s="12"/>
      <c r="M753" s="12" t="s">
        <v>3036</v>
      </c>
      <c r="N753" s="12"/>
      <c r="O753" s="12" t="s">
        <v>3037</v>
      </c>
      <c r="P753" s="12" t="str">
        <f>HYPERLINK("https://ceds.ed.gov/cedselementdetails.aspx?termid=10620")</f>
        <v>https://ceds.ed.gov/cedselementdetails.aspx?termid=10620</v>
      </c>
      <c r="Q753" s="12" t="str">
        <f>HYPERLINK("https://ceds.ed.gov/elementComment.aspx?elementName=Fiscal Year &amp;elementID=10620", "Click here to submit comment")</f>
        <v>Click here to submit comment</v>
      </c>
    </row>
    <row r="754" spans="1:17" ht="30" x14ac:dyDescent="0.25">
      <c r="A754" s="12" t="s">
        <v>7242</v>
      </c>
      <c r="B754" s="12" t="s">
        <v>7243</v>
      </c>
      <c r="C754" s="12" t="s">
        <v>7192</v>
      </c>
      <c r="D754" s="12" t="s">
        <v>7172</v>
      </c>
      <c r="E754" s="12" t="s">
        <v>3026</v>
      </c>
      <c r="F754" s="12" t="s">
        <v>3027</v>
      </c>
      <c r="G754" s="12" t="s">
        <v>12</v>
      </c>
      <c r="H754" s="12"/>
      <c r="I754" s="12" t="s">
        <v>1498</v>
      </c>
      <c r="J754" s="12" t="s">
        <v>73</v>
      </c>
      <c r="K754" s="12"/>
      <c r="L754" s="12"/>
      <c r="M754" s="12" t="s">
        <v>3028</v>
      </c>
      <c r="N754" s="12"/>
      <c r="O754" s="12" t="s">
        <v>3029</v>
      </c>
      <c r="P754" s="12" t="str">
        <f>HYPERLINK("https://ceds.ed.gov/cedselementdetails.aspx?termid=10623")</f>
        <v>https://ceds.ed.gov/cedselementdetails.aspx?termid=10623</v>
      </c>
      <c r="Q754" s="12" t="str">
        <f>HYPERLINK("https://ceds.ed.gov/elementComment.aspx?elementName=Fiscal Period Begin Date &amp;elementID=10623", "Click here to submit comment")</f>
        <v>Click here to submit comment</v>
      </c>
    </row>
    <row r="755" spans="1:17" ht="30" x14ac:dyDescent="0.25">
      <c r="A755" s="12" t="s">
        <v>7242</v>
      </c>
      <c r="B755" s="12" t="s">
        <v>7243</v>
      </c>
      <c r="C755" s="12" t="s">
        <v>7192</v>
      </c>
      <c r="D755" s="12" t="s">
        <v>7172</v>
      </c>
      <c r="E755" s="12" t="s">
        <v>3030</v>
      </c>
      <c r="F755" s="12" t="s">
        <v>3031</v>
      </c>
      <c r="G755" s="12" t="s">
        <v>12</v>
      </c>
      <c r="H755" s="12"/>
      <c r="I755" s="12" t="s">
        <v>1498</v>
      </c>
      <c r="J755" s="12" t="s">
        <v>73</v>
      </c>
      <c r="K755" s="12"/>
      <c r="L755" s="12"/>
      <c r="M755" s="12" t="s">
        <v>3032</v>
      </c>
      <c r="N755" s="12"/>
      <c r="O755" s="12" t="s">
        <v>3033</v>
      </c>
      <c r="P755" s="12" t="str">
        <f>HYPERLINK("https://ceds.ed.gov/cedselementdetails.aspx?termid=10624")</f>
        <v>https://ceds.ed.gov/cedselementdetails.aspx?termid=10624</v>
      </c>
      <c r="Q755" s="12" t="str">
        <f>HYPERLINK("https://ceds.ed.gov/elementComment.aspx?elementName=Fiscal Period End Date &amp;elementID=10624", "Click here to submit comment")</f>
        <v>Click here to submit comment</v>
      </c>
    </row>
    <row r="756" spans="1:17" ht="135" x14ac:dyDescent="0.25">
      <c r="A756" s="12" t="s">
        <v>7242</v>
      </c>
      <c r="B756" s="12" t="s">
        <v>7243</v>
      </c>
      <c r="C756" s="12" t="s">
        <v>7192</v>
      </c>
      <c r="D756" s="12" t="s">
        <v>7172</v>
      </c>
      <c r="E756" s="12" t="s">
        <v>2918</v>
      </c>
      <c r="F756" s="12" t="s">
        <v>2919</v>
      </c>
      <c r="G756" s="12" t="s">
        <v>12</v>
      </c>
      <c r="H756" s="12"/>
      <c r="I756" s="12" t="s">
        <v>1498</v>
      </c>
      <c r="J756" s="12" t="s">
        <v>1554</v>
      </c>
      <c r="K756" s="12"/>
      <c r="L756" s="12" t="s">
        <v>2920</v>
      </c>
      <c r="M756" s="12" t="s">
        <v>2921</v>
      </c>
      <c r="N756" s="12"/>
      <c r="O756" s="12" t="s">
        <v>2922</v>
      </c>
      <c r="P756" s="12" t="str">
        <f>HYPERLINK("https://ceds.ed.gov/cedselementdetails.aspx?termid=10628")</f>
        <v>https://ceds.ed.gov/cedselementdetails.aspx?termid=10628</v>
      </c>
      <c r="Q756" s="12" t="str">
        <f>HYPERLINK("https://ceds.ed.gov/elementComment.aspx?elementName=Financial Accounting Value &amp;elementID=10628", "Click here to submit comment")</f>
        <v>Click here to submit comment</v>
      </c>
    </row>
    <row r="757" spans="1:17" ht="30" x14ac:dyDescent="0.25">
      <c r="A757" s="12" t="s">
        <v>7242</v>
      </c>
      <c r="B757" s="12" t="s">
        <v>7243</v>
      </c>
      <c r="C757" s="12" t="s">
        <v>7192</v>
      </c>
      <c r="D757" s="12" t="s">
        <v>7172</v>
      </c>
      <c r="E757" s="12" t="s">
        <v>2901</v>
      </c>
      <c r="F757" s="12" t="s">
        <v>2902</v>
      </c>
      <c r="G757" s="12" t="s">
        <v>12</v>
      </c>
      <c r="H757" s="12"/>
      <c r="I757" s="12" t="s">
        <v>1498</v>
      </c>
      <c r="J757" s="12" t="s">
        <v>73</v>
      </c>
      <c r="K757" s="12"/>
      <c r="L757" s="12"/>
      <c r="M757" s="12" t="s">
        <v>2903</v>
      </c>
      <c r="N757" s="12"/>
      <c r="O757" s="12" t="s">
        <v>2904</v>
      </c>
      <c r="P757" s="12" t="str">
        <f>HYPERLINK("https://ceds.ed.gov/cedselementdetails.aspx?termid=10629")</f>
        <v>https://ceds.ed.gov/cedselementdetails.aspx?termid=10629</v>
      </c>
      <c r="Q757" s="12" t="str">
        <f>HYPERLINK("https://ceds.ed.gov/elementComment.aspx?elementName=Financial Accounting Date &amp;elementID=10629", "Click here to submit comment")</f>
        <v>Click here to submit comment</v>
      </c>
    </row>
    <row r="758" spans="1:17" ht="150" x14ac:dyDescent="0.25">
      <c r="A758" s="12" t="s">
        <v>7242</v>
      </c>
      <c r="B758" s="12" t="s">
        <v>7243</v>
      </c>
      <c r="C758" s="12" t="s">
        <v>7192</v>
      </c>
      <c r="D758" s="12" t="s">
        <v>7172</v>
      </c>
      <c r="E758" s="12" t="s">
        <v>2872</v>
      </c>
      <c r="F758" s="12" t="s">
        <v>2873</v>
      </c>
      <c r="G758" s="13" t="s">
        <v>6920</v>
      </c>
      <c r="H758" s="12"/>
      <c r="I758" s="12" t="s">
        <v>98</v>
      </c>
      <c r="J758" s="12"/>
      <c r="K758" s="12"/>
      <c r="L758" s="14" t="s">
        <v>2861</v>
      </c>
      <c r="M758" s="12" t="s">
        <v>2874</v>
      </c>
      <c r="N758" s="12"/>
      <c r="O758" s="12" t="s">
        <v>2875</v>
      </c>
      <c r="P758" s="12" t="str">
        <f>HYPERLINK("https://ceds.ed.gov/cedselementdetails.aspx?termid=10314")</f>
        <v>https://ceds.ed.gov/cedselementdetails.aspx?termid=10314</v>
      </c>
      <c r="Q758" s="12" t="str">
        <f>HYPERLINK("https://ceds.ed.gov/elementComment.aspx?elementName=Financial Account Fund Classification &amp;elementID=10314", "Click here to submit comment")</f>
        <v>Click here to submit comment</v>
      </c>
    </row>
    <row r="759" spans="1:17" ht="240" x14ac:dyDescent="0.25">
      <c r="A759" s="12" t="s">
        <v>7242</v>
      </c>
      <c r="B759" s="12" t="s">
        <v>7243</v>
      </c>
      <c r="C759" s="12" t="s">
        <v>7192</v>
      </c>
      <c r="D759" s="12" t="s">
        <v>7172</v>
      </c>
      <c r="E759" s="12" t="s">
        <v>2884</v>
      </c>
      <c r="F759" s="12" t="s">
        <v>2885</v>
      </c>
      <c r="G759" s="13" t="s">
        <v>6921</v>
      </c>
      <c r="H759" s="12"/>
      <c r="I759" s="12" t="s">
        <v>98</v>
      </c>
      <c r="J759" s="12"/>
      <c r="K759" s="12"/>
      <c r="L759" s="14" t="s">
        <v>2861</v>
      </c>
      <c r="M759" s="12" t="s">
        <v>2886</v>
      </c>
      <c r="N759" s="12"/>
      <c r="O759" s="12" t="s">
        <v>2887</v>
      </c>
      <c r="P759" s="12" t="str">
        <f>HYPERLINK("https://ceds.ed.gov/cedselementdetails.aspx?termid=10316")</f>
        <v>https://ceds.ed.gov/cedselementdetails.aspx?termid=10316</v>
      </c>
      <c r="Q759" s="12" t="str">
        <f>HYPERLINK("https://ceds.ed.gov/elementComment.aspx?elementName=Financial Account Program Code &amp;elementID=10316", "Click here to submit comment")</f>
        <v>Click here to submit comment</v>
      </c>
    </row>
    <row r="760" spans="1:17" ht="45" x14ac:dyDescent="0.25">
      <c r="A760" s="12" t="s">
        <v>7242</v>
      </c>
      <c r="B760" s="12" t="s">
        <v>7243</v>
      </c>
      <c r="C760" s="12" t="s">
        <v>7192</v>
      </c>
      <c r="D760" s="12" t="s">
        <v>7172</v>
      </c>
      <c r="E760" s="12" t="s">
        <v>2892</v>
      </c>
      <c r="F760" s="12" t="s">
        <v>2893</v>
      </c>
      <c r="G760" s="12" t="s">
        <v>12</v>
      </c>
      <c r="H760" s="12"/>
      <c r="I760" s="12" t="s">
        <v>1498</v>
      </c>
      <c r="J760" s="12" t="s">
        <v>92</v>
      </c>
      <c r="K760" s="12"/>
      <c r="L760" s="12"/>
      <c r="M760" s="12" t="s">
        <v>2894</v>
      </c>
      <c r="N760" s="12"/>
      <c r="O760" s="12" t="s">
        <v>2895</v>
      </c>
      <c r="P760" s="12" t="str">
        <f>HYPERLINK("https://ceds.ed.gov/cedselementdetails.aspx?termid=10627")</f>
        <v>https://ceds.ed.gov/cedselementdetails.aspx?termid=10627</v>
      </c>
      <c r="Q760" s="12" t="str">
        <f>HYPERLINK("https://ceds.ed.gov/elementComment.aspx?elementName=Financial Account Program Number &amp;elementID=10627", "Click here to submit comment")</f>
        <v>Click here to submit comment</v>
      </c>
    </row>
    <row r="761" spans="1:17" ht="45" x14ac:dyDescent="0.25">
      <c r="A761" s="12" t="s">
        <v>7242</v>
      </c>
      <c r="B761" s="12" t="s">
        <v>7243</v>
      </c>
      <c r="C761" s="12" t="s">
        <v>7192</v>
      </c>
      <c r="D761" s="12" t="s">
        <v>7172</v>
      </c>
      <c r="E761" s="12" t="s">
        <v>2888</v>
      </c>
      <c r="F761" s="12" t="s">
        <v>2889</v>
      </c>
      <c r="G761" s="12" t="s">
        <v>12</v>
      </c>
      <c r="H761" s="12"/>
      <c r="I761" s="12" t="s">
        <v>1498</v>
      </c>
      <c r="J761" s="12" t="s">
        <v>794</v>
      </c>
      <c r="K761" s="12"/>
      <c r="L761" s="12"/>
      <c r="M761" s="12" t="s">
        <v>2890</v>
      </c>
      <c r="N761" s="12"/>
      <c r="O761" s="12" t="s">
        <v>2891</v>
      </c>
      <c r="P761" s="12" t="str">
        <f>HYPERLINK("https://ceds.ed.gov/cedselementdetails.aspx?termid=10626")</f>
        <v>https://ceds.ed.gov/cedselementdetails.aspx?termid=10626</v>
      </c>
      <c r="Q761" s="12" t="str">
        <f>HYPERLINK("https://ceds.ed.gov/elementComment.aspx?elementName=Financial Account Program Name &amp;elementID=10626", "Click here to submit comment")</f>
        <v>Click here to submit comment</v>
      </c>
    </row>
    <row r="762" spans="1:17" ht="60" x14ac:dyDescent="0.25">
      <c r="A762" s="18" t="s">
        <v>7242</v>
      </c>
      <c r="B762" s="18" t="s">
        <v>7243</v>
      </c>
      <c r="C762" s="18" t="s">
        <v>7192</v>
      </c>
      <c r="D762" s="18" t="s">
        <v>7172</v>
      </c>
      <c r="E762" s="18" t="s">
        <v>2896</v>
      </c>
      <c r="F762" s="18" t="s">
        <v>2897</v>
      </c>
      <c r="G762" s="20" t="s">
        <v>6922</v>
      </c>
      <c r="H762" s="18"/>
      <c r="I762" s="18" t="s">
        <v>98</v>
      </c>
      <c r="J762" s="18"/>
      <c r="K762" s="18"/>
      <c r="L762" s="14" t="s">
        <v>2861</v>
      </c>
      <c r="M762" s="18" t="s">
        <v>2899</v>
      </c>
      <c r="N762" s="18"/>
      <c r="O762" s="18" t="s">
        <v>2900</v>
      </c>
      <c r="P762" s="18" t="str">
        <f>HYPERLINK("https://ceds.ed.gov/cedselementdetails.aspx?termid=10440")</f>
        <v>https://ceds.ed.gov/cedselementdetails.aspx?termid=10440</v>
      </c>
      <c r="Q762" s="18" t="str">
        <f>HYPERLINK("https://ceds.ed.gov/elementComment.aspx?elementName=Financial Account Revenue Code &amp;elementID=10440", "Click here to submit comment")</f>
        <v>Click here to submit comment</v>
      </c>
    </row>
    <row r="763" spans="1:17" x14ac:dyDescent="0.25">
      <c r="A763" s="18"/>
      <c r="B763" s="18"/>
      <c r="C763" s="18"/>
      <c r="D763" s="18"/>
      <c r="E763" s="18"/>
      <c r="F763" s="18"/>
      <c r="G763" s="18"/>
      <c r="H763" s="18"/>
      <c r="I763" s="18"/>
      <c r="J763" s="18"/>
      <c r="K763" s="18"/>
      <c r="L763" s="12"/>
      <c r="M763" s="18"/>
      <c r="N763" s="18"/>
      <c r="O763" s="18"/>
      <c r="P763" s="18"/>
      <c r="Q763" s="18"/>
    </row>
    <row r="764" spans="1:17" ht="30" x14ac:dyDescent="0.25">
      <c r="A764" s="18"/>
      <c r="B764" s="18"/>
      <c r="C764" s="18"/>
      <c r="D764" s="18"/>
      <c r="E764" s="18"/>
      <c r="F764" s="18"/>
      <c r="G764" s="18"/>
      <c r="H764" s="18"/>
      <c r="I764" s="18"/>
      <c r="J764" s="18"/>
      <c r="K764" s="18"/>
      <c r="L764" s="12" t="s">
        <v>2898</v>
      </c>
      <c r="M764" s="18"/>
      <c r="N764" s="18"/>
      <c r="O764" s="18"/>
      <c r="P764" s="18"/>
      <c r="Q764" s="18"/>
    </row>
    <row r="765" spans="1:17" ht="409.5" x14ac:dyDescent="0.25">
      <c r="A765" s="12" t="s">
        <v>7242</v>
      </c>
      <c r="B765" s="12" t="s">
        <v>7243</v>
      </c>
      <c r="C765" s="12" t="s">
        <v>7192</v>
      </c>
      <c r="D765" s="12" t="s">
        <v>7172</v>
      </c>
      <c r="E765" s="12" t="s">
        <v>2968</v>
      </c>
      <c r="F765" s="12" t="s">
        <v>2969</v>
      </c>
      <c r="G765" s="13" t="s">
        <v>6928</v>
      </c>
      <c r="H765" s="12"/>
      <c r="I765" s="12" t="s">
        <v>98</v>
      </c>
      <c r="J765" s="12"/>
      <c r="K765" s="12"/>
      <c r="L765" s="14" t="s">
        <v>2861</v>
      </c>
      <c r="M765" s="12" t="s">
        <v>2970</v>
      </c>
      <c r="N765" s="12"/>
      <c r="O765" s="12" t="s">
        <v>2971</v>
      </c>
      <c r="P765" s="12" t="str">
        <f>HYPERLINK("https://ceds.ed.gov/cedselementdetails.aspx?termid=10321")</f>
        <v>https://ceds.ed.gov/cedselementdetails.aspx?termid=10321</v>
      </c>
      <c r="Q765" s="12" t="str">
        <f>HYPERLINK("https://ceds.ed.gov/elementComment.aspx?elementName=Financial Expenditure Function Code &amp;elementID=10321", "Click here to submit comment")</f>
        <v>Click here to submit comment</v>
      </c>
    </row>
    <row r="766" spans="1:17" ht="409.5" x14ac:dyDescent="0.25">
      <c r="A766" s="12" t="s">
        <v>7242</v>
      </c>
      <c r="B766" s="12" t="s">
        <v>7243</v>
      </c>
      <c r="C766" s="12" t="s">
        <v>7192</v>
      </c>
      <c r="D766" s="12" t="s">
        <v>7172</v>
      </c>
      <c r="E766" s="12" t="s">
        <v>2976</v>
      </c>
      <c r="F766" s="12" t="s">
        <v>2977</v>
      </c>
      <c r="G766" s="13" t="s">
        <v>6930</v>
      </c>
      <c r="H766" s="12"/>
      <c r="I766" s="12" t="s">
        <v>98</v>
      </c>
      <c r="J766" s="12"/>
      <c r="K766" s="12"/>
      <c r="L766" s="14" t="s">
        <v>2861</v>
      </c>
      <c r="M766" s="12" t="s">
        <v>2978</v>
      </c>
      <c r="N766" s="12"/>
      <c r="O766" s="12" t="s">
        <v>2979</v>
      </c>
      <c r="P766" s="12" t="str">
        <f>HYPERLINK("https://ceds.ed.gov/cedselementdetails.aspx?termid=10322")</f>
        <v>https://ceds.ed.gov/cedselementdetails.aspx?termid=10322</v>
      </c>
      <c r="Q766" s="12" t="str">
        <f>HYPERLINK("https://ceds.ed.gov/elementComment.aspx?elementName=Financial Expenditure Object Code &amp;elementID=10322", "Click here to submit comment")</f>
        <v>Click here to submit comment</v>
      </c>
    </row>
    <row r="767" spans="1:17" ht="195" x14ac:dyDescent="0.25">
      <c r="A767" s="12" t="s">
        <v>7242</v>
      </c>
      <c r="B767" s="12" t="s">
        <v>7243</v>
      </c>
      <c r="C767" s="12" t="s">
        <v>7192</v>
      </c>
      <c r="D767" s="12" t="s">
        <v>7172</v>
      </c>
      <c r="E767" s="12" t="s">
        <v>2972</v>
      </c>
      <c r="F767" s="12" t="s">
        <v>2973</v>
      </c>
      <c r="G767" s="13" t="s">
        <v>6929</v>
      </c>
      <c r="H767" s="12"/>
      <c r="I767" s="12" t="s">
        <v>98</v>
      </c>
      <c r="J767" s="12"/>
      <c r="K767" s="12"/>
      <c r="L767" s="14" t="s">
        <v>2861</v>
      </c>
      <c r="M767" s="12" t="s">
        <v>2974</v>
      </c>
      <c r="N767" s="12"/>
      <c r="O767" s="12" t="s">
        <v>2975</v>
      </c>
      <c r="P767" s="12" t="str">
        <f>HYPERLINK("https://ceds.ed.gov/cedselementdetails.aspx?termid=10531")</f>
        <v>https://ceds.ed.gov/cedselementdetails.aspx?termid=10531</v>
      </c>
      <c r="Q767" s="12" t="str">
        <f>HYPERLINK("https://ceds.ed.gov/elementComment.aspx?elementName=Financial Expenditure Level of Instruction Code &amp;elementID=10531", "Click here to submit comment")</f>
        <v>Click here to submit comment</v>
      </c>
    </row>
    <row r="768" spans="1:17" ht="75" x14ac:dyDescent="0.25">
      <c r="A768" s="18" t="s">
        <v>7242</v>
      </c>
      <c r="B768" s="18" t="s">
        <v>7243</v>
      </c>
      <c r="C768" s="18" t="s">
        <v>7192</v>
      </c>
      <c r="D768" s="18" t="s">
        <v>7172</v>
      </c>
      <c r="E768" s="18" t="s">
        <v>2980</v>
      </c>
      <c r="F768" s="18" t="s">
        <v>2981</v>
      </c>
      <c r="G768" s="18"/>
      <c r="H768" s="18"/>
      <c r="I768" s="18" t="s">
        <v>98</v>
      </c>
      <c r="J768" s="18" t="s">
        <v>157</v>
      </c>
      <c r="K768" s="18"/>
      <c r="L768" s="14" t="s">
        <v>2982</v>
      </c>
      <c r="M768" s="18" t="s">
        <v>2987</v>
      </c>
      <c r="N768" s="18"/>
      <c r="O768" s="18" t="s">
        <v>2988</v>
      </c>
      <c r="P768" s="18" t="str">
        <f>HYPERLINK("https://ceds.ed.gov/cedselementdetails.aspx?termid=10532")</f>
        <v>https://ceds.ed.gov/cedselementdetails.aspx?termid=10532</v>
      </c>
      <c r="Q768" s="18" t="str">
        <f>HYPERLINK("https://ceds.ed.gov/elementComment.aspx?elementName=Financial Expenditure Project Reporting Code &amp;elementID=10532", "Click here to submit comment")</f>
        <v>Click here to submit comment</v>
      </c>
    </row>
    <row r="769" spans="1:17" x14ac:dyDescent="0.25">
      <c r="A769" s="18"/>
      <c r="B769" s="18"/>
      <c r="C769" s="18"/>
      <c r="D769" s="18"/>
      <c r="E769" s="18"/>
      <c r="F769" s="18"/>
      <c r="G769" s="18"/>
      <c r="H769" s="18"/>
      <c r="I769" s="18"/>
      <c r="J769" s="18"/>
      <c r="K769" s="18"/>
      <c r="L769" s="12"/>
      <c r="M769" s="18"/>
      <c r="N769" s="18"/>
      <c r="O769" s="18"/>
      <c r="P769" s="18"/>
      <c r="Q769" s="18"/>
    </row>
    <row r="770" spans="1:17" ht="45" x14ac:dyDescent="0.25">
      <c r="A770" s="18"/>
      <c r="B770" s="18"/>
      <c r="C770" s="18"/>
      <c r="D770" s="18"/>
      <c r="E770" s="18"/>
      <c r="F770" s="18"/>
      <c r="G770" s="18"/>
      <c r="H770" s="18"/>
      <c r="I770" s="18"/>
      <c r="J770" s="18"/>
      <c r="K770" s="18"/>
      <c r="L770" s="12" t="s">
        <v>2983</v>
      </c>
      <c r="M770" s="18"/>
      <c r="N770" s="18"/>
      <c r="O770" s="18"/>
      <c r="P770" s="18"/>
      <c r="Q770" s="18"/>
    </row>
    <row r="771" spans="1:17" x14ac:dyDescent="0.25">
      <c r="A771" s="18"/>
      <c r="B771" s="18"/>
      <c r="C771" s="18"/>
      <c r="D771" s="18"/>
      <c r="E771" s="18"/>
      <c r="F771" s="18"/>
      <c r="G771" s="18"/>
      <c r="H771" s="18"/>
      <c r="I771" s="18"/>
      <c r="J771" s="18"/>
      <c r="K771" s="18"/>
      <c r="L771" s="12"/>
      <c r="M771" s="18"/>
      <c r="N771" s="18"/>
      <c r="O771" s="18"/>
      <c r="P771" s="18"/>
      <c r="Q771" s="18"/>
    </row>
    <row r="772" spans="1:17" ht="45" x14ac:dyDescent="0.25">
      <c r="A772" s="18"/>
      <c r="B772" s="18"/>
      <c r="C772" s="18"/>
      <c r="D772" s="18"/>
      <c r="E772" s="18"/>
      <c r="F772" s="18"/>
      <c r="G772" s="18"/>
      <c r="H772" s="18"/>
      <c r="I772" s="18"/>
      <c r="J772" s="18"/>
      <c r="K772" s="18"/>
      <c r="L772" s="12" t="s">
        <v>2984</v>
      </c>
      <c r="M772" s="18"/>
      <c r="N772" s="18"/>
      <c r="O772" s="18"/>
      <c r="P772" s="18"/>
      <c r="Q772" s="18"/>
    </row>
    <row r="773" spans="1:17" x14ac:dyDescent="0.25">
      <c r="A773" s="18"/>
      <c r="B773" s="18"/>
      <c r="C773" s="18"/>
      <c r="D773" s="18"/>
      <c r="E773" s="18"/>
      <c r="F773" s="18"/>
      <c r="G773" s="18"/>
      <c r="H773" s="18"/>
      <c r="I773" s="18"/>
      <c r="J773" s="18"/>
      <c r="K773" s="18"/>
      <c r="L773" s="12"/>
      <c r="M773" s="18"/>
      <c r="N773" s="18"/>
      <c r="O773" s="18"/>
      <c r="P773" s="18"/>
      <c r="Q773" s="18"/>
    </row>
    <row r="774" spans="1:17" ht="60" x14ac:dyDescent="0.25">
      <c r="A774" s="18"/>
      <c r="B774" s="18"/>
      <c r="C774" s="18"/>
      <c r="D774" s="18"/>
      <c r="E774" s="18"/>
      <c r="F774" s="18"/>
      <c r="G774" s="18"/>
      <c r="H774" s="18"/>
      <c r="I774" s="18"/>
      <c r="J774" s="18"/>
      <c r="K774" s="18"/>
      <c r="L774" s="12" t="s">
        <v>2985</v>
      </c>
      <c r="M774" s="18"/>
      <c r="N774" s="18"/>
      <c r="O774" s="18"/>
      <c r="P774" s="18"/>
      <c r="Q774" s="18"/>
    </row>
    <row r="775" spans="1:17" x14ac:dyDescent="0.25">
      <c r="A775" s="18"/>
      <c r="B775" s="18"/>
      <c r="C775" s="18"/>
      <c r="D775" s="18"/>
      <c r="E775" s="18"/>
      <c r="F775" s="18"/>
      <c r="G775" s="18"/>
      <c r="H775" s="18"/>
      <c r="I775" s="18"/>
      <c r="J775" s="18"/>
      <c r="K775" s="18"/>
      <c r="L775" s="12"/>
      <c r="M775" s="18"/>
      <c r="N775" s="18"/>
      <c r="O775" s="18"/>
      <c r="P775" s="18"/>
      <c r="Q775" s="18"/>
    </row>
    <row r="776" spans="1:17" ht="30" x14ac:dyDescent="0.25">
      <c r="A776" s="18"/>
      <c r="B776" s="18"/>
      <c r="C776" s="18"/>
      <c r="D776" s="18"/>
      <c r="E776" s="18"/>
      <c r="F776" s="18"/>
      <c r="G776" s="18"/>
      <c r="H776" s="18"/>
      <c r="I776" s="18"/>
      <c r="J776" s="18"/>
      <c r="K776" s="18"/>
      <c r="L776" s="12" t="s">
        <v>2986</v>
      </c>
      <c r="M776" s="18"/>
      <c r="N776" s="18"/>
      <c r="O776" s="18"/>
      <c r="P776" s="18"/>
      <c r="Q776" s="18"/>
    </row>
    <row r="777" spans="1:17" ht="75" x14ac:dyDescent="0.25">
      <c r="A777" s="12" t="s">
        <v>7242</v>
      </c>
      <c r="B777" s="12" t="s">
        <v>7243</v>
      </c>
      <c r="C777" s="12" t="s">
        <v>7248</v>
      </c>
      <c r="D777" s="12" t="s">
        <v>7172</v>
      </c>
      <c r="E777" s="12" t="s">
        <v>1886</v>
      </c>
      <c r="F777" s="12" t="s">
        <v>1887</v>
      </c>
      <c r="G777" s="13" t="s">
        <v>6747</v>
      </c>
      <c r="H777" s="12" t="s">
        <v>222</v>
      </c>
      <c r="I777" s="12" t="s">
        <v>98</v>
      </c>
      <c r="J777" s="12"/>
      <c r="K777" s="12"/>
      <c r="L777" s="12"/>
      <c r="M777" s="12" t="s">
        <v>1889</v>
      </c>
      <c r="N777" s="12" t="s">
        <v>1890</v>
      </c>
      <c r="O777" s="12" t="s">
        <v>1891</v>
      </c>
      <c r="P777" s="12" t="str">
        <f>HYPERLINK("https://ceds.ed.gov/cedselementdetails.aspx?termid=9533")</f>
        <v>https://ceds.ed.gov/cedselementdetails.aspx?termid=9533</v>
      </c>
      <c r="Q777" s="12" t="str">
        <f>HYPERLINK("https://ceds.ed.gov/elementComment.aspx?elementName=Consolidated Migrant Education Program Funds Status &amp;elementID=9533", "Click here to submit comment")</f>
        <v>Click here to submit comment</v>
      </c>
    </row>
    <row r="778" spans="1:17" ht="135" x14ac:dyDescent="0.25">
      <c r="A778" s="12" t="s">
        <v>7242</v>
      </c>
      <c r="B778" s="12" t="s">
        <v>7243</v>
      </c>
      <c r="C778" s="12" t="s">
        <v>7248</v>
      </c>
      <c r="D778" s="12" t="s">
        <v>7176</v>
      </c>
      <c r="E778" s="12" t="s">
        <v>2846</v>
      </c>
      <c r="F778" s="12" t="s">
        <v>2847</v>
      </c>
      <c r="G778" s="12" t="s">
        <v>12</v>
      </c>
      <c r="H778" s="12" t="s">
        <v>222</v>
      </c>
      <c r="I778" s="12"/>
      <c r="J778" s="12" t="s">
        <v>1554</v>
      </c>
      <c r="K778" s="12"/>
      <c r="L778" s="12"/>
      <c r="M778" s="12" t="s">
        <v>2848</v>
      </c>
      <c r="N778" s="12"/>
      <c r="O778" s="12" t="s">
        <v>2849</v>
      </c>
      <c r="P778" s="12" t="str">
        <f>HYPERLINK("https://ceds.ed.gov/cedselementdetails.aspx?termid=9540")</f>
        <v>https://ceds.ed.gov/cedselementdetails.aspx?termid=9540</v>
      </c>
      <c r="Q778" s="12" t="str">
        <f>HYPERLINK("https://ceds.ed.gov/elementComment.aspx?elementName=Federal Programs Funding Allocation &amp;elementID=9540", "Click here to submit comment")</f>
        <v>Click here to submit comment</v>
      </c>
    </row>
    <row r="779" spans="1:17" ht="45" x14ac:dyDescent="0.25">
      <c r="A779" s="12" t="s">
        <v>7242</v>
      </c>
      <c r="B779" s="12" t="s">
        <v>7243</v>
      </c>
      <c r="C779" s="12" t="s">
        <v>7248</v>
      </c>
      <c r="D779" s="12" t="s">
        <v>7176</v>
      </c>
      <c r="E779" s="12" t="s">
        <v>3068</v>
      </c>
      <c r="F779" s="12" t="s">
        <v>3069</v>
      </c>
      <c r="G779" s="12" t="s">
        <v>12</v>
      </c>
      <c r="H779" s="12" t="s">
        <v>211</v>
      </c>
      <c r="I779" s="12"/>
      <c r="J779" s="12" t="s">
        <v>1554</v>
      </c>
      <c r="K779" s="12"/>
      <c r="L779" s="12"/>
      <c r="M779" s="12" t="s">
        <v>3070</v>
      </c>
      <c r="N779" s="12"/>
      <c r="O779" s="12" t="s">
        <v>3071</v>
      </c>
      <c r="P779" s="12" t="str">
        <f>HYPERLINK("https://ceds.ed.gov/cedselementdetails.aspx?termid=9442")</f>
        <v>https://ceds.ed.gov/cedselementdetails.aspx?termid=9442</v>
      </c>
      <c r="Q779" s="12" t="str">
        <f>HYPERLINK("https://ceds.ed.gov/elementComment.aspx?elementName=Funds Transfer Amount &amp;elementID=9442", "Click here to submit comment")</f>
        <v>Click here to submit comment</v>
      </c>
    </row>
    <row r="780" spans="1:17" ht="30" x14ac:dyDescent="0.25">
      <c r="A780" s="12" t="s">
        <v>7242</v>
      </c>
      <c r="B780" s="12" t="s">
        <v>7243</v>
      </c>
      <c r="C780" s="12" t="s">
        <v>7248</v>
      </c>
      <c r="D780" s="12" t="s">
        <v>7176</v>
      </c>
      <c r="E780" s="12" t="s">
        <v>3521</v>
      </c>
      <c r="F780" s="12" t="s">
        <v>3522</v>
      </c>
      <c r="G780" s="12" t="s">
        <v>12</v>
      </c>
      <c r="H780" s="12" t="s">
        <v>211</v>
      </c>
      <c r="I780" s="12"/>
      <c r="J780" s="12" t="s">
        <v>1554</v>
      </c>
      <c r="K780" s="12"/>
      <c r="L780" s="12"/>
      <c r="M780" s="12" t="s">
        <v>3523</v>
      </c>
      <c r="N780" s="12"/>
      <c r="O780" s="12" t="s">
        <v>3524</v>
      </c>
      <c r="P780" s="12" t="str">
        <f>HYPERLINK("https://ceds.ed.gov/cedselementdetails.aspx?termid=9454")</f>
        <v>https://ceds.ed.gov/cedselementdetails.aspx?termid=9454</v>
      </c>
      <c r="Q780" s="12" t="str">
        <f>HYPERLINK("https://ceds.ed.gov/elementComment.aspx?elementName=Innovative Programs Funds Received &amp;elementID=9454", "Click here to submit comment")</f>
        <v>Click here to submit comment</v>
      </c>
    </row>
    <row r="781" spans="1:17" ht="30" x14ac:dyDescent="0.25">
      <c r="A781" s="12" t="s">
        <v>7242</v>
      </c>
      <c r="B781" s="12" t="s">
        <v>7243</v>
      </c>
      <c r="C781" s="12" t="s">
        <v>7248</v>
      </c>
      <c r="D781" s="12" t="s">
        <v>7176</v>
      </c>
      <c r="E781" s="12" t="s">
        <v>3513</v>
      </c>
      <c r="F781" s="12" t="s">
        <v>3514</v>
      </c>
      <c r="G781" s="12" t="s">
        <v>12</v>
      </c>
      <c r="H781" s="12" t="s">
        <v>211</v>
      </c>
      <c r="I781" s="12"/>
      <c r="J781" s="12" t="s">
        <v>1554</v>
      </c>
      <c r="K781" s="12"/>
      <c r="L781" s="12"/>
      <c r="M781" s="12" t="s">
        <v>3515</v>
      </c>
      <c r="N781" s="12"/>
      <c r="O781" s="12" t="s">
        <v>3516</v>
      </c>
      <c r="P781" s="12" t="str">
        <f>HYPERLINK("https://ceds.ed.gov/cedselementdetails.aspx?termid=9451")</f>
        <v>https://ceds.ed.gov/cedselementdetails.aspx?termid=9451</v>
      </c>
      <c r="Q781" s="12" t="str">
        <f>HYPERLINK("https://ceds.ed.gov/elementComment.aspx?elementName=Innovative Dollars Spent &amp;elementID=9451", "Click here to submit comment")</f>
        <v>Click here to submit comment</v>
      </c>
    </row>
    <row r="782" spans="1:17" ht="45" x14ac:dyDescent="0.25">
      <c r="A782" s="12" t="s">
        <v>7242</v>
      </c>
      <c r="B782" s="12" t="s">
        <v>7243</v>
      </c>
      <c r="C782" s="12" t="s">
        <v>7248</v>
      </c>
      <c r="D782" s="12" t="s">
        <v>7176</v>
      </c>
      <c r="E782" s="12" t="s">
        <v>3517</v>
      </c>
      <c r="F782" s="12" t="s">
        <v>3518</v>
      </c>
      <c r="G782" s="12" t="s">
        <v>12</v>
      </c>
      <c r="H782" s="12" t="s">
        <v>211</v>
      </c>
      <c r="I782" s="12"/>
      <c r="J782" s="12" t="s">
        <v>1554</v>
      </c>
      <c r="K782" s="12"/>
      <c r="L782" s="12"/>
      <c r="M782" s="12" t="s">
        <v>3519</v>
      </c>
      <c r="N782" s="12"/>
      <c r="O782" s="12" t="s">
        <v>3520</v>
      </c>
      <c r="P782" s="12" t="str">
        <f>HYPERLINK("https://ceds.ed.gov/cedselementdetails.aspx?termid=9452")</f>
        <v>https://ceds.ed.gov/cedselementdetails.aspx?termid=9452</v>
      </c>
      <c r="Q782" s="12" t="str">
        <f>HYPERLINK("https://ceds.ed.gov/elementComment.aspx?elementName=Innovative Dollars Spent on Strategic Priorities &amp;elementID=9452", "Click here to submit comment")</f>
        <v>Click here to submit comment</v>
      </c>
    </row>
    <row r="783" spans="1:17" ht="60" x14ac:dyDescent="0.25">
      <c r="A783" s="12" t="s">
        <v>7242</v>
      </c>
      <c r="B783" s="12" t="s">
        <v>7243</v>
      </c>
      <c r="C783" s="12" t="s">
        <v>7248</v>
      </c>
      <c r="D783" s="12" t="s">
        <v>7176</v>
      </c>
      <c r="E783" s="12" t="s">
        <v>5226</v>
      </c>
      <c r="F783" s="12" t="s">
        <v>5227</v>
      </c>
      <c r="G783" s="12" t="s">
        <v>12</v>
      </c>
      <c r="H783" s="12" t="s">
        <v>222</v>
      </c>
      <c r="I783" s="12"/>
      <c r="J783" s="12" t="s">
        <v>1554</v>
      </c>
      <c r="K783" s="12"/>
      <c r="L783" s="12"/>
      <c r="M783" s="12" t="s">
        <v>5228</v>
      </c>
      <c r="N783" s="12"/>
      <c r="O783" s="12" t="s">
        <v>5229</v>
      </c>
      <c r="P783" s="12" t="str">
        <f>HYPERLINK("https://ceds.ed.gov/cedselementdetails.aspx?termid=9560")</f>
        <v>https://ceds.ed.gov/cedselementdetails.aspx?termid=9560</v>
      </c>
      <c r="Q783" s="12" t="str">
        <f>HYPERLINK("https://ceds.ed.gov/elementComment.aspx?elementName=Public School Choice Funds Spent &amp;elementID=9560", "Click here to submit comment")</f>
        <v>Click here to submit comment</v>
      </c>
    </row>
    <row r="784" spans="1:17" ht="90" x14ac:dyDescent="0.25">
      <c r="A784" s="12" t="s">
        <v>7242</v>
      </c>
      <c r="B784" s="12" t="s">
        <v>7243</v>
      </c>
      <c r="C784" s="12" t="s">
        <v>7248</v>
      </c>
      <c r="D784" s="12" t="s">
        <v>7172</v>
      </c>
      <c r="E784" s="12" t="s">
        <v>5598</v>
      </c>
      <c r="F784" s="12" t="s">
        <v>5599</v>
      </c>
      <c r="G784" s="13" t="s">
        <v>7104</v>
      </c>
      <c r="H784" s="12" t="s">
        <v>222</v>
      </c>
      <c r="I784" s="12"/>
      <c r="J784" s="12"/>
      <c r="K784" s="12"/>
      <c r="L784" s="12"/>
      <c r="M784" s="12" t="s">
        <v>5600</v>
      </c>
      <c r="N784" s="12"/>
      <c r="O784" s="12" t="s">
        <v>5601</v>
      </c>
      <c r="P784" s="12" t="str">
        <f>HYPERLINK("https://ceds.ed.gov/cedselementdetails.aspx?termid=9239")</f>
        <v>https://ceds.ed.gov/cedselementdetails.aspx?termid=9239</v>
      </c>
      <c r="Q784" s="12" t="str">
        <f>HYPERLINK("https://ceds.ed.gov/elementComment.aspx?elementName=School Improvement Grant Intervention Type &amp;elementID=9239", "Click here to submit comment")</f>
        <v>Click here to submit comment</v>
      </c>
    </row>
    <row r="785" spans="1:17" ht="105" x14ac:dyDescent="0.25">
      <c r="A785" s="12" t="s">
        <v>7242</v>
      </c>
      <c r="B785" s="12" t="s">
        <v>7243</v>
      </c>
      <c r="C785" s="12" t="s">
        <v>7248</v>
      </c>
      <c r="D785" s="12" t="s">
        <v>7176</v>
      </c>
      <c r="E785" s="12" t="s">
        <v>5602</v>
      </c>
      <c r="F785" s="12" t="s">
        <v>5603</v>
      </c>
      <c r="G785" s="12" t="s">
        <v>12</v>
      </c>
      <c r="H785" s="12" t="s">
        <v>211</v>
      </c>
      <c r="I785" s="12"/>
      <c r="J785" s="12" t="s">
        <v>789</v>
      </c>
      <c r="K785" s="12"/>
      <c r="L785" s="12"/>
      <c r="M785" s="12" t="s">
        <v>5604</v>
      </c>
      <c r="N785" s="12"/>
      <c r="O785" s="12" t="s">
        <v>5605</v>
      </c>
      <c r="P785" s="12" t="str">
        <f>HYPERLINK("https://ceds.ed.gov/cedselementdetails.aspx?termid=9470")</f>
        <v>https://ceds.ed.gov/cedselementdetails.aspx?termid=9470</v>
      </c>
      <c r="Q785" s="12" t="str">
        <f>HYPERLINK("https://ceds.ed.gov/elementComment.aspx?elementName=School Improvement Reserved Funds Percentage &amp;elementID=9470", "Click here to submit comment")</f>
        <v>Click here to submit comment</v>
      </c>
    </row>
    <row r="786" spans="1:17" ht="30" x14ac:dyDescent="0.25">
      <c r="A786" s="12" t="s">
        <v>7242</v>
      </c>
      <c r="B786" s="12" t="s">
        <v>7243</v>
      </c>
      <c r="C786" s="12" t="s">
        <v>7248</v>
      </c>
      <c r="D786" s="12" t="s">
        <v>7176</v>
      </c>
      <c r="E786" s="12" t="s">
        <v>5586</v>
      </c>
      <c r="F786" s="12" t="s">
        <v>5587</v>
      </c>
      <c r="G786" s="12" t="s">
        <v>12</v>
      </c>
      <c r="H786" s="12" t="s">
        <v>211</v>
      </c>
      <c r="I786" s="12"/>
      <c r="J786" s="12" t="s">
        <v>1554</v>
      </c>
      <c r="K786" s="12"/>
      <c r="L786" s="12"/>
      <c r="M786" s="12" t="s">
        <v>5588</v>
      </c>
      <c r="N786" s="12"/>
      <c r="O786" s="12" t="s">
        <v>5589</v>
      </c>
      <c r="P786" s="12" t="str">
        <f>HYPERLINK("https://ceds.ed.gov/cedselementdetails.aspx?termid=9471")</f>
        <v>https://ceds.ed.gov/cedselementdetails.aspx?termid=9471</v>
      </c>
      <c r="Q786" s="12" t="str">
        <f>HYPERLINK("https://ceds.ed.gov/elementComment.aspx?elementName=School Improvement Allocation &amp;elementID=9471", "Click here to submit comment")</f>
        <v>Click here to submit comment</v>
      </c>
    </row>
    <row r="787" spans="1:17" ht="75" x14ac:dyDescent="0.25">
      <c r="A787" s="12" t="s">
        <v>7242</v>
      </c>
      <c r="B787" s="12" t="s">
        <v>7243</v>
      </c>
      <c r="C787" s="12" t="s">
        <v>7248</v>
      </c>
      <c r="D787" s="12" t="s">
        <v>7176</v>
      </c>
      <c r="E787" s="12" t="s">
        <v>6009</v>
      </c>
      <c r="F787" s="12" t="s">
        <v>6010</v>
      </c>
      <c r="G787" s="12" t="s">
        <v>12</v>
      </c>
      <c r="H787" s="12" t="s">
        <v>222</v>
      </c>
      <c r="I787" s="12"/>
      <c r="J787" s="12" t="s">
        <v>1554</v>
      </c>
      <c r="K787" s="12"/>
      <c r="L787" s="12"/>
      <c r="M787" s="12" t="s">
        <v>6011</v>
      </c>
      <c r="N787" s="12" t="s">
        <v>6012</v>
      </c>
      <c r="O787" s="12" t="s">
        <v>6013</v>
      </c>
      <c r="P787" s="12" t="str">
        <f>HYPERLINK("https://ceds.ed.gov/cedselementdetails.aspx?termid=9559")</f>
        <v>https://ceds.ed.gov/cedselementdetails.aspx?termid=9559</v>
      </c>
      <c r="Q787" s="12" t="str">
        <f>HYPERLINK("https://ceds.ed.gov/elementComment.aspx?elementName=Supplemental Educational Services Funds Spent &amp;elementID=9559", "Click here to submit comment")</f>
        <v>Click here to submit comment</v>
      </c>
    </row>
    <row r="788" spans="1:17" ht="60" x14ac:dyDescent="0.25">
      <c r="A788" s="12" t="s">
        <v>7242</v>
      </c>
      <c r="B788" s="12" t="s">
        <v>7243</v>
      </c>
      <c r="C788" s="12" t="s">
        <v>7248</v>
      </c>
      <c r="D788" s="12" t="s">
        <v>7176</v>
      </c>
      <c r="E788" s="12" t="s">
        <v>6014</v>
      </c>
      <c r="F788" s="12" t="s">
        <v>6015</v>
      </c>
      <c r="G788" s="12" t="s">
        <v>12</v>
      </c>
      <c r="H788" s="12" t="s">
        <v>222</v>
      </c>
      <c r="I788" s="12"/>
      <c r="J788" s="12" t="s">
        <v>1554</v>
      </c>
      <c r="K788" s="12"/>
      <c r="L788" s="12"/>
      <c r="M788" s="12" t="s">
        <v>6016</v>
      </c>
      <c r="N788" s="12" t="s">
        <v>6017</v>
      </c>
      <c r="O788" s="12" t="s">
        <v>6018</v>
      </c>
      <c r="P788" s="12" t="str">
        <f>HYPERLINK("https://ceds.ed.gov/cedselementdetails.aspx?termid=9567")</f>
        <v>https://ceds.ed.gov/cedselementdetails.aspx?termid=9567</v>
      </c>
      <c r="Q788" s="12" t="str">
        <f>HYPERLINK("https://ceds.ed.gov/elementComment.aspx?elementName=Supplemental Educational Services Per Pupil Expenditure &amp;elementID=9567", "Click here to submit comment")</f>
        <v>Click here to submit comment</v>
      </c>
    </row>
    <row r="789" spans="1:17" ht="60" x14ac:dyDescent="0.25">
      <c r="A789" s="12" t="s">
        <v>7242</v>
      </c>
      <c r="B789" s="12" t="s">
        <v>7243</v>
      </c>
      <c r="C789" s="12" t="s">
        <v>7248</v>
      </c>
      <c r="D789" s="12" t="s">
        <v>7176</v>
      </c>
      <c r="E789" s="12" t="s">
        <v>6004</v>
      </c>
      <c r="F789" s="12" t="s">
        <v>6005</v>
      </c>
      <c r="G789" s="12" t="s">
        <v>12</v>
      </c>
      <c r="H789" s="12" t="s">
        <v>222</v>
      </c>
      <c r="I789" s="12"/>
      <c r="J789" s="12" t="s">
        <v>1554</v>
      </c>
      <c r="K789" s="12"/>
      <c r="L789" s="12"/>
      <c r="M789" s="12" t="s">
        <v>6006</v>
      </c>
      <c r="N789" s="12" t="s">
        <v>6007</v>
      </c>
      <c r="O789" s="12" t="s">
        <v>6008</v>
      </c>
      <c r="P789" s="12" t="str">
        <f>HYPERLINK("https://ceds.ed.gov/cedselementdetails.aspx?termid=9566")</f>
        <v>https://ceds.ed.gov/cedselementdetails.aspx?termid=9566</v>
      </c>
      <c r="Q789" s="12" t="str">
        <f>HYPERLINK("https://ceds.ed.gov/elementComment.aspx?elementName=Supplemental Education Services Public School Choice Twenty Percent Obligation &amp;elementID=9566", "Click here to submit comment")</f>
        <v>Click here to submit comment</v>
      </c>
    </row>
    <row r="790" spans="1:17" ht="195" x14ac:dyDescent="0.25">
      <c r="A790" s="12" t="s">
        <v>7242</v>
      </c>
      <c r="B790" s="12" t="s">
        <v>7243</v>
      </c>
      <c r="C790" s="12" t="s">
        <v>7248</v>
      </c>
      <c r="D790" s="12" t="s">
        <v>7176</v>
      </c>
      <c r="E790" s="12" t="s">
        <v>6259</v>
      </c>
      <c r="F790" s="12" t="s">
        <v>6260</v>
      </c>
      <c r="G790" s="13" t="s">
        <v>7149</v>
      </c>
      <c r="H790" s="12" t="s">
        <v>211</v>
      </c>
      <c r="I790" s="12"/>
      <c r="J790" s="12"/>
      <c r="K790" s="12"/>
      <c r="L790" s="12"/>
      <c r="M790" s="12" t="s">
        <v>6261</v>
      </c>
      <c r="N790" s="12" t="s">
        <v>6262</v>
      </c>
      <c r="O790" s="12" t="s">
        <v>6263</v>
      </c>
      <c r="P790" s="12" t="str">
        <f>HYPERLINK("https://ceds.ed.gov/cedselementdetails.aspx?termid=9477")</f>
        <v>https://ceds.ed.gov/cedselementdetails.aspx?termid=9477</v>
      </c>
      <c r="Q790" s="12" t="str">
        <f>HYPERLINK("https://ceds.ed.gov/elementComment.aspx?elementName=Type of Use of the Rural Low-Income Schools Program &amp;elementID=9477", "Click here to submit comment")</f>
        <v>Click here to submit comment</v>
      </c>
    </row>
    <row r="791" spans="1:17" ht="75" x14ac:dyDescent="0.25">
      <c r="A791" s="12" t="s">
        <v>7242</v>
      </c>
      <c r="B791" s="12" t="s">
        <v>7243</v>
      </c>
      <c r="C791" s="12" t="s">
        <v>7248</v>
      </c>
      <c r="D791" s="12" t="s">
        <v>7176</v>
      </c>
      <c r="E791" s="12" t="s">
        <v>2842</v>
      </c>
      <c r="F791" s="12" t="s">
        <v>2843</v>
      </c>
      <c r="G791" s="12" t="s">
        <v>12</v>
      </c>
      <c r="H791" s="12" t="s">
        <v>222</v>
      </c>
      <c r="I791" s="12"/>
      <c r="J791" s="12"/>
      <c r="K791" s="12"/>
      <c r="L791" s="12"/>
      <c r="M791" s="12" t="s">
        <v>2844</v>
      </c>
      <c r="N791" s="12"/>
      <c r="O791" s="12" t="s">
        <v>2845</v>
      </c>
      <c r="P791" s="12" t="str">
        <f>HYPERLINK("https://ceds.ed.gov/cedselementdetails.aspx?termid=9538")</f>
        <v>https://ceds.ed.gov/cedselementdetails.aspx?termid=9538</v>
      </c>
      <c r="Q791" s="12" t="str">
        <f>HYPERLINK("https://ceds.ed.gov/elementComment.aspx?elementName=Federal Program Code &amp;elementID=9538", "Click here to submit comment")</f>
        <v>Click here to submit comment</v>
      </c>
    </row>
    <row r="792" spans="1:17" ht="120" x14ac:dyDescent="0.25">
      <c r="A792" s="12" t="s">
        <v>7242</v>
      </c>
      <c r="B792" s="12" t="s">
        <v>7243</v>
      </c>
      <c r="C792" s="12" t="s">
        <v>7249</v>
      </c>
      <c r="D792" s="12" t="s">
        <v>7176</v>
      </c>
      <c r="E792" s="12" t="s">
        <v>5671</v>
      </c>
      <c r="F792" s="12" t="s">
        <v>5672</v>
      </c>
      <c r="G792" s="12" t="s">
        <v>12</v>
      </c>
      <c r="H792" s="12" t="s">
        <v>6429</v>
      </c>
      <c r="I792" s="12"/>
      <c r="J792" s="12" t="s">
        <v>73</v>
      </c>
      <c r="K792" s="12"/>
      <c r="L792" s="12"/>
      <c r="M792" s="12" t="s">
        <v>5673</v>
      </c>
      <c r="N792" s="12"/>
      <c r="O792" s="12" t="s">
        <v>5674</v>
      </c>
      <c r="P792" s="12" t="str">
        <f>HYPERLINK("https://ceds.ed.gov/cedselementdetails.aspx?termid=9251")</f>
        <v>https://ceds.ed.gov/cedselementdetails.aspx?termid=9251</v>
      </c>
      <c r="Q792" s="12" t="str">
        <f>HYPERLINK("https://ceds.ed.gov/elementComment.aspx?elementName=Session Begin Date &amp;elementID=9251", "Click here to submit comment")</f>
        <v>Click here to submit comment</v>
      </c>
    </row>
    <row r="793" spans="1:17" ht="120" x14ac:dyDescent="0.25">
      <c r="A793" s="12" t="s">
        <v>7242</v>
      </c>
      <c r="B793" s="12" t="s">
        <v>7243</v>
      </c>
      <c r="C793" s="12" t="s">
        <v>7249</v>
      </c>
      <c r="D793" s="12" t="s">
        <v>7176</v>
      </c>
      <c r="E793" s="12" t="s">
        <v>5687</v>
      </c>
      <c r="F793" s="12" t="s">
        <v>5688</v>
      </c>
      <c r="G793" s="12" t="s">
        <v>12</v>
      </c>
      <c r="H793" s="12" t="s">
        <v>6429</v>
      </c>
      <c r="I793" s="12"/>
      <c r="J793" s="12" t="s">
        <v>73</v>
      </c>
      <c r="K793" s="12"/>
      <c r="L793" s="12"/>
      <c r="M793" s="12" t="s">
        <v>5689</v>
      </c>
      <c r="N793" s="12"/>
      <c r="O793" s="12" t="s">
        <v>5690</v>
      </c>
      <c r="P793" s="12" t="str">
        <f>HYPERLINK("https://ceds.ed.gov/cedselementdetails.aspx?termid=9253")</f>
        <v>https://ceds.ed.gov/cedselementdetails.aspx?termid=9253</v>
      </c>
      <c r="Q793" s="12" t="str">
        <f>HYPERLINK("https://ceds.ed.gov/elementComment.aspx?elementName=Session End Date &amp;elementID=9253", "Click here to submit comment")</f>
        <v>Click here to submit comment</v>
      </c>
    </row>
    <row r="794" spans="1:17" ht="30" x14ac:dyDescent="0.25">
      <c r="A794" s="12" t="s">
        <v>7242</v>
      </c>
      <c r="B794" s="12" t="s">
        <v>7243</v>
      </c>
      <c r="C794" s="12" t="s">
        <v>7249</v>
      </c>
      <c r="D794" s="12" t="s">
        <v>7176</v>
      </c>
      <c r="E794" s="12" t="s">
        <v>5683</v>
      </c>
      <c r="F794" s="12" t="s">
        <v>5684</v>
      </c>
      <c r="G794" s="12" t="s">
        <v>12</v>
      </c>
      <c r="H794" s="12" t="s">
        <v>6446</v>
      </c>
      <c r="I794" s="12"/>
      <c r="J794" s="12" t="s">
        <v>2328</v>
      </c>
      <c r="K794" s="12"/>
      <c r="L794" s="12"/>
      <c r="M794" s="12" t="s">
        <v>5685</v>
      </c>
      <c r="N794" s="12"/>
      <c r="O794" s="12" t="s">
        <v>5686</v>
      </c>
      <c r="P794" s="12" t="str">
        <f>HYPERLINK("https://ceds.ed.gov/cedselementdetails.aspx?termid=9252")</f>
        <v>https://ceds.ed.gov/cedselementdetails.aspx?termid=9252</v>
      </c>
      <c r="Q794" s="12" t="str">
        <f>HYPERLINK("https://ceds.ed.gov/elementComment.aspx?elementName=Session Designator &amp;elementID=9252", "Click here to submit comment")</f>
        <v>Click here to submit comment</v>
      </c>
    </row>
    <row r="795" spans="1:17" ht="180" x14ac:dyDescent="0.25">
      <c r="A795" s="12" t="s">
        <v>7242</v>
      </c>
      <c r="B795" s="12" t="s">
        <v>7243</v>
      </c>
      <c r="C795" s="12" t="s">
        <v>7249</v>
      </c>
      <c r="D795" s="12" t="s">
        <v>7176</v>
      </c>
      <c r="E795" s="12" t="s">
        <v>5707</v>
      </c>
      <c r="F795" s="12" t="s">
        <v>5708</v>
      </c>
      <c r="G795" s="13" t="s">
        <v>7111</v>
      </c>
      <c r="H795" s="12" t="s">
        <v>6429</v>
      </c>
      <c r="I795" s="12"/>
      <c r="J795" s="12"/>
      <c r="K795" s="12"/>
      <c r="L795" s="12"/>
      <c r="M795" s="12" t="s">
        <v>5709</v>
      </c>
      <c r="N795" s="12"/>
      <c r="O795" s="12" t="s">
        <v>5710</v>
      </c>
      <c r="P795" s="12" t="str">
        <f>HYPERLINK("https://ceds.ed.gov/cedselementdetails.aspx?termid=9254")</f>
        <v>https://ceds.ed.gov/cedselementdetails.aspx?termid=9254</v>
      </c>
      <c r="Q795" s="12" t="str">
        <f>HYPERLINK("https://ceds.ed.gov/elementComment.aspx?elementName=Session Type &amp;elementID=9254", "Click here to submit comment")</f>
        <v>Click here to submit comment</v>
      </c>
    </row>
    <row r="796" spans="1:17" ht="60" x14ac:dyDescent="0.25">
      <c r="A796" s="12" t="s">
        <v>7242</v>
      </c>
      <c r="B796" s="12" t="s">
        <v>7243</v>
      </c>
      <c r="C796" s="12" t="s">
        <v>7249</v>
      </c>
      <c r="D796" s="12" t="s">
        <v>7172</v>
      </c>
      <c r="E796" s="12" t="s">
        <v>5675</v>
      </c>
      <c r="F796" s="12" t="s">
        <v>5676</v>
      </c>
      <c r="G796" s="12" t="s">
        <v>12</v>
      </c>
      <c r="H796" s="12"/>
      <c r="I796" s="12"/>
      <c r="J796" s="12" t="s">
        <v>92</v>
      </c>
      <c r="K796" s="12"/>
      <c r="L796" s="12"/>
      <c r="M796" s="12" t="s">
        <v>5677</v>
      </c>
      <c r="N796" s="12"/>
      <c r="O796" s="12" t="s">
        <v>5678</v>
      </c>
      <c r="P796" s="12" t="str">
        <f>HYPERLINK("https://ceds.ed.gov/cedselementdetails.aspx?termid=10236")</f>
        <v>https://ceds.ed.gov/cedselementdetails.aspx?termid=10236</v>
      </c>
      <c r="Q796" s="12" t="str">
        <f>HYPERLINK("https://ceds.ed.gov/elementComment.aspx?elementName=Session Code &amp;elementID=10236", "Click here to submit comment")</f>
        <v>Click here to submit comment</v>
      </c>
    </row>
    <row r="797" spans="1:17" ht="30" x14ac:dyDescent="0.25">
      <c r="A797" s="12" t="s">
        <v>7242</v>
      </c>
      <c r="B797" s="12" t="s">
        <v>7243</v>
      </c>
      <c r="C797" s="12" t="s">
        <v>7249</v>
      </c>
      <c r="D797" s="12" t="s">
        <v>7172</v>
      </c>
      <c r="E797" s="12" t="s">
        <v>5679</v>
      </c>
      <c r="F797" s="12" t="s">
        <v>5680</v>
      </c>
      <c r="G797" s="12" t="s">
        <v>12</v>
      </c>
      <c r="H797" s="12"/>
      <c r="I797" s="12"/>
      <c r="J797" s="12" t="s">
        <v>327</v>
      </c>
      <c r="K797" s="12"/>
      <c r="L797" s="12"/>
      <c r="M797" s="12" t="s">
        <v>5681</v>
      </c>
      <c r="N797" s="12"/>
      <c r="O797" s="12" t="s">
        <v>5682</v>
      </c>
      <c r="P797" s="12" t="str">
        <f>HYPERLINK("https://ceds.ed.gov/cedselementdetails.aspx?termid=10237")</f>
        <v>https://ceds.ed.gov/cedselementdetails.aspx?termid=10237</v>
      </c>
      <c r="Q797" s="12" t="str">
        <f>HYPERLINK("https://ceds.ed.gov/elementComment.aspx?elementName=Session Description &amp;elementID=10237", "Click here to submit comment")</f>
        <v>Click here to submit comment</v>
      </c>
    </row>
    <row r="798" spans="1:17" ht="45" x14ac:dyDescent="0.25">
      <c r="A798" s="12" t="s">
        <v>7242</v>
      </c>
      <c r="B798" s="12" t="s">
        <v>7243</v>
      </c>
      <c r="C798" s="12" t="s">
        <v>7249</v>
      </c>
      <c r="D798" s="12" t="s">
        <v>7172</v>
      </c>
      <c r="E798" s="12" t="s">
        <v>5695</v>
      </c>
      <c r="F798" s="12" t="s">
        <v>5696</v>
      </c>
      <c r="G798" s="12" t="s">
        <v>6364</v>
      </c>
      <c r="H798" s="12"/>
      <c r="I798" s="12"/>
      <c r="J798" s="12"/>
      <c r="K798" s="12"/>
      <c r="L798" s="12"/>
      <c r="M798" s="12" t="s">
        <v>5697</v>
      </c>
      <c r="N798" s="12"/>
      <c r="O798" s="12" t="s">
        <v>5698</v>
      </c>
      <c r="P798" s="12" t="str">
        <f>HYPERLINK("https://ceds.ed.gov/cedselementdetails.aspx?termid=10238")</f>
        <v>https://ceds.ed.gov/cedselementdetails.aspx?termid=10238</v>
      </c>
      <c r="Q798" s="12" t="str">
        <f>HYPERLINK("https://ceds.ed.gov/elementComment.aspx?elementName=Session Marking Term Indicator &amp;elementID=10238", "Click here to submit comment")</f>
        <v>Click here to submit comment</v>
      </c>
    </row>
    <row r="799" spans="1:17" ht="45" x14ac:dyDescent="0.25">
      <c r="A799" s="12" t="s">
        <v>7242</v>
      </c>
      <c r="B799" s="12" t="s">
        <v>7243</v>
      </c>
      <c r="C799" s="12" t="s">
        <v>7249</v>
      </c>
      <c r="D799" s="12" t="s">
        <v>7172</v>
      </c>
      <c r="E799" s="12" t="s">
        <v>5699</v>
      </c>
      <c r="F799" s="12" t="s">
        <v>5700</v>
      </c>
      <c r="G799" s="12" t="s">
        <v>6364</v>
      </c>
      <c r="H799" s="12"/>
      <c r="I799" s="12"/>
      <c r="J799" s="12"/>
      <c r="K799" s="12"/>
      <c r="L799" s="12"/>
      <c r="M799" s="12" t="s">
        <v>5701</v>
      </c>
      <c r="N799" s="12"/>
      <c r="O799" s="12" t="s">
        <v>5702</v>
      </c>
      <c r="P799" s="12" t="str">
        <f>HYPERLINK("https://ceds.ed.gov/cedselementdetails.aspx?termid=10239")</f>
        <v>https://ceds.ed.gov/cedselementdetails.aspx?termid=10239</v>
      </c>
      <c r="Q799" s="12" t="str">
        <f>HYPERLINK("https://ceds.ed.gov/elementComment.aspx?elementName=Session Scheduling Term Indicator &amp;elementID=10239", "Click here to submit comment")</f>
        <v>Click here to submit comment</v>
      </c>
    </row>
    <row r="800" spans="1:17" ht="45" x14ac:dyDescent="0.25">
      <c r="A800" s="12" t="s">
        <v>7242</v>
      </c>
      <c r="B800" s="12" t="s">
        <v>7243</v>
      </c>
      <c r="C800" s="12" t="s">
        <v>7249</v>
      </c>
      <c r="D800" s="12" t="s">
        <v>7172</v>
      </c>
      <c r="E800" s="12" t="s">
        <v>5667</v>
      </c>
      <c r="F800" s="12" t="s">
        <v>5668</v>
      </c>
      <c r="G800" s="12" t="s">
        <v>6364</v>
      </c>
      <c r="H800" s="12"/>
      <c r="I800" s="12"/>
      <c r="J800" s="12"/>
      <c r="K800" s="12"/>
      <c r="L800" s="12"/>
      <c r="M800" s="12" t="s">
        <v>5669</v>
      </c>
      <c r="N800" s="12"/>
      <c r="O800" s="12" t="s">
        <v>5670</v>
      </c>
      <c r="P800" s="12" t="str">
        <f>HYPERLINK("https://ceds.ed.gov/cedselementdetails.aspx?termid=10240")</f>
        <v>https://ceds.ed.gov/cedselementdetails.aspx?termid=10240</v>
      </c>
      <c r="Q800" s="12" t="str">
        <f>HYPERLINK("https://ceds.ed.gov/elementComment.aspx?elementName=Session Attendance Term Indicator &amp;elementID=10240", "Click here to submit comment")</f>
        <v>Click here to submit comment</v>
      </c>
    </row>
    <row r="801" spans="1:17" ht="45" x14ac:dyDescent="0.25">
      <c r="A801" s="12" t="s">
        <v>7242</v>
      </c>
      <c r="B801" s="12" t="s">
        <v>7243</v>
      </c>
      <c r="C801" s="12" t="s">
        <v>7249</v>
      </c>
      <c r="D801" s="12" t="s">
        <v>7172</v>
      </c>
      <c r="E801" s="12" t="s">
        <v>5622</v>
      </c>
      <c r="F801" s="12" t="s">
        <v>5623</v>
      </c>
      <c r="G801" s="12" t="s">
        <v>12</v>
      </c>
      <c r="H801" s="12" t="s">
        <v>1907</v>
      </c>
      <c r="I801" s="12"/>
      <c r="J801" s="12" t="s">
        <v>1861</v>
      </c>
      <c r="K801" s="12"/>
      <c r="L801" s="12" t="s">
        <v>5624</v>
      </c>
      <c r="M801" s="12" t="s">
        <v>5625</v>
      </c>
      <c r="N801" s="12"/>
      <c r="O801" s="12" t="s">
        <v>5626</v>
      </c>
      <c r="P801" s="12" t="str">
        <f>HYPERLINK("https://ceds.ed.gov/cedselementdetails.aspx?termid=9243")</f>
        <v>https://ceds.ed.gov/cedselementdetails.aspx?termid=9243</v>
      </c>
      <c r="Q801" s="12" t="str">
        <f>HYPERLINK("https://ceds.ed.gov/elementComment.aspx?elementName=School Year &amp;elementID=9243", "Click here to submit comment")</f>
        <v>Click here to submit comment</v>
      </c>
    </row>
    <row r="802" spans="1:17" ht="45" x14ac:dyDescent="0.25">
      <c r="A802" s="12" t="s">
        <v>7242</v>
      </c>
      <c r="B802" s="12" t="s">
        <v>7243</v>
      </c>
      <c r="C802" s="12" t="s">
        <v>7249</v>
      </c>
      <c r="D802" s="12" t="s">
        <v>7172</v>
      </c>
      <c r="E802" s="12" t="s">
        <v>3013</v>
      </c>
      <c r="F802" s="12" t="s">
        <v>3014</v>
      </c>
      <c r="G802" s="12" t="s">
        <v>12</v>
      </c>
      <c r="H802" s="12"/>
      <c r="I802" s="12"/>
      <c r="J802" s="12" t="s">
        <v>73</v>
      </c>
      <c r="K802" s="12"/>
      <c r="L802" s="12"/>
      <c r="M802" s="12" t="s">
        <v>3015</v>
      </c>
      <c r="N802" s="12"/>
      <c r="O802" s="12" t="s">
        <v>3016</v>
      </c>
      <c r="P802" s="12" t="str">
        <f>HYPERLINK("https://ceds.ed.gov/cedselementdetails.aspx?termid=9488")</f>
        <v>https://ceds.ed.gov/cedselementdetails.aspx?termid=9488</v>
      </c>
      <c r="Q802" s="12" t="str">
        <f>HYPERLINK("https://ceds.ed.gov/elementComment.aspx?elementName=First Instruction Date &amp;elementID=9488", "Click here to submit comment")</f>
        <v>Click here to submit comment</v>
      </c>
    </row>
    <row r="803" spans="1:17" ht="105" x14ac:dyDescent="0.25">
      <c r="A803" s="12" t="s">
        <v>7242</v>
      </c>
      <c r="B803" s="12" t="s">
        <v>7243</v>
      </c>
      <c r="C803" s="12" t="s">
        <v>7249</v>
      </c>
      <c r="D803" s="12" t="s">
        <v>7172</v>
      </c>
      <c r="E803" s="12" t="s">
        <v>3680</v>
      </c>
      <c r="F803" s="12" t="s">
        <v>3681</v>
      </c>
      <c r="G803" s="12" t="s">
        <v>12</v>
      </c>
      <c r="H803" s="12"/>
      <c r="I803" s="12"/>
      <c r="J803" s="12" t="s">
        <v>73</v>
      </c>
      <c r="K803" s="12"/>
      <c r="L803" s="12"/>
      <c r="M803" s="12" t="s">
        <v>3682</v>
      </c>
      <c r="N803" s="12"/>
      <c r="O803" s="12" t="s">
        <v>3683</v>
      </c>
      <c r="P803" s="12" t="str">
        <f>HYPERLINK("https://ceds.ed.gov/cedselementdetails.aspx?termid=9489")</f>
        <v>https://ceds.ed.gov/cedselementdetails.aspx?termid=9489</v>
      </c>
      <c r="Q803" s="12" t="str">
        <f>HYPERLINK("https://ceds.ed.gov/elementComment.aspx?elementName=Last Instruction Date &amp;elementID=9489", "Click here to submit comment")</f>
        <v>Click here to submit comment</v>
      </c>
    </row>
    <row r="804" spans="1:17" ht="135" x14ac:dyDescent="0.25">
      <c r="A804" s="12" t="s">
        <v>7242</v>
      </c>
      <c r="B804" s="12" t="s">
        <v>7243</v>
      </c>
      <c r="C804" s="12" t="s">
        <v>7249</v>
      </c>
      <c r="D804" s="12" t="s">
        <v>7172</v>
      </c>
      <c r="E804" s="12" t="s">
        <v>2248</v>
      </c>
      <c r="F804" s="12" t="s">
        <v>2249</v>
      </c>
      <c r="G804" s="12" t="s">
        <v>12</v>
      </c>
      <c r="H804" s="12"/>
      <c r="I804" s="12"/>
      <c r="J804" s="12" t="s">
        <v>317</v>
      </c>
      <c r="K804" s="12"/>
      <c r="L804" s="12"/>
      <c r="M804" s="12" t="s">
        <v>2251</v>
      </c>
      <c r="N804" s="12"/>
      <c r="O804" s="12" t="s">
        <v>2252</v>
      </c>
      <c r="P804" s="12" t="str">
        <f>HYPERLINK("https://ceds.ed.gov/cedselementdetails.aspx?termid=9487")</f>
        <v>https://ceds.ed.gov/cedselementdetails.aspx?termid=9487</v>
      </c>
      <c r="Q804" s="12" t="str">
        <f>HYPERLINK("https://ceds.ed.gov/elementComment.aspx?elementName=Days In Session &amp;elementID=9487", "Click here to submit comment")</f>
        <v>Click here to submit comment</v>
      </c>
    </row>
    <row r="805" spans="1:17" ht="105" x14ac:dyDescent="0.25">
      <c r="A805" s="12" t="s">
        <v>7242</v>
      </c>
      <c r="B805" s="12" t="s">
        <v>7243</v>
      </c>
      <c r="C805" s="12" t="s">
        <v>7249</v>
      </c>
      <c r="D805" s="12" t="s">
        <v>7172</v>
      </c>
      <c r="E805" s="12" t="s">
        <v>5627</v>
      </c>
      <c r="F805" s="12" t="s">
        <v>5628</v>
      </c>
      <c r="G805" s="12" t="s">
        <v>12</v>
      </c>
      <c r="H805" s="12" t="s">
        <v>222</v>
      </c>
      <c r="I805" s="12"/>
      <c r="J805" s="12" t="s">
        <v>317</v>
      </c>
      <c r="K805" s="12"/>
      <c r="L805" s="12"/>
      <c r="M805" s="12" t="s">
        <v>5629</v>
      </c>
      <c r="N805" s="12"/>
      <c r="O805" s="12" t="s">
        <v>5630</v>
      </c>
      <c r="P805" s="12" t="str">
        <f>HYPERLINK("https://ceds.ed.gov/cedselementdetails.aspx?termid=9244")</f>
        <v>https://ceds.ed.gov/cedselementdetails.aspx?termid=9244</v>
      </c>
      <c r="Q805" s="12" t="str">
        <f>HYPERLINK("https://ceds.ed.gov/elementComment.aspx?elementName=School Year Minutes &amp;elementID=9244", "Click here to submit comment")</f>
        <v>Click here to submit comment</v>
      </c>
    </row>
    <row r="806" spans="1:17" ht="90" x14ac:dyDescent="0.25">
      <c r="A806" s="12" t="s">
        <v>7242</v>
      </c>
      <c r="B806" s="12" t="s">
        <v>7243</v>
      </c>
      <c r="C806" s="12" t="s">
        <v>7249</v>
      </c>
      <c r="D806" s="12" t="s">
        <v>7172</v>
      </c>
      <c r="E806" s="12" t="s">
        <v>3561</v>
      </c>
      <c r="F806" s="12" t="s">
        <v>3562</v>
      </c>
      <c r="G806" s="12" t="s">
        <v>12</v>
      </c>
      <c r="H806" s="12"/>
      <c r="I806" s="12"/>
      <c r="J806" s="12" t="s">
        <v>317</v>
      </c>
      <c r="K806" s="12"/>
      <c r="L806" s="12"/>
      <c r="M806" s="12" t="s">
        <v>3563</v>
      </c>
      <c r="N806" s="12"/>
      <c r="O806" s="12" t="s">
        <v>3564</v>
      </c>
      <c r="P806" s="12" t="str">
        <f>HYPERLINK("https://ceds.ed.gov/cedselementdetails.aspx?termid=9490")</f>
        <v>https://ceds.ed.gov/cedselementdetails.aspx?termid=9490</v>
      </c>
      <c r="Q806" s="12" t="str">
        <f>HYPERLINK("https://ceds.ed.gov/elementComment.aspx?elementName=Instructional Minutes &amp;elementID=9490", "Click here to submit comment")</f>
        <v>Click here to submit comment</v>
      </c>
    </row>
    <row r="807" spans="1:17" ht="30" x14ac:dyDescent="0.25">
      <c r="A807" s="12" t="s">
        <v>7242</v>
      </c>
      <c r="B807" s="12" t="s">
        <v>7243</v>
      </c>
      <c r="C807" s="12" t="s">
        <v>7249</v>
      </c>
      <c r="D807" s="12" t="s">
        <v>7172</v>
      </c>
      <c r="E807" s="12" t="s">
        <v>4493</v>
      </c>
      <c r="F807" s="12" t="s">
        <v>4494</v>
      </c>
      <c r="G807" s="12" t="s">
        <v>12</v>
      </c>
      <c r="H807" s="12"/>
      <c r="I807" s="12"/>
      <c r="J807" s="12" t="s">
        <v>317</v>
      </c>
      <c r="K807" s="12"/>
      <c r="L807" s="12"/>
      <c r="M807" s="12" t="s">
        <v>4495</v>
      </c>
      <c r="N807" s="12"/>
      <c r="O807" s="12" t="s">
        <v>4496</v>
      </c>
      <c r="P807" s="12" t="str">
        <f>HYPERLINK("https://ceds.ed.gov/cedselementdetails.aspx?termid=9491")</f>
        <v>https://ceds.ed.gov/cedselementdetails.aspx?termid=9491</v>
      </c>
      <c r="Q807" s="12" t="str">
        <f>HYPERLINK("https://ceds.ed.gov/elementComment.aspx?elementName=Minutes Per Day &amp;elementID=9491", "Click here to submit comment")</f>
        <v>Click here to submit comment</v>
      </c>
    </row>
    <row r="808" spans="1:17" ht="45" x14ac:dyDescent="0.25">
      <c r="A808" s="12" t="s">
        <v>7242</v>
      </c>
      <c r="B808" s="12" t="s">
        <v>7243</v>
      </c>
      <c r="C808" s="12" t="s">
        <v>7250</v>
      </c>
      <c r="D808" s="12" t="s">
        <v>7172</v>
      </c>
      <c r="E808" s="12" t="s">
        <v>6082</v>
      </c>
      <c r="F808" s="12" t="s">
        <v>6083</v>
      </c>
      <c r="G808" s="12" t="s">
        <v>6364</v>
      </c>
      <c r="H808" s="12"/>
      <c r="I808" s="12"/>
      <c r="J808" s="12"/>
      <c r="K808" s="12"/>
      <c r="L808" s="12"/>
      <c r="M808" s="12" t="s">
        <v>6084</v>
      </c>
      <c r="N808" s="12"/>
      <c r="O808" s="12" t="s">
        <v>6085</v>
      </c>
      <c r="P808" s="12" t="str">
        <f>HYPERLINK("https://ceds.ed.gov/cedselementdetails.aspx?termid=10465")</f>
        <v>https://ceds.ed.gov/cedselementdetails.aspx?termid=10465</v>
      </c>
      <c r="Q808" s="12" t="str">
        <f>HYPERLINK("https://ceds.ed.gov/elementComment.aspx?elementName=Technical Assistance Approved Indicator &amp;elementID=10465", "Click here to submit comment")</f>
        <v>Click here to submit comment</v>
      </c>
    </row>
    <row r="809" spans="1:17" ht="75" x14ac:dyDescent="0.25">
      <c r="A809" s="12" t="s">
        <v>7242</v>
      </c>
      <c r="B809" s="12" t="s">
        <v>7243</v>
      </c>
      <c r="C809" s="12" t="s">
        <v>7250</v>
      </c>
      <c r="D809" s="12" t="s">
        <v>7172</v>
      </c>
      <c r="E809" s="12" t="s">
        <v>6086</v>
      </c>
      <c r="F809" s="12" t="s">
        <v>6087</v>
      </c>
      <c r="G809" s="13" t="s">
        <v>7071</v>
      </c>
      <c r="H809" s="12"/>
      <c r="I809" s="12"/>
      <c r="J809" s="12"/>
      <c r="K809" s="12"/>
      <c r="L809" s="12"/>
      <c r="M809" s="12" t="s">
        <v>6088</v>
      </c>
      <c r="N809" s="12"/>
      <c r="O809" s="12" t="s">
        <v>6089</v>
      </c>
      <c r="P809" s="12" t="str">
        <f>HYPERLINK("https://ceds.ed.gov/cedselementdetails.aspx?termid=10466")</f>
        <v>https://ceds.ed.gov/cedselementdetails.aspx?termid=10466</v>
      </c>
      <c r="Q809" s="12" t="str">
        <f>HYPERLINK("https://ceds.ed.gov/elementComment.aspx?elementName=Technical Assistance Delivery Type &amp;elementID=10466", "Click here to submit comment")</f>
        <v>Click here to submit comment</v>
      </c>
    </row>
    <row r="810" spans="1:17" ht="375" x14ac:dyDescent="0.25">
      <c r="A810" s="12" t="s">
        <v>7242</v>
      </c>
      <c r="B810" s="12" t="s">
        <v>7243</v>
      </c>
      <c r="C810" s="12" t="s">
        <v>7250</v>
      </c>
      <c r="D810" s="12" t="s">
        <v>7172</v>
      </c>
      <c r="E810" s="12" t="s">
        <v>6090</v>
      </c>
      <c r="F810" s="12" t="s">
        <v>6091</v>
      </c>
      <c r="G810" s="13" t="s">
        <v>7133</v>
      </c>
      <c r="H810" s="12"/>
      <c r="I810" s="12" t="s">
        <v>98</v>
      </c>
      <c r="J810" s="12"/>
      <c r="K810" s="12"/>
      <c r="L810" s="12"/>
      <c r="M810" s="12" t="s">
        <v>6092</v>
      </c>
      <c r="N810" s="12"/>
      <c r="O810" s="12" t="s">
        <v>6093</v>
      </c>
      <c r="P810" s="12" t="str">
        <f>HYPERLINK("https://ceds.ed.gov/cedselementdetails.aspx?termid=10467")</f>
        <v>https://ceds.ed.gov/cedselementdetails.aspx?termid=10467</v>
      </c>
      <c r="Q810" s="12" t="str">
        <f>HYPERLINK("https://ceds.ed.gov/elementComment.aspx?elementName=Technical Assistance Type &amp;elementID=10467", "Click here to submit comment")</f>
        <v>Click here to submit comment</v>
      </c>
    </row>
    <row r="811" spans="1:17" ht="240" x14ac:dyDescent="0.25">
      <c r="A811" s="12" t="s">
        <v>7242</v>
      </c>
      <c r="B811" s="12" t="s">
        <v>7251</v>
      </c>
      <c r="C811" s="12" t="s">
        <v>7208</v>
      </c>
      <c r="D811" s="12" t="s">
        <v>7172</v>
      </c>
      <c r="E811" s="12" t="s">
        <v>4323</v>
      </c>
      <c r="F811" s="12" t="s">
        <v>4324</v>
      </c>
      <c r="G811" s="13" t="s">
        <v>7020</v>
      </c>
      <c r="H811" s="12" t="s">
        <v>6596</v>
      </c>
      <c r="I811" s="12" t="s">
        <v>98</v>
      </c>
      <c r="J811" s="12"/>
      <c r="K811" s="12"/>
      <c r="L811" s="12"/>
      <c r="M811" s="12" t="s">
        <v>4325</v>
      </c>
      <c r="N811" s="12" t="s">
        <v>4326</v>
      </c>
      <c r="O811" s="12" t="s">
        <v>4327</v>
      </c>
      <c r="P811" s="12" t="str">
        <f>HYPERLINK("https://ceds.ed.gov/cedselementdetails.aspx?termid=9159")</f>
        <v>https://ceds.ed.gov/cedselementdetails.aspx?termid=9159</v>
      </c>
      <c r="Q811" s="12" t="str">
        <f>HYPERLINK("https://ceds.ed.gov/elementComment.aspx?elementName=Local Education Agency Identification System &amp;elementID=9159", "Click here to submit comment")</f>
        <v>Click here to submit comment</v>
      </c>
    </row>
    <row r="812" spans="1:17" ht="105" x14ac:dyDescent="0.25">
      <c r="A812" s="18" t="s">
        <v>7242</v>
      </c>
      <c r="B812" s="18" t="s">
        <v>7251</v>
      </c>
      <c r="C812" s="18" t="s">
        <v>7208</v>
      </c>
      <c r="D812" s="18" t="s">
        <v>7172</v>
      </c>
      <c r="E812" s="18" t="s">
        <v>4328</v>
      </c>
      <c r="F812" s="18" t="s">
        <v>4329</v>
      </c>
      <c r="G812" s="18" t="s">
        <v>12</v>
      </c>
      <c r="H812" s="18" t="s">
        <v>6596</v>
      </c>
      <c r="I812" s="18"/>
      <c r="J812" s="18" t="s">
        <v>142</v>
      </c>
      <c r="K812" s="18"/>
      <c r="L812" s="12" t="s">
        <v>143</v>
      </c>
      <c r="M812" s="18" t="s">
        <v>4330</v>
      </c>
      <c r="N812" s="18" t="s">
        <v>4331</v>
      </c>
      <c r="O812" s="18" t="s">
        <v>4332</v>
      </c>
      <c r="P812" s="18" t="str">
        <f>HYPERLINK("https://ceds.ed.gov/cedselementdetails.aspx?termid=9153")</f>
        <v>https://ceds.ed.gov/cedselementdetails.aspx?termid=9153</v>
      </c>
      <c r="Q812" s="18" t="str">
        <f>HYPERLINK("https://ceds.ed.gov/elementComment.aspx?elementName=Local Education Agency Identifier &amp;elementID=9153", "Click here to submit comment")</f>
        <v>Click here to submit comment</v>
      </c>
    </row>
    <row r="813" spans="1:17" x14ac:dyDescent="0.25">
      <c r="A813" s="18"/>
      <c r="B813" s="18"/>
      <c r="C813" s="18"/>
      <c r="D813" s="18"/>
      <c r="E813" s="18"/>
      <c r="F813" s="18"/>
      <c r="G813" s="18"/>
      <c r="H813" s="18"/>
      <c r="I813" s="18"/>
      <c r="J813" s="18"/>
      <c r="K813" s="18"/>
      <c r="L813" s="12"/>
      <c r="M813" s="18"/>
      <c r="N813" s="18"/>
      <c r="O813" s="18"/>
      <c r="P813" s="18"/>
      <c r="Q813" s="18"/>
    </row>
    <row r="814" spans="1:17" ht="90" x14ac:dyDescent="0.25">
      <c r="A814" s="18"/>
      <c r="B814" s="18"/>
      <c r="C814" s="18"/>
      <c r="D814" s="18"/>
      <c r="E814" s="18"/>
      <c r="F814" s="18"/>
      <c r="G814" s="18"/>
      <c r="H814" s="18"/>
      <c r="I814" s="18"/>
      <c r="J814" s="18"/>
      <c r="K814" s="18"/>
      <c r="L814" s="12" t="s">
        <v>144</v>
      </c>
      <c r="M814" s="18"/>
      <c r="N814" s="18"/>
      <c r="O814" s="18"/>
      <c r="P814" s="18"/>
      <c r="Q814" s="18"/>
    </row>
    <row r="815" spans="1:17" ht="45" x14ac:dyDescent="0.25">
      <c r="A815" s="12" t="s">
        <v>7242</v>
      </c>
      <c r="B815" s="12" t="s">
        <v>7251</v>
      </c>
      <c r="C815" s="12" t="s">
        <v>7208</v>
      </c>
      <c r="D815" s="12" t="s">
        <v>7172</v>
      </c>
      <c r="E815" s="12" t="s">
        <v>4680</v>
      </c>
      <c r="F815" s="12" t="s">
        <v>4681</v>
      </c>
      <c r="G815" s="12" t="s">
        <v>12</v>
      </c>
      <c r="H815" s="12" t="s">
        <v>205</v>
      </c>
      <c r="I815" s="12"/>
      <c r="J815" s="12" t="s">
        <v>99</v>
      </c>
      <c r="K815" s="12"/>
      <c r="L815" s="12"/>
      <c r="M815" s="12" t="s">
        <v>4682</v>
      </c>
      <c r="N815" s="12"/>
      <c r="O815" s="12" t="s">
        <v>4683</v>
      </c>
      <c r="P815" s="12" t="str">
        <f>HYPERLINK("https://ceds.ed.gov/cedselementdetails.aspx?termid=9204")</f>
        <v>https://ceds.ed.gov/cedselementdetails.aspx?termid=9204</v>
      </c>
      <c r="Q815" s="12" t="str">
        <f>HYPERLINK("https://ceds.ed.gov/elementComment.aspx?elementName=Organization Name &amp;elementID=9204", "Click here to submit comment")</f>
        <v>Click here to submit comment</v>
      </c>
    </row>
    <row r="816" spans="1:17" ht="409.5" x14ac:dyDescent="0.25">
      <c r="A816" s="12" t="s">
        <v>7242</v>
      </c>
      <c r="B816" s="12" t="s">
        <v>7251</v>
      </c>
      <c r="C816" s="12" t="s">
        <v>7208</v>
      </c>
      <c r="D816" s="12" t="s">
        <v>7172</v>
      </c>
      <c r="E816" s="12" t="s">
        <v>4692</v>
      </c>
      <c r="F816" s="12" t="s">
        <v>4693</v>
      </c>
      <c r="G816" s="13" t="s">
        <v>7045</v>
      </c>
      <c r="H816" s="12"/>
      <c r="I816" s="12" t="s">
        <v>98</v>
      </c>
      <c r="J816" s="12" t="s">
        <v>142</v>
      </c>
      <c r="K816" s="12"/>
      <c r="L816" s="12" t="s">
        <v>4694</v>
      </c>
      <c r="M816" s="12" t="s">
        <v>4695</v>
      </c>
      <c r="N816" s="12"/>
      <c r="O816" s="12" t="s">
        <v>4696</v>
      </c>
      <c r="P816" s="12" t="str">
        <f>HYPERLINK("https://ceds.ed.gov/cedselementdetails.aspx?termid=10165")</f>
        <v>https://ceds.ed.gov/cedselementdetails.aspx?termid=10165</v>
      </c>
      <c r="Q816" s="12" t="str">
        <f>HYPERLINK("https://ceds.ed.gov/elementComment.aspx?elementName=Organization Type &amp;elementID=10165", "Click here to submit comment")</f>
        <v>Click here to submit comment</v>
      </c>
    </row>
    <row r="817" spans="1:17" ht="90" x14ac:dyDescent="0.25">
      <c r="A817" s="12" t="s">
        <v>7242</v>
      </c>
      <c r="B817" s="12" t="s">
        <v>7251</v>
      </c>
      <c r="C817" s="12" t="s">
        <v>7214</v>
      </c>
      <c r="D817" s="12" t="s">
        <v>7172</v>
      </c>
      <c r="E817" s="12" t="s">
        <v>197</v>
      </c>
      <c r="F817" s="12" t="s">
        <v>198</v>
      </c>
      <c r="G817" s="13" t="s">
        <v>6727</v>
      </c>
      <c r="H817" s="12" t="s">
        <v>6369</v>
      </c>
      <c r="I817" s="12"/>
      <c r="J817" s="12" t="s">
        <v>92</v>
      </c>
      <c r="K817" s="12"/>
      <c r="L817" s="12"/>
      <c r="M817" s="12" t="s">
        <v>199</v>
      </c>
      <c r="N817" s="12"/>
      <c r="O817" s="12" t="s">
        <v>200</v>
      </c>
      <c r="P817" s="12" t="str">
        <f>HYPERLINK("https://ceds.ed.gov/cedselementdetails.aspx?termid=9644")</f>
        <v>https://ceds.ed.gov/cedselementdetails.aspx?termid=9644</v>
      </c>
      <c r="Q817" s="12" t="str">
        <f>HYPERLINK("https://ceds.ed.gov/elementComment.aspx?elementName=Address Type for Organization &amp;elementID=9644", "Click here to submit comment")</f>
        <v>Click here to submit comment</v>
      </c>
    </row>
    <row r="818" spans="1:17" ht="225" x14ac:dyDescent="0.25">
      <c r="A818" s="12" t="s">
        <v>7242</v>
      </c>
      <c r="B818" s="12" t="s">
        <v>7251</v>
      </c>
      <c r="C818" s="12" t="s">
        <v>7214</v>
      </c>
      <c r="D818" s="12" t="s">
        <v>7172</v>
      </c>
      <c r="E818" s="12" t="s">
        <v>189</v>
      </c>
      <c r="F818" s="12" t="s">
        <v>190</v>
      </c>
      <c r="G818" s="12" t="s">
        <v>12</v>
      </c>
      <c r="H818" s="12" t="s">
        <v>6377</v>
      </c>
      <c r="I818" s="12"/>
      <c r="J818" s="12" t="s">
        <v>142</v>
      </c>
      <c r="K818" s="12"/>
      <c r="L818" s="12"/>
      <c r="M818" s="12" t="s">
        <v>191</v>
      </c>
      <c r="N818" s="12"/>
      <c r="O818" s="12" t="s">
        <v>192</v>
      </c>
      <c r="P818" s="12" t="str">
        <f>HYPERLINK("https://ceds.ed.gov/cedselementdetails.aspx?termid=9269")</f>
        <v>https://ceds.ed.gov/cedselementdetails.aspx?termid=9269</v>
      </c>
      <c r="Q818" s="12" t="str">
        <f>HYPERLINK("https://ceds.ed.gov/elementComment.aspx?elementName=Address Street Number and Name &amp;elementID=9269", "Click here to submit comment")</f>
        <v>Click here to submit comment</v>
      </c>
    </row>
    <row r="819" spans="1:17" ht="225" x14ac:dyDescent="0.25">
      <c r="A819" s="12" t="s">
        <v>7242</v>
      </c>
      <c r="B819" s="12" t="s">
        <v>7251</v>
      </c>
      <c r="C819" s="12" t="s">
        <v>7214</v>
      </c>
      <c r="D819" s="12" t="s">
        <v>7172</v>
      </c>
      <c r="E819" s="12" t="s">
        <v>172</v>
      </c>
      <c r="F819" s="12" t="s">
        <v>173</v>
      </c>
      <c r="G819" s="12" t="s">
        <v>12</v>
      </c>
      <c r="H819" s="12" t="s">
        <v>6377</v>
      </c>
      <c r="I819" s="12"/>
      <c r="J819" s="12" t="s">
        <v>92</v>
      </c>
      <c r="K819" s="12"/>
      <c r="L819" s="12"/>
      <c r="M819" s="12" t="s">
        <v>174</v>
      </c>
      <c r="N819" s="12"/>
      <c r="O819" s="12" t="s">
        <v>175</v>
      </c>
      <c r="P819" s="12" t="str">
        <f>HYPERLINK("https://ceds.ed.gov/cedselementdetails.aspx?termid=9019")</f>
        <v>https://ceds.ed.gov/cedselementdetails.aspx?termid=9019</v>
      </c>
      <c r="Q819" s="12" t="str">
        <f>HYPERLINK("https://ceds.ed.gov/elementComment.aspx?elementName=Address Apartment Room or Suite Number &amp;elementID=9019", "Click here to submit comment")</f>
        <v>Click here to submit comment</v>
      </c>
    </row>
    <row r="820" spans="1:17" ht="225" x14ac:dyDescent="0.25">
      <c r="A820" s="12" t="s">
        <v>7242</v>
      </c>
      <c r="B820" s="12" t="s">
        <v>7251</v>
      </c>
      <c r="C820" s="12" t="s">
        <v>7214</v>
      </c>
      <c r="D820" s="12" t="s">
        <v>7172</v>
      </c>
      <c r="E820" s="12" t="s">
        <v>176</v>
      </c>
      <c r="F820" s="12" t="s">
        <v>177</v>
      </c>
      <c r="G820" s="12" t="s">
        <v>12</v>
      </c>
      <c r="H820" s="12" t="s">
        <v>6377</v>
      </c>
      <c r="I820" s="12"/>
      <c r="J820" s="12" t="s">
        <v>92</v>
      </c>
      <c r="K820" s="12"/>
      <c r="L820" s="12"/>
      <c r="M820" s="12" t="s">
        <v>178</v>
      </c>
      <c r="N820" s="12"/>
      <c r="O820" s="12" t="s">
        <v>179</v>
      </c>
      <c r="P820" s="12" t="str">
        <f>HYPERLINK("https://ceds.ed.gov/cedselementdetails.aspx?termid=9040")</f>
        <v>https://ceds.ed.gov/cedselementdetails.aspx?termid=9040</v>
      </c>
      <c r="Q820" s="12" t="str">
        <f>HYPERLINK("https://ceds.ed.gov/elementComment.aspx?elementName=Address City &amp;elementID=9040", "Click here to submit comment")</f>
        <v>Click here to submit comment</v>
      </c>
    </row>
    <row r="821" spans="1:17" ht="409.5" x14ac:dyDescent="0.25">
      <c r="A821" s="12" t="s">
        <v>7242</v>
      </c>
      <c r="B821" s="12" t="s">
        <v>7251</v>
      </c>
      <c r="C821" s="12" t="s">
        <v>7214</v>
      </c>
      <c r="D821" s="12" t="s">
        <v>7172</v>
      </c>
      <c r="E821" s="12" t="s">
        <v>5898</v>
      </c>
      <c r="F821" s="12" t="s">
        <v>5899</v>
      </c>
      <c r="G821" s="13" t="s">
        <v>7120</v>
      </c>
      <c r="H821" s="12" t="s">
        <v>6678</v>
      </c>
      <c r="I821" s="12"/>
      <c r="J821" s="12"/>
      <c r="K821" s="12"/>
      <c r="L821" s="12"/>
      <c r="M821" s="12" t="s">
        <v>5900</v>
      </c>
      <c r="N821" s="12"/>
      <c r="O821" s="12" t="s">
        <v>5901</v>
      </c>
      <c r="P821" s="12" t="str">
        <f>HYPERLINK("https://ceds.ed.gov/cedselementdetails.aspx?termid=9267")</f>
        <v>https://ceds.ed.gov/cedselementdetails.aspx?termid=9267</v>
      </c>
      <c r="Q821" s="12" t="str">
        <f>HYPERLINK("https://ceds.ed.gov/elementComment.aspx?elementName=State Abbreviation &amp;elementID=9267", "Click here to submit comment")</f>
        <v>Click here to submit comment</v>
      </c>
    </row>
    <row r="822" spans="1:17" ht="225" x14ac:dyDescent="0.25">
      <c r="A822" s="12" t="s">
        <v>7242</v>
      </c>
      <c r="B822" s="12" t="s">
        <v>7251</v>
      </c>
      <c r="C822" s="12" t="s">
        <v>7214</v>
      </c>
      <c r="D822" s="12" t="s">
        <v>7172</v>
      </c>
      <c r="E822" s="12" t="s">
        <v>184</v>
      </c>
      <c r="F822" s="12" t="s">
        <v>185</v>
      </c>
      <c r="G822" s="12" t="s">
        <v>12</v>
      </c>
      <c r="H822" s="12" t="s">
        <v>6377</v>
      </c>
      <c r="I822" s="12"/>
      <c r="J822" s="12" t="s">
        <v>186</v>
      </c>
      <c r="K822" s="12"/>
      <c r="L822" s="12"/>
      <c r="M822" s="12" t="s">
        <v>187</v>
      </c>
      <c r="N822" s="12"/>
      <c r="O822" s="12" t="s">
        <v>188</v>
      </c>
      <c r="P822" s="12" t="str">
        <f>HYPERLINK("https://ceds.ed.gov/cedselementdetails.aspx?termid=9214")</f>
        <v>https://ceds.ed.gov/cedselementdetails.aspx?termid=9214</v>
      </c>
      <c r="Q822" s="12" t="str">
        <f>HYPERLINK("https://ceds.ed.gov/elementComment.aspx?elementName=Address Postal Code &amp;elementID=9214", "Click here to submit comment")</f>
        <v>Click here to submit comment</v>
      </c>
    </row>
    <row r="823" spans="1:17" ht="225" x14ac:dyDescent="0.25">
      <c r="A823" s="12" t="s">
        <v>7242</v>
      </c>
      <c r="B823" s="12" t="s">
        <v>7251</v>
      </c>
      <c r="C823" s="12" t="s">
        <v>7214</v>
      </c>
      <c r="D823" s="12" t="s">
        <v>7172</v>
      </c>
      <c r="E823" s="12" t="s">
        <v>180</v>
      </c>
      <c r="F823" s="12" t="s">
        <v>181</v>
      </c>
      <c r="G823" s="12" t="s">
        <v>12</v>
      </c>
      <c r="H823" s="12" t="s">
        <v>6377</v>
      </c>
      <c r="I823" s="12"/>
      <c r="J823" s="12" t="s">
        <v>92</v>
      </c>
      <c r="K823" s="12"/>
      <c r="L823" s="12"/>
      <c r="M823" s="12" t="s">
        <v>182</v>
      </c>
      <c r="N823" s="12"/>
      <c r="O823" s="12" t="s">
        <v>183</v>
      </c>
      <c r="P823" s="12" t="str">
        <f>HYPERLINK("https://ceds.ed.gov/cedselementdetails.aspx?termid=9190")</f>
        <v>https://ceds.ed.gov/cedselementdetails.aspx?termid=9190</v>
      </c>
      <c r="Q823" s="12" t="str">
        <f>HYPERLINK("https://ceds.ed.gov/elementComment.aspx?elementName=Address County Name &amp;elementID=9190", "Click here to submit comment")</f>
        <v>Click here to submit comment</v>
      </c>
    </row>
    <row r="824" spans="1:17" ht="409.5" x14ac:dyDescent="0.25">
      <c r="A824" s="12" t="s">
        <v>7242</v>
      </c>
      <c r="B824" s="12" t="s">
        <v>7251</v>
      </c>
      <c r="C824" s="12" t="s">
        <v>7214</v>
      </c>
      <c r="D824" s="12" t="s">
        <v>7176</v>
      </c>
      <c r="E824" s="12" t="s">
        <v>5910</v>
      </c>
      <c r="F824" s="12" t="s">
        <v>5911</v>
      </c>
      <c r="G824" s="13" t="s">
        <v>7122</v>
      </c>
      <c r="H824" s="12" t="s">
        <v>6681</v>
      </c>
      <c r="I824" s="12"/>
      <c r="J824" s="12"/>
      <c r="K824" s="12"/>
      <c r="L824" s="12"/>
      <c r="M824" s="12" t="s">
        <v>5912</v>
      </c>
      <c r="N824" s="12"/>
      <c r="O824" s="12" t="s">
        <v>5913</v>
      </c>
      <c r="P824" s="12" t="str">
        <f>HYPERLINK("https://ceds.ed.gov/cedselementdetails.aspx?termid=9414")</f>
        <v>https://ceds.ed.gov/cedselementdetails.aspx?termid=9414</v>
      </c>
      <c r="Q824" s="12" t="str">
        <f>HYPERLINK("https://ceds.ed.gov/elementComment.aspx?elementName=State ANSI Code &amp;elementID=9414", "Click here to submit comment")</f>
        <v>Click here to submit comment</v>
      </c>
    </row>
    <row r="825" spans="1:17" ht="180" x14ac:dyDescent="0.25">
      <c r="A825" s="12" t="s">
        <v>7242</v>
      </c>
      <c r="B825" s="12" t="s">
        <v>7251</v>
      </c>
      <c r="C825" s="12" t="s">
        <v>7214</v>
      </c>
      <c r="D825" s="12" t="s">
        <v>7172</v>
      </c>
      <c r="E825" s="12" t="s">
        <v>1943</v>
      </c>
      <c r="F825" s="12" t="s">
        <v>1944</v>
      </c>
      <c r="G825" s="12" t="s">
        <v>12</v>
      </c>
      <c r="H825" s="12"/>
      <c r="I825" s="12"/>
      <c r="J825" s="12" t="s">
        <v>1945</v>
      </c>
      <c r="K825" s="12"/>
      <c r="L825" s="12"/>
      <c r="M825" s="12" t="s">
        <v>1946</v>
      </c>
      <c r="N825" s="12"/>
      <c r="O825" s="12" t="s">
        <v>1947</v>
      </c>
      <c r="P825" s="12" t="str">
        <f>HYPERLINK("https://ceds.ed.gov/cedselementdetails.aspx?termid=10176")</f>
        <v>https://ceds.ed.gov/cedselementdetails.aspx?termid=10176</v>
      </c>
      <c r="Q825" s="12" t="str">
        <f>HYPERLINK("https://ceds.ed.gov/elementComment.aspx?elementName=County ANSI Code &amp;elementID=10176", "Click here to submit comment")</f>
        <v>Click here to submit comment</v>
      </c>
    </row>
    <row r="826" spans="1:17" ht="45" x14ac:dyDescent="0.25">
      <c r="A826" s="12" t="s">
        <v>7242</v>
      </c>
      <c r="B826" s="12" t="s">
        <v>7251</v>
      </c>
      <c r="C826" s="12" t="s">
        <v>7214</v>
      </c>
      <c r="D826" s="12" t="s">
        <v>7172</v>
      </c>
      <c r="E826" s="12" t="s">
        <v>1598</v>
      </c>
      <c r="F826" s="12" t="s">
        <v>1599</v>
      </c>
      <c r="G826" s="12" t="s">
        <v>12</v>
      </c>
      <c r="H826" s="12"/>
      <c r="I826" s="12"/>
      <c r="J826" s="12" t="s">
        <v>92</v>
      </c>
      <c r="K826" s="12"/>
      <c r="L826" s="12"/>
      <c r="M826" s="12" t="s">
        <v>1600</v>
      </c>
      <c r="N826" s="12"/>
      <c r="O826" s="12" t="s">
        <v>1601</v>
      </c>
      <c r="P826" s="12" t="str">
        <f>HYPERLINK("https://ceds.ed.gov/cedselementdetails.aspx?termid=9595")</f>
        <v>https://ceds.ed.gov/cedselementdetails.aspx?termid=9595</v>
      </c>
      <c r="Q826" s="12" t="str">
        <f>HYPERLINK("https://ceds.ed.gov/elementComment.aspx?elementName=Building Site Number &amp;elementID=9595", "Click here to submit comment")</f>
        <v>Click here to submit comment</v>
      </c>
    </row>
    <row r="827" spans="1:17" ht="75" x14ac:dyDescent="0.25">
      <c r="A827" s="12" t="s">
        <v>7242</v>
      </c>
      <c r="B827" s="12" t="s">
        <v>7251</v>
      </c>
      <c r="C827" s="12" t="s">
        <v>7214</v>
      </c>
      <c r="D827" s="12" t="s">
        <v>7176</v>
      </c>
      <c r="E827" s="12" t="s">
        <v>3693</v>
      </c>
      <c r="F827" s="12" t="s">
        <v>3694</v>
      </c>
      <c r="G827" s="12" t="s">
        <v>12</v>
      </c>
      <c r="H827" s="12"/>
      <c r="I827" s="12"/>
      <c r="J827" s="12" t="s">
        <v>1201</v>
      </c>
      <c r="K827" s="12"/>
      <c r="L827" s="12"/>
      <c r="M827" s="12" t="s">
        <v>3695</v>
      </c>
      <c r="N827" s="12"/>
      <c r="O827" s="12" t="s">
        <v>3693</v>
      </c>
      <c r="P827" s="12" t="str">
        <f>HYPERLINK("https://ceds.ed.gov/cedselementdetails.aspx?termid=9599")</f>
        <v>https://ceds.ed.gov/cedselementdetails.aspx?termid=9599</v>
      </c>
      <c r="Q827" s="12" t="str">
        <f>HYPERLINK("https://ceds.ed.gov/elementComment.aspx?elementName=Latitude &amp;elementID=9599", "Click here to submit comment")</f>
        <v>Click here to submit comment</v>
      </c>
    </row>
    <row r="828" spans="1:17" ht="75" x14ac:dyDescent="0.25">
      <c r="A828" s="12" t="s">
        <v>7242</v>
      </c>
      <c r="B828" s="12" t="s">
        <v>7251</v>
      </c>
      <c r="C828" s="12" t="s">
        <v>7214</v>
      </c>
      <c r="D828" s="12" t="s">
        <v>7176</v>
      </c>
      <c r="E828" s="12" t="s">
        <v>4361</v>
      </c>
      <c r="F828" s="12" t="s">
        <v>4362</v>
      </c>
      <c r="G828" s="12" t="s">
        <v>12</v>
      </c>
      <c r="H828" s="12"/>
      <c r="I828" s="12"/>
      <c r="J828" s="12" t="s">
        <v>1201</v>
      </c>
      <c r="K828" s="12"/>
      <c r="L828" s="12"/>
      <c r="M828" s="12" t="s">
        <v>4363</v>
      </c>
      <c r="N828" s="12"/>
      <c r="O828" s="12" t="s">
        <v>4361</v>
      </c>
      <c r="P828" s="12" t="str">
        <f>HYPERLINK("https://ceds.ed.gov/cedselementdetails.aspx?termid=9600")</f>
        <v>https://ceds.ed.gov/cedselementdetails.aspx?termid=9600</v>
      </c>
      <c r="Q828" s="12" t="str">
        <f>HYPERLINK("https://ceds.ed.gov/elementComment.aspx?elementName=Longitude &amp;elementID=9600", "Click here to submit comment")</f>
        <v>Click here to submit comment</v>
      </c>
    </row>
    <row r="829" spans="1:17" ht="165" x14ac:dyDescent="0.25">
      <c r="A829" s="12" t="s">
        <v>7242</v>
      </c>
      <c r="B829" s="12" t="s">
        <v>7251</v>
      </c>
      <c r="C829" s="12" t="s">
        <v>7215</v>
      </c>
      <c r="D829" s="12" t="s">
        <v>7172</v>
      </c>
      <c r="E829" s="12" t="s">
        <v>3531</v>
      </c>
      <c r="F829" s="12" t="s">
        <v>3532</v>
      </c>
      <c r="G829" s="13" t="s">
        <v>6975</v>
      </c>
      <c r="H829" s="12"/>
      <c r="I829" s="12"/>
      <c r="J829" s="12"/>
      <c r="K829" s="12"/>
      <c r="L829" s="12"/>
      <c r="M829" s="12" t="s">
        <v>3533</v>
      </c>
      <c r="N829" s="12"/>
      <c r="O829" s="12" t="s">
        <v>3534</v>
      </c>
      <c r="P829" s="12" t="str">
        <f>HYPERLINK("https://ceds.ed.gov/cedselementdetails.aspx?termid=9167")</f>
        <v>https://ceds.ed.gov/cedselementdetails.aspx?termid=9167</v>
      </c>
      <c r="Q829" s="12" t="str">
        <f>HYPERLINK("https://ceds.ed.gov/elementComment.aspx?elementName=Institution Telephone Number Type &amp;elementID=9167", "Click here to submit comment")</f>
        <v>Click here to submit comment</v>
      </c>
    </row>
    <row r="830" spans="1:17" ht="90" x14ac:dyDescent="0.25">
      <c r="A830" s="12" t="s">
        <v>7242</v>
      </c>
      <c r="B830" s="12" t="s">
        <v>7251</v>
      </c>
      <c r="C830" s="12" t="s">
        <v>7215</v>
      </c>
      <c r="D830" s="12" t="s">
        <v>7172</v>
      </c>
      <c r="E830" s="12" t="s">
        <v>4934</v>
      </c>
      <c r="F830" s="12" t="s">
        <v>4935</v>
      </c>
      <c r="G830" s="12" t="s">
        <v>6364</v>
      </c>
      <c r="H830" s="12" t="s">
        <v>6369</v>
      </c>
      <c r="I830" s="12"/>
      <c r="J830" s="12"/>
      <c r="K830" s="12"/>
      <c r="L830" s="12"/>
      <c r="M830" s="12" t="s">
        <v>4936</v>
      </c>
      <c r="N830" s="12"/>
      <c r="O830" s="12" t="s">
        <v>4937</v>
      </c>
      <c r="P830" s="12" t="str">
        <f>HYPERLINK("https://ceds.ed.gov/cedselementdetails.aspx?termid=9219")</f>
        <v>https://ceds.ed.gov/cedselementdetails.aspx?termid=9219</v>
      </c>
      <c r="Q830" s="12" t="str">
        <f>HYPERLINK("https://ceds.ed.gov/elementComment.aspx?elementName=Primary Telephone Number Indicator &amp;elementID=9219", "Click here to submit comment")</f>
        <v>Click here to submit comment</v>
      </c>
    </row>
    <row r="831" spans="1:17" ht="90" x14ac:dyDescent="0.25">
      <c r="A831" s="12" t="s">
        <v>7242</v>
      </c>
      <c r="B831" s="12" t="s">
        <v>7251</v>
      </c>
      <c r="C831" s="12" t="s">
        <v>7215</v>
      </c>
      <c r="D831" s="12" t="s">
        <v>7172</v>
      </c>
      <c r="E831" s="12" t="s">
        <v>6102</v>
      </c>
      <c r="F831" s="12" t="s">
        <v>6103</v>
      </c>
      <c r="G831" s="12" t="s">
        <v>12</v>
      </c>
      <c r="H831" s="12" t="s">
        <v>6369</v>
      </c>
      <c r="I831" s="12"/>
      <c r="J831" s="12" t="s">
        <v>6104</v>
      </c>
      <c r="K831" s="12"/>
      <c r="L831" s="12"/>
      <c r="M831" s="12" t="s">
        <v>6105</v>
      </c>
      <c r="N831" s="12"/>
      <c r="O831" s="12" t="s">
        <v>6106</v>
      </c>
      <c r="P831" s="12" t="str">
        <f>HYPERLINK("https://ceds.ed.gov/cedselementdetails.aspx?termid=9279")</f>
        <v>https://ceds.ed.gov/cedselementdetails.aspx?termid=9279</v>
      </c>
      <c r="Q831" s="12" t="str">
        <f>HYPERLINK("https://ceds.ed.gov/elementComment.aspx?elementName=Telephone Number &amp;elementID=9279", "Click here to submit comment")</f>
        <v>Click here to submit comment</v>
      </c>
    </row>
    <row r="832" spans="1:17" ht="30" x14ac:dyDescent="0.25">
      <c r="A832" s="18" t="s">
        <v>7242</v>
      </c>
      <c r="B832" s="18" t="s">
        <v>7251</v>
      </c>
      <c r="C832" s="18" t="s">
        <v>7217</v>
      </c>
      <c r="D832" s="18" t="s">
        <v>7172</v>
      </c>
      <c r="E832" s="18" t="s">
        <v>4355</v>
      </c>
      <c r="F832" s="18" t="s">
        <v>4356</v>
      </c>
      <c r="G832" s="20" t="s">
        <v>7023</v>
      </c>
      <c r="H832" s="18" t="s">
        <v>222</v>
      </c>
      <c r="I832" s="18" t="s">
        <v>98</v>
      </c>
      <c r="J832" s="18"/>
      <c r="K832" s="18"/>
      <c r="L832" s="12" t="s">
        <v>4357</v>
      </c>
      <c r="M832" s="18" t="s">
        <v>4359</v>
      </c>
      <c r="N832" s="18"/>
      <c r="O832" s="18" t="s">
        <v>4360</v>
      </c>
      <c r="P832" s="18" t="str">
        <f>HYPERLINK("https://ceds.ed.gov/cedselementdetails.aspx?termid=9528")</f>
        <v>https://ceds.ed.gov/cedselementdetails.aspx?termid=9528</v>
      </c>
      <c r="Q832" s="18" t="str">
        <f>HYPERLINK("https://ceds.ed.gov/elementComment.aspx?elementName=Local Education Agency Type &amp;elementID=9528", "Click here to submit comment")</f>
        <v>Click here to submit comment</v>
      </c>
    </row>
    <row r="833" spans="1:17" ht="45" x14ac:dyDescent="0.25">
      <c r="A833" s="18"/>
      <c r="B833" s="18"/>
      <c r="C833" s="18"/>
      <c r="D833" s="18"/>
      <c r="E833" s="18"/>
      <c r="F833" s="18"/>
      <c r="G833" s="18"/>
      <c r="H833" s="18"/>
      <c r="I833" s="18"/>
      <c r="J833" s="18"/>
      <c r="K833" s="18"/>
      <c r="L833" s="12" t="s">
        <v>4358</v>
      </c>
      <c r="M833" s="18"/>
      <c r="N833" s="18"/>
      <c r="O833" s="18"/>
      <c r="P833" s="18"/>
      <c r="Q833" s="18"/>
    </row>
    <row r="834" spans="1:17" ht="135" x14ac:dyDescent="0.25">
      <c r="A834" s="12" t="s">
        <v>7242</v>
      </c>
      <c r="B834" s="12" t="s">
        <v>7251</v>
      </c>
      <c r="C834" s="12" t="s">
        <v>7217</v>
      </c>
      <c r="D834" s="12" t="s">
        <v>7172</v>
      </c>
      <c r="E834" s="12" t="s">
        <v>1732</v>
      </c>
      <c r="F834" s="12" t="s">
        <v>1733</v>
      </c>
      <c r="G834" s="12" t="s">
        <v>6364</v>
      </c>
      <c r="H834" s="12" t="s">
        <v>6369</v>
      </c>
      <c r="I834" s="12" t="s">
        <v>98</v>
      </c>
      <c r="J834" s="12"/>
      <c r="K834" s="12"/>
      <c r="L834" s="12"/>
      <c r="M834" s="12" t="s">
        <v>1734</v>
      </c>
      <c r="N834" s="12"/>
      <c r="O834" s="12" t="s">
        <v>1735</v>
      </c>
      <c r="P834" s="12" t="str">
        <f>HYPERLINK("https://ceds.ed.gov/cedselementdetails.aspx?termid=9039")</f>
        <v>https://ceds.ed.gov/cedselementdetails.aspx?termid=9039</v>
      </c>
      <c r="Q834" s="12" t="str">
        <f>HYPERLINK("https://ceds.ed.gov/elementComment.aspx?elementName=Charter School Indicator &amp;elementID=9039", "Click here to submit comment")</f>
        <v>Click here to submit comment</v>
      </c>
    </row>
    <row r="835" spans="1:17" ht="135" x14ac:dyDescent="0.25">
      <c r="A835" s="12" t="s">
        <v>7242</v>
      </c>
      <c r="B835" s="12" t="s">
        <v>7251</v>
      </c>
      <c r="C835" s="12" t="s">
        <v>7217</v>
      </c>
      <c r="D835" s="12" t="s">
        <v>7172</v>
      </c>
      <c r="E835" s="12" t="s">
        <v>4338</v>
      </c>
      <c r="F835" s="12" t="s">
        <v>4339</v>
      </c>
      <c r="G835" s="13" t="s">
        <v>7022</v>
      </c>
      <c r="H835" s="12" t="s">
        <v>222</v>
      </c>
      <c r="I835" s="12"/>
      <c r="J835" s="12"/>
      <c r="K835" s="12"/>
      <c r="L835" s="12"/>
      <c r="M835" s="12" t="s">
        <v>4341</v>
      </c>
      <c r="N835" s="12" t="s">
        <v>4342</v>
      </c>
      <c r="O835" s="12" t="s">
        <v>4343</v>
      </c>
      <c r="P835" s="12" t="str">
        <f>HYPERLINK("https://ceds.ed.gov/cedselementdetails.aspx?termid=9174")</f>
        <v>https://ceds.ed.gov/cedselementdetails.aspx?termid=9174</v>
      </c>
      <c r="Q835" s="12" t="str">
        <f>HYPERLINK("https://ceds.ed.gov/elementComment.aspx?elementName=Local Education Agency Operational Status &amp;elementID=9174", "Click here to submit comment")</f>
        <v>Click here to submit comment</v>
      </c>
    </row>
    <row r="836" spans="1:17" ht="30" x14ac:dyDescent="0.25">
      <c r="A836" s="12" t="s">
        <v>7242</v>
      </c>
      <c r="B836" s="12" t="s">
        <v>7251</v>
      </c>
      <c r="C836" s="12" t="s">
        <v>7217</v>
      </c>
      <c r="D836" s="12" t="s">
        <v>7172</v>
      </c>
      <c r="E836" s="12" t="s">
        <v>4656</v>
      </c>
      <c r="F836" s="12" t="s">
        <v>4657</v>
      </c>
      <c r="G836" s="12" t="s">
        <v>12</v>
      </c>
      <c r="H836" s="12" t="s">
        <v>222</v>
      </c>
      <c r="I836" s="12"/>
      <c r="J836" s="12" t="s">
        <v>73</v>
      </c>
      <c r="K836" s="12"/>
      <c r="L836" s="12"/>
      <c r="M836" s="12" t="s">
        <v>4658</v>
      </c>
      <c r="N836" s="12"/>
      <c r="O836" s="12" t="s">
        <v>4659</v>
      </c>
      <c r="P836" s="12" t="str">
        <f>HYPERLINK("https://ceds.ed.gov/cedselementdetails.aspx?termid=9525")</f>
        <v>https://ceds.ed.gov/cedselementdetails.aspx?termid=9525</v>
      </c>
      <c r="Q836" s="12" t="str">
        <f>HYPERLINK("https://ceds.ed.gov/elementComment.aspx?elementName=Operational Status Effective Date &amp;elementID=9525", "Click here to submit comment")</f>
        <v>Click here to submit comment</v>
      </c>
    </row>
    <row r="837" spans="1:17" ht="45" x14ac:dyDescent="0.25">
      <c r="A837" s="12" t="s">
        <v>7242</v>
      </c>
      <c r="B837" s="12" t="s">
        <v>7251</v>
      </c>
      <c r="C837" s="12" t="s">
        <v>7217</v>
      </c>
      <c r="D837" s="12" t="s">
        <v>7172</v>
      </c>
      <c r="E837" s="12" t="s">
        <v>4344</v>
      </c>
      <c r="F837" s="12" t="s">
        <v>4345</v>
      </c>
      <c r="G837" s="12" t="s">
        <v>12</v>
      </c>
      <c r="H837" s="12" t="s">
        <v>222</v>
      </c>
      <c r="I837" s="12"/>
      <c r="J837" s="12" t="s">
        <v>4346</v>
      </c>
      <c r="K837" s="12"/>
      <c r="L837" s="12"/>
      <c r="M837" s="12" t="s">
        <v>4347</v>
      </c>
      <c r="N837" s="12" t="s">
        <v>4348</v>
      </c>
      <c r="O837" s="12" t="s">
        <v>4349</v>
      </c>
      <c r="P837" s="12" t="str">
        <f>HYPERLINK("https://ceds.ed.gov/cedselementdetails.aspx?termid=9175")</f>
        <v>https://ceds.ed.gov/cedselementdetails.aspx?termid=9175</v>
      </c>
      <c r="Q837" s="12" t="str">
        <f>HYPERLINK("https://ceds.ed.gov/elementComment.aspx?elementName=Local Education Agency Supervisory Union Identification Number &amp;elementID=9175", "Click here to submit comment")</f>
        <v>Click here to submit comment</v>
      </c>
    </row>
    <row r="838" spans="1:17" ht="30" x14ac:dyDescent="0.25">
      <c r="A838" s="12" t="s">
        <v>7242</v>
      </c>
      <c r="B838" s="12" t="s">
        <v>7251</v>
      </c>
      <c r="C838" s="12" t="s">
        <v>7217</v>
      </c>
      <c r="D838" s="12" t="s">
        <v>7172</v>
      </c>
      <c r="E838" s="12" t="s">
        <v>6313</v>
      </c>
      <c r="F838" s="12" t="s">
        <v>6314</v>
      </c>
      <c r="G838" s="12" t="s">
        <v>12</v>
      </c>
      <c r="H838" s="12" t="s">
        <v>222</v>
      </c>
      <c r="I838" s="12"/>
      <c r="J838" s="12" t="s">
        <v>68</v>
      </c>
      <c r="K838" s="12"/>
      <c r="L838" s="12"/>
      <c r="M838" s="12" t="s">
        <v>6315</v>
      </c>
      <c r="N838" s="12"/>
      <c r="O838" s="12" t="s">
        <v>6316</v>
      </c>
      <c r="P838" s="12" t="str">
        <f>HYPERLINK("https://ceds.ed.gov/cedselementdetails.aspx?termid=9300")</f>
        <v>https://ceds.ed.gov/cedselementdetails.aspx?termid=9300</v>
      </c>
      <c r="Q838" s="12" t="str">
        <f>HYPERLINK("https://ceds.ed.gov/elementComment.aspx?elementName=Web Site Address &amp;elementID=9300", "Click here to submit comment")</f>
        <v>Click here to submit comment</v>
      </c>
    </row>
    <row r="839" spans="1:17" ht="105" x14ac:dyDescent="0.25">
      <c r="A839" s="18" t="s">
        <v>7242</v>
      </c>
      <c r="B839" s="18" t="s">
        <v>7251</v>
      </c>
      <c r="C839" s="18" t="s">
        <v>7217</v>
      </c>
      <c r="D839" s="18" t="s">
        <v>7172</v>
      </c>
      <c r="E839" s="18" t="s">
        <v>2792</v>
      </c>
      <c r="F839" s="18" t="s">
        <v>2793</v>
      </c>
      <c r="G839" s="18" t="s">
        <v>12</v>
      </c>
      <c r="H839" s="18"/>
      <c r="I839" s="18"/>
      <c r="J839" s="18" t="s">
        <v>142</v>
      </c>
      <c r="K839" s="18"/>
      <c r="L839" s="12" t="s">
        <v>143</v>
      </c>
      <c r="M839" s="18" t="s">
        <v>2794</v>
      </c>
      <c r="N839" s="18"/>
      <c r="O839" s="18" t="s">
        <v>2795</v>
      </c>
      <c r="P839" s="18" t="str">
        <f>HYPERLINK("https://ceds.ed.gov/cedselementdetails.aspx?termid=9495")</f>
        <v>https://ceds.ed.gov/cedselementdetails.aspx?termid=9495</v>
      </c>
      <c r="Q839" s="18" t="str">
        <f>HYPERLINK("https://ceds.ed.gov/elementComment.aspx?elementName=Facilities Identifier &amp;elementID=9495", "Click here to submit comment")</f>
        <v>Click here to submit comment</v>
      </c>
    </row>
    <row r="840" spans="1:17" x14ac:dyDescent="0.25">
      <c r="A840" s="18"/>
      <c r="B840" s="18"/>
      <c r="C840" s="18"/>
      <c r="D840" s="18"/>
      <c r="E840" s="18"/>
      <c r="F840" s="18"/>
      <c r="G840" s="18"/>
      <c r="H840" s="18"/>
      <c r="I840" s="18"/>
      <c r="J840" s="18"/>
      <c r="K840" s="18"/>
      <c r="L840" s="12"/>
      <c r="M840" s="18"/>
      <c r="N840" s="18"/>
      <c r="O840" s="18"/>
      <c r="P840" s="18"/>
      <c r="Q840" s="18"/>
    </row>
    <row r="841" spans="1:17" ht="90" x14ac:dyDescent="0.25">
      <c r="A841" s="18"/>
      <c r="B841" s="18"/>
      <c r="C841" s="18"/>
      <c r="D841" s="18"/>
      <c r="E841" s="18"/>
      <c r="F841" s="18"/>
      <c r="G841" s="18"/>
      <c r="H841" s="18"/>
      <c r="I841" s="18"/>
      <c r="J841" s="18"/>
      <c r="K841" s="18"/>
      <c r="L841" s="12" t="s">
        <v>144</v>
      </c>
      <c r="M841" s="18"/>
      <c r="N841" s="18"/>
      <c r="O841" s="18"/>
      <c r="P841" s="18"/>
      <c r="Q841" s="18"/>
    </row>
    <row r="842" spans="1:17" ht="75" x14ac:dyDescent="0.25">
      <c r="A842" s="12" t="s">
        <v>7242</v>
      </c>
      <c r="B842" s="12" t="s">
        <v>7251</v>
      </c>
      <c r="C842" s="12" t="s">
        <v>7247</v>
      </c>
      <c r="D842" s="12" t="s">
        <v>7172</v>
      </c>
      <c r="E842" s="12" t="s">
        <v>217</v>
      </c>
      <c r="F842" s="12" t="s">
        <v>218</v>
      </c>
      <c r="G842" s="13" t="s">
        <v>6729</v>
      </c>
      <c r="H842" s="12" t="s">
        <v>222</v>
      </c>
      <c r="I842" s="12"/>
      <c r="J842" s="12"/>
      <c r="K842" s="12"/>
      <c r="L842" s="12"/>
      <c r="M842" s="12" t="s">
        <v>219</v>
      </c>
      <c r="N842" s="12" t="s">
        <v>220</v>
      </c>
      <c r="O842" s="12" t="s">
        <v>221</v>
      </c>
      <c r="P842" s="12" t="str">
        <f>HYPERLINK("https://ceds.ed.gov/cedselementdetails.aspx?termid=9011")</f>
        <v>https://ceds.ed.gov/cedselementdetails.aspx?termid=9011</v>
      </c>
      <c r="Q842" s="12" t="str">
        <f>HYPERLINK("https://ceds.ed.gov/elementComment.aspx?elementName=Adequate Yearly Progress Status &amp;elementID=9011", "Click here to submit comment")</f>
        <v>Click here to submit comment</v>
      </c>
    </row>
    <row r="843" spans="1:17" ht="60" x14ac:dyDescent="0.25">
      <c r="A843" s="12" t="s">
        <v>7242</v>
      </c>
      <c r="B843" s="12" t="s">
        <v>7251</v>
      </c>
      <c r="C843" s="12" t="s">
        <v>7247</v>
      </c>
      <c r="D843" s="12" t="s">
        <v>7172</v>
      </c>
      <c r="E843" s="12" t="s">
        <v>339</v>
      </c>
      <c r="F843" s="12" t="s">
        <v>340</v>
      </c>
      <c r="G843" s="12" t="s">
        <v>6364</v>
      </c>
      <c r="H843" s="12" t="s">
        <v>222</v>
      </c>
      <c r="I843" s="12"/>
      <c r="J843" s="12"/>
      <c r="K843" s="12"/>
      <c r="L843" s="12"/>
      <c r="M843" s="12" t="s">
        <v>341</v>
      </c>
      <c r="N843" s="12" t="s">
        <v>342</v>
      </c>
      <c r="O843" s="12" t="s">
        <v>343</v>
      </c>
      <c r="P843" s="12" t="str">
        <f>HYPERLINK("https://ceds.ed.gov/cedselementdetails.aspx?termid=9014")</f>
        <v>https://ceds.ed.gov/cedselementdetails.aspx?termid=9014</v>
      </c>
      <c r="Q843" s="12" t="str">
        <f>HYPERLINK("https://ceds.ed.gov/elementComment.aspx?elementName=Alternate Adequate Yearly Progress Approach Indicator &amp;elementID=9014", "Click here to submit comment")</f>
        <v>Click here to submit comment</v>
      </c>
    </row>
    <row r="844" spans="1:17" ht="90" x14ac:dyDescent="0.25">
      <c r="A844" s="12" t="s">
        <v>7242</v>
      </c>
      <c r="B844" s="12" t="s">
        <v>7251</v>
      </c>
      <c r="C844" s="12" t="s">
        <v>7247</v>
      </c>
      <c r="D844" s="12" t="s">
        <v>7172</v>
      </c>
      <c r="E844" s="12" t="s">
        <v>372</v>
      </c>
      <c r="F844" s="12" t="s">
        <v>373</v>
      </c>
      <c r="G844" s="13" t="s">
        <v>6750</v>
      </c>
      <c r="H844" s="12" t="s">
        <v>222</v>
      </c>
      <c r="I844" s="12"/>
      <c r="J844" s="12"/>
      <c r="K844" s="12"/>
      <c r="L844" s="12"/>
      <c r="M844" s="12" t="s">
        <v>374</v>
      </c>
      <c r="N844" s="12" t="s">
        <v>375</v>
      </c>
      <c r="O844" s="12" t="s">
        <v>376</v>
      </c>
      <c r="P844" s="12" t="str">
        <f>HYPERLINK("https://ceds.ed.gov/cedselementdetails.aspx?termid=9572")</f>
        <v>https://ceds.ed.gov/cedselementdetails.aspx?termid=9572</v>
      </c>
      <c r="Q844" s="12" t="str">
        <f>HYPERLINK("https://ceds.ed.gov/elementComment.aspx?elementName=Annual Measurable Achievement Objective AYP Progress Attainment Status for LEP Students &amp;elementID=9572", "Click here to submit comment")</f>
        <v>Click here to submit comment</v>
      </c>
    </row>
    <row r="845" spans="1:17" ht="105" x14ac:dyDescent="0.25">
      <c r="A845" s="12" t="s">
        <v>7242</v>
      </c>
      <c r="B845" s="12" t="s">
        <v>7251</v>
      </c>
      <c r="C845" s="12" t="s">
        <v>7247</v>
      </c>
      <c r="D845" s="12" t="s">
        <v>7172</v>
      </c>
      <c r="E845" s="12" t="s">
        <v>377</v>
      </c>
      <c r="F845" s="12" t="s">
        <v>378</v>
      </c>
      <c r="G845" s="13" t="s">
        <v>6750</v>
      </c>
      <c r="H845" s="12" t="s">
        <v>222</v>
      </c>
      <c r="I845" s="12"/>
      <c r="J845" s="12"/>
      <c r="K845" s="12"/>
      <c r="L845" s="12"/>
      <c r="M845" s="12" t="s">
        <v>379</v>
      </c>
      <c r="N845" s="12" t="s">
        <v>380</v>
      </c>
      <c r="O845" s="12" t="s">
        <v>381</v>
      </c>
      <c r="P845" s="12" t="str">
        <f>HYPERLINK("https://ceds.ed.gov/cedselementdetails.aspx?termid=9535")</f>
        <v>https://ceds.ed.gov/cedselementdetails.aspx?termid=9535</v>
      </c>
      <c r="Q845" s="12" t="str">
        <f>HYPERLINK("https://ceds.ed.gov/elementComment.aspx?elementName=Annual Measurable Achievement Objective Proficiency Attainment Status for LEP Students &amp;elementID=9535", "Click here to submit comment")</f>
        <v>Click here to submit comment</v>
      </c>
    </row>
    <row r="846" spans="1:17" ht="105" x14ac:dyDescent="0.25">
      <c r="A846" s="12" t="s">
        <v>7242</v>
      </c>
      <c r="B846" s="12" t="s">
        <v>7251</v>
      </c>
      <c r="C846" s="12" t="s">
        <v>7247</v>
      </c>
      <c r="D846" s="12" t="s">
        <v>7172</v>
      </c>
      <c r="E846" s="12" t="s">
        <v>382</v>
      </c>
      <c r="F846" s="12" t="s">
        <v>383</v>
      </c>
      <c r="G846" s="13" t="s">
        <v>6750</v>
      </c>
      <c r="H846" s="12" t="s">
        <v>222</v>
      </c>
      <c r="I846" s="12"/>
      <c r="J846" s="12"/>
      <c r="K846" s="12"/>
      <c r="L846" s="12"/>
      <c r="M846" s="12" t="s">
        <v>384</v>
      </c>
      <c r="N846" s="12" t="s">
        <v>385</v>
      </c>
      <c r="O846" s="12" t="s">
        <v>386</v>
      </c>
      <c r="P846" s="12" t="str">
        <f>HYPERLINK("https://ceds.ed.gov/cedselementdetails.aspx?termid=9545")</f>
        <v>https://ceds.ed.gov/cedselementdetails.aspx?termid=9545</v>
      </c>
      <c r="Q846" s="12" t="str">
        <f>HYPERLINK("https://ceds.ed.gov/elementComment.aspx?elementName=Annual Measurable Achievement Objective Progress Attainment Status for LEP Students &amp;elementID=9545", "Click here to submit comment")</f>
        <v>Click here to submit comment</v>
      </c>
    </row>
    <row r="847" spans="1:17" ht="45" x14ac:dyDescent="0.25">
      <c r="A847" s="12" t="s">
        <v>7242</v>
      </c>
      <c r="B847" s="12" t="s">
        <v>7251</v>
      </c>
      <c r="C847" s="12" t="s">
        <v>7247</v>
      </c>
      <c r="D847" s="12" t="s">
        <v>7172</v>
      </c>
      <c r="E847" s="12" t="s">
        <v>392</v>
      </c>
      <c r="F847" s="12" t="s">
        <v>393</v>
      </c>
      <c r="G847" s="12" t="s">
        <v>6364</v>
      </c>
      <c r="H847" s="12" t="s">
        <v>211</v>
      </c>
      <c r="I847" s="12"/>
      <c r="J847" s="12"/>
      <c r="K847" s="12"/>
      <c r="L847" s="12"/>
      <c r="M847" s="12" t="s">
        <v>394</v>
      </c>
      <c r="N847" s="12" t="s">
        <v>395</v>
      </c>
      <c r="O847" s="12" t="s">
        <v>396</v>
      </c>
      <c r="P847" s="12" t="str">
        <f>HYPERLINK("https://ceds.ed.gov/cedselementdetails.aspx?termid=9432")</f>
        <v>https://ceds.ed.gov/cedselementdetails.aspx?termid=9432</v>
      </c>
      <c r="Q847" s="12" t="str">
        <f>HYPERLINK("https://ceds.ed.gov/elementComment.aspx?elementName=Appealed Adequate Yearly Progress Designation &amp;elementID=9432", "Click here to submit comment")</f>
        <v>Click here to submit comment</v>
      </c>
    </row>
    <row r="848" spans="1:17" ht="45" x14ac:dyDescent="0.25">
      <c r="A848" s="12" t="s">
        <v>7242</v>
      </c>
      <c r="B848" s="12" t="s">
        <v>7251</v>
      </c>
      <c r="C848" s="12" t="s">
        <v>7247</v>
      </c>
      <c r="D848" s="12" t="s">
        <v>7172</v>
      </c>
      <c r="E848" s="12" t="s">
        <v>206</v>
      </c>
      <c r="F848" s="12" t="s">
        <v>207</v>
      </c>
      <c r="G848" s="12" t="s">
        <v>6364</v>
      </c>
      <c r="H848" s="12" t="s">
        <v>211</v>
      </c>
      <c r="I848" s="12"/>
      <c r="J848" s="12"/>
      <c r="K848" s="12"/>
      <c r="L848" s="12"/>
      <c r="M848" s="12" t="s">
        <v>208</v>
      </c>
      <c r="N848" s="12" t="s">
        <v>209</v>
      </c>
      <c r="O848" s="12" t="s">
        <v>210</v>
      </c>
      <c r="P848" s="12" t="str">
        <f>HYPERLINK("https://ceds.ed.gov/cedselementdetails.aspx?termid=9433")</f>
        <v>https://ceds.ed.gov/cedselementdetails.aspx?termid=9433</v>
      </c>
      <c r="Q848" s="12" t="str">
        <f>HYPERLINK("https://ceds.ed.gov/elementComment.aspx?elementName=Adequate Yearly Progress Appeal Changed Designation &amp;elementID=9433", "Click here to submit comment")</f>
        <v>Click here to submit comment</v>
      </c>
    </row>
    <row r="849" spans="1:17" ht="30" x14ac:dyDescent="0.25">
      <c r="A849" s="12" t="s">
        <v>7242</v>
      </c>
      <c r="B849" s="12" t="s">
        <v>7251</v>
      </c>
      <c r="C849" s="12" t="s">
        <v>7247</v>
      </c>
      <c r="D849" s="12" t="s">
        <v>7172</v>
      </c>
      <c r="E849" s="12" t="s">
        <v>212</v>
      </c>
      <c r="F849" s="12" t="s">
        <v>213</v>
      </c>
      <c r="G849" s="12" t="s">
        <v>12</v>
      </c>
      <c r="H849" s="12" t="s">
        <v>211</v>
      </c>
      <c r="I849" s="12"/>
      <c r="J849" s="12" t="s">
        <v>73</v>
      </c>
      <c r="K849" s="12"/>
      <c r="L849" s="12"/>
      <c r="M849" s="12" t="s">
        <v>214</v>
      </c>
      <c r="N849" s="12" t="s">
        <v>215</v>
      </c>
      <c r="O849" s="12" t="s">
        <v>216</v>
      </c>
      <c r="P849" s="12" t="str">
        <f>HYPERLINK("https://ceds.ed.gov/cedselementdetails.aspx?termid=9434")</f>
        <v>https://ceds.ed.gov/cedselementdetails.aspx?termid=9434</v>
      </c>
      <c r="Q849" s="12" t="str">
        <f>HYPERLINK("https://ceds.ed.gov/elementComment.aspx?elementName=Adequate Yearly Progress Appeal Process Date &amp;elementID=9434", "Click here to submit comment")</f>
        <v>Click here to submit comment</v>
      </c>
    </row>
    <row r="850" spans="1:17" ht="30" x14ac:dyDescent="0.25">
      <c r="A850" s="12" t="s">
        <v>7242</v>
      </c>
      <c r="B850" s="12" t="s">
        <v>7251</v>
      </c>
      <c r="C850" s="12" t="s">
        <v>7247</v>
      </c>
      <c r="D850" s="12" t="s">
        <v>7172</v>
      </c>
      <c r="E850" s="12" t="s">
        <v>53</v>
      </c>
      <c r="F850" s="12" t="s">
        <v>54</v>
      </c>
      <c r="G850" s="12" t="s">
        <v>12</v>
      </c>
      <c r="H850" s="12"/>
      <c r="I850" s="12"/>
      <c r="J850" s="12" t="s">
        <v>22</v>
      </c>
      <c r="K850" s="12"/>
      <c r="L850" s="12"/>
      <c r="M850" s="12" t="s">
        <v>56</v>
      </c>
      <c r="N850" s="12"/>
      <c r="O850" s="12" t="s">
        <v>57</v>
      </c>
      <c r="P850" s="12" t="str">
        <f>HYPERLINK("https://ceds.ed.gov/cedselementdetails.aspx?termid=9005")</f>
        <v>https://ceds.ed.gov/cedselementdetails.aspx?termid=9005</v>
      </c>
      <c r="Q850" s="12" t="str">
        <f>HYPERLINK("https://ceds.ed.gov/elementComment.aspx?elementName=Accountability Report Title &amp;elementID=9005", "Click here to submit comment")</f>
        <v>Click here to submit comment</v>
      </c>
    </row>
    <row r="851" spans="1:17" ht="105" x14ac:dyDescent="0.25">
      <c r="A851" s="12" t="s">
        <v>7242</v>
      </c>
      <c r="B851" s="12" t="s">
        <v>7251</v>
      </c>
      <c r="C851" s="12" t="s">
        <v>7247</v>
      </c>
      <c r="D851" s="12" t="s">
        <v>7172</v>
      </c>
      <c r="E851" s="12" t="s">
        <v>2658</v>
      </c>
      <c r="F851" s="12" t="s">
        <v>2659</v>
      </c>
      <c r="G851" s="13" t="s">
        <v>6899</v>
      </c>
      <c r="H851" s="12" t="s">
        <v>222</v>
      </c>
      <c r="I851" s="12"/>
      <c r="J851" s="12"/>
      <c r="K851" s="12"/>
      <c r="L851" s="12"/>
      <c r="M851" s="12" t="s">
        <v>2660</v>
      </c>
      <c r="N851" s="12"/>
      <c r="O851" s="12" t="s">
        <v>2661</v>
      </c>
      <c r="P851" s="12" t="str">
        <f>HYPERLINK("https://ceds.ed.gov/cedselementdetails.aspx?termid=9091")</f>
        <v>https://ceds.ed.gov/cedselementdetails.aspx?termid=9091</v>
      </c>
      <c r="Q851" s="12" t="str">
        <f>HYPERLINK("https://ceds.ed.gov/elementComment.aspx?elementName=Elementary-Middle Additional Indicator Status &amp;elementID=9091", "Click here to submit comment")</f>
        <v>Click here to submit comment</v>
      </c>
    </row>
    <row r="852" spans="1:17" ht="120" x14ac:dyDescent="0.25">
      <c r="A852" s="12" t="s">
        <v>7242</v>
      </c>
      <c r="B852" s="12" t="s">
        <v>7251</v>
      </c>
      <c r="C852" s="12" t="s">
        <v>7247</v>
      </c>
      <c r="D852" s="12" t="s">
        <v>7172</v>
      </c>
      <c r="E852" s="12" t="s">
        <v>3159</v>
      </c>
      <c r="F852" s="12" t="s">
        <v>3160</v>
      </c>
      <c r="G852" s="13" t="s">
        <v>6943</v>
      </c>
      <c r="H852" s="12" t="s">
        <v>222</v>
      </c>
      <c r="I852" s="12"/>
      <c r="J852" s="12"/>
      <c r="K852" s="12"/>
      <c r="L852" s="12"/>
      <c r="M852" s="12" t="s">
        <v>3161</v>
      </c>
      <c r="N852" s="12"/>
      <c r="O852" s="12" t="s">
        <v>3162</v>
      </c>
      <c r="P852" s="12" t="str">
        <f>HYPERLINK("https://ceds.ed.gov/cedselementdetails.aspx?termid=9134")</f>
        <v>https://ceds.ed.gov/cedselementdetails.aspx?termid=9134</v>
      </c>
      <c r="Q852" s="12" t="str">
        <f>HYPERLINK("https://ceds.ed.gov/elementComment.aspx?elementName=Gun Free Schools Act Reporting Status &amp;elementID=9134", "Click here to submit comment")</f>
        <v>Click here to submit comment</v>
      </c>
    </row>
    <row r="853" spans="1:17" ht="120" x14ac:dyDescent="0.25">
      <c r="A853" s="12" t="s">
        <v>7242</v>
      </c>
      <c r="B853" s="12" t="s">
        <v>7251</v>
      </c>
      <c r="C853" s="12" t="s">
        <v>7247</v>
      </c>
      <c r="D853" s="12" t="s">
        <v>7172</v>
      </c>
      <c r="E853" s="12" t="s">
        <v>3195</v>
      </c>
      <c r="F853" s="12" t="s">
        <v>3196</v>
      </c>
      <c r="G853" s="13" t="s">
        <v>6947</v>
      </c>
      <c r="H853" s="12" t="s">
        <v>222</v>
      </c>
      <c r="I853" s="12"/>
      <c r="J853" s="12"/>
      <c r="K853" s="12"/>
      <c r="L853" s="12"/>
      <c r="M853" s="12" t="s">
        <v>3197</v>
      </c>
      <c r="N853" s="12"/>
      <c r="O853" s="12" t="s">
        <v>3198</v>
      </c>
      <c r="P853" s="12" t="str">
        <f>HYPERLINK("https://ceds.ed.gov/cedselementdetails.aspx?termid=9140")</f>
        <v>https://ceds.ed.gov/cedselementdetails.aspx?termid=9140</v>
      </c>
      <c r="Q853" s="12" t="str">
        <f>HYPERLINK("https://ceds.ed.gov/elementComment.aspx?elementName=High School Graduation Rate Indicator Status &amp;elementID=9140", "Click here to submit comment")</f>
        <v>Click here to submit comment</v>
      </c>
    </row>
    <row r="854" spans="1:17" ht="90" x14ac:dyDescent="0.25">
      <c r="A854" s="12" t="s">
        <v>7242</v>
      </c>
      <c r="B854" s="12" t="s">
        <v>7251</v>
      </c>
      <c r="C854" s="12" t="s">
        <v>7247</v>
      </c>
      <c r="D854" s="12" t="s">
        <v>7172</v>
      </c>
      <c r="E854" s="12" t="s">
        <v>4333</v>
      </c>
      <c r="F854" s="12" t="s">
        <v>4334</v>
      </c>
      <c r="G854" s="13" t="s">
        <v>7021</v>
      </c>
      <c r="H854" s="12" t="s">
        <v>222</v>
      </c>
      <c r="I854" s="12"/>
      <c r="J854" s="12"/>
      <c r="K854" s="12"/>
      <c r="L854" s="12"/>
      <c r="M854" s="12" t="s">
        <v>4335</v>
      </c>
      <c r="N854" s="12" t="s">
        <v>4336</v>
      </c>
      <c r="O854" s="12" t="s">
        <v>4337</v>
      </c>
      <c r="P854" s="12" t="str">
        <f>HYPERLINK("https://ceds.ed.gov/cedselementdetails.aspx?termid=9173")</f>
        <v>https://ceds.ed.gov/cedselementdetails.aspx?termid=9173</v>
      </c>
      <c r="Q854" s="12" t="str">
        <f>HYPERLINK("https://ceds.ed.gov/elementComment.aspx?elementName=Local Education Agency Improvement Status &amp;elementID=9173", "Click here to submit comment")</f>
        <v>Click here to submit comment</v>
      </c>
    </row>
    <row r="855" spans="1:17" ht="120" x14ac:dyDescent="0.25">
      <c r="A855" s="12" t="s">
        <v>7242</v>
      </c>
      <c r="B855" s="12" t="s">
        <v>7251</v>
      </c>
      <c r="C855" s="12" t="s">
        <v>7247</v>
      </c>
      <c r="D855" s="12" t="s">
        <v>7172</v>
      </c>
      <c r="E855" s="12" t="s">
        <v>4757</v>
      </c>
      <c r="F855" s="12" t="s">
        <v>4758</v>
      </c>
      <c r="G855" s="13" t="s">
        <v>7050</v>
      </c>
      <c r="H855" s="12" t="s">
        <v>222</v>
      </c>
      <c r="I855" s="12"/>
      <c r="J855" s="12"/>
      <c r="K855" s="12"/>
      <c r="L855" s="12"/>
      <c r="M855" s="12" t="s">
        <v>4759</v>
      </c>
      <c r="N855" s="12"/>
      <c r="O855" s="12" t="s">
        <v>4760</v>
      </c>
      <c r="P855" s="12" t="str">
        <f>HYPERLINK("https://ceds.ed.gov/cedselementdetails.aspx?termid=9208")</f>
        <v>https://ceds.ed.gov/cedselementdetails.aspx?termid=9208</v>
      </c>
      <c r="Q855" s="12" t="str">
        <f>HYPERLINK("https://ceds.ed.gov/elementComment.aspx?elementName=Participation Status for Math &amp;elementID=9208", "Click here to submit comment")</f>
        <v>Click here to submit comment</v>
      </c>
    </row>
    <row r="856" spans="1:17" ht="120" x14ac:dyDescent="0.25">
      <c r="A856" s="12" t="s">
        <v>7242</v>
      </c>
      <c r="B856" s="12" t="s">
        <v>7251</v>
      </c>
      <c r="C856" s="12" t="s">
        <v>7247</v>
      </c>
      <c r="D856" s="12" t="s">
        <v>7172</v>
      </c>
      <c r="E856" s="12" t="s">
        <v>4761</v>
      </c>
      <c r="F856" s="12" t="s">
        <v>4762</v>
      </c>
      <c r="G856" s="13" t="s">
        <v>7050</v>
      </c>
      <c r="H856" s="12" t="s">
        <v>222</v>
      </c>
      <c r="I856" s="12"/>
      <c r="J856" s="12"/>
      <c r="K856" s="12"/>
      <c r="L856" s="12"/>
      <c r="M856" s="12" t="s">
        <v>4763</v>
      </c>
      <c r="N856" s="12"/>
      <c r="O856" s="12" t="s">
        <v>4764</v>
      </c>
      <c r="P856" s="12" t="str">
        <f>HYPERLINK("https://ceds.ed.gov/cedselementdetails.aspx?termid=9209")</f>
        <v>https://ceds.ed.gov/cedselementdetails.aspx?termid=9209</v>
      </c>
      <c r="Q856" s="12" t="str">
        <f>HYPERLINK("https://ceds.ed.gov/elementComment.aspx?elementName=Participation Status for Reading and Language Arts &amp;elementID=9209", "Click here to submit comment")</f>
        <v>Click here to submit comment</v>
      </c>
    </row>
    <row r="857" spans="1:17" ht="195" x14ac:dyDescent="0.25">
      <c r="A857" s="12" t="s">
        <v>7242</v>
      </c>
      <c r="B857" s="12" t="s">
        <v>7251</v>
      </c>
      <c r="C857" s="12" t="s">
        <v>7247</v>
      </c>
      <c r="D857" s="12" t="s">
        <v>7172</v>
      </c>
      <c r="E857" s="12" t="s">
        <v>5115</v>
      </c>
      <c r="F857" s="12" t="s">
        <v>5116</v>
      </c>
      <c r="G857" s="13" t="s">
        <v>7078</v>
      </c>
      <c r="H857" s="12" t="s">
        <v>222</v>
      </c>
      <c r="I857" s="12"/>
      <c r="J857" s="12"/>
      <c r="K857" s="12"/>
      <c r="L857" s="12"/>
      <c r="M857" s="12" t="s">
        <v>5117</v>
      </c>
      <c r="N857" s="12"/>
      <c r="O857" s="12" t="s">
        <v>5118</v>
      </c>
      <c r="P857" s="12" t="str">
        <f>HYPERLINK("https://ceds.ed.gov/cedselementdetails.aspx?termid=9221")</f>
        <v>https://ceds.ed.gov/cedselementdetails.aspx?termid=9221</v>
      </c>
      <c r="Q857" s="12" t="str">
        <f>HYPERLINK("https://ceds.ed.gov/elementComment.aspx?elementName=Proficiency Target Status for Math &amp;elementID=9221", "Click here to submit comment")</f>
        <v>Click here to submit comment</v>
      </c>
    </row>
    <row r="858" spans="1:17" ht="195" x14ac:dyDescent="0.25">
      <c r="A858" s="12" t="s">
        <v>7242</v>
      </c>
      <c r="B858" s="12" t="s">
        <v>7251</v>
      </c>
      <c r="C858" s="12" t="s">
        <v>7247</v>
      </c>
      <c r="D858" s="12" t="s">
        <v>7172</v>
      </c>
      <c r="E858" s="12" t="s">
        <v>5119</v>
      </c>
      <c r="F858" s="12" t="s">
        <v>5120</v>
      </c>
      <c r="G858" s="13" t="s">
        <v>7078</v>
      </c>
      <c r="H858" s="12" t="s">
        <v>222</v>
      </c>
      <c r="I858" s="12"/>
      <c r="J858" s="12"/>
      <c r="K858" s="12"/>
      <c r="L858" s="12"/>
      <c r="M858" s="12" t="s">
        <v>5121</v>
      </c>
      <c r="N858" s="12"/>
      <c r="O858" s="12" t="s">
        <v>5122</v>
      </c>
      <c r="P858" s="12" t="str">
        <f>HYPERLINK("https://ceds.ed.gov/cedselementdetails.aspx?termid=9544")</f>
        <v>https://ceds.ed.gov/cedselementdetails.aspx?termid=9544</v>
      </c>
      <c r="Q858" s="12" t="str">
        <f>HYPERLINK("https://ceds.ed.gov/elementComment.aspx?elementName=Proficiency Target Status for Reading and Language Arts &amp;elementID=9544", "Click here to submit comment")</f>
        <v>Click here to submit comment</v>
      </c>
    </row>
    <row r="859" spans="1:17" ht="165" x14ac:dyDescent="0.25">
      <c r="A859" s="12" t="s">
        <v>7242</v>
      </c>
      <c r="B859" s="12" t="s">
        <v>7251</v>
      </c>
      <c r="C859" s="12" t="s">
        <v>7247</v>
      </c>
      <c r="D859" s="12" t="s">
        <v>7172</v>
      </c>
      <c r="E859" s="12" t="s">
        <v>5230</v>
      </c>
      <c r="F859" s="12" t="s">
        <v>5231</v>
      </c>
      <c r="G859" s="13" t="s">
        <v>7086</v>
      </c>
      <c r="H859" s="12" t="s">
        <v>222</v>
      </c>
      <c r="I859" s="12"/>
      <c r="J859" s="12"/>
      <c r="K859" s="12"/>
      <c r="L859" s="12"/>
      <c r="M859" s="12" t="s">
        <v>5232</v>
      </c>
      <c r="N859" s="12"/>
      <c r="O859" s="12" t="s">
        <v>5233</v>
      </c>
      <c r="P859" s="12" t="str">
        <f>HYPERLINK("https://ceds.ed.gov/cedselementdetails.aspx?termid=9227")</f>
        <v>https://ceds.ed.gov/cedselementdetails.aspx?termid=9227</v>
      </c>
      <c r="Q859" s="12" t="str">
        <f>HYPERLINK("https://ceds.ed.gov/elementComment.aspx?elementName=Public School Choice Implementation Status &amp;elementID=9227", "Click here to submit comment")</f>
        <v>Click here to submit comment</v>
      </c>
    </row>
    <row r="860" spans="1:17" ht="150" x14ac:dyDescent="0.25">
      <c r="A860" s="12" t="s">
        <v>7242</v>
      </c>
      <c r="B860" s="12" t="s">
        <v>7251</v>
      </c>
      <c r="C860" s="12" t="s">
        <v>7247</v>
      </c>
      <c r="D860" s="12" t="s">
        <v>7172</v>
      </c>
      <c r="E860" s="12" t="s">
        <v>6196</v>
      </c>
      <c r="F860" s="12" t="s">
        <v>6197</v>
      </c>
      <c r="G860" s="13" t="s">
        <v>7144</v>
      </c>
      <c r="H860" s="12" t="s">
        <v>211</v>
      </c>
      <c r="I860" s="12"/>
      <c r="J860" s="12"/>
      <c r="K860" s="12"/>
      <c r="L860" s="12"/>
      <c r="M860" s="12" t="s">
        <v>6198</v>
      </c>
      <c r="N860" s="12"/>
      <c r="O860" s="12" t="s">
        <v>6199</v>
      </c>
      <c r="P860" s="12" t="str">
        <f>HYPERLINK("https://ceds.ed.gov/cedselementdetails.aspx?termid=9478")</f>
        <v>https://ceds.ed.gov/cedselementdetails.aspx?termid=9478</v>
      </c>
      <c r="Q860" s="12" t="str">
        <f>HYPERLINK("https://ceds.ed.gov/elementComment.aspx?elementName=Title III Professional Development Type &amp;elementID=9478", "Click here to submit comment")</f>
        <v>Click here to submit comment</v>
      </c>
    </row>
    <row r="861" spans="1:17" ht="45" x14ac:dyDescent="0.25">
      <c r="A861" s="12" t="s">
        <v>7242</v>
      </c>
      <c r="B861" s="12" t="s">
        <v>7251</v>
      </c>
      <c r="C861" s="12" t="s">
        <v>7247</v>
      </c>
      <c r="D861" s="12" t="s">
        <v>7172</v>
      </c>
      <c r="E861" s="12" t="s">
        <v>5622</v>
      </c>
      <c r="F861" s="12" t="s">
        <v>5623</v>
      </c>
      <c r="G861" s="12" t="s">
        <v>12</v>
      </c>
      <c r="H861" s="12" t="s">
        <v>1907</v>
      </c>
      <c r="I861" s="12"/>
      <c r="J861" s="12" t="s">
        <v>1861</v>
      </c>
      <c r="K861" s="12"/>
      <c r="L861" s="12" t="s">
        <v>5624</v>
      </c>
      <c r="M861" s="12" t="s">
        <v>5625</v>
      </c>
      <c r="N861" s="12"/>
      <c r="O861" s="12" t="s">
        <v>5626</v>
      </c>
      <c r="P861" s="12" t="str">
        <f>HYPERLINK("https://ceds.ed.gov/cedselementdetails.aspx?termid=9243")</f>
        <v>https://ceds.ed.gov/cedselementdetails.aspx?termid=9243</v>
      </c>
      <c r="Q861" s="12" t="str">
        <f>HYPERLINK("https://ceds.ed.gov/elementComment.aspx?elementName=School Year &amp;elementID=9243", "Click here to submit comment")</f>
        <v>Click here to submit comment</v>
      </c>
    </row>
    <row r="862" spans="1:17" ht="135" x14ac:dyDescent="0.25">
      <c r="A862" s="12" t="s">
        <v>7242</v>
      </c>
      <c r="B862" s="12" t="s">
        <v>7251</v>
      </c>
      <c r="C862" s="12" t="s">
        <v>7248</v>
      </c>
      <c r="D862" s="12" t="s">
        <v>7172</v>
      </c>
      <c r="E862" s="12" t="s">
        <v>2846</v>
      </c>
      <c r="F862" s="12" t="s">
        <v>2847</v>
      </c>
      <c r="G862" s="12" t="s">
        <v>12</v>
      </c>
      <c r="H862" s="12" t="s">
        <v>222</v>
      </c>
      <c r="I862" s="12"/>
      <c r="J862" s="12" t="s">
        <v>1554</v>
      </c>
      <c r="K862" s="12"/>
      <c r="L862" s="12"/>
      <c r="M862" s="12" t="s">
        <v>2848</v>
      </c>
      <c r="N862" s="12"/>
      <c r="O862" s="12" t="s">
        <v>2849</v>
      </c>
      <c r="P862" s="12" t="str">
        <f>HYPERLINK("https://ceds.ed.gov/cedselementdetails.aspx?termid=9540")</f>
        <v>https://ceds.ed.gov/cedselementdetails.aspx?termid=9540</v>
      </c>
      <c r="Q862" s="12" t="str">
        <f>HYPERLINK("https://ceds.ed.gov/elementComment.aspx?elementName=Federal Programs Funding Allocation &amp;elementID=9540", "Click here to submit comment")</f>
        <v>Click here to submit comment</v>
      </c>
    </row>
    <row r="863" spans="1:17" ht="45" x14ac:dyDescent="0.25">
      <c r="A863" s="12" t="s">
        <v>7242</v>
      </c>
      <c r="B863" s="12" t="s">
        <v>7251</v>
      </c>
      <c r="C863" s="12" t="s">
        <v>7248</v>
      </c>
      <c r="D863" s="12" t="s">
        <v>7172</v>
      </c>
      <c r="E863" s="12" t="s">
        <v>3068</v>
      </c>
      <c r="F863" s="12" t="s">
        <v>3069</v>
      </c>
      <c r="G863" s="12" t="s">
        <v>12</v>
      </c>
      <c r="H863" s="12" t="s">
        <v>211</v>
      </c>
      <c r="I863" s="12"/>
      <c r="J863" s="12" t="s">
        <v>1554</v>
      </c>
      <c r="K863" s="12"/>
      <c r="L863" s="12"/>
      <c r="M863" s="12" t="s">
        <v>3070</v>
      </c>
      <c r="N863" s="12"/>
      <c r="O863" s="12" t="s">
        <v>3071</v>
      </c>
      <c r="P863" s="12" t="str">
        <f>HYPERLINK("https://ceds.ed.gov/cedselementdetails.aspx?termid=9442")</f>
        <v>https://ceds.ed.gov/cedselementdetails.aspx?termid=9442</v>
      </c>
      <c r="Q863" s="12" t="str">
        <f>HYPERLINK("https://ceds.ed.gov/elementComment.aspx?elementName=Funds Transfer Amount &amp;elementID=9442", "Click here to submit comment")</f>
        <v>Click here to submit comment</v>
      </c>
    </row>
    <row r="864" spans="1:17" ht="30" x14ac:dyDescent="0.25">
      <c r="A864" s="12" t="s">
        <v>7242</v>
      </c>
      <c r="B864" s="12" t="s">
        <v>7251</v>
      </c>
      <c r="C864" s="12" t="s">
        <v>7248</v>
      </c>
      <c r="D864" s="12" t="s">
        <v>7172</v>
      </c>
      <c r="E864" s="12" t="s">
        <v>3521</v>
      </c>
      <c r="F864" s="12" t="s">
        <v>3522</v>
      </c>
      <c r="G864" s="12" t="s">
        <v>12</v>
      </c>
      <c r="H864" s="12" t="s">
        <v>211</v>
      </c>
      <c r="I864" s="12"/>
      <c r="J864" s="12" t="s">
        <v>1554</v>
      </c>
      <c r="K864" s="12"/>
      <c r="L864" s="12"/>
      <c r="M864" s="12" t="s">
        <v>3523</v>
      </c>
      <c r="N864" s="12"/>
      <c r="O864" s="12" t="s">
        <v>3524</v>
      </c>
      <c r="P864" s="12" t="str">
        <f>HYPERLINK("https://ceds.ed.gov/cedselementdetails.aspx?termid=9454")</f>
        <v>https://ceds.ed.gov/cedselementdetails.aspx?termid=9454</v>
      </c>
      <c r="Q864" s="12" t="str">
        <f>HYPERLINK("https://ceds.ed.gov/elementComment.aspx?elementName=Innovative Programs Funds Received &amp;elementID=9454", "Click here to submit comment")</f>
        <v>Click here to submit comment</v>
      </c>
    </row>
    <row r="865" spans="1:17" ht="30" x14ac:dyDescent="0.25">
      <c r="A865" s="12" t="s">
        <v>7242</v>
      </c>
      <c r="B865" s="12" t="s">
        <v>7251</v>
      </c>
      <c r="C865" s="12" t="s">
        <v>7248</v>
      </c>
      <c r="D865" s="12" t="s">
        <v>7172</v>
      </c>
      <c r="E865" s="12" t="s">
        <v>3513</v>
      </c>
      <c r="F865" s="12" t="s">
        <v>3514</v>
      </c>
      <c r="G865" s="12" t="s">
        <v>12</v>
      </c>
      <c r="H865" s="12" t="s">
        <v>211</v>
      </c>
      <c r="I865" s="12"/>
      <c r="J865" s="12" t="s">
        <v>1554</v>
      </c>
      <c r="K865" s="12"/>
      <c r="L865" s="12"/>
      <c r="M865" s="12" t="s">
        <v>3515</v>
      </c>
      <c r="N865" s="12"/>
      <c r="O865" s="12" t="s">
        <v>3516</v>
      </c>
      <c r="P865" s="12" t="str">
        <f>HYPERLINK("https://ceds.ed.gov/cedselementdetails.aspx?termid=9451")</f>
        <v>https://ceds.ed.gov/cedselementdetails.aspx?termid=9451</v>
      </c>
      <c r="Q865" s="12" t="str">
        <f>HYPERLINK("https://ceds.ed.gov/elementComment.aspx?elementName=Innovative Dollars Spent &amp;elementID=9451", "Click here to submit comment")</f>
        <v>Click here to submit comment</v>
      </c>
    </row>
    <row r="866" spans="1:17" ht="45" x14ac:dyDescent="0.25">
      <c r="A866" s="12" t="s">
        <v>7242</v>
      </c>
      <c r="B866" s="12" t="s">
        <v>7251</v>
      </c>
      <c r="C866" s="12" t="s">
        <v>7248</v>
      </c>
      <c r="D866" s="12" t="s">
        <v>7172</v>
      </c>
      <c r="E866" s="12" t="s">
        <v>3517</v>
      </c>
      <c r="F866" s="12" t="s">
        <v>3518</v>
      </c>
      <c r="G866" s="12" t="s">
        <v>12</v>
      </c>
      <c r="H866" s="12" t="s">
        <v>211</v>
      </c>
      <c r="I866" s="12"/>
      <c r="J866" s="12" t="s">
        <v>1554</v>
      </c>
      <c r="K866" s="12"/>
      <c r="L866" s="12"/>
      <c r="M866" s="12" t="s">
        <v>3519</v>
      </c>
      <c r="N866" s="12"/>
      <c r="O866" s="12" t="s">
        <v>3520</v>
      </c>
      <c r="P866" s="12" t="str">
        <f>HYPERLINK("https://ceds.ed.gov/cedselementdetails.aspx?termid=9452")</f>
        <v>https://ceds.ed.gov/cedselementdetails.aspx?termid=9452</v>
      </c>
      <c r="Q866" s="12" t="str">
        <f>HYPERLINK("https://ceds.ed.gov/elementComment.aspx?elementName=Innovative Dollars Spent on Strategic Priorities &amp;elementID=9452", "Click here to submit comment")</f>
        <v>Click here to submit comment</v>
      </c>
    </row>
    <row r="867" spans="1:17" ht="60" x14ac:dyDescent="0.25">
      <c r="A867" s="12" t="s">
        <v>7242</v>
      </c>
      <c r="B867" s="12" t="s">
        <v>7251</v>
      </c>
      <c r="C867" s="12" t="s">
        <v>7248</v>
      </c>
      <c r="D867" s="12" t="s">
        <v>7172</v>
      </c>
      <c r="E867" s="12" t="s">
        <v>4350</v>
      </c>
      <c r="F867" s="12" t="s">
        <v>4351</v>
      </c>
      <c r="G867" s="12" t="s">
        <v>6364</v>
      </c>
      <c r="H867" s="12" t="s">
        <v>211</v>
      </c>
      <c r="I867" s="12"/>
      <c r="J867" s="12"/>
      <c r="K867" s="12"/>
      <c r="L867" s="12"/>
      <c r="M867" s="12" t="s">
        <v>4352</v>
      </c>
      <c r="N867" s="12" t="s">
        <v>4353</v>
      </c>
      <c r="O867" s="12" t="s">
        <v>4354</v>
      </c>
      <c r="P867" s="12" t="str">
        <f>HYPERLINK("https://ceds.ed.gov/cedselementdetails.aspx?termid=9436")</f>
        <v>https://ceds.ed.gov/cedselementdetails.aspx?termid=9436</v>
      </c>
      <c r="Q867" s="12" t="str">
        <f>HYPERLINK("https://ceds.ed.gov/elementComment.aspx?elementName=Local Education Agency Transferability of Funds &amp;elementID=9436", "Click here to submit comment")</f>
        <v>Click here to submit comment</v>
      </c>
    </row>
    <row r="868" spans="1:17" ht="60" x14ac:dyDescent="0.25">
      <c r="A868" s="12" t="s">
        <v>7242</v>
      </c>
      <c r="B868" s="12" t="s">
        <v>7251</v>
      </c>
      <c r="C868" s="12" t="s">
        <v>7248</v>
      </c>
      <c r="D868" s="12" t="s">
        <v>7172</v>
      </c>
      <c r="E868" s="12" t="s">
        <v>4317</v>
      </c>
      <c r="F868" s="12" t="s">
        <v>4318</v>
      </c>
      <c r="G868" s="13" t="s">
        <v>7019</v>
      </c>
      <c r="H868" s="12" t="s">
        <v>211</v>
      </c>
      <c r="I868" s="12"/>
      <c r="J868" s="12"/>
      <c r="K868" s="12"/>
      <c r="L868" s="12"/>
      <c r="M868" s="12" t="s">
        <v>4320</v>
      </c>
      <c r="N868" s="12" t="s">
        <v>4321</v>
      </c>
      <c r="O868" s="12" t="s">
        <v>4322</v>
      </c>
      <c r="P868" s="12" t="str">
        <f>HYPERLINK("https://ceds.ed.gov/cedselementdetails.aspx?termid=9441")</f>
        <v>https://ceds.ed.gov/cedselementdetails.aspx?termid=9441</v>
      </c>
      <c r="Q868" s="12" t="str">
        <f>HYPERLINK("https://ceds.ed.gov/elementComment.aspx?elementName=Local Education Agency Funds Transfer Type &amp;elementID=9441", "Click here to submit comment")</f>
        <v>Click here to submit comment</v>
      </c>
    </row>
    <row r="869" spans="1:17" ht="60" x14ac:dyDescent="0.25">
      <c r="A869" s="12" t="s">
        <v>7242</v>
      </c>
      <c r="B869" s="12" t="s">
        <v>7251</v>
      </c>
      <c r="C869" s="12" t="s">
        <v>7248</v>
      </c>
      <c r="D869" s="12" t="s">
        <v>7172</v>
      </c>
      <c r="E869" s="12" t="s">
        <v>5226</v>
      </c>
      <c r="F869" s="12" t="s">
        <v>5227</v>
      </c>
      <c r="G869" s="12" t="s">
        <v>12</v>
      </c>
      <c r="H869" s="12" t="s">
        <v>222</v>
      </c>
      <c r="I869" s="12"/>
      <c r="J869" s="12" t="s">
        <v>1554</v>
      </c>
      <c r="K869" s="12"/>
      <c r="L869" s="12"/>
      <c r="M869" s="12" t="s">
        <v>5228</v>
      </c>
      <c r="N869" s="12"/>
      <c r="O869" s="12" t="s">
        <v>5229</v>
      </c>
      <c r="P869" s="12" t="str">
        <f>HYPERLINK("https://ceds.ed.gov/cedselementdetails.aspx?termid=9560")</f>
        <v>https://ceds.ed.gov/cedselementdetails.aspx?termid=9560</v>
      </c>
      <c r="Q869" s="12" t="str">
        <f>HYPERLINK("https://ceds.ed.gov/elementComment.aspx?elementName=Public School Choice Funds Spent &amp;elementID=9560", "Click here to submit comment")</f>
        <v>Click here to submit comment</v>
      </c>
    </row>
    <row r="870" spans="1:17" ht="105" x14ac:dyDescent="0.25">
      <c r="A870" s="12" t="s">
        <v>7242</v>
      </c>
      <c r="B870" s="12" t="s">
        <v>7251</v>
      </c>
      <c r="C870" s="12" t="s">
        <v>7248</v>
      </c>
      <c r="D870" s="12" t="s">
        <v>7172</v>
      </c>
      <c r="E870" s="12" t="s">
        <v>5602</v>
      </c>
      <c r="F870" s="12" t="s">
        <v>5603</v>
      </c>
      <c r="G870" s="12" t="s">
        <v>12</v>
      </c>
      <c r="H870" s="12" t="s">
        <v>211</v>
      </c>
      <c r="I870" s="12"/>
      <c r="J870" s="12" t="s">
        <v>789</v>
      </c>
      <c r="K870" s="12"/>
      <c r="L870" s="12"/>
      <c r="M870" s="12" t="s">
        <v>5604</v>
      </c>
      <c r="N870" s="12"/>
      <c r="O870" s="12" t="s">
        <v>5605</v>
      </c>
      <c r="P870" s="12" t="str">
        <f>HYPERLINK("https://ceds.ed.gov/cedselementdetails.aspx?termid=9470")</f>
        <v>https://ceds.ed.gov/cedselementdetails.aspx?termid=9470</v>
      </c>
      <c r="Q870" s="12" t="str">
        <f>HYPERLINK("https://ceds.ed.gov/elementComment.aspx?elementName=School Improvement Reserved Funds Percentage &amp;elementID=9470", "Click here to submit comment")</f>
        <v>Click here to submit comment</v>
      </c>
    </row>
    <row r="871" spans="1:17" ht="30" x14ac:dyDescent="0.25">
      <c r="A871" s="12" t="s">
        <v>7242</v>
      </c>
      <c r="B871" s="12" t="s">
        <v>7251</v>
      </c>
      <c r="C871" s="12" t="s">
        <v>7248</v>
      </c>
      <c r="D871" s="12" t="s">
        <v>7172</v>
      </c>
      <c r="E871" s="12" t="s">
        <v>5586</v>
      </c>
      <c r="F871" s="12" t="s">
        <v>5587</v>
      </c>
      <c r="G871" s="12" t="s">
        <v>12</v>
      </c>
      <c r="H871" s="12" t="s">
        <v>211</v>
      </c>
      <c r="I871" s="12"/>
      <c r="J871" s="12" t="s">
        <v>1554</v>
      </c>
      <c r="K871" s="12"/>
      <c r="L871" s="12"/>
      <c r="M871" s="12" t="s">
        <v>5588</v>
      </c>
      <c r="N871" s="12"/>
      <c r="O871" s="12" t="s">
        <v>5589</v>
      </c>
      <c r="P871" s="12" t="str">
        <f>HYPERLINK("https://ceds.ed.gov/cedselementdetails.aspx?termid=9471")</f>
        <v>https://ceds.ed.gov/cedselementdetails.aspx?termid=9471</v>
      </c>
      <c r="Q871" s="12" t="str">
        <f>HYPERLINK("https://ceds.ed.gov/elementComment.aspx?elementName=School Improvement Allocation &amp;elementID=9471", "Click here to submit comment")</f>
        <v>Click here to submit comment</v>
      </c>
    </row>
    <row r="872" spans="1:17" ht="75" x14ac:dyDescent="0.25">
      <c r="A872" s="12" t="s">
        <v>7242</v>
      </c>
      <c r="B872" s="12" t="s">
        <v>7251</v>
      </c>
      <c r="C872" s="12" t="s">
        <v>7248</v>
      </c>
      <c r="D872" s="12" t="s">
        <v>7172</v>
      </c>
      <c r="E872" s="12" t="s">
        <v>6009</v>
      </c>
      <c r="F872" s="12" t="s">
        <v>6010</v>
      </c>
      <c r="G872" s="12" t="s">
        <v>12</v>
      </c>
      <c r="H872" s="12" t="s">
        <v>222</v>
      </c>
      <c r="I872" s="12"/>
      <c r="J872" s="12" t="s">
        <v>1554</v>
      </c>
      <c r="K872" s="12"/>
      <c r="L872" s="12"/>
      <c r="M872" s="12" t="s">
        <v>6011</v>
      </c>
      <c r="N872" s="12" t="s">
        <v>6012</v>
      </c>
      <c r="O872" s="12" t="s">
        <v>6013</v>
      </c>
      <c r="P872" s="12" t="str">
        <f>HYPERLINK("https://ceds.ed.gov/cedselementdetails.aspx?termid=9559")</f>
        <v>https://ceds.ed.gov/cedselementdetails.aspx?termid=9559</v>
      </c>
      <c r="Q872" s="12" t="str">
        <f>HYPERLINK("https://ceds.ed.gov/elementComment.aspx?elementName=Supplemental Educational Services Funds Spent &amp;elementID=9559", "Click here to submit comment")</f>
        <v>Click here to submit comment</v>
      </c>
    </row>
    <row r="873" spans="1:17" ht="60" x14ac:dyDescent="0.25">
      <c r="A873" s="12" t="s">
        <v>7242</v>
      </c>
      <c r="B873" s="12" t="s">
        <v>7251</v>
      </c>
      <c r="C873" s="12" t="s">
        <v>7248</v>
      </c>
      <c r="D873" s="12" t="s">
        <v>7172</v>
      </c>
      <c r="E873" s="12" t="s">
        <v>6014</v>
      </c>
      <c r="F873" s="12" t="s">
        <v>6015</v>
      </c>
      <c r="G873" s="12" t="s">
        <v>12</v>
      </c>
      <c r="H873" s="12" t="s">
        <v>222</v>
      </c>
      <c r="I873" s="12"/>
      <c r="J873" s="12" t="s">
        <v>1554</v>
      </c>
      <c r="K873" s="12"/>
      <c r="L873" s="12"/>
      <c r="M873" s="12" t="s">
        <v>6016</v>
      </c>
      <c r="N873" s="12" t="s">
        <v>6017</v>
      </c>
      <c r="O873" s="12" t="s">
        <v>6018</v>
      </c>
      <c r="P873" s="12" t="str">
        <f>HYPERLINK("https://ceds.ed.gov/cedselementdetails.aspx?termid=9567")</f>
        <v>https://ceds.ed.gov/cedselementdetails.aspx?termid=9567</v>
      </c>
      <c r="Q873" s="12" t="str">
        <f>HYPERLINK("https://ceds.ed.gov/elementComment.aspx?elementName=Supplemental Educational Services Per Pupil Expenditure &amp;elementID=9567", "Click here to submit comment")</f>
        <v>Click here to submit comment</v>
      </c>
    </row>
    <row r="874" spans="1:17" ht="60" x14ac:dyDescent="0.25">
      <c r="A874" s="12" t="s">
        <v>7242</v>
      </c>
      <c r="B874" s="12" t="s">
        <v>7251</v>
      </c>
      <c r="C874" s="12" t="s">
        <v>7248</v>
      </c>
      <c r="D874" s="12" t="s">
        <v>7172</v>
      </c>
      <c r="E874" s="12" t="s">
        <v>6004</v>
      </c>
      <c r="F874" s="12" t="s">
        <v>6005</v>
      </c>
      <c r="G874" s="12" t="s">
        <v>12</v>
      </c>
      <c r="H874" s="12" t="s">
        <v>222</v>
      </c>
      <c r="I874" s="12"/>
      <c r="J874" s="12" t="s">
        <v>1554</v>
      </c>
      <c r="K874" s="12"/>
      <c r="L874" s="12"/>
      <c r="M874" s="12" t="s">
        <v>6006</v>
      </c>
      <c r="N874" s="12" t="s">
        <v>6007</v>
      </c>
      <c r="O874" s="12" t="s">
        <v>6008</v>
      </c>
      <c r="P874" s="12" t="str">
        <f>HYPERLINK("https://ceds.ed.gov/cedselementdetails.aspx?termid=9566")</f>
        <v>https://ceds.ed.gov/cedselementdetails.aspx?termid=9566</v>
      </c>
      <c r="Q874" s="12" t="str">
        <f>HYPERLINK("https://ceds.ed.gov/elementComment.aspx?elementName=Supplemental Education Services Public School Choice Twenty Percent Obligation &amp;elementID=9566", "Click here to submit comment")</f>
        <v>Click here to submit comment</v>
      </c>
    </row>
    <row r="875" spans="1:17" ht="195" x14ac:dyDescent="0.25">
      <c r="A875" s="12" t="s">
        <v>7242</v>
      </c>
      <c r="B875" s="12" t="s">
        <v>7251</v>
      </c>
      <c r="C875" s="12" t="s">
        <v>7248</v>
      </c>
      <c r="D875" s="12" t="s">
        <v>7172</v>
      </c>
      <c r="E875" s="12" t="s">
        <v>6259</v>
      </c>
      <c r="F875" s="12" t="s">
        <v>6260</v>
      </c>
      <c r="G875" s="13" t="s">
        <v>7149</v>
      </c>
      <c r="H875" s="12" t="s">
        <v>211</v>
      </c>
      <c r="I875" s="12"/>
      <c r="J875" s="12"/>
      <c r="K875" s="12"/>
      <c r="L875" s="12"/>
      <c r="M875" s="12" t="s">
        <v>6261</v>
      </c>
      <c r="N875" s="12" t="s">
        <v>6262</v>
      </c>
      <c r="O875" s="12" t="s">
        <v>6263</v>
      </c>
      <c r="P875" s="12" t="str">
        <f>HYPERLINK("https://ceds.ed.gov/cedselementdetails.aspx?termid=9477")</f>
        <v>https://ceds.ed.gov/cedselementdetails.aspx?termid=9477</v>
      </c>
      <c r="Q875" s="12" t="str">
        <f>HYPERLINK("https://ceds.ed.gov/elementComment.aspx?elementName=Type of Use of the Rural Low-Income Schools Program &amp;elementID=9477", "Click here to submit comment")</f>
        <v>Click here to submit comment</v>
      </c>
    </row>
    <row r="876" spans="1:17" ht="75" x14ac:dyDescent="0.25">
      <c r="A876" s="12" t="s">
        <v>7242</v>
      </c>
      <c r="B876" s="12" t="s">
        <v>7251</v>
      </c>
      <c r="C876" s="12" t="s">
        <v>7248</v>
      </c>
      <c r="D876" s="12" t="s">
        <v>7172</v>
      </c>
      <c r="E876" s="12" t="s">
        <v>2842</v>
      </c>
      <c r="F876" s="12" t="s">
        <v>2843</v>
      </c>
      <c r="G876" s="12" t="s">
        <v>12</v>
      </c>
      <c r="H876" s="12" t="s">
        <v>222</v>
      </c>
      <c r="I876" s="12"/>
      <c r="J876" s="12"/>
      <c r="K876" s="12"/>
      <c r="L876" s="12"/>
      <c r="M876" s="12" t="s">
        <v>2844</v>
      </c>
      <c r="N876" s="12"/>
      <c r="O876" s="12" t="s">
        <v>2845</v>
      </c>
      <c r="P876" s="12" t="str">
        <f>HYPERLINK("https://ceds.ed.gov/cedselementdetails.aspx?termid=9538")</f>
        <v>https://ceds.ed.gov/cedselementdetails.aspx?termid=9538</v>
      </c>
      <c r="Q876" s="12" t="str">
        <f>HYPERLINK("https://ceds.ed.gov/elementComment.aspx?elementName=Federal Program Code &amp;elementID=9538", "Click here to submit comment")</f>
        <v>Click here to submit comment</v>
      </c>
    </row>
    <row r="877" spans="1:17" ht="150" x14ac:dyDescent="0.25">
      <c r="A877" s="12" t="s">
        <v>7242</v>
      </c>
      <c r="B877" s="12" t="s">
        <v>7251</v>
      </c>
      <c r="C877" s="12" t="s">
        <v>7252</v>
      </c>
      <c r="D877" s="12" t="s">
        <v>7172</v>
      </c>
      <c r="E877" s="12" t="s">
        <v>1561</v>
      </c>
      <c r="F877" s="12" t="s">
        <v>1562</v>
      </c>
      <c r="G877" s="13" t="s">
        <v>6800</v>
      </c>
      <c r="H877" s="12" t="s">
        <v>211</v>
      </c>
      <c r="I877" s="12"/>
      <c r="J877" s="12"/>
      <c r="K877" s="12"/>
      <c r="L877" s="12"/>
      <c r="M877" s="12" t="s">
        <v>1564</v>
      </c>
      <c r="N877" s="12"/>
      <c r="O877" s="12" t="s">
        <v>1565</v>
      </c>
      <c r="P877" s="12" t="str">
        <f>HYPERLINK("https://ceds.ed.gov/cedselementdetails.aspx?termid=9439")</f>
        <v>https://ceds.ed.gov/cedselementdetails.aspx?termid=9439</v>
      </c>
      <c r="Q877" s="12" t="str">
        <f>HYPERLINK("https://ceds.ed.gov/elementComment.aspx?elementName=Barrier to Educating Homeless &amp;elementID=9439", "Click here to submit comment")</f>
        <v>Click here to submit comment</v>
      </c>
    </row>
    <row r="878" spans="1:17" ht="75" x14ac:dyDescent="0.25">
      <c r="A878" s="12" t="s">
        <v>7242</v>
      </c>
      <c r="B878" s="12" t="s">
        <v>7251</v>
      </c>
      <c r="C878" s="12" t="s">
        <v>7252</v>
      </c>
      <c r="D878" s="12" t="s">
        <v>7172</v>
      </c>
      <c r="E878" s="12" t="s">
        <v>2296</v>
      </c>
      <c r="F878" s="12" t="s">
        <v>2297</v>
      </c>
      <c r="G878" s="12" t="s">
        <v>6364</v>
      </c>
      <c r="H878" s="12" t="s">
        <v>4</v>
      </c>
      <c r="I878" s="12"/>
      <c r="J878" s="12"/>
      <c r="K878" s="12"/>
      <c r="L878" s="12"/>
      <c r="M878" s="12" t="s">
        <v>2298</v>
      </c>
      <c r="N878" s="12"/>
      <c r="O878" s="12" t="s">
        <v>2299</v>
      </c>
      <c r="P878" s="12" t="str">
        <f>HYPERLINK("https://ceds.ed.gov/cedselementdetails.aspx?termid=9080")</f>
        <v>https://ceds.ed.gov/cedselementdetails.aspx?termid=9080</v>
      </c>
      <c r="Q878" s="12" t="str">
        <f>HYPERLINK("https://ceds.ed.gov/elementComment.aspx?elementName=Desegregation Order or Plan &amp;elementID=9080", "Click here to submit comment")</f>
        <v>Click here to submit comment</v>
      </c>
    </row>
    <row r="879" spans="1:17" ht="60" x14ac:dyDescent="0.25">
      <c r="A879" s="12" t="s">
        <v>7242</v>
      </c>
      <c r="B879" s="12" t="s">
        <v>7251</v>
      </c>
      <c r="C879" s="12" t="s">
        <v>7252</v>
      </c>
      <c r="D879" s="12" t="s">
        <v>7172</v>
      </c>
      <c r="E879" s="12" t="s">
        <v>3163</v>
      </c>
      <c r="F879" s="12" t="s">
        <v>3164</v>
      </c>
      <c r="G879" s="12" t="s">
        <v>6364</v>
      </c>
      <c r="H879" s="12" t="s">
        <v>4</v>
      </c>
      <c r="I879" s="12"/>
      <c r="J879" s="12"/>
      <c r="K879" s="12"/>
      <c r="L879" s="12"/>
      <c r="M879" s="12" t="s">
        <v>3165</v>
      </c>
      <c r="N879" s="12"/>
      <c r="O879" s="12" t="s">
        <v>3166</v>
      </c>
      <c r="P879" s="12" t="str">
        <f>HYPERLINK("https://ceds.ed.gov/cedselementdetails.aspx?termid=9135")</f>
        <v>https://ceds.ed.gov/cedselementdetails.aspx?termid=9135</v>
      </c>
      <c r="Q879" s="12" t="str">
        <f>HYPERLINK("https://ceds.ed.gov/elementComment.aspx?elementName=Harassment or Bullying Policy Status &amp;elementID=9135", "Click here to submit comment")</f>
        <v>Click here to submit comment</v>
      </c>
    </row>
    <row r="880" spans="1:17" ht="90" x14ac:dyDescent="0.25">
      <c r="A880" s="12" t="s">
        <v>7242</v>
      </c>
      <c r="B880" s="12" t="s">
        <v>7251</v>
      </c>
      <c r="C880" s="12" t="s">
        <v>7252</v>
      </c>
      <c r="D880" s="12" t="s">
        <v>7172</v>
      </c>
      <c r="E880" s="12" t="s">
        <v>3586</v>
      </c>
      <c r="F880" s="12" t="s">
        <v>3587</v>
      </c>
      <c r="G880" s="13" t="s">
        <v>6980</v>
      </c>
      <c r="H880" s="12" t="s">
        <v>222</v>
      </c>
      <c r="I880" s="12"/>
      <c r="J880" s="12"/>
      <c r="K880" s="12"/>
      <c r="L880" s="12"/>
      <c r="M880" s="12" t="s">
        <v>3588</v>
      </c>
      <c r="N880" s="12"/>
      <c r="O880" s="12" t="s">
        <v>3589</v>
      </c>
      <c r="P880" s="12" t="str">
        <f>HYPERLINK("https://ceds.ed.gov/cedselementdetails.aspx?termid=9170")</f>
        <v>https://ceds.ed.gov/cedselementdetails.aspx?termid=9170</v>
      </c>
      <c r="Q880" s="12" t="str">
        <f>HYPERLINK("https://ceds.ed.gov/elementComment.aspx?elementName=Integrated Technology Status &amp;elementID=9170", "Click here to submit comment")</f>
        <v>Click here to submit comment</v>
      </c>
    </row>
    <row r="881" spans="1:17" ht="105" x14ac:dyDescent="0.25">
      <c r="A881" s="12" t="s">
        <v>7242</v>
      </c>
      <c r="B881" s="12" t="s">
        <v>7251</v>
      </c>
      <c r="C881" s="12" t="s">
        <v>7252</v>
      </c>
      <c r="D881" s="12" t="s">
        <v>7172</v>
      </c>
      <c r="E881" s="12" t="s">
        <v>5481</v>
      </c>
      <c r="F881" s="12" t="s">
        <v>5482</v>
      </c>
      <c r="G881" s="13" t="s">
        <v>6747</v>
      </c>
      <c r="H881" s="12" t="s">
        <v>222</v>
      </c>
      <c r="I881" s="12"/>
      <c r="J881" s="12"/>
      <c r="K881" s="12"/>
      <c r="L881" s="12"/>
      <c r="M881" s="12" t="s">
        <v>5483</v>
      </c>
      <c r="N881" s="12" t="s">
        <v>5484</v>
      </c>
      <c r="O881" s="12" t="s">
        <v>5485</v>
      </c>
      <c r="P881" s="12" t="str">
        <f>HYPERLINK("https://ceds.ed.gov/cedselementdetails.aspx?termid=9552")</f>
        <v>https://ceds.ed.gov/cedselementdetails.aspx?termid=9552</v>
      </c>
      <c r="Q881" s="12" t="str">
        <f>HYPERLINK("https://ceds.ed.gov/elementComment.aspx?elementName=Rural Education Achievement Program Alternative Funding Status &amp;elementID=9552", "Click here to submit comment")</f>
        <v>Click here to submit comment</v>
      </c>
    </row>
    <row r="882" spans="1:17" ht="120" x14ac:dyDescent="0.25">
      <c r="A882" s="12" t="s">
        <v>7242</v>
      </c>
      <c r="B882" s="12" t="s">
        <v>7251</v>
      </c>
      <c r="C882" s="12" t="s">
        <v>7252</v>
      </c>
      <c r="D882" s="12" t="s">
        <v>7172</v>
      </c>
      <c r="E882" s="12" t="s">
        <v>5922</v>
      </c>
      <c r="F882" s="12" t="s">
        <v>5923</v>
      </c>
      <c r="G882" s="12" t="s">
        <v>12</v>
      </c>
      <c r="H882" s="12" t="s">
        <v>211</v>
      </c>
      <c r="I882" s="12"/>
      <c r="J882" s="12" t="s">
        <v>789</v>
      </c>
      <c r="K882" s="12"/>
      <c r="L882" s="12"/>
      <c r="M882" s="12" t="s">
        <v>5924</v>
      </c>
      <c r="N882" s="12"/>
      <c r="O882" s="12" t="s">
        <v>5925</v>
      </c>
      <c r="P882" s="12" t="str">
        <f>HYPERLINK("https://ceds.ed.gov/cedselementdetails.aspx?termid=9444")</f>
        <v>https://ceds.ed.gov/cedselementdetails.aspx?termid=9444</v>
      </c>
      <c r="Q882" s="12" t="str">
        <f>HYPERLINK("https://ceds.ed.gov/elementComment.aspx?elementName=State Assessment Administration Funding &amp;elementID=9444", "Click here to submit comment")</f>
        <v>Click here to submit comment</v>
      </c>
    </row>
    <row r="883" spans="1:17" ht="60" x14ac:dyDescent="0.25">
      <c r="A883" s="12" t="s">
        <v>7242</v>
      </c>
      <c r="B883" s="12" t="s">
        <v>7251</v>
      </c>
      <c r="C883" s="12" t="s">
        <v>7252</v>
      </c>
      <c r="D883" s="12" t="s">
        <v>7172</v>
      </c>
      <c r="E883" s="12" t="s">
        <v>5926</v>
      </c>
      <c r="F883" s="12" t="s">
        <v>5927</v>
      </c>
      <c r="G883" s="12" t="s">
        <v>12</v>
      </c>
      <c r="H883" s="12" t="s">
        <v>6682</v>
      </c>
      <c r="I883" s="12"/>
      <c r="J883" s="12" t="s">
        <v>789</v>
      </c>
      <c r="K883" s="12"/>
      <c r="L883" s="12"/>
      <c r="M883" s="12" t="s">
        <v>5928</v>
      </c>
      <c r="N883" s="12"/>
      <c r="O883" s="12" t="s">
        <v>5929</v>
      </c>
      <c r="P883" s="12" t="str">
        <f>HYPERLINK("https://ceds.ed.gov/cedselementdetails.aspx?termid=9443")</f>
        <v>https://ceds.ed.gov/cedselementdetails.aspx?termid=9443</v>
      </c>
      <c r="Q883" s="12" t="str">
        <f>HYPERLINK("https://ceds.ed.gov/elementComment.aspx?elementName=State Assessment Standards Funding &amp;elementID=9443", "Click here to submit comment")</f>
        <v>Click here to submit comment</v>
      </c>
    </row>
    <row r="884" spans="1:17" ht="45" x14ac:dyDescent="0.25">
      <c r="A884" s="12" t="s">
        <v>7242</v>
      </c>
      <c r="B884" s="12" t="s">
        <v>7251</v>
      </c>
      <c r="C884" s="12" t="s">
        <v>7252</v>
      </c>
      <c r="D884" s="12" t="s">
        <v>7172</v>
      </c>
      <c r="E884" s="12" t="s">
        <v>6115</v>
      </c>
      <c r="F884" s="12" t="s">
        <v>6116</v>
      </c>
      <c r="G884" s="12" t="s">
        <v>6364</v>
      </c>
      <c r="H884" s="12" t="s">
        <v>211</v>
      </c>
      <c r="I884" s="12"/>
      <c r="J884" s="12"/>
      <c r="K884" s="12"/>
      <c r="L884" s="12"/>
      <c r="M884" s="12" t="s">
        <v>6117</v>
      </c>
      <c r="N884" s="12"/>
      <c r="O884" s="12" t="s">
        <v>6118</v>
      </c>
      <c r="P884" s="12" t="str">
        <f>HYPERLINK("https://ceds.ed.gov/cedselementdetails.aspx?termid=9473")</f>
        <v>https://ceds.ed.gov/cedselementdetails.aspx?termid=9473</v>
      </c>
      <c r="Q884" s="12" t="str">
        <f>HYPERLINK("https://ceds.ed.gov/elementComment.aspx?elementName=Terminated Title III Programs Due to Failure &amp;elementID=9473", "Click here to submit comment")</f>
        <v>Click here to submit comment</v>
      </c>
    </row>
    <row r="885" spans="1:17" ht="75" x14ac:dyDescent="0.25">
      <c r="A885" s="12" t="s">
        <v>7242</v>
      </c>
      <c r="B885" s="12" t="s">
        <v>7251</v>
      </c>
      <c r="C885" s="12" t="s">
        <v>7252</v>
      </c>
      <c r="D885" s="12" t="s">
        <v>7172</v>
      </c>
      <c r="E885" s="12" t="s">
        <v>3610</v>
      </c>
      <c r="F885" s="12" t="s">
        <v>3611</v>
      </c>
      <c r="G885" s="12" t="s">
        <v>12</v>
      </c>
      <c r="H885" s="12"/>
      <c r="I885" s="12"/>
      <c r="J885" s="12" t="s">
        <v>317</v>
      </c>
      <c r="K885" s="12"/>
      <c r="L885" s="12"/>
      <c r="M885" s="12" t="s">
        <v>3612</v>
      </c>
      <c r="N885" s="12"/>
      <c r="O885" s="12" t="s">
        <v>3613</v>
      </c>
      <c r="P885" s="12" t="str">
        <f>HYPERLINK("https://ceds.ed.gov/cedselementdetails.aspx?termid=9660")</f>
        <v>https://ceds.ed.gov/cedselementdetails.aspx?termid=9660</v>
      </c>
      <c r="Q885" s="12" t="str">
        <f>HYPERLINK("https://ceds.ed.gov/elementComment.aspx?elementName=Interscholastic Sports - Male Only &amp;elementID=9660", "Click here to submit comment")</f>
        <v>Click here to submit comment</v>
      </c>
    </row>
    <row r="886" spans="1:17" ht="90" x14ac:dyDescent="0.25">
      <c r="A886" s="12" t="s">
        <v>7242</v>
      </c>
      <c r="B886" s="12" t="s">
        <v>7251</v>
      </c>
      <c r="C886" s="12" t="s">
        <v>7252</v>
      </c>
      <c r="D886" s="12" t="s">
        <v>7172</v>
      </c>
      <c r="E886" s="12" t="s">
        <v>3606</v>
      </c>
      <c r="F886" s="12" t="s">
        <v>3607</v>
      </c>
      <c r="G886" s="12" t="s">
        <v>12</v>
      </c>
      <c r="H886" s="12"/>
      <c r="I886" s="12"/>
      <c r="J886" s="12" t="s">
        <v>317</v>
      </c>
      <c r="K886" s="12"/>
      <c r="L886" s="12"/>
      <c r="M886" s="12" t="s">
        <v>3608</v>
      </c>
      <c r="N886" s="12"/>
      <c r="O886" s="12" t="s">
        <v>3609</v>
      </c>
      <c r="P886" s="12" t="str">
        <f>HYPERLINK("https://ceds.ed.gov/cedselementdetails.aspx?termid=9661")</f>
        <v>https://ceds.ed.gov/cedselementdetails.aspx?termid=9661</v>
      </c>
      <c r="Q886" s="12" t="str">
        <f>HYPERLINK("https://ceds.ed.gov/elementComment.aspx?elementName=Interscholastic Sports - Female Only &amp;elementID=9661", "Click here to submit comment")</f>
        <v>Click here to submit comment</v>
      </c>
    </row>
    <row r="887" spans="1:17" ht="105" x14ac:dyDescent="0.25">
      <c r="A887" s="12" t="s">
        <v>7242</v>
      </c>
      <c r="B887" s="12" t="s">
        <v>7251</v>
      </c>
      <c r="C887" s="12" t="s">
        <v>7252</v>
      </c>
      <c r="D887" s="12" t="s">
        <v>7172</v>
      </c>
      <c r="E887" s="12" t="s">
        <v>3618</v>
      </c>
      <c r="F887" s="12" t="s">
        <v>3619</v>
      </c>
      <c r="G887" s="12" t="s">
        <v>12</v>
      </c>
      <c r="H887" s="12"/>
      <c r="I887" s="12"/>
      <c r="J887" s="12" t="s">
        <v>317</v>
      </c>
      <c r="K887" s="12"/>
      <c r="L887" s="12"/>
      <c r="M887" s="12" t="s">
        <v>3620</v>
      </c>
      <c r="N887" s="12"/>
      <c r="O887" s="12" t="s">
        <v>3621</v>
      </c>
      <c r="P887" s="12" t="str">
        <f>HYPERLINK("https://ceds.ed.gov/cedselementdetails.aspx?termid=9662")</f>
        <v>https://ceds.ed.gov/cedselementdetails.aspx?termid=9662</v>
      </c>
      <c r="Q887" s="12" t="str">
        <f>HYPERLINK("https://ceds.ed.gov/elementComment.aspx?elementName=Interscholastic Teams - Male Only &amp;elementID=9662", "Click here to submit comment")</f>
        <v>Click here to submit comment</v>
      </c>
    </row>
    <row r="888" spans="1:17" ht="105" x14ac:dyDescent="0.25">
      <c r="A888" s="12" t="s">
        <v>7242</v>
      </c>
      <c r="B888" s="12" t="s">
        <v>7251</v>
      </c>
      <c r="C888" s="12" t="s">
        <v>7252</v>
      </c>
      <c r="D888" s="12" t="s">
        <v>7172</v>
      </c>
      <c r="E888" s="12" t="s">
        <v>3614</v>
      </c>
      <c r="F888" s="12" t="s">
        <v>3615</v>
      </c>
      <c r="G888" s="12" t="s">
        <v>12</v>
      </c>
      <c r="H888" s="12"/>
      <c r="I888" s="12"/>
      <c r="J888" s="12" t="s">
        <v>317</v>
      </c>
      <c r="K888" s="12"/>
      <c r="L888" s="12"/>
      <c r="M888" s="12" t="s">
        <v>3616</v>
      </c>
      <c r="N888" s="12"/>
      <c r="O888" s="12" t="s">
        <v>3617</v>
      </c>
      <c r="P888" s="12" t="str">
        <f>HYPERLINK("https://ceds.ed.gov/cedselementdetails.aspx?termid=9663")</f>
        <v>https://ceds.ed.gov/cedselementdetails.aspx?termid=9663</v>
      </c>
      <c r="Q888" s="12" t="str">
        <f>HYPERLINK("https://ceds.ed.gov/elementComment.aspx?elementName=Interscholastic Teams - Female Only &amp;elementID=9663", "Click here to submit comment")</f>
        <v>Click here to submit comment</v>
      </c>
    </row>
    <row r="889" spans="1:17" ht="60" x14ac:dyDescent="0.25">
      <c r="A889" s="12" t="s">
        <v>7242</v>
      </c>
      <c r="B889" s="12" t="s">
        <v>7251</v>
      </c>
      <c r="C889" s="12" t="s">
        <v>7252</v>
      </c>
      <c r="D889" s="12" t="s">
        <v>7172</v>
      </c>
      <c r="E889" s="12" t="s">
        <v>3602</v>
      </c>
      <c r="F889" s="12" t="s">
        <v>3603</v>
      </c>
      <c r="G889" s="12" t="s">
        <v>12</v>
      </c>
      <c r="H889" s="12"/>
      <c r="I889" s="12"/>
      <c r="J889" s="12" t="s">
        <v>317</v>
      </c>
      <c r="K889" s="12"/>
      <c r="L889" s="12"/>
      <c r="M889" s="12" t="s">
        <v>3604</v>
      </c>
      <c r="N889" s="12"/>
      <c r="O889" s="12" t="s">
        <v>3605</v>
      </c>
      <c r="P889" s="12" t="str">
        <f>HYPERLINK("https://ceds.ed.gov/cedselementdetails.aspx?termid=9664")</f>
        <v>https://ceds.ed.gov/cedselementdetails.aspx?termid=9664</v>
      </c>
      <c r="Q889" s="12" t="str">
        <f>HYPERLINK("https://ceds.ed.gov/elementComment.aspx?elementName=Interscholastic Sport Participants - Male Only &amp;elementID=9664", "Click here to submit comment")</f>
        <v>Click here to submit comment</v>
      </c>
    </row>
    <row r="890" spans="1:17" ht="60" x14ac:dyDescent="0.25">
      <c r="A890" s="12" t="s">
        <v>7242</v>
      </c>
      <c r="B890" s="12" t="s">
        <v>7251</v>
      </c>
      <c r="C890" s="12" t="s">
        <v>7252</v>
      </c>
      <c r="D890" s="12" t="s">
        <v>7172</v>
      </c>
      <c r="E890" s="12" t="s">
        <v>3598</v>
      </c>
      <c r="F890" s="12" t="s">
        <v>3599</v>
      </c>
      <c r="G890" s="12" t="s">
        <v>12</v>
      </c>
      <c r="H890" s="12"/>
      <c r="I890" s="12"/>
      <c r="J890" s="12" t="s">
        <v>317</v>
      </c>
      <c r="K890" s="12"/>
      <c r="L890" s="12"/>
      <c r="M890" s="12" t="s">
        <v>3600</v>
      </c>
      <c r="N890" s="12"/>
      <c r="O890" s="12" t="s">
        <v>3601</v>
      </c>
      <c r="P890" s="12" t="str">
        <f>HYPERLINK("https://ceds.ed.gov/cedselementdetails.aspx?termid=9665")</f>
        <v>https://ceds.ed.gov/cedselementdetails.aspx?termid=9665</v>
      </c>
      <c r="Q890" s="12" t="str">
        <f>HYPERLINK("https://ceds.ed.gov/elementComment.aspx?elementName=Interscholastic Sport Participants - Female Only &amp;elementID=9665", "Click here to submit comment")</f>
        <v>Click here to submit comment</v>
      </c>
    </row>
    <row r="891" spans="1:17" ht="60" x14ac:dyDescent="0.25">
      <c r="A891" s="12" t="s">
        <v>7242</v>
      </c>
      <c r="B891" s="12" t="s">
        <v>7251</v>
      </c>
      <c r="C891" s="12" t="s">
        <v>7253</v>
      </c>
      <c r="D891" s="12" t="s">
        <v>7172</v>
      </c>
      <c r="E891" s="12" t="s">
        <v>5490</v>
      </c>
      <c r="F891" s="12" t="s">
        <v>5491</v>
      </c>
      <c r="G891" s="12" t="s">
        <v>12</v>
      </c>
      <c r="H891" s="12" t="s">
        <v>211</v>
      </c>
      <c r="I891" s="12"/>
      <c r="J891" s="12" t="s">
        <v>99</v>
      </c>
      <c r="K891" s="12"/>
      <c r="L891" s="12"/>
      <c r="M891" s="12" t="s">
        <v>5493</v>
      </c>
      <c r="N891" s="12"/>
      <c r="O891" s="12" t="s">
        <v>5494</v>
      </c>
      <c r="P891" s="12" t="str">
        <f>HYPERLINK("https://ceds.ed.gov/cedselementdetails.aspx?termid=9468")</f>
        <v>https://ceds.ed.gov/cedselementdetails.aspx?termid=9468</v>
      </c>
      <c r="Q891" s="12" t="str">
        <f>HYPERLINK("https://ceds.ed.gov/elementComment.aspx?elementName=Safe and Drug Free Baseline &amp;elementID=9468", "Click here to submit comment")</f>
        <v>Click here to submit comment</v>
      </c>
    </row>
    <row r="892" spans="1:17" ht="30" x14ac:dyDescent="0.25">
      <c r="A892" s="12" t="s">
        <v>7242</v>
      </c>
      <c r="B892" s="12" t="s">
        <v>7251</v>
      </c>
      <c r="C892" s="12" t="s">
        <v>7253</v>
      </c>
      <c r="D892" s="12" t="s">
        <v>7172</v>
      </c>
      <c r="E892" s="12" t="s">
        <v>5495</v>
      </c>
      <c r="F892" s="12" t="s">
        <v>5496</v>
      </c>
      <c r="G892" s="12" t="s">
        <v>12</v>
      </c>
      <c r="H892" s="12" t="s">
        <v>211</v>
      </c>
      <c r="I892" s="12"/>
      <c r="J892" s="12" t="s">
        <v>1201</v>
      </c>
      <c r="K892" s="12"/>
      <c r="L892" s="12"/>
      <c r="M892" s="12" t="s">
        <v>5497</v>
      </c>
      <c r="N892" s="12"/>
      <c r="O892" s="12" t="s">
        <v>5498</v>
      </c>
      <c r="P892" s="12" t="str">
        <f>HYPERLINK("https://ceds.ed.gov/cedselementdetails.aspx?termid=9469")</f>
        <v>https://ceds.ed.gov/cedselementdetails.aspx?termid=9469</v>
      </c>
      <c r="Q892" s="12" t="str">
        <f>HYPERLINK("https://ceds.ed.gov/elementComment.aspx?elementName=Safe and Drug Free Baseline Year &amp;elementID=9469", "Click here to submit comment")</f>
        <v>Click here to submit comment</v>
      </c>
    </row>
    <row r="893" spans="1:17" ht="60" x14ac:dyDescent="0.25">
      <c r="A893" s="12" t="s">
        <v>7242</v>
      </c>
      <c r="B893" s="12" t="s">
        <v>7251</v>
      </c>
      <c r="C893" s="12" t="s">
        <v>7253</v>
      </c>
      <c r="D893" s="12" t="s">
        <v>7172</v>
      </c>
      <c r="E893" s="12" t="s">
        <v>5499</v>
      </c>
      <c r="F893" s="12" t="s">
        <v>5500</v>
      </c>
      <c r="G893" s="12" t="s">
        <v>12</v>
      </c>
      <c r="H893" s="12" t="s">
        <v>211</v>
      </c>
      <c r="I893" s="12"/>
      <c r="J893" s="12" t="s">
        <v>99</v>
      </c>
      <c r="K893" s="12"/>
      <c r="L893" s="12"/>
      <c r="M893" s="12" t="s">
        <v>5501</v>
      </c>
      <c r="N893" s="12"/>
      <c r="O893" s="12" t="s">
        <v>5502</v>
      </c>
      <c r="P893" s="12" t="str">
        <f>HYPERLINK("https://ceds.ed.gov/cedselementdetails.aspx?termid=9463")</f>
        <v>https://ceds.ed.gov/cedselementdetails.aspx?termid=9463</v>
      </c>
      <c r="Q893" s="12" t="str">
        <f>HYPERLINK("https://ceds.ed.gov/elementComment.aspx?elementName=Safe and Drug Free Collection Frequency &amp;elementID=9463", "Click here to submit comment")</f>
        <v>Click here to submit comment</v>
      </c>
    </row>
    <row r="894" spans="1:17" ht="60" x14ac:dyDescent="0.25">
      <c r="A894" s="12" t="s">
        <v>7242</v>
      </c>
      <c r="B894" s="12" t="s">
        <v>7251</v>
      </c>
      <c r="C894" s="12" t="s">
        <v>7253</v>
      </c>
      <c r="D894" s="12" t="s">
        <v>7172</v>
      </c>
      <c r="E894" s="12" t="s">
        <v>5503</v>
      </c>
      <c r="F894" s="12" t="s">
        <v>5504</v>
      </c>
      <c r="G894" s="12" t="s">
        <v>12</v>
      </c>
      <c r="H894" s="12" t="s">
        <v>211</v>
      </c>
      <c r="I894" s="12"/>
      <c r="J894" s="12" t="s">
        <v>99</v>
      </c>
      <c r="K894" s="12"/>
      <c r="L894" s="12"/>
      <c r="M894" s="12" t="s">
        <v>5505</v>
      </c>
      <c r="N894" s="12"/>
      <c r="O894" s="12" t="s">
        <v>5506</v>
      </c>
      <c r="P894" s="12" t="str">
        <f>HYPERLINK("https://ceds.ed.gov/cedselementdetails.aspx?termid=9461")</f>
        <v>https://ceds.ed.gov/cedselementdetails.aspx?termid=9461</v>
      </c>
      <c r="Q894" s="12" t="str">
        <f>HYPERLINK("https://ceds.ed.gov/elementComment.aspx?elementName=Safe and Drug Free Indicator Name &amp;elementID=9461", "Click here to submit comment")</f>
        <v>Click here to submit comment</v>
      </c>
    </row>
    <row r="895" spans="1:17" ht="75" x14ac:dyDescent="0.25">
      <c r="A895" s="12" t="s">
        <v>7242</v>
      </c>
      <c r="B895" s="12" t="s">
        <v>7251</v>
      </c>
      <c r="C895" s="12" t="s">
        <v>7253</v>
      </c>
      <c r="D895" s="12" t="s">
        <v>7172</v>
      </c>
      <c r="E895" s="12" t="s">
        <v>5507</v>
      </c>
      <c r="F895" s="12" t="s">
        <v>5508</v>
      </c>
      <c r="G895" s="12" t="s">
        <v>12</v>
      </c>
      <c r="H895" s="12" t="s">
        <v>211</v>
      </c>
      <c r="I895" s="12"/>
      <c r="J895" s="12" t="s">
        <v>794</v>
      </c>
      <c r="K895" s="12"/>
      <c r="L895" s="12"/>
      <c r="M895" s="12" t="s">
        <v>5509</v>
      </c>
      <c r="N895" s="12"/>
      <c r="O895" s="12" t="s">
        <v>5510</v>
      </c>
      <c r="P895" s="12" t="str">
        <f>HYPERLINK("https://ceds.ed.gov/cedselementdetails.aspx?termid=9462")</f>
        <v>https://ceds.ed.gov/cedselementdetails.aspx?termid=9462</v>
      </c>
      <c r="Q895" s="12" t="str">
        <f>HYPERLINK("https://ceds.ed.gov/elementComment.aspx?elementName=Safe and Drug Free Instrument &amp;elementID=9462", "Click here to submit comment")</f>
        <v>Click here to submit comment</v>
      </c>
    </row>
    <row r="896" spans="1:17" ht="60" x14ac:dyDescent="0.25">
      <c r="A896" s="12" t="s">
        <v>7242</v>
      </c>
      <c r="B896" s="12" t="s">
        <v>7251</v>
      </c>
      <c r="C896" s="12" t="s">
        <v>7253</v>
      </c>
      <c r="D896" s="12" t="s">
        <v>7172</v>
      </c>
      <c r="E896" s="12" t="s">
        <v>5511</v>
      </c>
      <c r="F896" s="12" t="s">
        <v>5512</v>
      </c>
      <c r="G896" s="12" t="s">
        <v>12</v>
      </c>
      <c r="H896" s="12" t="s">
        <v>211</v>
      </c>
      <c r="I896" s="12"/>
      <c r="J896" s="12" t="s">
        <v>1201</v>
      </c>
      <c r="K896" s="12"/>
      <c r="L896" s="12"/>
      <c r="M896" s="12" t="s">
        <v>5513</v>
      </c>
      <c r="N896" s="12"/>
      <c r="O896" s="12" t="s">
        <v>5514</v>
      </c>
      <c r="P896" s="12" t="str">
        <f>HYPERLINK("https://ceds.ed.gov/cedselementdetails.aspx?termid=9466")</f>
        <v>https://ceds.ed.gov/cedselementdetails.aspx?termid=9466</v>
      </c>
      <c r="Q896" s="12" t="str">
        <f>HYPERLINK("https://ceds.ed.gov/elementComment.aspx?elementName=Safe and Drug Free Performance &amp;elementID=9466", "Click here to submit comment")</f>
        <v>Click here to submit comment</v>
      </c>
    </row>
    <row r="897" spans="1:17" ht="60" x14ac:dyDescent="0.25">
      <c r="A897" s="12" t="s">
        <v>7242</v>
      </c>
      <c r="B897" s="12" t="s">
        <v>7251</v>
      </c>
      <c r="C897" s="12" t="s">
        <v>7253</v>
      </c>
      <c r="D897" s="12" t="s">
        <v>7172</v>
      </c>
      <c r="E897" s="12" t="s">
        <v>5515</v>
      </c>
      <c r="F897" s="12" t="s">
        <v>5516</v>
      </c>
      <c r="G897" s="12" t="s">
        <v>12</v>
      </c>
      <c r="H897" s="12" t="s">
        <v>211</v>
      </c>
      <c r="I897" s="12"/>
      <c r="J897" s="12" t="s">
        <v>1201</v>
      </c>
      <c r="K897" s="12"/>
      <c r="L897" s="12"/>
      <c r="M897" s="12" t="s">
        <v>5517</v>
      </c>
      <c r="N897" s="12"/>
      <c r="O897" s="12" t="s">
        <v>5518</v>
      </c>
      <c r="P897" s="12" t="str">
        <f>HYPERLINK("https://ceds.ed.gov/cedselementdetails.aspx?termid=9465")</f>
        <v>https://ceds.ed.gov/cedselementdetails.aspx?termid=9465</v>
      </c>
      <c r="Q897" s="12" t="str">
        <f>HYPERLINK("https://ceds.ed.gov/elementComment.aspx?elementName=Safe and Drug Free Target &amp;elementID=9465", "Click here to submit comment")</f>
        <v>Click here to submit comment</v>
      </c>
    </row>
    <row r="898" spans="1:17" ht="60" x14ac:dyDescent="0.25">
      <c r="A898" s="12" t="s">
        <v>7242</v>
      </c>
      <c r="B898" s="12" t="s">
        <v>7251</v>
      </c>
      <c r="C898" s="12" t="s">
        <v>7253</v>
      </c>
      <c r="D898" s="12" t="s">
        <v>7172</v>
      </c>
      <c r="E898" s="12" t="s">
        <v>5519</v>
      </c>
      <c r="F898" s="12" t="s">
        <v>5520</v>
      </c>
      <c r="G898" s="12" t="s">
        <v>12</v>
      </c>
      <c r="H898" s="12" t="s">
        <v>211</v>
      </c>
      <c r="I898" s="12"/>
      <c r="J898" s="12" t="s">
        <v>1201</v>
      </c>
      <c r="K898" s="12"/>
      <c r="L898" s="12"/>
      <c r="M898" s="12" t="s">
        <v>5521</v>
      </c>
      <c r="N898" s="12"/>
      <c r="O898" s="12" t="s">
        <v>5522</v>
      </c>
      <c r="P898" s="12" t="str">
        <f>HYPERLINK("https://ceds.ed.gov/cedselementdetails.aspx?termid=9464")</f>
        <v>https://ceds.ed.gov/cedselementdetails.aspx?termid=9464</v>
      </c>
      <c r="Q898" s="12" t="str">
        <f>HYPERLINK("https://ceds.ed.gov/elementComment.aspx?elementName=Safe and Drug Free Year Most Recent Collection &amp;elementID=9464", "Click here to submit comment")</f>
        <v>Click here to submit comment</v>
      </c>
    </row>
    <row r="899" spans="1:17" ht="105" x14ac:dyDescent="0.25">
      <c r="A899" s="12" t="s">
        <v>7242</v>
      </c>
      <c r="B899" s="12" t="s">
        <v>7251</v>
      </c>
      <c r="C899" s="12" t="s">
        <v>7254</v>
      </c>
      <c r="D899" s="12" t="s">
        <v>7172</v>
      </c>
      <c r="E899" s="12" t="s">
        <v>4906</v>
      </c>
      <c r="F899" s="12" t="s">
        <v>4907</v>
      </c>
      <c r="G899" s="13" t="s">
        <v>7061</v>
      </c>
      <c r="H899" s="12" t="s">
        <v>4</v>
      </c>
      <c r="I899" s="12"/>
      <c r="J899" s="12"/>
      <c r="K899" s="12"/>
      <c r="L899" s="12"/>
      <c r="M899" s="12" t="s">
        <v>4908</v>
      </c>
      <c r="N899" s="12"/>
      <c r="O899" s="12" t="s">
        <v>4909</v>
      </c>
      <c r="P899" s="12" t="str">
        <f>HYPERLINK("https://ceds.ed.gov/cedselementdetails.aspx?termid=9216")</f>
        <v>https://ceds.ed.gov/cedselementdetails.aspx?termid=9216</v>
      </c>
      <c r="Q899" s="12" t="str">
        <f>HYPERLINK("https://ceds.ed.gov/elementComment.aspx?elementName=Prekindergarten Eligibility &amp;elementID=9216", "Click here to submit comment")</f>
        <v>Click here to submit comment</v>
      </c>
    </row>
    <row r="900" spans="1:17" ht="90" x14ac:dyDescent="0.25">
      <c r="A900" s="12" t="s">
        <v>7242</v>
      </c>
      <c r="B900" s="12" t="s">
        <v>7251</v>
      </c>
      <c r="C900" s="12" t="s">
        <v>7254</v>
      </c>
      <c r="D900" s="12" t="s">
        <v>7172</v>
      </c>
      <c r="E900" s="12" t="s">
        <v>4910</v>
      </c>
      <c r="F900" s="12" t="s">
        <v>4911</v>
      </c>
      <c r="G900" s="13" t="s">
        <v>7062</v>
      </c>
      <c r="H900" s="12" t="s">
        <v>4</v>
      </c>
      <c r="I900" s="12"/>
      <c r="J900" s="12"/>
      <c r="K900" s="12"/>
      <c r="L900" s="12"/>
      <c r="M900" s="12" t="s">
        <v>4912</v>
      </c>
      <c r="N900" s="12"/>
      <c r="O900" s="12" t="s">
        <v>4913</v>
      </c>
      <c r="P900" s="12" t="str">
        <f>HYPERLINK("https://ceds.ed.gov/cedselementdetails.aspx?termid=9217")</f>
        <v>https://ceds.ed.gov/cedselementdetails.aspx?termid=9217</v>
      </c>
      <c r="Q900" s="12" t="str">
        <f>HYPERLINK("https://ceds.ed.gov/elementComment.aspx?elementName=Prekindergarten Eligible Ages for Non-IDEA Students &amp;elementID=9217", "Click here to submit comment")</f>
        <v>Click here to submit comment</v>
      </c>
    </row>
    <row r="901" spans="1:17" ht="60" x14ac:dyDescent="0.25">
      <c r="A901" s="12" t="s">
        <v>7242</v>
      </c>
      <c r="B901" s="12" t="s">
        <v>7251</v>
      </c>
      <c r="C901" s="12" t="s">
        <v>7254</v>
      </c>
      <c r="D901" s="12" t="s">
        <v>7172</v>
      </c>
      <c r="E901" s="12" t="s">
        <v>4902</v>
      </c>
      <c r="F901" s="12" t="s">
        <v>4903</v>
      </c>
      <c r="G901" s="13" t="s">
        <v>6986</v>
      </c>
      <c r="H901" s="12" t="s">
        <v>4</v>
      </c>
      <c r="I901" s="12"/>
      <c r="J901" s="12"/>
      <c r="K901" s="12"/>
      <c r="L901" s="12"/>
      <c r="M901" s="12" t="s">
        <v>4904</v>
      </c>
      <c r="N901" s="12"/>
      <c r="O901" s="12" t="s">
        <v>4905</v>
      </c>
      <c r="P901" s="12" t="str">
        <f>HYPERLINK("https://ceds.ed.gov/cedselementdetails.aspx?termid=9481")</f>
        <v>https://ceds.ed.gov/cedselementdetails.aspx?termid=9481</v>
      </c>
      <c r="Q901" s="12" t="str">
        <f>HYPERLINK("https://ceds.ed.gov/elementComment.aspx?elementName=Prekindergarten Daily Length &amp;elementID=9481", "Click here to submit comment")</f>
        <v>Click here to submit comment</v>
      </c>
    </row>
    <row r="902" spans="1:17" ht="60" x14ac:dyDescent="0.25">
      <c r="A902" s="12" t="s">
        <v>7242</v>
      </c>
      <c r="B902" s="12" t="s">
        <v>7251</v>
      </c>
      <c r="C902" s="12" t="s">
        <v>7254</v>
      </c>
      <c r="D902" s="12" t="s">
        <v>7172</v>
      </c>
      <c r="E902" s="12" t="s">
        <v>3663</v>
      </c>
      <c r="F902" s="12" t="s">
        <v>3664</v>
      </c>
      <c r="G902" s="13" t="s">
        <v>6986</v>
      </c>
      <c r="H902" s="12" t="s">
        <v>4</v>
      </c>
      <c r="I902" s="12"/>
      <c r="J902" s="12"/>
      <c r="K902" s="12"/>
      <c r="L902" s="12"/>
      <c r="M902" s="12" t="s">
        <v>3666</v>
      </c>
      <c r="N902" s="12"/>
      <c r="O902" s="12" t="s">
        <v>3667</v>
      </c>
      <c r="P902" s="12" t="str">
        <f>HYPERLINK("https://ceds.ed.gov/cedselementdetails.aspx?termid=9482")</f>
        <v>https://ceds.ed.gov/cedselementdetails.aspx?termid=9482</v>
      </c>
      <c r="Q902" s="12" t="str">
        <f>HYPERLINK("https://ceds.ed.gov/elementComment.aspx?elementName=Kindergarten Daily Length &amp;elementID=9482", "Click here to submit comment")</f>
        <v>Click here to submit comment</v>
      </c>
    </row>
    <row r="903" spans="1:17" ht="409.5" x14ac:dyDescent="0.25">
      <c r="A903" s="12" t="s">
        <v>7242</v>
      </c>
      <c r="B903" s="12" t="s">
        <v>7251</v>
      </c>
      <c r="C903" s="12" t="s">
        <v>7254</v>
      </c>
      <c r="D903" s="12" t="s">
        <v>7172</v>
      </c>
      <c r="E903" s="12" t="s">
        <v>5132</v>
      </c>
      <c r="F903" s="12" t="s">
        <v>5133</v>
      </c>
      <c r="G903" s="13" t="s">
        <v>7079</v>
      </c>
      <c r="H903" s="12"/>
      <c r="I903" s="12"/>
      <c r="J903" s="12"/>
      <c r="K903" s="12"/>
      <c r="L903" s="12"/>
      <c r="M903" s="12" t="s">
        <v>5134</v>
      </c>
      <c r="N903" s="12"/>
      <c r="O903" s="12" t="s">
        <v>5135</v>
      </c>
      <c r="P903" s="12" t="str">
        <f>HYPERLINK("https://ceds.ed.gov/cedselementdetails.aspx?termid=10210")</f>
        <v>https://ceds.ed.gov/cedselementdetails.aspx?termid=10210</v>
      </c>
      <c r="Q903" s="12" t="str">
        <f>HYPERLINK("https://ceds.ed.gov/elementComment.aspx?elementName=Program Gifted Eligibility Criteria &amp;elementID=10210", "Click here to submit comment")</f>
        <v>Click here to submit comment</v>
      </c>
    </row>
    <row r="904" spans="1:17" ht="75" x14ac:dyDescent="0.25">
      <c r="A904" s="12" t="s">
        <v>7242</v>
      </c>
      <c r="B904" s="12" t="s">
        <v>7251</v>
      </c>
      <c r="C904" s="12" t="s">
        <v>7254</v>
      </c>
      <c r="D904" s="12" t="s">
        <v>7172</v>
      </c>
      <c r="E904" s="12" t="s">
        <v>4449</v>
      </c>
      <c r="F904" s="12" t="s">
        <v>4450</v>
      </c>
      <c r="G904" s="13" t="s">
        <v>7032</v>
      </c>
      <c r="H904" s="12" t="s">
        <v>222</v>
      </c>
      <c r="I904" s="12"/>
      <c r="J904" s="12"/>
      <c r="K904" s="12"/>
      <c r="L904" s="12"/>
      <c r="M904" s="12" t="s">
        <v>4451</v>
      </c>
      <c r="N904" s="12" t="s">
        <v>4452</v>
      </c>
      <c r="O904" s="12" t="s">
        <v>4453</v>
      </c>
      <c r="P904" s="12" t="str">
        <f>HYPERLINK("https://ceds.ed.gov/cedselementdetails.aspx?termid=9187")</f>
        <v>https://ceds.ed.gov/cedselementdetails.aspx?termid=9187</v>
      </c>
      <c r="Q904" s="12" t="str">
        <f>HYPERLINK("https://ceds.ed.gov/elementComment.aspx?elementName=Migrant Education Program Session Type &amp;elementID=9187", "Click here to submit comment")</f>
        <v>Click here to submit comment</v>
      </c>
    </row>
    <row r="905" spans="1:17" ht="120" x14ac:dyDescent="0.25">
      <c r="A905" s="12" t="s">
        <v>7242</v>
      </c>
      <c r="B905" s="12" t="s">
        <v>7251</v>
      </c>
      <c r="C905" s="12" t="s">
        <v>7254</v>
      </c>
      <c r="D905" s="12" t="s">
        <v>7172</v>
      </c>
      <c r="E905" s="12" t="s">
        <v>4439</v>
      </c>
      <c r="F905" s="12" t="s">
        <v>4440</v>
      </c>
      <c r="G905" s="13" t="s">
        <v>7030</v>
      </c>
      <c r="H905" s="12" t="s">
        <v>211</v>
      </c>
      <c r="I905" s="12"/>
      <c r="J905" s="12"/>
      <c r="K905" s="12"/>
      <c r="L905" s="12"/>
      <c r="M905" s="12" t="s">
        <v>4441</v>
      </c>
      <c r="N905" s="12" t="s">
        <v>4442</v>
      </c>
      <c r="O905" s="12" t="s">
        <v>4443</v>
      </c>
      <c r="P905" s="12" t="str">
        <f>HYPERLINK("https://ceds.ed.gov/cedselementdetails.aspx?termid=9453")</f>
        <v>https://ceds.ed.gov/cedselementdetails.aspx?termid=9453</v>
      </c>
      <c r="Q905" s="12" t="str">
        <f>HYPERLINK("https://ceds.ed.gov/elementComment.aspx?elementName=Migrant Education Program Project Type &amp;elementID=9453", "Click here to submit comment")</f>
        <v>Click here to submit comment</v>
      </c>
    </row>
    <row r="906" spans="1:17" ht="30" x14ac:dyDescent="0.25">
      <c r="A906" s="12" t="s">
        <v>7242</v>
      </c>
      <c r="B906" s="12" t="s">
        <v>7251</v>
      </c>
      <c r="C906" s="12" t="s">
        <v>7254</v>
      </c>
      <c r="D906" s="12" t="s">
        <v>7172</v>
      </c>
      <c r="E906" s="12" t="s">
        <v>4621</v>
      </c>
      <c r="F906" s="12" t="s">
        <v>4622</v>
      </c>
      <c r="G906" s="12" t="s">
        <v>12</v>
      </c>
      <c r="H906" s="12" t="s">
        <v>211</v>
      </c>
      <c r="I906" s="12"/>
      <c r="J906" s="12" t="s">
        <v>317</v>
      </c>
      <c r="K906" s="12"/>
      <c r="L906" s="12"/>
      <c r="M906" s="12" t="s">
        <v>4623</v>
      </c>
      <c r="N906" s="12"/>
      <c r="O906" s="12" t="s">
        <v>4624</v>
      </c>
      <c r="P906" s="12" t="str">
        <f>HYPERLINK("https://ceds.ed.gov/cedselementdetails.aspx?termid=9460")</f>
        <v>https://ceds.ed.gov/cedselementdetails.aspx?termid=9460</v>
      </c>
      <c r="Q906" s="12" t="str">
        <f>HYPERLINK("https://ceds.ed.gov/elementComment.aspx?elementName=Number of Immigrant Program Subgrants &amp;elementID=9460", "Click here to submit comment")</f>
        <v>Click here to submit comment</v>
      </c>
    </row>
    <row r="907" spans="1:17" ht="90" x14ac:dyDescent="0.25">
      <c r="A907" s="12" t="s">
        <v>7242</v>
      </c>
      <c r="B907" s="12" t="s">
        <v>7251</v>
      </c>
      <c r="C907" s="12" t="s">
        <v>7254</v>
      </c>
      <c r="D907" s="12" t="s">
        <v>7172</v>
      </c>
      <c r="E907" s="12" t="s">
        <v>5145</v>
      </c>
      <c r="F907" s="12" t="s">
        <v>5146</v>
      </c>
      <c r="G907" s="12" t="s">
        <v>6364</v>
      </c>
      <c r="H907" s="12" t="s">
        <v>211</v>
      </c>
      <c r="I907" s="12"/>
      <c r="J907" s="12"/>
      <c r="K907" s="12"/>
      <c r="L907" s="12"/>
      <c r="M907" s="12" t="s">
        <v>5147</v>
      </c>
      <c r="N907" s="12"/>
      <c r="O907" s="12" t="s">
        <v>5148</v>
      </c>
      <c r="P907" s="12" t="str">
        <f>HYPERLINK("https://ceds.ed.gov/cedselementdetails.aspx?termid=9476")</f>
        <v>https://ceds.ed.gov/cedselementdetails.aspx?termid=9476</v>
      </c>
      <c r="Q907" s="12" t="str">
        <f>HYPERLINK("https://ceds.ed.gov/elementComment.aspx?elementName=Program in Multiple Purpose Facility &amp;elementID=9476", "Click here to submit comment")</f>
        <v>Click here to submit comment</v>
      </c>
    </row>
    <row r="908" spans="1:17" ht="135" x14ac:dyDescent="0.25">
      <c r="A908" s="12" t="s">
        <v>7242</v>
      </c>
      <c r="B908" s="12" t="s">
        <v>7251</v>
      </c>
      <c r="C908" s="12" t="s">
        <v>7254</v>
      </c>
      <c r="D908" s="12" t="s">
        <v>7172</v>
      </c>
      <c r="E908" s="12" t="s">
        <v>6131</v>
      </c>
      <c r="F908" s="12" t="s">
        <v>6132</v>
      </c>
      <c r="G908" s="13" t="s">
        <v>7137</v>
      </c>
      <c r="H908" s="12" t="s">
        <v>222</v>
      </c>
      <c r="I908" s="12"/>
      <c r="J908" s="12"/>
      <c r="K908" s="12"/>
      <c r="L908" s="12"/>
      <c r="M908" s="12" t="s">
        <v>6133</v>
      </c>
      <c r="N908" s="12"/>
      <c r="O908" s="12" t="s">
        <v>6134</v>
      </c>
      <c r="P908" s="12" t="str">
        <f>HYPERLINK("https://ceds.ed.gov/cedselementdetails.aspx?termid=9282")</f>
        <v>https://ceds.ed.gov/cedselementdetails.aspx?termid=9282</v>
      </c>
      <c r="Q908" s="12" t="str">
        <f>HYPERLINK("https://ceds.ed.gov/elementComment.aspx?elementName=Title I Instructional Services &amp;elementID=9282", "Click here to submit comment")</f>
        <v>Click here to submit comment</v>
      </c>
    </row>
    <row r="909" spans="1:17" ht="135" x14ac:dyDescent="0.25">
      <c r="A909" s="12" t="s">
        <v>7242</v>
      </c>
      <c r="B909" s="12" t="s">
        <v>7251</v>
      </c>
      <c r="C909" s="12" t="s">
        <v>7254</v>
      </c>
      <c r="D909" s="12" t="s">
        <v>7172</v>
      </c>
      <c r="E909" s="12" t="s">
        <v>6139</v>
      </c>
      <c r="F909" s="12" t="s">
        <v>6140</v>
      </c>
      <c r="G909" s="13" t="s">
        <v>7139</v>
      </c>
      <c r="H909" s="12" t="s">
        <v>222</v>
      </c>
      <c r="I909" s="12"/>
      <c r="J909" s="12"/>
      <c r="K909" s="12"/>
      <c r="L909" s="12"/>
      <c r="M909" s="12" t="s">
        <v>6141</v>
      </c>
      <c r="N909" s="12"/>
      <c r="O909" s="12" t="s">
        <v>6142</v>
      </c>
      <c r="P909" s="12" t="str">
        <f>HYPERLINK("https://ceds.ed.gov/cedselementdetails.aspx?termid=9284")</f>
        <v>https://ceds.ed.gov/cedselementdetails.aspx?termid=9284</v>
      </c>
      <c r="Q909" s="12" t="str">
        <f>HYPERLINK("https://ceds.ed.gov/elementComment.aspx?elementName=Title I Program Type &amp;elementID=9284", "Click here to submit comment")</f>
        <v>Click here to submit comment</v>
      </c>
    </row>
    <row r="910" spans="1:17" ht="90" x14ac:dyDescent="0.25">
      <c r="A910" s="12" t="s">
        <v>7242</v>
      </c>
      <c r="B910" s="12" t="s">
        <v>7251</v>
      </c>
      <c r="C910" s="12" t="s">
        <v>7254</v>
      </c>
      <c r="D910" s="12" t="s">
        <v>7172</v>
      </c>
      <c r="E910" s="12" t="s">
        <v>6163</v>
      </c>
      <c r="F910" s="12" t="s">
        <v>6164</v>
      </c>
      <c r="G910" s="13" t="s">
        <v>7141</v>
      </c>
      <c r="H910" s="12" t="s">
        <v>222</v>
      </c>
      <c r="I910" s="12"/>
      <c r="J910" s="12"/>
      <c r="K910" s="12"/>
      <c r="L910" s="12"/>
      <c r="M910" s="12" t="s">
        <v>6165</v>
      </c>
      <c r="N910" s="12"/>
      <c r="O910" s="12" t="s">
        <v>6166</v>
      </c>
      <c r="P910" s="12" t="str">
        <f>HYPERLINK("https://ceds.ed.gov/cedselementdetails.aspx?termid=9289")</f>
        <v>https://ceds.ed.gov/cedselementdetails.aspx?termid=9289</v>
      </c>
      <c r="Q910" s="12" t="str">
        <f>HYPERLINK("https://ceds.ed.gov/elementComment.aspx?elementName=Title I Support Services &amp;elementID=9289", "Click here to submit comment")</f>
        <v>Click here to submit comment</v>
      </c>
    </row>
    <row r="911" spans="1:17" ht="270" x14ac:dyDescent="0.25">
      <c r="A911" s="12" t="s">
        <v>7242</v>
      </c>
      <c r="B911" s="12" t="s">
        <v>7251</v>
      </c>
      <c r="C911" s="12" t="s">
        <v>7254</v>
      </c>
      <c r="D911" s="12" t="s">
        <v>7172</v>
      </c>
      <c r="E911" s="12" t="s">
        <v>6187</v>
      </c>
      <c r="F911" s="12" t="s">
        <v>6188</v>
      </c>
      <c r="G911" s="13" t="s">
        <v>7143</v>
      </c>
      <c r="H911" s="12" t="s">
        <v>211</v>
      </c>
      <c r="I911" s="12"/>
      <c r="J911" s="12"/>
      <c r="K911" s="12"/>
      <c r="L911" s="12"/>
      <c r="M911" s="12" t="s">
        <v>6189</v>
      </c>
      <c r="N911" s="12"/>
      <c r="O911" s="12" t="s">
        <v>6190</v>
      </c>
      <c r="P911" s="12" t="str">
        <f>HYPERLINK("https://ceds.ed.gov/cedselementdetails.aspx?termid=9437")</f>
        <v>https://ceds.ed.gov/cedselementdetails.aspx?termid=9437</v>
      </c>
      <c r="Q911" s="12" t="str">
        <f>HYPERLINK("https://ceds.ed.gov/elementComment.aspx?elementName=Title III Language Instruction Program Type &amp;elementID=9437", "Click here to submit comment")</f>
        <v>Click here to submit comment</v>
      </c>
    </row>
    <row r="912" spans="1:17" ht="105" x14ac:dyDescent="0.25">
      <c r="A912" s="12" t="s">
        <v>7242</v>
      </c>
      <c r="B912" s="12" t="s">
        <v>7251</v>
      </c>
      <c r="C912" s="12" t="s">
        <v>7192</v>
      </c>
      <c r="D912" s="12" t="s">
        <v>7172</v>
      </c>
      <c r="E912" s="12" t="s">
        <v>2880</v>
      </c>
      <c r="F912" s="12" t="s">
        <v>2881</v>
      </c>
      <c r="G912" s="12" t="s">
        <v>12</v>
      </c>
      <c r="H912" s="12"/>
      <c r="I912" s="12" t="s">
        <v>98</v>
      </c>
      <c r="J912" s="12" t="s">
        <v>92</v>
      </c>
      <c r="K912" s="12"/>
      <c r="L912" s="12"/>
      <c r="M912" s="12" t="s">
        <v>2882</v>
      </c>
      <c r="N912" s="12"/>
      <c r="O912" s="12" t="s">
        <v>2883</v>
      </c>
      <c r="P912" s="12" t="str">
        <f>HYPERLINK("https://ceds.ed.gov/cedselementdetails.aspx?termid=10530")</f>
        <v>https://ceds.ed.gov/cedselementdetails.aspx?termid=10530</v>
      </c>
      <c r="Q912" s="12" t="str">
        <f>HYPERLINK("https://ceds.ed.gov/elementComment.aspx?elementName=Financial Account Number &amp;elementID=10530", "Click here to submit comment")</f>
        <v>Click here to submit comment</v>
      </c>
    </row>
    <row r="913" spans="1:17" ht="45" x14ac:dyDescent="0.25">
      <c r="A913" s="12" t="s">
        <v>7242</v>
      </c>
      <c r="B913" s="12" t="s">
        <v>7251</v>
      </c>
      <c r="C913" s="12" t="s">
        <v>7192</v>
      </c>
      <c r="D913" s="12" t="s">
        <v>7172</v>
      </c>
      <c r="E913" s="12" t="s">
        <v>2876</v>
      </c>
      <c r="F913" s="12" t="s">
        <v>2877</v>
      </c>
      <c r="G913" s="12" t="s">
        <v>12</v>
      </c>
      <c r="H913" s="12"/>
      <c r="I913" s="12"/>
      <c r="J913" s="12" t="s">
        <v>794</v>
      </c>
      <c r="K913" s="12"/>
      <c r="L913" s="12"/>
      <c r="M913" s="12" t="s">
        <v>2878</v>
      </c>
      <c r="N913" s="12"/>
      <c r="O913" s="12" t="s">
        <v>2879</v>
      </c>
      <c r="P913" s="12" t="str">
        <f>HYPERLINK("https://ceds.ed.gov/cedselementdetails.aspx?termid=10315")</f>
        <v>https://ceds.ed.gov/cedselementdetails.aspx?termid=10315</v>
      </c>
      <c r="Q913" s="12" t="str">
        <f>HYPERLINK("https://ceds.ed.gov/elementComment.aspx?elementName=Financial Account Name &amp;elementID=10315", "Click here to submit comment")</f>
        <v>Click here to submit comment</v>
      </c>
    </row>
    <row r="914" spans="1:17" ht="45" x14ac:dyDescent="0.25">
      <c r="A914" s="12" t="s">
        <v>7242</v>
      </c>
      <c r="B914" s="12" t="s">
        <v>7251</v>
      </c>
      <c r="C914" s="12" t="s">
        <v>7192</v>
      </c>
      <c r="D914" s="12" t="s">
        <v>7172</v>
      </c>
      <c r="E914" s="12" t="s">
        <v>2868</v>
      </c>
      <c r="F914" s="12" t="s">
        <v>2869</v>
      </c>
      <c r="G914" s="12" t="s">
        <v>12</v>
      </c>
      <c r="H914" s="12"/>
      <c r="I914" s="12"/>
      <c r="J914" s="12" t="s">
        <v>68</v>
      </c>
      <c r="K914" s="12"/>
      <c r="L914" s="12"/>
      <c r="M914" s="12" t="s">
        <v>2870</v>
      </c>
      <c r="N914" s="12"/>
      <c r="O914" s="12" t="s">
        <v>2871</v>
      </c>
      <c r="P914" s="12" t="str">
        <f>HYPERLINK("https://ceds.ed.gov/cedselementdetails.aspx?termid=10313")</f>
        <v>https://ceds.ed.gov/cedselementdetails.aspx?termid=10313</v>
      </c>
      <c r="Q914" s="12" t="str">
        <f>HYPERLINK("https://ceds.ed.gov/elementComment.aspx?elementName=Financial Account Description &amp;elementID=10313", "Click here to submit comment")</f>
        <v>Click here to submit comment</v>
      </c>
    </row>
    <row r="915" spans="1:17" ht="105" x14ac:dyDescent="0.25">
      <c r="A915" s="12" t="s">
        <v>7242</v>
      </c>
      <c r="B915" s="12" t="s">
        <v>7251</v>
      </c>
      <c r="C915" s="12" t="s">
        <v>7192</v>
      </c>
      <c r="D915" s="12" t="s">
        <v>7172</v>
      </c>
      <c r="E915" s="12" t="s">
        <v>2864</v>
      </c>
      <c r="F915" s="12" t="s">
        <v>2865</v>
      </c>
      <c r="G915" s="13" t="s">
        <v>6919</v>
      </c>
      <c r="H915" s="12"/>
      <c r="I915" s="12"/>
      <c r="J915" s="12"/>
      <c r="K915" s="12"/>
      <c r="L915" s="12"/>
      <c r="M915" s="12" t="s">
        <v>2866</v>
      </c>
      <c r="N915" s="12"/>
      <c r="O915" s="12" t="s">
        <v>2867</v>
      </c>
      <c r="P915" s="12" t="str">
        <f>HYPERLINK("https://ceds.ed.gov/cedselementdetails.aspx?termid=10312")</f>
        <v>https://ceds.ed.gov/cedselementdetails.aspx?termid=10312</v>
      </c>
      <c r="Q915" s="12" t="str">
        <f>HYPERLINK("https://ceds.ed.gov/elementComment.aspx?elementName=Financial Account Category &amp;elementID=10312", "Click here to submit comment")</f>
        <v>Click here to submit comment</v>
      </c>
    </row>
    <row r="916" spans="1:17" ht="409.5" x14ac:dyDescent="0.25">
      <c r="A916" s="12" t="s">
        <v>7242</v>
      </c>
      <c r="B916" s="12" t="s">
        <v>7251</v>
      </c>
      <c r="C916" s="12" t="s">
        <v>7192</v>
      </c>
      <c r="D916" s="12" t="s">
        <v>7172</v>
      </c>
      <c r="E916" s="12" t="s">
        <v>2859</v>
      </c>
      <c r="F916" s="12" t="s">
        <v>2860</v>
      </c>
      <c r="G916" s="13" t="s">
        <v>6918</v>
      </c>
      <c r="H916" s="12"/>
      <c r="I916" s="12" t="s">
        <v>98</v>
      </c>
      <c r="J916" s="12"/>
      <c r="K916" s="12"/>
      <c r="L916" s="14" t="s">
        <v>2861</v>
      </c>
      <c r="M916" s="12" t="s">
        <v>2862</v>
      </c>
      <c r="N916" s="12"/>
      <c r="O916" s="12" t="s">
        <v>2863</v>
      </c>
      <c r="P916" s="12" t="str">
        <f>HYPERLINK("https://ceds.ed.gov/cedselementdetails.aspx?termid=10320")</f>
        <v>https://ceds.ed.gov/cedselementdetails.aspx?termid=10320</v>
      </c>
      <c r="Q916" s="12" t="str">
        <f>HYPERLINK("https://ceds.ed.gov/elementComment.aspx?elementName=Financial Account Balance Sheet Code &amp;elementID=10320", "Click here to submit comment")</f>
        <v>Click here to submit comment</v>
      </c>
    </row>
    <row r="917" spans="1:17" ht="45" x14ac:dyDescent="0.25">
      <c r="A917" s="12" t="s">
        <v>7242</v>
      </c>
      <c r="B917" s="12" t="s">
        <v>7251</v>
      </c>
      <c r="C917" s="12" t="s">
        <v>7192</v>
      </c>
      <c r="D917" s="12" t="s">
        <v>7172</v>
      </c>
      <c r="E917" s="12" t="s">
        <v>2905</v>
      </c>
      <c r="F917" s="12" t="s">
        <v>2906</v>
      </c>
      <c r="G917" s="12" t="s">
        <v>12</v>
      </c>
      <c r="H917" s="12"/>
      <c r="I917" s="12" t="s">
        <v>98</v>
      </c>
      <c r="J917" s="12" t="s">
        <v>1554</v>
      </c>
      <c r="K917" s="12"/>
      <c r="L917" s="12"/>
      <c r="M917" s="12" t="s">
        <v>2907</v>
      </c>
      <c r="N917" s="12"/>
      <c r="O917" s="12" t="s">
        <v>2908</v>
      </c>
      <c r="P917" s="12" t="str">
        <f>HYPERLINK("https://ceds.ed.gov/cedselementdetails.aspx?termid=10317")</f>
        <v>https://ceds.ed.gov/cedselementdetails.aspx?termid=10317</v>
      </c>
      <c r="Q917" s="12" t="str">
        <f>HYPERLINK("https://ceds.ed.gov/elementComment.aspx?elementName=Financial Accounting Period Actual Value &amp;elementID=10317", "Click here to submit comment")</f>
        <v>Click here to submit comment</v>
      </c>
    </row>
    <row r="918" spans="1:17" ht="45" x14ac:dyDescent="0.25">
      <c r="A918" s="12" t="s">
        <v>7242</v>
      </c>
      <c r="B918" s="12" t="s">
        <v>7251</v>
      </c>
      <c r="C918" s="12" t="s">
        <v>7192</v>
      </c>
      <c r="D918" s="12" t="s">
        <v>7172</v>
      </c>
      <c r="E918" s="12" t="s">
        <v>2909</v>
      </c>
      <c r="F918" s="12" t="s">
        <v>2910</v>
      </c>
      <c r="G918" s="12" t="s">
        <v>12</v>
      </c>
      <c r="H918" s="12"/>
      <c r="I918" s="12" t="s">
        <v>98</v>
      </c>
      <c r="J918" s="12" t="s">
        <v>1554</v>
      </c>
      <c r="K918" s="12"/>
      <c r="L918" s="12"/>
      <c r="M918" s="12" t="s">
        <v>2911</v>
      </c>
      <c r="N918" s="12"/>
      <c r="O918" s="12" t="s">
        <v>2912</v>
      </c>
      <c r="P918" s="12" t="str">
        <f>HYPERLINK("https://ceds.ed.gov/cedselementdetails.aspx?termid=10318")</f>
        <v>https://ceds.ed.gov/cedselementdetails.aspx?termid=10318</v>
      </c>
      <c r="Q918" s="12" t="str">
        <f>HYPERLINK("https://ceds.ed.gov/elementComment.aspx?elementName=Financial Accounting Period Budgeted Value &amp;elementID=10318", "Click here to submit comment")</f>
        <v>Click here to submit comment</v>
      </c>
    </row>
    <row r="919" spans="1:17" ht="60" x14ac:dyDescent="0.25">
      <c r="A919" s="12" t="s">
        <v>7242</v>
      </c>
      <c r="B919" s="12" t="s">
        <v>7251</v>
      </c>
      <c r="C919" s="12" t="s">
        <v>7192</v>
      </c>
      <c r="D919" s="12" t="s">
        <v>7172</v>
      </c>
      <c r="E919" s="12" t="s">
        <v>2913</v>
      </c>
      <c r="F919" s="12" t="s">
        <v>2914</v>
      </c>
      <c r="G919" s="12" t="s">
        <v>12</v>
      </c>
      <c r="H919" s="12"/>
      <c r="I919" s="12" t="s">
        <v>1498</v>
      </c>
      <c r="J919" s="12" t="s">
        <v>1554</v>
      </c>
      <c r="K919" s="12"/>
      <c r="L919" s="12" t="s">
        <v>2915</v>
      </c>
      <c r="M919" s="12" t="s">
        <v>2916</v>
      </c>
      <c r="N919" s="12"/>
      <c r="O919" s="12" t="s">
        <v>2917</v>
      </c>
      <c r="P919" s="12" t="str">
        <f>HYPERLINK("https://ceds.ed.gov/cedselementdetails.aspx?termid=10625")</f>
        <v>https://ceds.ed.gov/cedselementdetails.aspx?termid=10625</v>
      </c>
      <c r="Q919" s="12" t="str">
        <f>HYPERLINK("https://ceds.ed.gov/elementComment.aspx?elementName=Financial Accounting Period Encumbered Value &amp;elementID=10625", "Click here to submit comment")</f>
        <v>Click here to submit comment</v>
      </c>
    </row>
    <row r="920" spans="1:17" ht="30" x14ac:dyDescent="0.25">
      <c r="A920" s="12" t="s">
        <v>7242</v>
      </c>
      <c r="B920" s="12" t="s">
        <v>7251</v>
      </c>
      <c r="C920" s="12" t="s">
        <v>7192</v>
      </c>
      <c r="D920" s="12" t="s">
        <v>7172</v>
      </c>
      <c r="E920" s="12" t="s">
        <v>3034</v>
      </c>
      <c r="F920" s="12" t="s">
        <v>3035</v>
      </c>
      <c r="G920" s="12" t="s">
        <v>12</v>
      </c>
      <c r="H920" s="12"/>
      <c r="I920" s="12" t="s">
        <v>1498</v>
      </c>
      <c r="J920" s="12" t="s">
        <v>1861</v>
      </c>
      <c r="K920" s="12"/>
      <c r="L920" s="12"/>
      <c r="M920" s="12" t="s">
        <v>3036</v>
      </c>
      <c r="N920" s="12"/>
      <c r="O920" s="12" t="s">
        <v>3037</v>
      </c>
      <c r="P920" s="12" t="str">
        <f>HYPERLINK("https://ceds.ed.gov/cedselementdetails.aspx?termid=10620")</f>
        <v>https://ceds.ed.gov/cedselementdetails.aspx?termid=10620</v>
      </c>
      <c r="Q920" s="12" t="str">
        <f>HYPERLINK("https://ceds.ed.gov/elementComment.aspx?elementName=Fiscal Year &amp;elementID=10620", "Click here to submit comment")</f>
        <v>Click here to submit comment</v>
      </c>
    </row>
    <row r="921" spans="1:17" ht="30" x14ac:dyDescent="0.25">
      <c r="A921" s="12" t="s">
        <v>7242</v>
      </c>
      <c r="B921" s="12" t="s">
        <v>7251</v>
      </c>
      <c r="C921" s="12" t="s">
        <v>7192</v>
      </c>
      <c r="D921" s="12" t="s">
        <v>7172</v>
      </c>
      <c r="E921" s="12" t="s">
        <v>3026</v>
      </c>
      <c r="F921" s="12" t="s">
        <v>3027</v>
      </c>
      <c r="G921" s="12" t="s">
        <v>12</v>
      </c>
      <c r="H921" s="12"/>
      <c r="I921" s="12" t="s">
        <v>1498</v>
      </c>
      <c r="J921" s="12" t="s">
        <v>73</v>
      </c>
      <c r="K921" s="12"/>
      <c r="L921" s="12"/>
      <c r="M921" s="12" t="s">
        <v>3028</v>
      </c>
      <c r="N921" s="12"/>
      <c r="O921" s="12" t="s">
        <v>3029</v>
      </c>
      <c r="P921" s="12" t="str">
        <f>HYPERLINK("https://ceds.ed.gov/cedselementdetails.aspx?termid=10623")</f>
        <v>https://ceds.ed.gov/cedselementdetails.aspx?termid=10623</v>
      </c>
      <c r="Q921" s="12" t="str">
        <f>HYPERLINK("https://ceds.ed.gov/elementComment.aspx?elementName=Fiscal Period Begin Date &amp;elementID=10623", "Click here to submit comment")</f>
        <v>Click here to submit comment</v>
      </c>
    </row>
    <row r="922" spans="1:17" ht="30" x14ac:dyDescent="0.25">
      <c r="A922" s="12" t="s">
        <v>7242</v>
      </c>
      <c r="B922" s="12" t="s">
        <v>7251</v>
      </c>
      <c r="C922" s="12" t="s">
        <v>7192</v>
      </c>
      <c r="D922" s="12" t="s">
        <v>7172</v>
      </c>
      <c r="E922" s="12" t="s">
        <v>3030</v>
      </c>
      <c r="F922" s="12" t="s">
        <v>3031</v>
      </c>
      <c r="G922" s="12" t="s">
        <v>12</v>
      </c>
      <c r="H922" s="12"/>
      <c r="I922" s="12" t="s">
        <v>1498</v>
      </c>
      <c r="J922" s="12" t="s">
        <v>73</v>
      </c>
      <c r="K922" s="12"/>
      <c r="L922" s="12"/>
      <c r="M922" s="12" t="s">
        <v>3032</v>
      </c>
      <c r="N922" s="12"/>
      <c r="O922" s="12" t="s">
        <v>3033</v>
      </c>
      <c r="P922" s="12" t="str">
        <f>HYPERLINK("https://ceds.ed.gov/cedselementdetails.aspx?termid=10624")</f>
        <v>https://ceds.ed.gov/cedselementdetails.aspx?termid=10624</v>
      </c>
      <c r="Q922" s="12" t="str">
        <f>HYPERLINK("https://ceds.ed.gov/elementComment.aspx?elementName=Fiscal Period End Date &amp;elementID=10624", "Click here to submit comment")</f>
        <v>Click here to submit comment</v>
      </c>
    </row>
    <row r="923" spans="1:17" ht="135" x14ac:dyDescent="0.25">
      <c r="A923" s="12" t="s">
        <v>7242</v>
      </c>
      <c r="B923" s="12" t="s">
        <v>7251</v>
      </c>
      <c r="C923" s="12" t="s">
        <v>7192</v>
      </c>
      <c r="D923" s="12" t="s">
        <v>7172</v>
      </c>
      <c r="E923" s="12" t="s">
        <v>2918</v>
      </c>
      <c r="F923" s="12" t="s">
        <v>2919</v>
      </c>
      <c r="G923" s="12" t="s">
        <v>12</v>
      </c>
      <c r="H923" s="12"/>
      <c r="I923" s="12" t="s">
        <v>1498</v>
      </c>
      <c r="J923" s="12" t="s">
        <v>1554</v>
      </c>
      <c r="K923" s="12"/>
      <c r="L923" s="12" t="s">
        <v>2920</v>
      </c>
      <c r="M923" s="12" t="s">
        <v>2921</v>
      </c>
      <c r="N923" s="12"/>
      <c r="O923" s="12" t="s">
        <v>2922</v>
      </c>
      <c r="P923" s="12" t="str">
        <f>HYPERLINK("https://ceds.ed.gov/cedselementdetails.aspx?termid=10628")</f>
        <v>https://ceds.ed.gov/cedselementdetails.aspx?termid=10628</v>
      </c>
      <c r="Q923" s="12" t="str">
        <f>HYPERLINK("https://ceds.ed.gov/elementComment.aspx?elementName=Financial Accounting Value &amp;elementID=10628", "Click here to submit comment")</f>
        <v>Click here to submit comment</v>
      </c>
    </row>
    <row r="924" spans="1:17" ht="30" x14ac:dyDescent="0.25">
      <c r="A924" s="12" t="s">
        <v>7242</v>
      </c>
      <c r="B924" s="12" t="s">
        <v>7251</v>
      </c>
      <c r="C924" s="12" t="s">
        <v>7192</v>
      </c>
      <c r="D924" s="12" t="s">
        <v>7172</v>
      </c>
      <c r="E924" s="12" t="s">
        <v>2901</v>
      </c>
      <c r="F924" s="12" t="s">
        <v>2902</v>
      </c>
      <c r="G924" s="12" t="s">
        <v>12</v>
      </c>
      <c r="H924" s="12"/>
      <c r="I924" s="12" t="s">
        <v>1498</v>
      </c>
      <c r="J924" s="12" t="s">
        <v>73</v>
      </c>
      <c r="K924" s="12"/>
      <c r="L924" s="12"/>
      <c r="M924" s="12" t="s">
        <v>2903</v>
      </c>
      <c r="N924" s="12"/>
      <c r="O924" s="12" t="s">
        <v>2904</v>
      </c>
      <c r="P924" s="12" t="str">
        <f>HYPERLINK("https://ceds.ed.gov/cedselementdetails.aspx?termid=10629")</f>
        <v>https://ceds.ed.gov/cedselementdetails.aspx?termid=10629</v>
      </c>
      <c r="Q924" s="12" t="str">
        <f>HYPERLINK("https://ceds.ed.gov/elementComment.aspx?elementName=Financial Accounting Date &amp;elementID=10629", "Click here to submit comment")</f>
        <v>Click here to submit comment</v>
      </c>
    </row>
    <row r="925" spans="1:17" ht="150" x14ac:dyDescent="0.25">
      <c r="A925" s="12" t="s">
        <v>7242</v>
      </c>
      <c r="B925" s="12" t="s">
        <v>7251</v>
      </c>
      <c r="C925" s="12" t="s">
        <v>7192</v>
      </c>
      <c r="D925" s="12" t="s">
        <v>7172</v>
      </c>
      <c r="E925" s="12" t="s">
        <v>2872</v>
      </c>
      <c r="F925" s="12" t="s">
        <v>2873</v>
      </c>
      <c r="G925" s="13" t="s">
        <v>6920</v>
      </c>
      <c r="H925" s="12"/>
      <c r="I925" s="12" t="s">
        <v>98</v>
      </c>
      <c r="J925" s="12"/>
      <c r="K925" s="12"/>
      <c r="L925" s="14" t="s">
        <v>2861</v>
      </c>
      <c r="M925" s="12" t="s">
        <v>2874</v>
      </c>
      <c r="N925" s="12"/>
      <c r="O925" s="12" t="s">
        <v>2875</v>
      </c>
      <c r="P925" s="12" t="str">
        <f>HYPERLINK("https://ceds.ed.gov/cedselementdetails.aspx?termid=10314")</f>
        <v>https://ceds.ed.gov/cedselementdetails.aspx?termid=10314</v>
      </c>
      <c r="Q925" s="12" t="str">
        <f>HYPERLINK("https://ceds.ed.gov/elementComment.aspx?elementName=Financial Account Fund Classification &amp;elementID=10314", "Click here to submit comment")</f>
        <v>Click here to submit comment</v>
      </c>
    </row>
    <row r="926" spans="1:17" ht="240" x14ac:dyDescent="0.25">
      <c r="A926" s="12" t="s">
        <v>7242</v>
      </c>
      <c r="B926" s="12" t="s">
        <v>7251</v>
      </c>
      <c r="C926" s="12" t="s">
        <v>7192</v>
      </c>
      <c r="D926" s="12" t="s">
        <v>7172</v>
      </c>
      <c r="E926" s="12" t="s">
        <v>2884</v>
      </c>
      <c r="F926" s="12" t="s">
        <v>2885</v>
      </c>
      <c r="G926" s="13" t="s">
        <v>6921</v>
      </c>
      <c r="H926" s="12"/>
      <c r="I926" s="12" t="s">
        <v>98</v>
      </c>
      <c r="J926" s="12"/>
      <c r="K926" s="12"/>
      <c r="L926" s="14" t="s">
        <v>2861</v>
      </c>
      <c r="M926" s="12" t="s">
        <v>2886</v>
      </c>
      <c r="N926" s="12"/>
      <c r="O926" s="12" t="s">
        <v>2887</v>
      </c>
      <c r="P926" s="12" t="str">
        <f>HYPERLINK("https://ceds.ed.gov/cedselementdetails.aspx?termid=10316")</f>
        <v>https://ceds.ed.gov/cedselementdetails.aspx?termid=10316</v>
      </c>
      <c r="Q926" s="12" t="str">
        <f>HYPERLINK("https://ceds.ed.gov/elementComment.aspx?elementName=Financial Account Program Code &amp;elementID=10316", "Click here to submit comment")</f>
        <v>Click here to submit comment</v>
      </c>
    </row>
    <row r="927" spans="1:17" ht="45" x14ac:dyDescent="0.25">
      <c r="A927" s="12" t="s">
        <v>7242</v>
      </c>
      <c r="B927" s="12" t="s">
        <v>7251</v>
      </c>
      <c r="C927" s="12" t="s">
        <v>7192</v>
      </c>
      <c r="D927" s="12" t="s">
        <v>7172</v>
      </c>
      <c r="E927" s="12" t="s">
        <v>2892</v>
      </c>
      <c r="F927" s="12" t="s">
        <v>2893</v>
      </c>
      <c r="G927" s="12" t="s">
        <v>12</v>
      </c>
      <c r="H927" s="12"/>
      <c r="I927" s="12" t="s">
        <v>1498</v>
      </c>
      <c r="J927" s="12" t="s">
        <v>92</v>
      </c>
      <c r="K927" s="12"/>
      <c r="L927" s="12"/>
      <c r="M927" s="12" t="s">
        <v>2894</v>
      </c>
      <c r="N927" s="12"/>
      <c r="O927" s="12" t="s">
        <v>2895</v>
      </c>
      <c r="P927" s="12" t="str">
        <f>HYPERLINK("https://ceds.ed.gov/cedselementdetails.aspx?termid=10627")</f>
        <v>https://ceds.ed.gov/cedselementdetails.aspx?termid=10627</v>
      </c>
      <c r="Q927" s="12" t="str">
        <f>HYPERLINK("https://ceds.ed.gov/elementComment.aspx?elementName=Financial Account Program Number &amp;elementID=10627", "Click here to submit comment")</f>
        <v>Click here to submit comment</v>
      </c>
    </row>
    <row r="928" spans="1:17" ht="45" x14ac:dyDescent="0.25">
      <c r="A928" s="12" t="s">
        <v>7242</v>
      </c>
      <c r="B928" s="12" t="s">
        <v>7251</v>
      </c>
      <c r="C928" s="12" t="s">
        <v>7192</v>
      </c>
      <c r="D928" s="12" t="s">
        <v>7172</v>
      </c>
      <c r="E928" s="12" t="s">
        <v>2888</v>
      </c>
      <c r="F928" s="12" t="s">
        <v>2889</v>
      </c>
      <c r="G928" s="12" t="s">
        <v>12</v>
      </c>
      <c r="H928" s="12"/>
      <c r="I928" s="12" t="s">
        <v>1498</v>
      </c>
      <c r="J928" s="12" t="s">
        <v>794</v>
      </c>
      <c r="K928" s="12"/>
      <c r="L928" s="12"/>
      <c r="M928" s="12" t="s">
        <v>2890</v>
      </c>
      <c r="N928" s="12"/>
      <c r="O928" s="12" t="s">
        <v>2891</v>
      </c>
      <c r="P928" s="12" t="str">
        <f>HYPERLINK("https://ceds.ed.gov/cedselementdetails.aspx?termid=10626")</f>
        <v>https://ceds.ed.gov/cedselementdetails.aspx?termid=10626</v>
      </c>
      <c r="Q928" s="12" t="str">
        <f>HYPERLINK("https://ceds.ed.gov/elementComment.aspx?elementName=Financial Account Program Name &amp;elementID=10626", "Click here to submit comment")</f>
        <v>Click here to submit comment</v>
      </c>
    </row>
    <row r="929" spans="1:17" ht="60" x14ac:dyDescent="0.25">
      <c r="A929" s="18" t="s">
        <v>7242</v>
      </c>
      <c r="B929" s="18" t="s">
        <v>7251</v>
      </c>
      <c r="C929" s="18" t="s">
        <v>7192</v>
      </c>
      <c r="D929" s="18" t="s">
        <v>7172</v>
      </c>
      <c r="E929" s="18" t="s">
        <v>2896</v>
      </c>
      <c r="F929" s="18" t="s">
        <v>2897</v>
      </c>
      <c r="G929" s="20" t="s">
        <v>6922</v>
      </c>
      <c r="H929" s="18"/>
      <c r="I929" s="18" t="s">
        <v>98</v>
      </c>
      <c r="J929" s="18"/>
      <c r="K929" s="18"/>
      <c r="L929" s="14" t="s">
        <v>2861</v>
      </c>
      <c r="M929" s="18" t="s">
        <v>2899</v>
      </c>
      <c r="N929" s="18"/>
      <c r="O929" s="18" t="s">
        <v>2900</v>
      </c>
      <c r="P929" s="18" t="str">
        <f>HYPERLINK("https://ceds.ed.gov/cedselementdetails.aspx?termid=10440")</f>
        <v>https://ceds.ed.gov/cedselementdetails.aspx?termid=10440</v>
      </c>
      <c r="Q929" s="18" t="str">
        <f>HYPERLINK("https://ceds.ed.gov/elementComment.aspx?elementName=Financial Account Revenue Code &amp;elementID=10440", "Click here to submit comment")</f>
        <v>Click here to submit comment</v>
      </c>
    </row>
    <row r="930" spans="1:17" x14ac:dyDescent="0.25">
      <c r="A930" s="18"/>
      <c r="B930" s="18"/>
      <c r="C930" s="18"/>
      <c r="D930" s="18"/>
      <c r="E930" s="18"/>
      <c r="F930" s="18"/>
      <c r="G930" s="18"/>
      <c r="H930" s="18"/>
      <c r="I930" s="18"/>
      <c r="J930" s="18"/>
      <c r="K930" s="18"/>
      <c r="L930" s="12"/>
      <c r="M930" s="18"/>
      <c r="N930" s="18"/>
      <c r="O930" s="18"/>
      <c r="P930" s="18"/>
      <c r="Q930" s="18"/>
    </row>
    <row r="931" spans="1:17" ht="30" x14ac:dyDescent="0.25">
      <c r="A931" s="18"/>
      <c r="B931" s="18"/>
      <c r="C931" s="18"/>
      <c r="D931" s="18"/>
      <c r="E931" s="18"/>
      <c r="F931" s="18"/>
      <c r="G931" s="18"/>
      <c r="H931" s="18"/>
      <c r="I931" s="18"/>
      <c r="J931" s="18"/>
      <c r="K931" s="18"/>
      <c r="L931" s="12" t="s">
        <v>2898</v>
      </c>
      <c r="M931" s="18"/>
      <c r="N931" s="18"/>
      <c r="O931" s="18"/>
      <c r="P931" s="18"/>
      <c r="Q931" s="18"/>
    </row>
    <row r="932" spans="1:17" ht="409.5" x14ac:dyDescent="0.25">
      <c r="A932" s="12" t="s">
        <v>7242</v>
      </c>
      <c r="B932" s="12" t="s">
        <v>7251</v>
      </c>
      <c r="C932" s="12" t="s">
        <v>7192</v>
      </c>
      <c r="D932" s="12" t="s">
        <v>7172</v>
      </c>
      <c r="E932" s="12" t="s">
        <v>2968</v>
      </c>
      <c r="F932" s="12" t="s">
        <v>2969</v>
      </c>
      <c r="G932" s="13" t="s">
        <v>6928</v>
      </c>
      <c r="H932" s="12"/>
      <c r="I932" s="12" t="s">
        <v>98</v>
      </c>
      <c r="J932" s="12"/>
      <c r="K932" s="12"/>
      <c r="L932" s="14" t="s">
        <v>2861</v>
      </c>
      <c r="M932" s="12" t="s">
        <v>2970</v>
      </c>
      <c r="N932" s="12"/>
      <c r="O932" s="12" t="s">
        <v>2971</v>
      </c>
      <c r="P932" s="12" t="str">
        <f>HYPERLINK("https://ceds.ed.gov/cedselementdetails.aspx?termid=10321")</f>
        <v>https://ceds.ed.gov/cedselementdetails.aspx?termid=10321</v>
      </c>
      <c r="Q932" s="12" t="str">
        <f>HYPERLINK("https://ceds.ed.gov/elementComment.aspx?elementName=Financial Expenditure Function Code &amp;elementID=10321", "Click here to submit comment")</f>
        <v>Click here to submit comment</v>
      </c>
    </row>
    <row r="933" spans="1:17" ht="409.5" x14ac:dyDescent="0.25">
      <c r="A933" s="12" t="s">
        <v>7242</v>
      </c>
      <c r="B933" s="12" t="s">
        <v>7251</v>
      </c>
      <c r="C933" s="12" t="s">
        <v>7192</v>
      </c>
      <c r="D933" s="12" t="s">
        <v>7172</v>
      </c>
      <c r="E933" s="12" t="s">
        <v>2976</v>
      </c>
      <c r="F933" s="12" t="s">
        <v>2977</v>
      </c>
      <c r="G933" s="13" t="s">
        <v>6930</v>
      </c>
      <c r="H933" s="12"/>
      <c r="I933" s="12" t="s">
        <v>98</v>
      </c>
      <c r="J933" s="12"/>
      <c r="K933" s="12"/>
      <c r="L933" s="14" t="s">
        <v>2861</v>
      </c>
      <c r="M933" s="12" t="s">
        <v>2978</v>
      </c>
      <c r="N933" s="12"/>
      <c r="O933" s="12" t="s">
        <v>2979</v>
      </c>
      <c r="P933" s="12" t="str">
        <f>HYPERLINK("https://ceds.ed.gov/cedselementdetails.aspx?termid=10322")</f>
        <v>https://ceds.ed.gov/cedselementdetails.aspx?termid=10322</v>
      </c>
      <c r="Q933" s="12" t="str">
        <f>HYPERLINK("https://ceds.ed.gov/elementComment.aspx?elementName=Financial Expenditure Object Code &amp;elementID=10322", "Click here to submit comment")</f>
        <v>Click here to submit comment</v>
      </c>
    </row>
    <row r="934" spans="1:17" ht="195" x14ac:dyDescent="0.25">
      <c r="A934" s="12" t="s">
        <v>7242</v>
      </c>
      <c r="B934" s="12" t="s">
        <v>7251</v>
      </c>
      <c r="C934" s="12" t="s">
        <v>7192</v>
      </c>
      <c r="D934" s="12" t="s">
        <v>7172</v>
      </c>
      <c r="E934" s="12" t="s">
        <v>2972</v>
      </c>
      <c r="F934" s="12" t="s">
        <v>2973</v>
      </c>
      <c r="G934" s="13" t="s">
        <v>6929</v>
      </c>
      <c r="H934" s="12"/>
      <c r="I934" s="12" t="s">
        <v>98</v>
      </c>
      <c r="J934" s="12"/>
      <c r="K934" s="12"/>
      <c r="L934" s="14" t="s">
        <v>2861</v>
      </c>
      <c r="M934" s="12" t="s">
        <v>2974</v>
      </c>
      <c r="N934" s="12"/>
      <c r="O934" s="12" t="s">
        <v>2975</v>
      </c>
      <c r="P934" s="12" t="str">
        <f>HYPERLINK("https://ceds.ed.gov/cedselementdetails.aspx?termid=10531")</f>
        <v>https://ceds.ed.gov/cedselementdetails.aspx?termid=10531</v>
      </c>
      <c r="Q934" s="12" t="str">
        <f>HYPERLINK("https://ceds.ed.gov/elementComment.aspx?elementName=Financial Expenditure Level of Instruction Code &amp;elementID=10531", "Click here to submit comment")</f>
        <v>Click here to submit comment</v>
      </c>
    </row>
    <row r="935" spans="1:17" ht="75" x14ac:dyDescent="0.25">
      <c r="A935" s="18" t="s">
        <v>7242</v>
      </c>
      <c r="B935" s="18" t="s">
        <v>7251</v>
      </c>
      <c r="C935" s="18" t="s">
        <v>7192</v>
      </c>
      <c r="D935" s="18" t="s">
        <v>7172</v>
      </c>
      <c r="E935" s="18" t="s">
        <v>2980</v>
      </c>
      <c r="F935" s="18" t="s">
        <v>2981</v>
      </c>
      <c r="G935" s="18"/>
      <c r="H935" s="18"/>
      <c r="I935" s="18" t="s">
        <v>98</v>
      </c>
      <c r="J935" s="18" t="s">
        <v>157</v>
      </c>
      <c r="K935" s="18"/>
      <c r="L935" s="14" t="s">
        <v>2982</v>
      </c>
      <c r="M935" s="18" t="s">
        <v>2987</v>
      </c>
      <c r="N935" s="18"/>
      <c r="O935" s="18" t="s">
        <v>2988</v>
      </c>
      <c r="P935" s="18" t="str">
        <f>HYPERLINK("https://ceds.ed.gov/cedselementdetails.aspx?termid=10532")</f>
        <v>https://ceds.ed.gov/cedselementdetails.aspx?termid=10532</v>
      </c>
      <c r="Q935" s="18" t="str">
        <f>HYPERLINK("https://ceds.ed.gov/elementComment.aspx?elementName=Financial Expenditure Project Reporting Code &amp;elementID=10532", "Click here to submit comment")</f>
        <v>Click here to submit comment</v>
      </c>
    </row>
    <row r="936" spans="1:17" x14ac:dyDescent="0.25">
      <c r="A936" s="18"/>
      <c r="B936" s="18"/>
      <c r="C936" s="18"/>
      <c r="D936" s="18"/>
      <c r="E936" s="18"/>
      <c r="F936" s="18"/>
      <c r="G936" s="18"/>
      <c r="H936" s="18"/>
      <c r="I936" s="18"/>
      <c r="J936" s="18"/>
      <c r="K936" s="18"/>
      <c r="L936" s="12"/>
      <c r="M936" s="18"/>
      <c r="N936" s="18"/>
      <c r="O936" s="18"/>
      <c r="P936" s="18"/>
      <c r="Q936" s="18"/>
    </row>
    <row r="937" spans="1:17" ht="45" x14ac:dyDescent="0.25">
      <c r="A937" s="18"/>
      <c r="B937" s="18"/>
      <c r="C937" s="18"/>
      <c r="D937" s="18"/>
      <c r="E937" s="18"/>
      <c r="F937" s="18"/>
      <c r="G937" s="18"/>
      <c r="H937" s="18"/>
      <c r="I937" s="18"/>
      <c r="J937" s="18"/>
      <c r="K937" s="18"/>
      <c r="L937" s="12" t="s">
        <v>2983</v>
      </c>
      <c r="M937" s="18"/>
      <c r="N937" s="18"/>
      <c r="O937" s="18"/>
      <c r="P937" s="18"/>
      <c r="Q937" s="18"/>
    </row>
    <row r="938" spans="1:17" x14ac:dyDescent="0.25">
      <c r="A938" s="18"/>
      <c r="B938" s="18"/>
      <c r="C938" s="18"/>
      <c r="D938" s="18"/>
      <c r="E938" s="18"/>
      <c r="F938" s="18"/>
      <c r="G938" s="18"/>
      <c r="H938" s="18"/>
      <c r="I938" s="18"/>
      <c r="J938" s="18"/>
      <c r="K938" s="18"/>
      <c r="L938" s="12"/>
      <c r="M938" s="18"/>
      <c r="N938" s="18"/>
      <c r="O938" s="18"/>
      <c r="P938" s="18"/>
      <c r="Q938" s="18"/>
    </row>
    <row r="939" spans="1:17" ht="45" x14ac:dyDescent="0.25">
      <c r="A939" s="18"/>
      <c r="B939" s="18"/>
      <c r="C939" s="18"/>
      <c r="D939" s="18"/>
      <c r="E939" s="18"/>
      <c r="F939" s="18"/>
      <c r="G939" s="18"/>
      <c r="H939" s="18"/>
      <c r="I939" s="18"/>
      <c r="J939" s="18"/>
      <c r="K939" s="18"/>
      <c r="L939" s="12" t="s">
        <v>2984</v>
      </c>
      <c r="M939" s="18"/>
      <c r="N939" s="18"/>
      <c r="O939" s="18"/>
      <c r="P939" s="18"/>
      <c r="Q939" s="18"/>
    </row>
    <row r="940" spans="1:17" x14ac:dyDescent="0.25">
      <c r="A940" s="18"/>
      <c r="B940" s="18"/>
      <c r="C940" s="18"/>
      <c r="D940" s="18"/>
      <c r="E940" s="18"/>
      <c r="F940" s="18"/>
      <c r="G940" s="18"/>
      <c r="H940" s="18"/>
      <c r="I940" s="18"/>
      <c r="J940" s="18"/>
      <c r="K940" s="18"/>
      <c r="L940" s="12"/>
      <c r="M940" s="18"/>
      <c r="N940" s="18"/>
      <c r="O940" s="18"/>
      <c r="P940" s="18"/>
      <c r="Q940" s="18"/>
    </row>
    <row r="941" spans="1:17" ht="60" x14ac:dyDescent="0.25">
      <c r="A941" s="18"/>
      <c r="B941" s="18"/>
      <c r="C941" s="18"/>
      <c r="D941" s="18"/>
      <c r="E941" s="18"/>
      <c r="F941" s="18"/>
      <c r="G941" s="18"/>
      <c r="H941" s="18"/>
      <c r="I941" s="18"/>
      <c r="J941" s="18"/>
      <c r="K941" s="18"/>
      <c r="L941" s="12" t="s">
        <v>2985</v>
      </c>
      <c r="M941" s="18"/>
      <c r="N941" s="18"/>
      <c r="O941" s="18"/>
      <c r="P941" s="18"/>
      <c r="Q941" s="18"/>
    </row>
    <row r="942" spans="1:17" x14ac:dyDescent="0.25">
      <c r="A942" s="18"/>
      <c r="B942" s="18"/>
      <c r="C942" s="18"/>
      <c r="D942" s="18"/>
      <c r="E942" s="18"/>
      <c r="F942" s="18"/>
      <c r="G942" s="18"/>
      <c r="H942" s="18"/>
      <c r="I942" s="18"/>
      <c r="J942" s="18"/>
      <c r="K942" s="18"/>
      <c r="L942" s="12"/>
      <c r="M942" s="18"/>
      <c r="N942" s="18"/>
      <c r="O942" s="18"/>
      <c r="P942" s="18"/>
      <c r="Q942" s="18"/>
    </row>
    <row r="943" spans="1:17" ht="30" x14ac:dyDescent="0.25">
      <c r="A943" s="18"/>
      <c r="B943" s="18"/>
      <c r="C943" s="18"/>
      <c r="D943" s="18"/>
      <c r="E943" s="18"/>
      <c r="F943" s="18"/>
      <c r="G943" s="18"/>
      <c r="H943" s="18"/>
      <c r="I943" s="18"/>
      <c r="J943" s="18"/>
      <c r="K943" s="18"/>
      <c r="L943" s="12" t="s">
        <v>2986</v>
      </c>
      <c r="M943" s="18"/>
      <c r="N943" s="18"/>
      <c r="O943" s="18"/>
      <c r="P943" s="18"/>
      <c r="Q943" s="18"/>
    </row>
    <row r="944" spans="1:17" ht="45" x14ac:dyDescent="0.25">
      <c r="A944" s="12" t="s">
        <v>7242</v>
      </c>
      <c r="B944" s="12" t="s">
        <v>7251</v>
      </c>
      <c r="C944" s="12" t="s">
        <v>7250</v>
      </c>
      <c r="D944" s="12" t="s">
        <v>7172</v>
      </c>
      <c r="E944" s="12" t="s">
        <v>6082</v>
      </c>
      <c r="F944" s="12" t="s">
        <v>6083</v>
      </c>
      <c r="G944" s="12" t="s">
        <v>6364</v>
      </c>
      <c r="H944" s="12"/>
      <c r="I944" s="12"/>
      <c r="J944" s="12"/>
      <c r="K944" s="12"/>
      <c r="L944" s="12"/>
      <c r="M944" s="12" t="s">
        <v>6084</v>
      </c>
      <c r="N944" s="12"/>
      <c r="O944" s="12" t="s">
        <v>6085</v>
      </c>
      <c r="P944" s="12" t="str">
        <f>HYPERLINK("https://ceds.ed.gov/cedselementdetails.aspx?termid=10465")</f>
        <v>https://ceds.ed.gov/cedselementdetails.aspx?termid=10465</v>
      </c>
      <c r="Q944" s="12" t="str">
        <f>HYPERLINK("https://ceds.ed.gov/elementComment.aspx?elementName=Technical Assistance Approved Indicator &amp;elementID=10465", "Click here to submit comment")</f>
        <v>Click here to submit comment</v>
      </c>
    </row>
    <row r="945" spans="1:17" ht="75" x14ac:dyDescent="0.25">
      <c r="A945" s="12" t="s">
        <v>7242</v>
      </c>
      <c r="B945" s="12" t="s">
        <v>7251</v>
      </c>
      <c r="C945" s="12" t="s">
        <v>7250</v>
      </c>
      <c r="D945" s="12" t="s">
        <v>7172</v>
      </c>
      <c r="E945" s="12" t="s">
        <v>6086</v>
      </c>
      <c r="F945" s="12" t="s">
        <v>6087</v>
      </c>
      <c r="G945" s="13" t="s">
        <v>7071</v>
      </c>
      <c r="H945" s="12"/>
      <c r="I945" s="12"/>
      <c r="J945" s="12"/>
      <c r="K945" s="12"/>
      <c r="L945" s="12"/>
      <c r="M945" s="12" t="s">
        <v>6088</v>
      </c>
      <c r="N945" s="12"/>
      <c r="O945" s="12" t="s">
        <v>6089</v>
      </c>
      <c r="P945" s="12" t="str">
        <f>HYPERLINK("https://ceds.ed.gov/cedselementdetails.aspx?termid=10466")</f>
        <v>https://ceds.ed.gov/cedselementdetails.aspx?termid=10466</v>
      </c>
      <c r="Q945" s="12" t="str">
        <f>HYPERLINK("https://ceds.ed.gov/elementComment.aspx?elementName=Technical Assistance Delivery Type &amp;elementID=10466", "Click here to submit comment")</f>
        <v>Click here to submit comment</v>
      </c>
    </row>
    <row r="946" spans="1:17" ht="375" x14ac:dyDescent="0.25">
      <c r="A946" s="12" t="s">
        <v>7242</v>
      </c>
      <c r="B946" s="12" t="s">
        <v>7251</v>
      </c>
      <c r="C946" s="12" t="s">
        <v>7250</v>
      </c>
      <c r="D946" s="12" t="s">
        <v>7172</v>
      </c>
      <c r="E946" s="12" t="s">
        <v>6090</v>
      </c>
      <c r="F946" s="12" t="s">
        <v>6091</v>
      </c>
      <c r="G946" s="13" t="s">
        <v>7133</v>
      </c>
      <c r="H946" s="12"/>
      <c r="I946" s="12" t="s">
        <v>98</v>
      </c>
      <c r="J946" s="12"/>
      <c r="K946" s="12"/>
      <c r="L946" s="12"/>
      <c r="M946" s="12" t="s">
        <v>6092</v>
      </c>
      <c r="N946" s="12"/>
      <c r="O946" s="12" t="s">
        <v>6093</v>
      </c>
      <c r="P946" s="12" t="str">
        <f>HYPERLINK("https://ceds.ed.gov/cedselementdetails.aspx?termid=10467")</f>
        <v>https://ceds.ed.gov/cedselementdetails.aspx?termid=10467</v>
      </c>
      <c r="Q946" s="12" t="str">
        <f>HYPERLINK("https://ceds.ed.gov/elementComment.aspx?elementName=Technical Assistance Type &amp;elementID=10467", "Click here to submit comment")</f>
        <v>Click here to submit comment</v>
      </c>
    </row>
    <row r="947" spans="1:17" ht="60" x14ac:dyDescent="0.25">
      <c r="A947" s="12" t="s">
        <v>7242</v>
      </c>
      <c r="B947" s="12" t="s">
        <v>7255</v>
      </c>
      <c r="C947" s="12" t="s">
        <v>7208</v>
      </c>
      <c r="D947" s="12" t="s">
        <v>7172</v>
      </c>
      <c r="E947" s="12" t="s">
        <v>5902</v>
      </c>
      <c r="F947" s="12" t="s">
        <v>5903</v>
      </c>
      <c r="G947" s="13" t="s">
        <v>7121</v>
      </c>
      <c r="H947" s="12"/>
      <c r="I947" s="12"/>
      <c r="J947" s="12"/>
      <c r="K947" s="12"/>
      <c r="L947" s="12"/>
      <c r="M947" s="12" t="s">
        <v>5904</v>
      </c>
      <c r="N947" s="12"/>
      <c r="O947" s="12" t="s">
        <v>5905</v>
      </c>
      <c r="P947" s="12" t="str">
        <f>HYPERLINK("https://ceds.ed.gov/cedselementdetails.aspx?termid=10463")</f>
        <v>https://ceds.ed.gov/cedselementdetails.aspx?termid=10463</v>
      </c>
      <c r="Q947" s="12" t="str">
        <f>HYPERLINK("https://ceds.ed.gov/elementComment.aspx?elementName=State Agency Identification System &amp;elementID=10463", "Click here to submit comment")</f>
        <v>Click here to submit comment</v>
      </c>
    </row>
    <row r="948" spans="1:17" ht="105" x14ac:dyDescent="0.25">
      <c r="A948" s="18" t="s">
        <v>7242</v>
      </c>
      <c r="B948" s="18" t="s">
        <v>7255</v>
      </c>
      <c r="C948" s="18" t="s">
        <v>7208</v>
      </c>
      <c r="D948" s="18" t="s">
        <v>7172</v>
      </c>
      <c r="E948" s="18" t="s">
        <v>5906</v>
      </c>
      <c r="F948" s="18" t="s">
        <v>5907</v>
      </c>
      <c r="G948" s="18" t="s">
        <v>12</v>
      </c>
      <c r="H948" s="18"/>
      <c r="I948" s="18"/>
      <c r="J948" s="18" t="s">
        <v>142</v>
      </c>
      <c r="K948" s="18"/>
      <c r="L948" s="12" t="s">
        <v>143</v>
      </c>
      <c r="M948" s="18" t="s">
        <v>5908</v>
      </c>
      <c r="N948" s="18"/>
      <c r="O948" s="18" t="s">
        <v>5909</v>
      </c>
      <c r="P948" s="18" t="str">
        <f>HYPERLINK("https://ceds.ed.gov/cedselementdetails.aspx?termid=10462")</f>
        <v>https://ceds.ed.gov/cedselementdetails.aspx?termid=10462</v>
      </c>
      <c r="Q948" s="18" t="str">
        <f>HYPERLINK("https://ceds.ed.gov/elementComment.aspx?elementName=State Agency Identifier &amp;elementID=10462", "Click here to submit comment")</f>
        <v>Click here to submit comment</v>
      </c>
    </row>
    <row r="949" spans="1:17" x14ac:dyDescent="0.25">
      <c r="A949" s="18"/>
      <c r="B949" s="18"/>
      <c r="C949" s="18"/>
      <c r="D949" s="18"/>
      <c r="E949" s="18"/>
      <c r="F949" s="18"/>
      <c r="G949" s="18"/>
      <c r="H949" s="18"/>
      <c r="I949" s="18"/>
      <c r="J949" s="18"/>
      <c r="K949" s="18"/>
      <c r="L949" s="12"/>
      <c r="M949" s="18"/>
      <c r="N949" s="18"/>
      <c r="O949" s="18"/>
      <c r="P949" s="18"/>
      <c r="Q949" s="18"/>
    </row>
    <row r="950" spans="1:17" ht="90" x14ac:dyDescent="0.25">
      <c r="A950" s="18"/>
      <c r="B950" s="18"/>
      <c r="C950" s="18"/>
      <c r="D950" s="18"/>
      <c r="E950" s="18"/>
      <c r="F950" s="18"/>
      <c r="G950" s="18"/>
      <c r="H950" s="18"/>
      <c r="I950" s="18"/>
      <c r="J950" s="18"/>
      <c r="K950" s="18"/>
      <c r="L950" s="12" t="s">
        <v>144</v>
      </c>
      <c r="M950" s="18"/>
      <c r="N950" s="18"/>
      <c r="O950" s="18"/>
      <c r="P950" s="18"/>
      <c r="Q950" s="18"/>
    </row>
    <row r="951" spans="1:17" ht="45" x14ac:dyDescent="0.25">
      <c r="A951" s="12" t="s">
        <v>7242</v>
      </c>
      <c r="B951" s="12" t="s">
        <v>7255</v>
      </c>
      <c r="C951" s="12" t="s">
        <v>7208</v>
      </c>
      <c r="D951" s="12" t="s">
        <v>7172</v>
      </c>
      <c r="E951" s="12" t="s">
        <v>4680</v>
      </c>
      <c r="F951" s="12" t="s">
        <v>4681</v>
      </c>
      <c r="G951" s="12" t="s">
        <v>12</v>
      </c>
      <c r="H951" s="12" t="s">
        <v>205</v>
      </c>
      <c r="I951" s="12"/>
      <c r="J951" s="12" t="s">
        <v>99</v>
      </c>
      <c r="K951" s="12"/>
      <c r="L951" s="12"/>
      <c r="M951" s="12" t="s">
        <v>4682</v>
      </c>
      <c r="N951" s="12"/>
      <c r="O951" s="12" t="s">
        <v>4683</v>
      </c>
      <c r="P951" s="12" t="str">
        <f>HYPERLINK("https://ceds.ed.gov/cedselementdetails.aspx?termid=9204")</f>
        <v>https://ceds.ed.gov/cedselementdetails.aspx?termid=9204</v>
      </c>
      <c r="Q951" s="12" t="str">
        <f>HYPERLINK("https://ceds.ed.gov/elementComment.aspx?elementName=Organization Name &amp;elementID=9204", "Click here to submit comment")</f>
        <v>Click here to submit comment</v>
      </c>
    </row>
    <row r="952" spans="1:17" ht="409.5" x14ac:dyDescent="0.25">
      <c r="A952" s="12" t="s">
        <v>7242</v>
      </c>
      <c r="B952" s="12" t="s">
        <v>7255</v>
      </c>
      <c r="C952" s="12" t="s">
        <v>7208</v>
      </c>
      <c r="D952" s="12" t="s">
        <v>7172</v>
      </c>
      <c r="E952" s="12" t="s">
        <v>4692</v>
      </c>
      <c r="F952" s="12" t="s">
        <v>4693</v>
      </c>
      <c r="G952" s="13" t="s">
        <v>7045</v>
      </c>
      <c r="H952" s="12"/>
      <c r="I952" s="12" t="s">
        <v>98</v>
      </c>
      <c r="J952" s="12" t="s">
        <v>142</v>
      </c>
      <c r="K952" s="12"/>
      <c r="L952" s="12" t="s">
        <v>4694</v>
      </c>
      <c r="M952" s="12" t="s">
        <v>4695</v>
      </c>
      <c r="N952" s="12"/>
      <c r="O952" s="12" t="s">
        <v>4696</v>
      </c>
      <c r="P952" s="12" t="str">
        <f>HYPERLINK("https://ceds.ed.gov/cedselementdetails.aspx?termid=10165")</f>
        <v>https://ceds.ed.gov/cedselementdetails.aspx?termid=10165</v>
      </c>
      <c r="Q952" s="12" t="str">
        <f>HYPERLINK("https://ceds.ed.gov/elementComment.aspx?elementName=Organization Type &amp;elementID=10165", "Click here to submit comment")</f>
        <v>Click here to submit comment</v>
      </c>
    </row>
    <row r="953" spans="1:17" ht="90" x14ac:dyDescent="0.25">
      <c r="A953" s="12" t="s">
        <v>7242</v>
      </c>
      <c r="B953" s="12" t="s">
        <v>7255</v>
      </c>
      <c r="C953" s="12" t="s">
        <v>7214</v>
      </c>
      <c r="D953" s="12" t="s">
        <v>7172</v>
      </c>
      <c r="E953" s="12" t="s">
        <v>197</v>
      </c>
      <c r="F953" s="12" t="s">
        <v>198</v>
      </c>
      <c r="G953" s="13" t="s">
        <v>6727</v>
      </c>
      <c r="H953" s="12" t="s">
        <v>6369</v>
      </c>
      <c r="I953" s="12"/>
      <c r="J953" s="12" t="s">
        <v>92</v>
      </c>
      <c r="K953" s="12"/>
      <c r="L953" s="12"/>
      <c r="M953" s="12" t="s">
        <v>199</v>
      </c>
      <c r="N953" s="12"/>
      <c r="O953" s="12" t="s">
        <v>200</v>
      </c>
      <c r="P953" s="12" t="str">
        <f>HYPERLINK("https://ceds.ed.gov/cedselementdetails.aspx?termid=9644")</f>
        <v>https://ceds.ed.gov/cedselementdetails.aspx?termid=9644</v>
      </c>
      <c r="Q953" s="12" t="str">
        <f>HYPERLINK("https://ceds.ed.gov/elementComment.aspx?elementName=Address Type for Organization &amp;elementID=9644", "Click here to submit comment")</f>
        <v>Click here to submit comment</v>
      </c>
    </row>
    <row r="954" spans="1:17" ht="225" x14ac:dyDescent="0.25">
      <c r="A954" s="12" t="s">
        <v>7242</v>
      </c>
      <c r="B954" s="12" t="s">
        <v>7255</v>
      </c>
      <c r="C954" s="12" t="s">
        <v>7214</v>
      </c>
      <c r="D954" s="12" t="s">
        <v>7172</v>
      </c>
      <c r="E954" s="12" t="s">
        <v>189</v>
      </c>
      <c r="F954" s="12" t="s">
        <v>190</v>
      </c>
      <c r="G954" s="12" t="s">
        <v>12</v>
      </c>
      <c r="H954" s="12" t="s">
        <v>6377</v>
      </c>
      <c r="I954" s="12"/>
      <c r="J954" s="12" t="s">
        <v>142</v>
      </c>
      <c r="K954" s="12"/>
      <c r="L954" s="12"/>
      <c r="M954" s="12" t="s">
        <v>191</v>
      </c>
      <c r="N954" s="12"/>
      <c r="O954" s="12" t="s">
        <v>192</v>
      </c>
      <c r="P954" s="12" t="str">
        <f>HYPERLINK("https://ceds.ed.gov/cedselementdetails.aspx?termid=9269")</f>
        <v>https://ceds.ed.gov/cedselementdetails.aspx?termid=9269</v>
      </c>
      <c r="Q954" s="12" t="str">
        <f>HYPERLINK("https://ceds.ed.gov/elementComment.aspx?elementName=Address Street Number and Name &amp;elementID=9269", "Click here to submit comment")</f>
        <v>Click here to submit comment</v>
      </c>
    </row>
    <row r="955" spans="1:17" ht="225" x14ac:dyDescent="0.25">
      <c r="A955" s="12" t="s">
        <v>7242</v>
      </c>
      <c r="B955" s="12" t="s">
        <v>7255</v>
      </c>
      <c r="C955" s="12" t="s">
        <v>7214</v>
      </c>
      <c r="D955" s="12" t="s">
        <v>7172</v>
      </c>
      <c r="E955" s="12" t="s">
        <v>172</v>
      </c>
      <c r="F955" s="12" t="s">
        <v>173</v>
      </c>
      <c r="G955" s="12" t="s">
        <v>12</v>
      </c>
      <c r="H955" s="12" t="s">
        <v>6377</v>
      </c>
      <c r="I955" s="12"/>
      <c r="J955" s="12" t="s">
        <v>92</v>
      </c>
      <c r="K955" s="12"/>
      <c r="L955" s="12"/>
      <c r="M955" s="12" t="s">
        <v>174</v>
      </c>
      <c r="N955" s="12"/>
      <c r="O955" s="12" t="s">
        <v>175</v>
      </c>
      <c r="P955" s="12" t="str">
        <f>HYPERLINK("https://ceds.ed.gov/cedselementdetails.aspx?termid=9019")</f>
        <v>https://ceds.ed.gov/cedselementdetails.aspx?termid=9019</v>
      </c>
      <c r="Q955" s="12" t="str">
        <f>HYPERLINK("https://ceds.ed.gov/elementComment.aspx?elementName=Address Apartment Room or Suite Number &amp;elementID=9019", "Click here to submit comment")</f>
        <v>Click here to submit comment</v>
      </c>
    </row>
    <row r="956" spans="1:17" ht="225" x14ac:dyDescent="0.25">
      <c r="A956" s="12" t="s">
        <v>7242</v>
      </c>
      <c r="B956" s="12" t="s">
        <v>7255</v>
      </c>
      <c r="C956" s="12" t="s">
        <v>7214</v>
      </c>
      <c r="D956" s="12" t="s">
        <v>7172</v>
      </c>
      <c r="E956" s="12" t="s">
        <v>176</v>
      </c>
      <c r="F956" s="12" t="s">
        <v>177</v>
      </c>
      <c r="G956" s="12" t="s">
        <v>12</v>
      </c>
      <c r="H956" s="12" t="s">
        <v>6377</v>
      </c>
      <c r="I956" s="12"/>
      <c r="J956" s="12" t="s">
        <v>92</v>
      </c>
      <c r="K956" s="12"/>
      <c r="L956" s="12"/>
      <c r="M956" s="12" t="s">
        <v>178</v>
      </c>
      <c r="N956" s="12"/>
      <c r="O956" s="12" t="s">
        <v>179</v>
      </c>
      <c r="P956" s="12" t="str">
        <f>HYPERLINK("https://ceds.ed.gov/cedselementdetails.aspx?termid=9040")</f>
        <v>https://ceds.ed.gov/cedselementdetails.aspx?termid=9040</v>
      </c>
      <c r="Q956" s="12" t="str">
        <f>HYPERLINK("https://ceds.ed.gov/elementComment.aspx?elementName=Address City &amp;elementID=9040", "Click here to submit comment")</f>
        <v>Click here to submit comment</v>
      </c>
    </row>
    <row r="957" spans="1:17" ht="409.5" x14ac:dyDescent="0.25">
      <c r="A957" s="12" t="s">
        <v>7242</v>
      </c>
      <c r="B957" s="12" t="s">
        <v>7255</v>
      </c>
      <c r="C957" s="12" t="s">
        <v>7214</v>
      </c>
      <c r="D957" s="12" t="s">
        <v>7172</v>
      </c>
      <c r="E957" s="12" t="s">
        <v>5898</v>
      </c>
      <c r="F957" s="12" t="s">
        <v>5899</v>
      </c>
      <c r="G957" s="13" t="s">
        <v>7120</v>
      </c>
      <c r="H957" s="12" t="s">
        <v>6678</v>
      </c>
      <c r="I957" s="12"/>
      <c r="J957" s="12"/>
      <c r="K957" s="12"/>
      <c r="L957" s="12"/>
      <c r="M957" s="12" t="s">
        <v>5900</v>
      </c>
      <c r="N957" s="12"/>
      <c r="O957" s="12" t="s">
        <v>5901</v>
      </c>
      <c r="P957" s="12" t="str">
        <f>HYPERLINK("https://ceds.ed.gov/cedselementdetails.aspx?termid=9267")</f>
        <v>https://ceds.ed.gov/cedselementdetails.aspx?termid=9267</v>
      </c>
      <c r="Q957" s="12" t="str">
        <f>HYPERLINK("https://ceds.ed.gov/elementComment.aspx?elementName=State Abbreviation &amp;elementID=9267", "Click here to submit comment")</f>
        <v>Click here to submit comment</v>
      </c>
    </row>
    <row r="958" spans="1:17" ht="225" x14ac:dyDescent="0.25">
      <c r="A958" s="12" t="s">
        <v>7242</v>
      </c>
      <c r="B958" s="12" t="s">
        <v>7255</v>
      </c>
      <c r="C958" s="12" t="s">
        <v>7214</v>
      </c>
      <c r="D958" s="12" t="s">
        <v>7172</v>
      </c>
      <c r="E958" s="12" t="s">
        <v>184</v>
      </c>
      <c r="F958" s="12" t="s">
        <v>185</v>
      </c>
      <c r="G958" s="12" t="s">
        <v>12</v>
      </c>
      <c r="H958" s="12" t="s">
        <v>6377</v>
      </c>
      <c r="I958" s="12"/>
      <c r="J958" s="12" t="s">
        <v>186</v>
      </c>
      <c r="K958" s="12"/>
      <c r="L958" s="12"/>
      <c r="M958" s="12" t="s">
        <v>187</v>
      </c>
      <c r="N958" s="12"/>
      <c r="O958" s="12" t="s">
        <v>188</v>
      </c>
      <c r="P958" s="12" t="str">
        <f>HYPERLINK("https://ceds.ed.gov/cedselementdetails.aspx?termid=9214")</f>
        <v>https://ceds.ed.gov/cedselementdetails.aspx?termid=9214</v>
      </c>
      <c r="Q958" s="12" t="str">
        <f>HYPERLINK("https://ceds.ed.gov/elementComment.aspx?elementName=Address Postal Code &amp;elementID=9214", "Click here to submit comment")</f>
        <v>Click here to submit comment</v>
      </c>
    </row>
    <row r="959" spans="1:17" ht="409.5" x14ac:dyDescent="0.25">
      <c r="A959" s="12" t="s">
        <v>7242</v>
      </c>
      <c r="B959" s="12" t="s">
        <v>7255</v>
      </c>
      <c r="C959" s="12" t="s">
        <v>7214</v>
      </c>
      <c r="D959" s="12" t="s">
        <v>7172</v>
      </c>
      <c r="E959" s="12" t="s">
        <v>5910</v>
      </c>
      <c r="F959" s="12" t="s">
        <v>5911</v>
      </c>
      <c r="G959" s="13" t="s">
        <v>7122</v>
      </c>
      <c r="H959" s="12" t="s">
        <v>6681</v>
      </c>
      <c r="I959" s="12"/>
      <c r="J959" s="12"/>
      <c r="K959" s="12"/>
      <c r="L959" s="12"/>
      <c r="M959" s="12" t="s">
        <v>5912</v>
      </c>
      <c r="N959" s="12"/>
      <c r="O959" s="12" t="s">
        <v>5913</v>
      </c>
      <c r="P959" s="12" t="str">
        <f>HYPERLINK("https://ceds.ed.gov/cedselementdetails.aspx?termid=9414")</f>
        <v>https://ceds.ed.gov/cedselementdetails.aspx?termid=9414</v>
      </c>
      <c r="Q959" s="12" t="str">
        <f>HYPERLINK("https://ceds.ed.gov/elementComment.aspx?elementName=State ANSI Code &amp;elementID=9414", "Click here to submit comment")</f>
        <v>Click here to submit comment</v>
      </c>
    </row>
    <row r="960" spans="1:17" ht="45" x14ac:dyDescent="0.25">
      <c r="A960" s="12" t="s">
        <v>7242</v>
      </c>
      <c r="B960" s="12" t="s">
        <v>7255</v>
      </c>
      <c r="C960" s="12" t="s">
        <v>7214</v>
      </c>
      <c r="D960" s="12" t="s">
        <v>7172</v>
      </c>
      <c r="E960" s="12" t="s">
        <v>1598</v>
      </c>
      <c r="F960" s="12" t="s">
        <v>1599</v>
      </c>
      <c r="G960" s="12" t="s">
        <v>12</v>
      </c>
      <c r="H960" s="12"/>
      <c r="I960" s="12"/>
      <c r="J960" s="12" t="s">
        <v>92</v>
      </c>
      <c r="K960" s="12"/>
      <c r="L960" s="12"/>
      <c r="M960" s="12" t="s">
        <v>1600</v>
      </c>
      <c r="N960" s="12"/>
      <c r="O960" s="12" t="s">
        <v>1601</v>
      </c>
      <c r="P960" s="12" t="str">
        <f>HYPERLINK("https://ceds.ed.gov/cedselementdetails.aspx?termid=9595")</f>
        <v>https://ceds.ed.gov/cedselementdetails.aspx?termid=9595</v>
      </c>
      <c r="Q960" s="12" t="str">
        <f>HYPERLINK("https://ceds.ed.gov/elementComment.aspx?elementName=Building Site Number &amp;elementID=9595", "Click here to submit comment")</f>
        <v>Click here to submit comment</v>
      </c>
    </row>
    <row r="961" spans="1:17" ht="75" x14ac:dyDescent="0.25">
      <c r="A961" s="12" t="s">
        <v>7242</v>
      </c>
      <c r="B961" s="12" t="s">
        <v>7255</v>
      </c>
      <c r="C961" s="12" t="s">
        <v>7214</v>
      </c>
      <c r="D961" s="12" t="s">
        <v>7176</v>
      </c>
      <c r="E961" s="12" t="s">
        <v>3693</v>
      </c>
      <c r="F961" s="12" t="s">
        <v>3694</v>
      </c>
      <c r="G961" s="12" t="s">
        <v>12</v>
      </c>
      <c r="H961" s="12"/>
      <c r="I961" s="12"/>
      <c r="J961" s="12" t="s">
        <v>1201</v>
      </c>
      <c r="K961" s="12"/>
      <c r="L961" s="12"/>
      <c r="M961" s="12" t="s">
        <v>3695</v>
      </c>
      <c r="N961" s="12"/>
      <c r="O961" s="12" t="s">
        <v>3693</v>
      </c>
      <c r="P961" s="12" t="str">
        <f>HYPERLINK("https://ceds.ed.gov/cedselementdetails.aspx?termid=9599")</f>
        <v>https://ceds.ed.gov/cedselementdetails.aspx?termid=9599</v>
      </c>
      <c r="Q961" s="12" t="str">
        <f>HYPERLINK("https://ceds.ed.gov/elementComment.aspx?elementName=Latitude &amp;elementID=9599", "Click here to submit comment")</f>
        <v>Click here to submit comment</v>
      </c>
    </row>
    <row r="962" spans="1:17" ht="75" x14ac:dyDescent="0.25">
      <c r="A962" s="12" t="s">
        <v>7242</v>
      </c>
      <c r="B962" s="12" t="s">
        <v>7255</v>
      </c>
      <c r="C962" s="12" t="s">
        <v>7214</v>
      </c>
      <c r="D962" s="12" t="s">
        <v>7176</v>
      </c>
      <c r="E962" s="12" t="s">
        <v>4361</v>
      </c>
      <c r="F962" s="12" t="s">
        <v>4362</v>
      </c>
      <c r="G962" s="12" t="s">
        <v>12</v>
      </c>
      <c r="H962" s="12"/>
      <c r="I962" s="12"/>
      <c r="J962" s="12" t="s">
        <v>1201</v>
      </c>
      <c r="K962" s="12"/>
      <c r="L962" s="12"/>
      <c r="M962" s="12" t="s">
        <v>4363</v>
      </c>
      <c r="N962" s="12"/>
      <c r="O962" s="12" t="s">
        <v>4361</v>
      </c>
      <c r="P962" s="12" t="str">
        <f>HYPERLINK("https://ceds.ed.gov/cedselementdetails.aspx?termid=9600")</f>
        <v>https://ceds.ed.gov/cedselementdetails.aspx?termid=9600</v>
      </c>
      <c r="Q962" s="12" t="str">
        <f>HYPERLINK("https://ceds.ed.gov/elementComment.aspx?elementName=Longitude &amp;elementID=9600", "Click here to submit comment")</f>
        <v>Click here to submit comment</v>
      </c>
    </row>
    <row r="963" spans="1:17" ht="90" x14ac:dyDescent="0.25">
      <c r="A963" s="12" t="s">
        <v>7242</v>
      </c>
      <c r="B963" s="12" t="s">
        <v>7255</v>
      </c>
      <c r="C963" s="12" t="s">
        <v>7211</v>
      </c>
      <c r="D963" s="12" t="s">
        <v>7172</v>
      </c>
      <c r="E963" s="12" t="s">
        <v>4844</v>
      </c>
      <c r="F963" s="12" t="s">
        <v>4845</v>
      </c>
      <c r="G963" s="12" t="s">
        <v>12</v>
      </c>
      <c r="H963" s="12" t="s">
        <v>6369</v>
      </c>
      <c r="I963" s="12"/>
      <c r="J963" s="12" t="s">
        <v>1386</v>
      </c>
      <c r="K963" s="12"/>
      <c r="L963" s="12"/>
      <c r="M963" s="12" t="s">
        <v>4846</v>
      </c>
      <c r="N963" s="12"/>
      <c r="O963" s="12" t="s">
        <v>4847</v>
      </c>
      <c r="P963" s="12" t="str">
        <f>HYPERLINK("https://ceds.ed.gov/cedselementdetails.aspx?termid=9213")</f>
        <v>https://ceds.ed.gov/cedselementdetails.aspx?termid=9213</v>
      </c>
      <c r="Q963" s="12" t="str">
        <f>HYPERLINK("https://ceds.ed.gov/elementComment.aspx?elementName=Position Title &amp;elementID=9213", "Click here to submit comment")</f>
        <v>Click here to submit comment</v>
      </c>
    </row>
    <row r="964" spans="1:17" ht="90" x14ac:dyDescent="0.25">
      <c r="A964" s="12" t="s">
        <v>7242</v>
      </c>
      <c r="B964" s="12" t="s">
        <v>7255</v>
      </c>
      <c r="C964" s="12" t="s">
        <v>7211</v>
      </c>
      <c r="D964" s="12" t="s">
        <v>7172</v>
      </c>
      <c r="E964" s="12" t="s">
        <v>4926</v>
      </c>
      <c r="F964" s="12" t="s">
        <v>4927</v>
      </c>
      <c r="G964" s="12" t="s">
        <v>6364</v>
      </c>
      <c r="H964" s="12"/>
      <c r="I964" s="12"/>
      <c r="J964" s="12"/>
      <c r="K964" s="12"/>
      <c r="L964" s="12"/>
      <c r="M964" s="12" t="s">
        <v>4928</v>
      </c>
      <c r="N964" s="12"/>
      <c r="O964" s="12" t="s">
        <v>4929</v>
      </c>
      <c r="P964" s="12" t="str">
        <f>HYPERLINK("https://ceds.ed.gov/cedselementdetails.aspx?termid=10397")</f>
        <v>https://ceds.ed.gov/cedselementdetails.aspx?termid=10397</v>
      </c>
      <c r="Q964" s="12" t="str">
        <f>HYPERLINK("https://ceds.ed.gov/elementComment.aspx?elementName=Primary Contact Indicator &amp;elementID=10397", "Click here to submit comment")</f>
        <v>Click here to submit comment</v>
      </c>
    </row>
    <row r="965" spans="1:17" ht="30" x14ac:dyDescent="0.25">
      <c r="A965" s="12" t="s">
        <v>7242</v>
      </c>
      <c r="B965" s="12" t="s">
        <v>7255</v>
      </c>
      <c r="C965" s="12" t="s">
        <v>7211</v>
      </c>
      <c r="D965" s="12" t="s">
        <v>7172</v>
      </c>
      <c r="E965" s="12" t="s">
        <v>6313</v>
      </c>
      <c r="F965" s="12" t="s">
        <v>6314</v>
      </c>
      <c r="G965" s="12" t="s">
        <v>12</v>
      </c>
      <c r="H965" s="12" t="s">
        <v>222</v>
      </c>
      <c r="I965" s="12"/>
      <c r="J965" s="12" t="s">
        <v>68</v>
      </c>
      <c r="K965" s="12"/>
      <c r="L965" s="12"/>
      <c r="M965" s="12" t="s">
        <v>6315</v>
      </c>
      <c r="N965" s="12"/>
      <c r="O965" s="12" t="s">
        <v>6316</v>
      </c>
      <c r="P965" s="12" t="str">
        <f>HYPERLINK("https://ceds.ed.gov/cedselementdetails.aspx?termid=9300")</f>
        <v>https://ceds.ed.gov/cedselementdetails.aspx?termid=9300</v>
      </c>
      <c r="Q965" s="12" t="str">
        <f>HYPERLINK("https://ceds.ed.gov/elementComment.aspx?elementName=Web Site Address &amp;elementID=9300", "Click here to submit comment")</f>
        <v>Click here to submit comment</v>
      </c>
    </row>
    <row r="966" spans="1:17" ht="195" x14ac:dyDescent="0.25">
      <c r="A966" s="12" t="s">
        <v>7242</v>
      </c>
      <c r="B966" s="12" t="s">
        <v>7255</v>
      </c>
      <c r="C966" s="12" t="s">
        <v>7212</v>
      </c>
      <c r="D966" s="12" t="s">
        <v>7172</v>
      </c>
      <c r="E966" s="12" t="s">
        <v>3017</v>
      </c>
      <c r="F966" s="12" t="s">
        <v>3018</v>
      </c>
      <c r="G966" s="12" t="s">
        <v>12</v>
      </c>
      <c r="H966" s="12" t="s">
        <v>6540</v>
      </c>
      <c r="I966" s="12"/>
      <c r="J966" s="12" t="s">
        <v>1349</v>
      </c>
      <c r="K966" s="12"/>
      <c r="L966" s="12" t="s">
        <v>3019</v>
      </c>
      <c r="M966" s="12" t="s">
        <v>3020</v>
      </c>
      <c r="N966" s="12"/>
      <c r="O966" s="12" t="s">
        <v>3021</v>
      </c>
      <c r="P966" s="12" t="str">
        <f>HYPERLINK("https://ceds.ed.gov/cedselementdetails.aspx?termid=9115")</f>
        <v>https://ceds.ed.gov/cedselementdetails.aspx?termid=9115</v>
      </c>
      <c r="Q966" s="12" t="str">
        <f>HYPERLINK("https://ceds.ed.gov/elementComment.aspx?elementName=First Name &amp;elementID=9115", "Click here to submit comment")</f>
        <v>Click here to submit comment</v>
      </c>
    </row>
    <row r="967" spans="1:17" x14ac:dyDescent="0.25">
      <c r="A967" s="18" t="s">
        <v>7242</v>
      </c>
      <c r="B967" s="18" t="s">
        <v>7255</v>
      </c>
      <c r="C967" s="18" t="s">
        <v>7212</v>
      </c>
      <c r="D967" s="18" t="s">
        <v>7172</v>
      </c>
      <c r="E967" s="18" t="s">
        <v>4405</v>
      </c>
      <c r="F967" s="18" t="s">
        <v>4406</v>
      </c>
      <c r="G967" s="18" t="s">
        <v>12</v>
      </c>
      <c r="H967" s="18" t="s">
        <v>6540</v>
      </c>
      <c r="I967" s="18"/>
      <c r="J967" s="18" t="s">
        <v>1349</v>
      </c>
      <c r="K967" s="18"/>
      <c r="L967" s="12" t="s">
        <v>3078</v>
      </c>
      <c r="M967" s="18" t="s">
        <v>4407</v>
      </c>
      <c r="N967" s="18"/>
      <c r="O967" s="18" t="s">
        <v>4408</v>
      </c>
      <c r="P967" s="18" t="str">
        <f>HYPERLINK("https://ceds.ed.gov/cedselementdetails.aspx?termid=9184")</f>
        <v>https://ceds.ed.gov/cedselementdetails.aspx?termid=9184</v>
      </c>
      <c r="Q967" s="18" t="str">
        <f>HYPERLINK("https://ceds.ed.gov/elementComment.aspx?elementName=Middle Name &amp;elementID=9184", "Click here to submit comment")</f>
        <v>Click here to submit comment</v>
      </c>
    </row>
    <row r="968" spans="1:17" ht="90" x14ac:dyDescent="0.25">
      <c r="A968" s="18"/>
      <c r="B968" s="18"/>
      <c r="C968" s="18"/>
      <c r="D968" s="18"/>
      <c r="E968" s="18"/>
      <c r="F968" s="18"/>
      <c r="G968" s="18"/>
      <c r="H968" s="18"/>
      <c r="I968" s="18"/>
      <c r="J968" s="18"/>
      <c r="K968" s="18"/>
      <c r="L968" s="12" t="s">
        <v>3079</v>
      </c>
      <c r="M968" s="18"/>
      <c r="N968" s="18"/>
      <c r="O968" s="18"/>
      <c r="P968" s="18"/>
      <c r="Q968" s="18"/>
    </row>
    <row r="969" spans="1:17" x14ac:dyDescent="0.25">
      <c r="A969" s="18" t="s">
        <v>7242</v>
      </c>
      <c r="B969" s="18" t="s">
        <v>7255</v>
      </c>
      <c r="C969" s="18" t="s">
        <v>7212</v>
      </c>
      <c r="D969" s="18" t="s">
        <v>7172</v>
      </c>
      <c r="E969" s="18" t="s">
        <v>3684</v>
      </c>
      <c r="F969" s="18" t="s">
        <v>3685</v>
      </c>
      <c r="G969" s="18" t="s">
        <v>12</v>
      </c>
      <c r="H969" s="18" t="s">
        <v>6540</v>
      </c>
      <c r="I969" s="18"/>
      <c r="J969" s="18" t="s">
        <v>1349</v>
      </c>
      <c r="K969" s="18"/>
      <c r="L969" s="12" t="s">
        <v>3078</v>
      </c>
      <c r="M969" s="18" t="s">
        <v>3686</v>
      </c>
      <c r="N969" s="18" t="s">
        <v>3687</v>
      </c>
      <c r="O969" s="18" t="s">
        <v>3688</v>
      </c>
      <c r="P969" s="18" t="str">
        <f>HYPERLINK("https://ceds.ed.gov/cedselementdetails.aspx?termid=9172")</f>
        <v>https://ceds.ed.gov/cedselementdetails.aspx?termid=9172</v>
      </c>
      <c r="Q969" s="18" t="str">
        <f>HYPERLINK("https://ceds.ed.gov/elementComment.aspx?elementName=Last or Surname &amp;elementID=9172", "Click here to submit comment")</f>
        <v>Click here to submit comment</v>
      </c>
    </row>
    <row r="970" spans="1:17" ht="90" x14ac:dyDescent="0.25">
      <c r="A970" s="18"/>
      <c r="B970" s="18"/>
      <c r="C970" s="18"/>
      <c r="D970" s="18"/>
      <c r="E970" s="18"/>
      <c r="F970" s="18"/>
      <c r="G970" s="18"/>
      <c r="H970" s="18"/>
      <c r="I970" s="18"/>
      <c r="J970" s="18"/>
      <c r="K970" s="18"/>
      <c r="L970" s="12" t="s">
        <v>3079</v>
      </c>
      <c r="M970" s="18"/>
      <c r="N970" s="18"/>
      <c r="O970" s="18"/>
      <c r="P970" s="18"/>
      <c r="Q970" s="18"/>
    </row>
    <row r="971" spans="1:17" x14ac:dyDescent="0.25">
      <c r="A971" s="18" t="s">
        <v>7242</v>
      </c>
      <c r="B971" s="18" t="s">
        <v>7255</v>
      </c>
      <c r="C971" s="18" t="s">
        <v>7212</v>
      </c>
      <c r="D971" s="18" t="s">
        <v>7172</v>
      </c>
      <c r="E971" s="18" t="s">
        <v>3076</v>
      </c>
      <c r="F971" s="18" t="s">
        <v>3077</v>
      </c>
      <c r="G971" s="18" t="s">
        <v>12</v>
      </c>
      <c r="H971" s="18" t="s">
        <v>6543</v>
      </c>
      <c r="I971" s="18"/>
      <c r="J971" s="18" t="s">
        <v>2143</v>
      </c>
      <c r="K971" s="18"/>
      <c r="L971" s="12" t="s">
        <v>3078</v>
      </c>
      <c r="M971" s="18" t="s">
        <v>3080</v>
      </c>
      <c r="N971" s="18"/>
      <c r="O971" s="18" t="s">
        <v>3081</v>
      </c>
      <c r="P971" s="18" t="str">
        <f>HYPERLINK("https://ceds.ed.gov/cedselementdetails.aspx?termid=9121")</f>
        <v>https://ceds.ed.gov/cedselementdetails.aspx?termid=9121</v>
      </c>
      <c r="Q971" s="18" t="str">
        <f>HYPERLINK("https://ceds.ed.gov/elementComment.aspx?elementName=Generation Code or Suffix &amp;elementID=9121", "Click here to submit comment")</f>
        <v>Click here to submit comment</v>
      </c>
    </row>
    <row r="972" spans="1:17" ht="90" x14ac:dyDescent="0.25">
      <c r="A972" s="18"/>
      <c r="B972" s="18"/>
      <c r="C972" s="18"/>
      <c r="D972" s="18"/>
      <c r="E972" s="18"/>
      <c r="F972" s="18"/>
      <c r="G972" s="18"/>
      <c r="H972" s="18"/>
      <c r="I972" s="18"/>
      <c r="J972" s="18"/>
      <c r="K972" s="18"/>
      <c r="L972" s="12" t="s">
        <v>3079</v>
      </c>
      <c r="M972" s="18"/>
      <c r="N972" s="18"/>
      <c r="O972" s="18"/>
      <c r="P972" s="18"/>
      <c r="Q972" s="18"/>
    </row>
    <row r="973" spans="1:17" ht="105" x14ac:dyDescent="0.25">
      <c r="A973" s="12" t="s">
        <v>7242</v>
      </c>
      <c r="B973" s="12" t="s">
        <v>7255</v>
      </c>
      <c r="C973" s="12" t="s">
        <v>7212</v>
      </c>
      <c r="D973" s="12" t="s">
        <v>7172</v>
      </c>
      <c r="E973" s="12" t="s">
        <v>4835</v>
      </c>
      <c r="F973" s="12" t="s">
        <v>4836</v>
      </c>
      <c r="G973" s="12" t="s">
        <v>12</v>
      </c>
      <c r="H973" s="12" t="s">
        <v>6627</v>
      </c>
      <c r="I973" s="12"/>
      <c r="J973" s="12" t="s">
        <v>92</v>
      </c>
      <c r="K973" s="12"/>
      <c r="L973" s="12"/>
      <c r="M973" s="12" t="s">
        <v>4837</v>
      </c>
      <c r="N973" s="12" t="s">
        <v>4838</v>
      </c>
      <c r="O973" s="12" t="s">
        <v>4839</v>
      </c>
      <c r="P973" s="12" t="str">
        <f>HYPERLINK("https://ceds.ed.gov/cedselementdetails.aspx?termid=9212")</f>
        <v>https://ceds.ed.gov/cedselementdetails.aspx?termid=9212</v>
      </c>
      <c r="Q973" s="12" t="str">
        <f>HYPERLINK("https://ceds.ed.gov/elementComment.aspx?elementName=Personal Title or Prefix &amp;elementID=9212", "Click here to submit comment")</f>
        <v>Click here to submit comment</v>
      </c>
    </row>
    <row r="974" spans="1:17" ht="105" x14ac:dyDescent="0.25">
      <c r="A974" s="12" t="s">
        <v>7242</v>
      </c>
      <c r="B974" s="12" t="s">
        <v>7255</v>
      </c>
      <c r="C974" s="12" t="s">
        <v>7175</v>
      </c>
      <c r="D974" s="12" t="s">
        <v>7172</v>
      </c>
      <c r="E974" s="12" t="s">
        <v>201</v>
      </c>
      <c r="F974" s="12" t="s">
        <v>202</v>
      </c>
      <c r="G974" s="13" t="s">
        <v>6728</v>
      </c>
      <c r="H974" s="12" t="s">
        <v>205</v>
      </c>
      <c r="I974" s="12"/>
      <c r="J974" s="12" t="s">
        <v>92</v>
      </c>
      <c r="K974" s="12"/>
      <c r="L974" s="12"/>
      <c r="M974" s="12" t="s">
        <v>203</v>
      </c>
      <c r="N974" s="12"/>
      <c r="O974" s="12" t="s">
        <v>204</v>
      </c>
      <c r="P974" s="12" t="str">
        <f>HYPERLINK("https://ceds.ed.gov/cedselementdetails.aspx?termid=9698")</f>
        <v>https://ceds.ed.gov/cedselementdetails.aspx?termid=9698</v>
      </c>
      <c r="Q974" s="12" t="str">
        <f>HYPERLINK("https://ceds.ed.gov/elementComment.aspx?elementName=Address Type for Staff &amp;elementID=9698", "Click here to submit comment")</f>
        <v>Click here to submit comment</v>
      </c>
    </row>
    <row r="975" spans="1:17" ht="225" x14ac:dyDescent="0.25">
      <c r="A975" s="12" t="s">
        <v>7242</v>
      </c>
      <c r="B975" s="12" t="s">
        <v>7255</v>
      </c>
      <c r="C975" s="12" t="s">
        <v>7175</v>
      </c>
      <c r="D975" s="12" t="s">
        <v>7172</v>
      </c>
      <c r="E975" s="12" t="s">
        <v>189</v>
      </c>
      <c r="F975" s="12" t="s">
        <v>190</v>
      </c>
      <c r="G975" s="12" t="s">
        <v>12</v>
      </c>
      <c r="H975" s="12" t="s">
        <v>6377</v>
      </c>
      <c r="I975" s="12"/>
      <c r="J975" s="12" t="s">
        <v>142</v>
      </c>
      <c r="K975" s="12"/>
      <c r="L975" s="12"/>
      <c r="M975" s="12" t="s">
        <v>191</v>
      </c>
      <c r="N975" s="12"/>
      <c r="O975" s="12" t="s">
        <v>192</v>
      </c>
      <c r="P975" s="12" t="str">
        <f>HYPERLINK("https://ceds.ed.gov/cedselementdetails.aspx?termid=9269")</f>
        <v>https://ceds.ed.gov/cedselementdetails.aspx?termid=9269</v>
      </c>
      <c r="Q975" s="12" t="str">
        <f>HYPERLINK("https://ceds.ed.gov/elementComment.aspx?elementName=Address Street Number and Name &amp;elementID=9269", "Click here to submit comment")</f>
        <v>Click here to submit comment</v>
      </c>
    </row>
    <row r="976" spans="1:17" ht="225" x14ac:dyDescent="0.25">
      <c r="A976" s="12" t="s">
        <v>7242</v>
      </c>
      <c r="B976" s="12" t="s">
        <v>7255</v>
      </c>
      <c r="C976" s="12" t="s">
        <v>7175</v>
      </c>
      <c r="D976" s="12" t="s">
        <v>7172</v>
      </c>
      <c r="E976" s="12" t="s">
        <v>172</v>
      </c>
      <c r="F976" s="12" t="s">
        <v>173</v>
      </c>
      <c r="G976" s="12" t="s">
        <v>12</v>
      </c>
      <c r="H976" s="12" t="s">
        <v>6377</v>
      </c>
      <c r="I976" s="12"/>
      <c r="J976" s="12" t="s">
        <v>92</v>
      </c>
      <c r="K976" s="12"/>
      <c r="L976" s="12"/>
      <c r="M976" s="12" t="s">
        <v>174</v>
      </c>
      <c r="N976" s="12"/>
      <c r="O976" s="12" t="s">
        <v>175</v>
      </c>
      <c r="P976" s="12" t="str">
        <f>HYPERLINK("https://ceds.ed.gov/cedselementdetails.aspx?termid=9019")</f>
        <v>https://ceds.ed.gov/cedselementdetails.aspx?termid=9019</v>
      </c>
      <c r="Q976" s="12" t="str">
        <f>HYPERLINK("https://ceds.ed.gov/elementComment.aspx?elementName=Address Apartment Room or Suite Number &amp;elementID=9019", "Click here to submit comment")</f>
        <v>Click here to submit comment</v>
      </c>
    </row>
    <row r="977" spans="1:17" ht="225" x14ac:dyDescent="0.25">
      <c r="A977" s="12" t="s">
        <v>7242</v>
      </c>
      <c r="B977" s="12" t="s">
        <v>7255</v>
      </c>
      <c r="C977" s="12" t="s">
        <v>7175</v>
      </c>
      <c r="D977" s="12" t="s">
        <v>7172</v>
      </c>
      <c r="E977" s="12" t="s">
        <v>176</v>
      </c>
      <c r="F977" s="12" t="s">
        <v>177</v>
      </c>
      <c r="G977" s="12" t="s">
        <v>12</v>
      </c>
      <c r="H977" s="12" t="s">
        <v>6377</v>
      </c>
      <c r="I977" s="12"/>
      <c r="J977" s="12" t="s">
        <v>92</v>
      </c>
      <c r="K977" s="12"/>
      <c r="L977" s="12"/>
      <c r="M977" s="12" t="s">
        <v>178</v>
      </c>
      <c r="N977" s="12"/>
      <c r="O977" s="12" t="s">
        <v>179</v>
      </c>
      <c r="P977" s="12" t="str">
        <f>HYPERLINK("https://ceds.ed.gov/cedselementdetails.aspx?termid=9040")</f>
        <v>https://ceds.ed.gov/cedselementdetails.aspx?termid=9040</v>
      </c>
      <c r="Q977" s="12" t="str">
        <f>HYPERLINK("https://ceds.ed.gov/elementComment.aspx?elementName=Address City &amp;elementID=9040", "Click here to submit comment")</f>
        <v>Click here to submit comment</v>
      </c>
    </row>
    <row r="978" spans="1:17" ht="409.5" x14ac:dyDescent="0.25">
      <c r="A978" s="12" t="s">
        <v>7242</v>
      </c>
      <c r="B978" s="12" t="s">
        <v>7255</v>
      </c>
      <c r="C978" s="12" t="s">
        <v>7175</v>
      </c>
      <c r="D978" s="12" t="s">
        <v>7172</v>
      </c>
      <c r="E978" s="12" t="s">
        <v>5898</v>
      </c>
      <c r="F978" s="12" t="s">
        <v>5899</v>
      </c>
      <c r="G978" s="13" t="s">
        <v>7120</v>
      </c>
      <c r="H978" s="12" t="s">
        <v>6678</v>
      </c>
      <c r="I978" s="12"/>
      <c r="J978" s="12"/>
      <c r="K978" s="12"/>
      <c r="L978" s="12"/>
      <c r="M978" s="12" t="s">
        <v>5900</v>
      </c>
      <c r="N978" s="12"/>
      <c r="O978" s="12" t="s">
        <v>5901</v>
      </c>
      <c r="P978" s="12" t="str">
        <f>HYPERLINK("https://ceds.ed.gov/cedselementdetails.aspx?termid=9267")</f>
        <v>https://ceds.ed.gov/cedselementdetails.aspx?termid=9267</v>
      </c>
      <c r="Q978" s="12" t="str">
        <f>HYPERLINK("https://ceds.ed.gov/elementComment.aspx?elementName=State Abbreviation &amp;elementID=9267", "Click here to submit comment")</f>
        <v>Click here to submit comment</v>
      </c>
    </row>
    <row r="979" spans="1:17" ht="225" x14ac:dyDescent="0.25">
      <c r="A979" s="12" t="s">
        <v>7242</v>
      </c>
      <c r="B979" s="12" t="s">
        <v>7255</v>
      </c>
      <c r="C979" s="12" t="s">
        <v>7175</v>
      </c>
      <c r="D979" s="12" t="s">
        <v>7172</v>
      </c>
      <c r="E979" s="12" t="s">
        <v>184</v>
      </c>
      <c r="F979" s="12" t="s">
        <v>185</v>
      </c>
      <c r="G979" s="12" t="s">
        <v>12</v>
      </c>
      <c r="H979" s="12" t="s">
        <v>6377</v>
      </c>
      <c r="I979" s="12"/>
      <c r="J979" s="12" t="s">
        <v>186</v>
      </c>
      <c r="K979" s="12"/>
      <c r="L979" s="12"/>
      <c r="M979" s="12" t="s">
        <v>187</v>
      </c>
      <c r="N979" s="12"/>
      <c r="O979" s="12" t="s">
        <v>188</v>
      </c>
      <c r="P979" s="12" t="str">
        <f>HYPERLINK("https://ceds.ed.gov/cedselementdetails.aspx?termid=9214")</f>
        <v>https://ceds.ed.gov/cedselementdetails.aspx?termid=9214</v>
      </c>
      <c r="Q979" s="12" t="str">
        <f>HYPERLINK("https://ceds.ed.gov/elementComment.aspx?elementName=Address Postal Code &amp;elementID=9214", "Click here to submit comment")</f>
        <v>Click here to submit comment</v>
      </c>
    </row>
    <row r="980" spans="1:17" ht="225" x14ac:dyDescent="0.25">
      <c r="A980" s="12" t="s">
        <v>7242</v>
      </c>
      <c r="B980" s="12" t="s">
        <v>7255</v>
      </c>
      <c r="C980" s="12" t="s">
        <v>7175</v>
      </c>
      <c r="D980" s="12" t="s">
        <v>7172</v>
      </c>
      <c r="E980" s="12" t="s">
        <v>180</v>
      </c>
      <c r="F980" s="12" t="s">
        <v>181</v>
      </c>
      <c r="G980" s="12" t="s">
        <v>12</v>
      </c>
      <c r="H980" s="12" t="s">
        <v>6377</v>
      </c>
      <c r="I980" s="12"/>
      <c r="J980" s="12" t="s">
        <v>92</v>
      </c>
      <c r="K980" s="12"/>
      <c r="L980" s="12"/>
      <c r="M980" s="12" t="s">
        <v>182</v>
      </c>
      <c r="N980" s="12"/>
      <c r="O980" s="12" t="s">
        <v>183</v>
      </c>
      <c r="P980" s="12" t="str">
        <f>HYPERLINK("https://ceds.ed.gov/cedselementdetails.aspx?termid=9190")</f>
        <v>https://ceds.ed.gov/cedselementdetails.aspx?termid=9190</v>
      </c>
      <c r="Q980" s="12" t="str">
        <f>HYPERLINK("https://ceds.ed.gov/elementComment.aspx?elementName=Address County Name &amp;elementID=9190", "Click here to submit comment")</f>
        <v>Click here to submit comment</v>
      </c>
    </row>
    <row r="981" spans="1:17" ht="409.5" x14ac:dyDescent="0.25">
      <c r="A981" s="12" t="s">
        <v>7242</v>
      </c>
      <c r="B981" s="12" t="s">
        <v>7255</v>
      </c>
      <c r="C981" s="12" t="s">
        <v>7175</v>
      </c>
      <c r="D981" s="12" t="s">
        <v>7172</v>
      </c>
      <c r="E981" s="12" t="s">
        <v>1934</v>
      </c>
      <c r="F981" s="12" t="s">
        <v>1935</v>
      </c>
      <c r="G981" s="13" t="s">
        <v>6829</v>
      </c>
      <c r="H981" s="12" t="s">
        <v>6467</v>
      </c>
      <c r="I981" s="12" t="s">
        <v>98</v>
      </c>
      <c r="J981" s="12"/>
      <c r="K981" s="12"/>
      <c r="L981" s="14" t="s">
        <v>1936</v>
      </c>
      <c r="M981" s="12" t="s">
        <v>1937</v>
      </c>
      <c r="N981" s="12"/>
      <c r="O981" s="12" t="s">
        <v>1938</v>
      </c>
      <c r="P981" s="12" t="str">
        <f>HYPERLINK("https://ceds.ed.gov/cedselementdetails.aspx?termid=9050")</f>
        <v>https://ceds.ed.gov/cedselementdetails.aspx?termid=9050</v>
      </c>
      <c r="Q981" s="12" t="str">
        <f>HYPERLINK("https://ceds.ed.gov/elementComment.aspx?elementName=Country Code &amp;elementID=9050", "Click here to submit comment")</f>
        <v>Click here to submit comment</v>
      </c>
    </row>
    <row r="982" spans="1:17" ht="75" x14ac:dyDescent="0.25">
      <c r="A982" s="12" t="s">
        <v>7242</v>
      </c>
      <c r="B982" s="12" t="s">
        <v>7255</v>
      </c>
      <c r="C982" s="12" t="s">
        <v>7175</v>
      </c>
      <c r="D982" s="12" t="s">
        <v>7176</v>
      </c>
      <c r="E982" s="12" t="s">
        <v>3693</v>
      </c>
      <c r="F982" s="12" t="s">
        <v>3694</v>
      </c>
      <c r="G982" s="12" t="s">
        <v>12</v>
      </c>
      <c r="H982" s="12"/>
      <c r="I982" s="12"/>
      <c r="J982" s="12" t="s">
        <v>1201</v>
      </c>
      <c r="K982" s="12"/>
      <c r="L982" s="12"/>
      <c r="M982" s="12" t="s">
        <v>3695</v>
      </c>
      <c r="N982" s="12"/>
      <c r="O982" s="12" t="s">
        <v>3693</v>
      </c>
      <c r="P982" s="12" t="str">
        <f>HYPERLINK("https://ceds.ed.gov/cedselementdetails.aspx?termid=9599")</f>
        <v>https://ceds.ed.gov/cedselementdetails.aspx?termid=9599</v>
      </c>
      <c r="Q982" s="12" t="str">
        <f>HYPERLINK("https://ceds.ed.gov/elementComment.aspx?elementName=Latitude &amp;elementID=9599", "Click here to submit comment")</f>
        <v>Click here to submit comment</v>
      </c>
    </row>
    <row r="983" spans="1:17" ht="75" x14ac:dyDescent="0.25">
      <c r="A983" s="12" t="s">
        <v>7242</v>
      </c>
      <c r="B983" s="12" t="s">
        <v>7255</v>
      </c>
      <c r="C983" s="12" t="s">
        <v>7175</v>
      </c>
      <c r="D983" s="12" t="s">
        <v>7176</v>
      </c>
      <c r="E983" s="12" t="s">
        <v>4361</v>
      </c>
      <c r="F983" s="12" t="s">
        <v>4362</v>
      </c>
      <c r="G983" s="12" t="s">
        <v>12</v>
      </c>
      <c r="H983" s="12"/>
      <c r="I983" s="12"/>
      <c r="J983" s="12" t="s">
        <v>1201</v>
      </c>
      <c r="K983" s="12"/>
      <c r="L983" s="12"/>
      <c r="M983" s="12" t="s">
        <v>4363</v>
      </c>
      <c r="N983" s="12"/>
      <c r="O983" s="12" t="s">
        <v>4361</v>
      </c>
      <c r="P983" s="12" t="str">
        <f>HYPERLINK("https://ceds.ed.gov/cedselementdetails.aspx?termid=9600")</f>
        <v>https://ceds.ed.gov/cedselementdetails.aspx?termid=9600</v>
      </c>
      <c r="Q983" s="12" t="str">
        <f>HYPERLINK("https://ceds.ed.gov/elementComment.aspx?elementName=Longitude &amp;elementID=9600", "Click here to submit comment")</f>
        <v>Click here to submit comment</v>
      </c>
    </row>
    <row r="984" spans="1:17" ht="90" x14ac:dyDescent="0.25">
      <c r="A984" s="12" t="s">
        <v>7242</v>
      </c>
      <c r="B984" s="12" t="s">
        <v>7255</v>
      </c>
      <c r="C984" s="12" t="s">
        <v>7204</v>
      </c>
      <c r="D984" s="12" t="s">
        <v>7172</v>
      </c>
      <c r="E984" s="12" t="s">
        <v>2647</v>
      </c>
      <c r="F984" s="12" t="s">
        <v>2648</v>
      </c>
      <c r="G984" s="12" t="s">
        <v>12</v>
      </c>
      <c r="H984" s="12" t="s">
        <v>6369</v>
      </c>
      <c r="I984" s="12"/>
      <c r="J984" s="12" t="s">
        <v>2649</v>
      </c>
      <c r="K984" s="12"/>
      <c r="L984" s="12"/>
      <c r="M984" s="12" t="s">
        <v>2650</v>
      </c>
      <c r="N984" s="12" t="s">
        <v>2651</v>
      </c>
      <c r="O984" s="12" t="s">
        <v>2652</v>
      </c>
      <c r="P984" s="12" t="str">
        <f>HYPERLINK("https://ceds.ed.gov/cedselementdetails.aspx?termid=9088")</f>
        <v>https://ceds.ed.gov/cedselementdetails.aspx?termid=9088</v>
      </c>
      <c r="Q984" s="12" t="str">
        <f>HYPERLINK("https://ceds.ed.gov/elementComment.aspx?elementName=Electronic Mail Address &amp;elementID=9088", "Click here to submit comment")</f>
        <v>Click here to submit comment</v>
      </c>
    </row>
    <row r="985" spans="1:17" ht="90" x14ac:dyDescent="0.25">
      <c r="A985" s="12" t="s">
        <v>7242</v>
      </c>
      <c r="B985" s="12" t="s">
        <v>7255</v>
      </c>
      <c r="C985" s="12" t="s">
        <v>7204</v>
      </c>
      <c r="D985" s="12" t="s">
        <v>7172</v>
      </c>
      <c r="E985" s="12" t="s">
        <v>2653</v>
      </c>
      <c r="F985" s="12" t="s">
        <v>2654</v>
      </c>
      <c r="G985" s="13" t="s">
        <v>6898</v>
      </c>
      <c r="H985" s="12" t="s">
        <v>6369</v>
      </c>
      <c r="I985" s="12"/>
      <c r="J985" s="12"/>
      <c r="K985" s="12"/>
      <c r="L985" s="12"/>
      <c r="M985" s="12" t="s">
        <v>2655</v>
      </c>
      <c r="N985" s="12" t="s">
        <v>2656</v>
      </c>
      <c r="O985" s="12" t="s">
        <v>2657</v>
      </c>
      <c r="P985" s="12" t="str">
        <f>HYPERLINK("https://ceds.ed.gov/cedselementdetails.aspx?termid=9089")</f>
        <v>https://ceds.ed.gov/cedselementdetails.aspx?termid=9089</v>
      </c>
      <c r="Q985" s="12" t="str">
        <f>HYPERLINK("https://ceds.ed.gov/elementComment.aspx?elementName=Electronic Mail Address Type &amp;elementID=9089", "Click here to submit comment")</f>
        <v>Click here to submit comment</v>
      </c>
    </row>
    <row r="986" spans="1:17" ht="90" x14ac:dyDescent="0.25">
      <c r="A986" s="12" t="s">
        <v>7242</v>
      </c>
      <c r="B986" s="12" t="s">
        <v>7255</v>
      </c>
      <c r="C986" s="12" t="s">
        <v>7177</v>
      </c>
      <c r="D986" s="12" t="s">
        <v>7172</v>
      </c>
      <c r="E986" s="12" t="s">
        <v>6102</v>
      </c>
      <c r="F986" s="12" t="s">
        <v>6103</v>
      </c>
      <c r="G986" s="12" t="s">
        <v>12</v>
      </c>
      <c r="H986" s="12" t="s">
        <v>6369</v>
      </c>
      <c r="I986" s="12"/>
      <c r="J986" s="12" t="s">
        <v>6104</v>
      </c>
      <c r="K986" s="12"/>
      <c r="L986" s="12"/>
      <c r="M986" s="12" t="s">
        <v>6105</v>
      </c>
      <c r="N986" s="12"/>
      <c r="O986" s="12" t="s">
        <v>6106</v>
      </c>
      <c r="P986" s="12" t="str">
        <f>HYPERLINK("https://ceds.ed.gov/cedselementdetails.aspx?termid=9279")</f>
        <v>https://ceds.ed.gov/cedselementdetails.aspx?termid=9279</v>
      </c>
      <c r="Q986" s="12" t="str">
        <f>HYPERLINK("https://ceds.ed.gov/elementComment.aspx?elementName=Telephone Number &amp;elementID=9279", "Click here to submit comment")</f>
        <v>Click here to submit comment</v>
      </c>
    </row>
    <row r="987" spans="1:17" ht="90" x14ac:dyDescent="0.25">
      <c r="A987" s="12" t="s">
        <v>7242</v>
      </c>
      <c r="B987" s="12" t="s">
        <v>7255</v>
      </c>
      <c r="C987" s="12" t="s">
        <v>7177</v>
      </c>
      <c r="D987" s="12" t="s">
        <v>7172</v>
      </c>
      <c r="E987" s="12" t="s">
        <v>6107</v>
      </c>
      <c r="F987" s="12" t="s">
        <v>6108</v>
      </c>
      <c r="G987" s="13" t="s">
        <v>7135</v>
      </c>
      <c r="H987" s="12" t="s">
        <v>6369</v>
      </c>
      <c r="I987" s="12"/>
      <c r="J987" s="12" t="s">
        <v>1950</v>
      </c>
      <c r="K987" s="12"/>
      <c r="L987" s="12"/>
      <c r="M987" s="12" t="s">
        <v>6109</v>
      </c>
      <c r="N987" s="12"/>
      <c r="O987" s="12" t="s">
        <v>6110</v>
      </c>
      <c r="P987" s="12" t="str">
        <f>HYPERLINK("https://ceds.ed.gov/cedselementdetails.aspx?termid=9280")</f>
        <v>https://ceds.ed.gov/cedselementdetails.aspx?termid=9280</v>
      </c>
      <c r="Q987" s="12" t="str">
        <f>HYPERLINK("https://ceds.ed.gov/elementComment.aspx?elementName=Telephone Number Type &amp;elementID=9280", "Click here to submit comment")</f>
        <v>Click here to submit comment</v>
      </c>
    </row>
    <row r="988" spans="1:17" ht="90" x14ac:dyDescent="0.25">
      <c r="A988" s="12" t="s">
        <v>7242</v>
      </c>
      <c r="B988" s="12" t="s">
        <v>7255</v>
      </c>
      <c r="C988" s="12" t="s">
        <v>7177</v>
      </c>
      <c r="D988" s="12" t="s">
        <v>7172</v>
      </c>
      <c r="E988" s="12" t="s">
        <v>4934</v>
      </c>
      <c r="F988" s="12" t="s">
        <v>4935</v>
      </c>
      <c r="G988" s="12" t="s">
        <v>6364</v>
      </c>
      <c r="H988" s="12" t="s">
        <v>6369</v>
      </c>
      <c r="I988" s="12"/>
      <c r="J988" s="12"/>
      <c r="K988" s="12"/>
      <c r="L988" s="12"/>
      <c r="M988" s="12" t="s">
        <v>4936</v>
      </c>
      <c r="N988" s="12"/>
      <c r="O988" s="12" t="s">
        <v>4937</v>
      </c>
      <c r="P988" s="12" t="str">
        <f>HYPERLINK("https://ceds.ed.gov/cedselementdetails.aspx?termid=9219")</f>
        <v>https://ceds.ed.gov/cedselementdetails.aspx?termid=9219</v>
      </c>
      <c r="Q988" s="12" t="str">
        <f>HYPERLINK("https://ceds.ed.gov/elementComment.aspx?elementName=Primary Telephone Number Indicator &amp;elementID=9219", "Click here to submit comment")</f>
        <v>Click here to submit comment</v>
      </c>
    </row>
    <row r="989" spans="1:17" ht="30" x14ac:dyDescent="0.25">
      <c r="A989" s="12" t="s">
        <v>7242</v>
      </c>
      <c r="B989" s="12" t="s">
        <v>7255</v>
      </c>
      <c r="C989" s="12" t="s">
        <v>7213</v>
      </c>
      <c r="D989" s="12" t="s">
        <v>7172</v>
      </c>
      <c r="E989" s="12" t="s">
        <v>4705</v>
      </c>
      <c r="F989" s="12" t="s">
        <v>4706</v>
      </c>
      <c r="G989" s="12" t="s">
        <v>12</v>
      </c>
      <c r="H989" s="12"/>
      <c r="I989" s="12"/>
      <c r="J989" s="12" t="s">
        <v>1349</v>
      </c>
      <c r="K989" s="12"/>
      <c r="L989" s="12" t="s">
        <v>4707</v>
      </c>
      <c r="M989" s="12" t="s">
        <v>4708</v>
      </c>
      <c r="N989" s="12"/>
      <c r="O989" s="12" t="s">
        <v>4709</v>
      </c>
      <c r="P989" s="12" t="str">
        <f>HYPERLINK("https://ceds.ed.gov/cedselementdetails.aspx?termid=10486")</f>
        <v>https://ceds.ed.gov/cedselementdetails.aspx?termid=10486</v>
      </c>
      <c r="Q989" s="12" t="str">
        <f>HYPERLINK("https://ceds.ed.gov/elementComment.aspx?elementName=Other First Name &amp;elementID=10486", "Click here to submit comment")</f>
        <v>Click here to submit comment</v>
      </c>
    </row>
    <row r="990" spans="1:17" ht="30" x14ac:dyDescent="0.25">
      <c r="A990" s="12" t="s">
        <v>7242</v>
      </c>
      <c r="B990" s="12" t="s">
        <v>7255</v>
      </c>
      <c r="C990" s="12" t="s">
        <v>7213</v>
      </c>
      <c r="D990" s="12" t="s">
        <v>7172</v>
      </c>
      <c r="E990" s="12" t="s">
        <v>4710</v>
      </c>
      <c r="F990" s="12" t="s">
        <v>4711</v>
      </c>
      <c r="G990" s="12" t="s">
        <v>12</v>
      </c>
      <c r="H990" s="12"/>
      <c r="I990" s="12"/>
      <c r="J990" s="12" t="s">
        <v>1349</v>
      </c>
      <c r="K990" s="12"/>
      <c r="L990" s="12" t="s">
        <v>4712</v>
      </c>
      <c r="M990" s="12" t="s">
        <v>4713</v>
      </c>
      <c r="N990" s="12"/>
      <c r="O990" s="12" t="s">
        <v>4714</v>
      </c>
      <c r="P990" s="12" t="str">
        <f>HYPERLINK("https://ceds.ed.gov/cedselementdetails.aspx?termid=10485")</f>
        <v>https://ceds.ed.gov/cedselementdetails.aspx?termid=10485</v>
      </c>
      <c r="Q990" s="12" t="str">
        <f>HYPERLINK("https://ceds.ed.gov/elementComment.aspx?elementName=Other Last Name &amp;elementID=10485", "Click here to submit comment")</f>
        <v>Click here to submit comment</v>
      </c>
    </row>
    <row r="991" spans="1:17" ht="30" x14ac:dyDescent="0.25">
      <c r="A991" s="12" t="s">
        <v>7242</v>
      </c>
      <c r="B991" s="12" t="s">
        <v>7255</v>
      </c>
      <c r="C991" s="12" t="s">
        <v>7213</v>
      </c>
      <c r="D991" s="12" t="s">
        <v>7172</v>
      </c>
      <c r="E991" s="12" t="s">
        <v>4715</v>
      </c>
      <c r="F991" s="12" t="s">
        <v>4716</v>
      </c>
      <c r="G991" s="12" t="s">
        <v>12</v>
      </c>
      <c r="H991" s="12"/>
      <c r="I991" s="12"/>
      <c r="J991" s="12" t="s">
        <v>1349</v>
      </c>
      <c r="K991" s="12"/>
      <c r="L991" s="12" t="s">
        <v>4717</v>
      </c>
      <c r="M991" s="12" t="s">
        <v>4718</v>
      </c>
      <c r="N991" s="12"/>
      <c r="O991" s="12" t="s">
        <v>4719</v>
      </c>
      <c r="P991" s="12" t="str">
        <f>HYPERLINK("https://ceds.ed.gov/cedselementdetails.aspx?termid=10487")</f>
        <v>https://ceds.ed.gov/cedselementdetails.aspx?termid=10487</v>
      </c>
      <c r="Q991" s="12" t="str">
        <f>HYPERLINK("https://ceds.ed.gov/elementComment.aspx?elementName=Other Middle Name &amp;elementID=10487", "Click here to submit comment")</f>
        <v>Click here to submit comment</v>
      </c>
    </row>
    <row r="992" spans="1:17" ht="150" x14ac:dyDescent="0.25">
      <c r="A992" s="12" t="s">
        <v>7242</v>
      </c>
      <c r="B992" s="12" t="s">
        <v>7255</v>
      </c>
      <c r="C992" s="12" t="s">
        <v>7213</v>
      </c>
      <c r="D992" s="12" t="s">
        <v>7172</v>
      </c>
      <c r="E992" s="12" t="s">
        <v>4720</v>
      </c>
      <c r="F992" s="12" t="s">
        <v>4721</v>
      </c>
      <c r="G992" s="12" t="s">
        <v>12</v>
      </c>
      <c r="H992" s="12" t="s">
        <v>6543</v>
      </c>
      <c r="I992" s="12"/>
      <c r="J992" s="12" t="s">
        <v>142</v>
      </c>
      <c r="K992" s="12"/>
      <c r="L992" s="12"/>
      <c r="M992" s="12" t="s">
        <v>4722</v>
      </c>
      <c r="N992" s="12"/>
      <c r="O992" s="12" t="s">
        <v>4723</v>
      </c>
      <c r="P992" s="12" t="str">
        <f>HYPERLINK("https://ceds.ed.gov/cedselementdetails.aspx?termid=9206")</f>
        <v>https://ceds.ed.gov/cedselementdetails.aspx?termid=9206</v>
      </c>
      <c r="Q992" s="12" t="str">
        <f>HYPERLINK("https://ceds.ed.gov/elementComment.aspx?elementName=Other Name &amp;elementID=9206", "Click here to submit comment")</f>
        <v>Click here to submit comment</v>
      </c>
    </row>
    <row r="993" spans="1:17" ht="165" x14ac:dyDescent="0.25">
      <c r="A993" s="12" t="s">
        <v>7242</v>
      </c>
      <c r="B993" s="12" t="s">
        <v>7255</v>
      </c>
      <c r="C993" s="12" t="s">
        <v>7213</v>
      </c>
      <c r="D993" s="12" t="s">
        <v>7172</v>
      </c>
      <c r="E993" s="12" t="s">
        <v>4724</v>
      </c>
      <c r="F993" s="12" t="s">
        <v>4725</v>
      </c>
      <c r="G993" s="13" t="s">
        <v>7046</v>
      </c>
      <c r="H993" s="12" t="s">
        <v>6619</v>
      </c>
      <c r="I993" s="12"/>
      <c r="J993" s="12" t="s">
        <v>92</v>
      </c>
      <c r="K993" s="12"/>
      <c r="L993" s="12"/>
      <c r="M993" s="12" t="s">
        <v>4726</v>
      </c>
      <c r="N993" s="12"/>
      <c r="O993" s="12" t="s">
        <v>4727</v>
      </c>
      <c r="P993" s="12" t="str">
        <f>HYPERLINK("https://ceds.ed.gov/cedselementdetails.aspx?termid=9627")</f>
        <v>https://ceds.ed.gov/cedselementdetails.aspx?termid=9627</v>
      </c>
      <c r="Q993" s="12" t="str">
        <f>HYPERLINK("https://ceds.ed.gov/elementComment.aspx?elementName=Other Name Type &amp;elementID=9627", "Click here to submit comment")</f>
        <v>Click here to submit comment</v>
      </c>
    </row>
    <row r="994" spans="1:17" ht="105" x14ac:dyDescent="0.25">
      <c r="A994" s="12" t="s">
        <v>7242</v>
      </c>
      <c r="B994" s="12" t="s">
        <v>7255</v>
      </c>
      <c r="C994" s="12" t="s">
        <v>7192</v>
      </c>
      <c r="D994" s="12" t="s">
        <v>7172</v>
      </c>
      <c r="E994" s="12" t="s">
        <v>2880</v>
      </c>
      <c r="F994" s="12" t="s">
        <v>2881</v>
      </c>
      <c r="G994" s="12" t="s">
        <v>12</v>
      </c>
      <c r="H994" s="12"/>
      <c r="I994" s="12" t="s">
        <v>98</v>
      </c>
      <c r="J994" s="12" t="s">
        <v>92</v>
      </c>
      <c r="K994" s="12"/>
      <c r="L994" s="12"/>
      <c r="M994" s="12" t="s">
        <v>2882</v>
      </c>
      <c r="N994" s="12"/>
      <c r="O994" s="12" t="s">
        <v>2883</v>
      </c>
      <c r="P994" s="12" t="str">
        <f>HYPERLINK("https://ceds.ed.gov/cedselementdetails.aspx?termid=10530")</f>
        <v>https://ceds.ed.gov/cedselementdetails.aspx?termid=10530</v>
      </c>
      <c r="Q994" s="12" t="str">
        <f>HYPERLINK("https://ceds.ed.gov/elementComment.aspx?elementName=Financial Account Number &amp;elementID=10530", "Click here to submit comment")</f>
        <v>Click here to submit comment</v>
      </c>
    </row>
    <row r="995" spans="1:17" ht="45" x14ac:dyDescent="0.25">
      <c r="A995" s="12" t="s">
        <v>7242</v>
      </c>
      <c r="B995" s="12" t="s">
        <v>7255</v>
      </c>
      <c r="C995" s="12" t="s">
        <v>7192</v>
      </c>
      <c r="D995" s="12" t="s">
        <v>7172</v>
      </c>
      <c r="E995" s="12" t="s">
        <v>2876</v>
      </c>
      <c r="F995" s="12" t="s">
        <v>2877</v>
      </c>
      <c r="G995" s="12" t="s">
        <v>12</v>
      </c>
      <c r="H995" s="12"/>
      <c r="I995" s="12"/>
      <c r="J995" s="12" t="s">
        <v>794</v>
      </c>
      <c r="K995" s="12"/>
      <c r="L995" s="12"/>
      <c r="M995" s="12" t="s">
        <v>2878</v>
      </c>
      <c r="N995" s="12"/>
      <c r="O995" s="12" t="s">
        <v>2879</v>
      </c>
      <c r="P995" s="12" t="str">
        <f>HYPERLINK("https://ceds.ed.gov/cedselementdetails.aspx?termid=10315")</f>
        <v>https://ceds.ed.gov/cedselementdetails.aspx?termid=10315</v>
      </c>
      <c r="Q995" s="12" t="str">
        <f>HYPERLINK("https://ceds.ed.gov/elementComment.aspx?elementName=Financial Account Name &amp;elementID=10315", "Click here to submit comment")</f>
        <v>Click here to submit comment</v>
      </c>
    </row>
    <row r="996" spans="1:17" ht="45" x14ac:dyDescent="0.25">
      <c r="A996" s="12" t="s">
        <v>7242</v>
      </c>
      <c r="B996" s="12" t="s">
        <v>7255</v>
      </c>
      <c r="C996" s="12" t="s">
        <v>7192</v>
      </c>
      <c r="D996" s="12" t="s">
        <v>7172</v>
      </c>
      <c r="E996" s="12" t="s">
        <v>2868</v>
      </c>
      <c r="F996" s="12" t="s">
        <v>2869</v>
      </c>
      <c r="G996" s="12" t="s">
        <v>12</v>
      </c>
      <c r="H996" s="12"/>
      <c r="I996" s="12"/>
      <c r="J996" s="12" t="s">
        <v>68</v>
      </c>
      <c r="K996" s="12"/>
      <c r="L996" s="12"/>
      <c r="M996" s="12" t="s">
        <v>2870</v>
      </c>
      <c r="N996" s="12"/>
      <c r="O996" s="12" t="s">
        <v>2871</v>
      </c>
      <c r="P996" s="12" t="str">
        <f>HYPERLINK("https://ceds.ed.gov/cedselementdetails.aspx?termid=10313")</f>
        <v>https://ceds.ed.gov/cedselementdetails.aspx?termid=10313</v>
      </c>
      <c r="Q996" s="12" t="str">
        <f>HYPERLINK("https://ceds.ed.gov/elementComment.aspx?elementName=Financial Account Description &amp;elementID=10313", "Click here to submit comment")</f>
        <v>Click here to submit comment</v>
      </c>
    </row>
    <row r="997" spans="1:17" ht="105" x14ac:dyDescent="0.25">
      <c r="A997" s="12" t="s">
        <v>7242</v>
      </c>
      <c r="B997" s="12" t="s">
        <v>7255</v>
      </c>
      <c r="C997" s="12" t="s">
        <v>7192</v>
      </c>
      <c r="D997" s="12" t="s">
        <v>7172</v>
      </c>
      <c r="E997" s="12" t="s">
        <v>2864</v>
      </c>
      <c r="F997" s="12" t="s">
        <v>2865</v>
      </c>
      <c r="G997" s="13" t="s">
        <v>6919</v>
      </c>
      <c r="H997" s="12"/>
      <c r="I997" s="12"/>
      <c r="J997" s="12"/>
      <c r="K997" s="12"/>
      <c r="L997" s="12"/>
      <c r="M997" s="12" t="s">
        <v>2866</v>
      </c>
      <c r="N997" s="12"/>
      <c r="O997" s="12" t="s">
        <v>2867</v>
      </c>
      <c r="P997" s="12" t="str">
        <f>HYPERLINK("https://ceds.ed.gov/cedselementdetails.aspx?termid=10312")</f>
        <v>https://ceds.ed.gov/cedselementdetails.aspx?termid=10312</v>
      </c>
      <c r="Q997" s="12" t="str">
        <f>HYPERLINK("https://ceds.ed.gov/elementComment.aspx?elementName=Financial Account Category &amp;elementID=10312", "Click here to submit comment")</f>
        <v>Click here to submit comment</v>
      </c>
    </row>
    <row r="998" spans="1:17" ht="409.5" x14ac:dyDescent="0.25">
      <c r="A998" s="12" t="s">
        <v>7242</v>
      </c>
      <c r="B998" s="12" t="s">
        <v>7255</v>
      </c>
      <c r="C998" s="12" t="s">
        <v>7192</v>
      </c>
      <c r="D998" s="12" t="s">
        <v>7172</v>
      </c>
      <c r="E998" s="12" t="s">
        <v>2859</v>
      </c>
      <c r="F998" s="12" t="s">
        <v>2860</v>
      </c>
      <c r="G998" s="13" t="s">
        <v>6918</v>
      </c>
      <c r="H998" s="12"/>
      <c r="I998" s="12" t="s">
        <v>98</v>
      </c>
      <c r="J998" s="12"/>
      <c r="K998" s="12"/>
      <c r="L998" s="14" t="s">
        <v>2861</v>
      </c>
      <c r="M998" s="12" t="s">
        <v>2862</v>
      </c>
      <c r="N998" s="12"/>
      <c r="O998" s="12" t="s">
        <v>2863</v>
      </c>
      <c r="P998" s="12" t="str">
        <f>HYPERLINK("https://ceds.ed.gov/cedselementdetails.aspx?termid=10320")</f>
        <v>https://ceds.ed.gov/cedselementdetails.aspx?termid=10320</v>
      </c>
      <c r="Q998" s="12" t="str">
        <f>HYPERLINK("https://ceds.ed.gov/elementComment.aspx?elementName=Financial Account Balance Sheet Code &amp;elementID=10320", "Click here to submit comment")</f>
        <v>Click here to submit comment</v>
      </c>
    </row>
    <row r="999" spans="1:17" ht="45" x14ac:dyDescent="0.25">
      <c r="A999" s="12" t="s">
        <v>7242</v>
      </c>
      <c r="B999" s="12" t="s">
        <v>7255</v>
      </c>
      <c r="C999" s="12" t="s">
        <v>7192</v>
      </c>
      <c r="D999" s="12" t="s">
        <v>7172</v>
      </c>
      <c r="E999" s="12" t="s">
        <v>2905</v>
      </c>
      <c r="F999" s="12" t="s">
        <v>2906</v>
      </c>
      <c r="G999" s="12" t="s">
        <v>12</v>
      </c>
      <c r="H999" s="12"/>
      <c r="I999" s="12" t="s">
        <v>98</v>
      </c>
      <c r="J999" s="12" t="s">
        <v>1554</v>
      </c>
      <c r="K999" s="12"/>
      <c r="L999" s="12"/>
      <c r="M999" s="12" t="s">
        <v>2907</v>
      </c>
      <c r="N999" s="12"/>
      <c r="O999" s="12" t="s">
        <v>2908</v>
      </c>
      <c r="P999" s="12" t="str">
        <f>HYPERLINK("https://ceds.ed.gov/cedselementdetails.aspx?termid=10317")</f>
        <v>https://ceds.ed.gov/cedselementdetails.aspx?termid=10317</v>
      </c>
      <c r="Q999" s="12" t="str">
        <f>HYPERLINK("https://ceds.ed.gov/elementComment.aspx?elementName=Financial Accounting Period Actual Value &amp;elementID=10317", "Click here to submit comment")</f>
        <v>Click here to submit comment</v>
      </c>
    </row>
    <row r="1000" spans="1:17" ht="45" x14ac:dyDescent="0.25">
      <c r="A1000" s="12" t="s">
        <v>7242</v>
      </c>
      <c r="B1000" s="12" t="s">
        <v>7255</v>
      </c>
      <c r="C1000" s="12" t="s">
        <v>7192</v>
      </c>
      <c r="D1000" s="12" t="s">
        <v>7172</v>
      </c>
      <c r="E1000" s="12" t="s">
        <v>2909</v>
      </c>
      <c r="F1000" s="12" t="s">
        <v>2910</v>
      </c>
      <c r="G1000" s="12" t="s">
        <v>12</v>
      </c>
      <c r="H1000" s="12"/>
      <c r="I1000" s="12" t="s">
        <v>98</v>
      </c>
      <c r="J1000" s="12" t="s">
        <v>1554</v>
      </c>
      <c r="K1000" s="12"/>
      <c r="L1000" s="12"/>
      <c r="M1000" s="12" t="s">
        <v>2911</v>
      </c>
      <c r="N1000" s="12"/>
      <c r="O1000" s="12" t="s">
        <v>2912</v>
      </c>
      <c r="P1000" s="12" t="str">
        <f>HYPERLINK("https://ceds.ed.gov/cedselementdetails.aspx?termid=10318")</f>
        <v>https://ceds.ed.gov/cedselementdetails.aspx?termid=10318</v>
      </c>
      <c r="Q1000" s="12" t="str">
        <f>HYPERLINK("https://ceds.ed.gov/elementComment.aspx?elementName=Financial Accounting Period Budgeted Value &amp;elementID=10318", "Click here to submit comment")</f>
        <v>Click here to submit comment</v>
      </c>
    </row>
    <row r="1001" spans="1:17" ht="60" x14ac:dyDescent="0.25">
      <c r="A1001" s="12" t="s">
        <v>7242</v>
      </c>
      <c r="B1001" s="12" t="s">
        <v>7255</v>
      </c>
      <c r="C1001" s="12" t="s">
        <v>7192</v>
      </c>
      <c r="D1001" s="12" t="s">
        <v>7172</v>
      </c>
      <c r="E1001" s="12" t="s">
        <v>2913</v>
      </c>
      <c r="F1001" s="12" t="s">
        <v>2914</v>
      </c>
      <c r="G1001" s="12" t="s">
        <v>12</v>
      </c>
      <c r="H1001" s="12"/>
      <c r="I1001" s="12" t="s">
        <v>1498</v>
      </c>
      <c r="J1001" s="12" t="s">
        <v>1554</v>
      </c>
      <c r="K1001" s="12"/>
      <c r="L1001" s="12" t="s">
        <v>2915</v>
      </c>
      <c r="M1001" s="12" t="s">
        <v>2916</v>
      </c>
      <c r="N1001" s="12"/>
      <c r="O1001" s="12" t="s">
        <v>2917</v>
      </c>
      <c r="P1001" s="12" t="str">
        <f>HYPERLINK("https://ceds.ed.gov/cedselementdetails.aspx?termid=10625")</f>
        <v>https://ceds.ed.gov/cedselementdetails.aspx?termid=10625</v>
      </c>
      <c r="Q1001" s="12" t="str">
        <f>HYPERLINK("https://ceds.ed.gov/elementComment.aspx?elementName=Financial Accounting Period Encumbered Value &amp;elementID=10625", "Click here to submit comment")</f>
        <v>Click here to submit comment</v>
      </c>
    </row>
    <row r="1002" spans="1:17" ht="30" x14ac:dyDescent="0.25">
      <c r="A1002" s="12" t="s">
        <v>7242</v>
      </c>
      <c r="B1002" s="12" t="s">
        <v>7255</v>
      </c>
      <c r="C1002" s="12" t="s">
        <v>7192</v>
      </c>
      <c r="D1002" s="12" t="s">
        <v>7172</v>
      </c>
      <c r="E1002" s="12" t="s">
        <v>3034</v>
      </c>
      <c r="F1002" s="12" t="s">
        <v>3035</v>
      </c>
      <c r="G1002" s="12" t="s">
        <v>12</v>
      </c>
      <c r="H1002" s="12"/>
      <c r="I1002" s="12" t="s">
        <v>1498</v>
      </c>
      <c r="J1002" s="12" t="s">
        <v>1861</v>
      </c>
      <c r="K1002" s="12"/>
      <c r="L1002" s="12"/>
      <c r="M1002" s="12" t="s">
        <v>3036</v>
      </c>
      <c r="N1002" s="12"/>
      <c r="O1002" s="12" t="s">
        <v>3037</v>
      </c>
      <c r="P1002" s="12" t="str">
        <f>HYPERLINK("https://ceds.ed.gov/cedselementdetails.aspx?termid=10620")</f>
        <v>https://ceds.ed.gov/cedselementdetails.aspx?termid=10620</v>
      </c>
      <c r="Q1002" s="12" t="str">
        <f>HYPERLINK("https://ceds.ed.gov/elementComment.aspx?elementName=Fiscal Year &amp;elementID=10620", "Click here to submit comment")</f>
        <v>Click here to submit comment</v>
      </c>
    </row>
    <row r="1003" spans="1:17" ht="30" x14ac:dyDescent="0.25">
      <c r="A1003" s="12" t="s">
        <v>7242</v>
      </c>
      <c r="B1003" s="12" t="s">
        <v>7255</v>
      </c>
      <c r="C1003" s="12" t="s">
        <v>7192</v>
      </c>
      <c r="D1003" s="12" t="s">
        <v>7172</v>
      </c>
      <c r="E1003" s="12" t="s">
        <v>3026</v>
      </c>
      <c r="F1003" s="12" t="s">
        <v>3027</v>
      </c>
      <c r="G1003" s="12" t="s">
        <v>12</v>
      </c>
      <c r="H1003" s="12"/>
      <c r="I1003" s="12" t="s">
        <v>1498</v>
      </c>
      <c r="J1003" s="12" t="s">
        <v>73</v>
      </c>
      <c r="K1003" s="12"/>
      <c r="L1003" s="12"/>
      <c r="M1003" s="12" t="s">
        <v>3028</v>
      </c>
      <c r="N1003" s="12"/>
      <c r="O1003" s="12" t="s">
        <v>3029</v>
      </c>
      <c r="P1003" s="12" t="str">
        <f>HYPERLINK("https://ceds.ed.gov/cedselementdetails.aspx?termid=10623")</f>
        <v>https://ceds.ed.gov/cedselementdetails.aspx?termid=10623</v>
      </c>
      <c r="Q1003" s="12" t="str">
        <f>HYPERLINK("https://ceds.ed.gov/elementComment.aspx?elementName=Fiscal Period Begin Date &amp;elementID=10623", "Click here to submit comment")</f>
        <v>Click here to submit comment</v>
      </c>
    </row>
    <row r="1004" spans="1:17" ht="30" x14ac:dyDescent="0.25">
      <c r="A1004" s="12" t="s">
        <v>7242</v>
      </c>
      <c r="B1004" s="12" t="s">
        <v>7255</v>
      </c>
      <c r="C1004" s="12" t="s">
        <v>7192</v>
      </c>
      <c r="D1004" s="12" t="s">
        <v>7172</v>
      </c>
      <c r="E1004" s="12" t="s">
        <v>3030</v>
      </c>
      <c r="F1004" s="12" t="s">
        <v>3031</v>
      </c>
      <c r="G1004" s="12" t="s">
        <v>12</v>
      </c>
      <c r="H1004" s="12"/>
      <c r="I1004" s="12" t="s">
        <v>1498</v>
      </c>
      <c r="J1004" s="12" t="s">
        <v>73</v>
      </c>
      <c r="K1004" s="12"/>
      <c r="L1004" s="12"/>
      <c r="M1004" s="12" t="s">
        <v>3032</v>
      </c>
      <c r="N1004" s="12"/>
      <c r="O1004" s="12" t="s">
        <v>3033</v>
      </c>
      <c r="P1004" s="12" t="str">
        <f>HYPERLINK("https://ceds.ed.gov/cedselementdetails.aspx?termid=10624")</f>
        <v>https://ceds.ed.gov/cedselementdetails.aspx?termid=10624</v>
      </c>
      <c r="Q1004" s="12" t="str">
        <f>HYPERLINK("https://ceds.ed.gov/elementComment.aspx?elementName=Fiscal Period End Date &amp;elementID=10624", "Click here to submit comment")</f>
        <v>Click here to submit comment</v>
      </c>
    </row>
    <row r="1005" spans="1:17" ht="135" x14ac:dyDescent="0.25">
      <c r="A1005" s="12" t="s">
        <v>7242</v>
      </c>
      <c r="B1005" s="12" t="s">
        <v>7255</v>
      </c>
      <c r="C1005" s="12" t="s">
        <v>7192</v>
      </c>
      <c r="D1005" s="12" t="s">
        <v>7172</v>
      </c>
      <c r="E1005" s="12" t="s">
        <v>2918</v>
      </c>
      <c r="F1005" s="12" t="s">
        <v>2919</v>
      </c>
      <c r="G1005" s="12" t="s">
        <v>12</v>
      </c>
      <c r="H1005" s="12"/>
      <c r="I1005" s="12" t="s">
        <v>1498</v>
      </c>
      <c r="J1005" s="12" t="s">
        <v>1554</v>
      </c>
      <c r="K1005" s="12"/>
      <c r="L1005" s="12" t="s">
        <v>2920</v>
      </c>
      <c r="M1005" s="12" t="s">
        <v>2921</v>
      </c>
      <c r="N1005" s="12"/>
      <c r="O1005" s="12" t="s">
        <v>2922</v>
      </c>
      <c r="P1005" s="12" t="str">
        <f>HYPERLINK("https://ceds.ed.gov/cedselementdetails.aspx?termid=10628")</f>
        <v>https://ceds.ed.gov/cedselementdetails.aspx?termid=10628</v>
      </c>
      <c r="Q1005" s="12" t="str">
        <f>HYPERLINK("https://ceds.ed.gov/elementComment.aspx?elementName=Financial Accounting Value &amp;elementID=10628", "Click here to submit comment")</f>
        <v>Click here to submit comment</v>
      </c>
    </row>
    <row r="1006" spans="1:17" ht="30" x14ac:dyDescent="0.25">
      <c r="A1006" s="12" t="s">
        <v>7242</v>
      </c>
      <c r="B1006" s="12" t="s">
        <v>7255</v>
      </c>
      <c r="C1006" s="12" t="s">
        <v>7192</v>
      </c>
      <c r="D1006" s="12" t="s">
        <v>7172</v>
      </c>
      <c r="E1006" s="12" t="s">
        <v>2901</v>
      </c>
      <c r="F1006" s="12" t="s">
        <v>2902</v>
      </c>
      <c r="G1006" s="12" t="s">
        <v>12</v>
      </c>
      <c r="H1006" s="12"/>
      <c r="I1006" s="12" t="s">
        <v>1498</v>
      </c>
      <c r="J1006" s="12" t="s">
        <v>73</v>
      </c>
      <c r="K1006" s="12"/>
      <c r="L1006" s="12"/>
      <c r="M1006" s="12" t="s">
        <v>2903</v>
      </c>
      <c r="N1006" s="12"/>
      <c r="O1006" s="12" t="s">
        <v>2904</v>
      </c>
      <c r="P1006" s="12" t="str">
        <f>HYPERLINK("https://ceds.ed.gov/cedselementdetails.aspx?termid=10629")</f>
        <v>https://ceds.ed.gov/cedselementdetails.aspx?termid=10629</v>
      </c>
      <c r="Q1006" s="12" t="str">
        <f>HYPERLINK("https://ceds.ed.gov/elementComment.aspx?elementName=Financial Accounting Date &amp;elementID=10629", "Click here to submit comment")</f>
        <v>Click here to submit comment</v>
      </c>
    </row>
    <row r="1007" spans="1:17" ht="150" x14ac:dyDescent="0.25">
      <c r="A1007" s="12" t="s">
        <v>7242</v>
      </c>
      <c r="B1007" s="12" t="s">
        <v>7255</v>
      </c>
      <c r="C1007" s="12" t="s">
        <v>7192</v>
      </c>
      <c r="D1007" s="12" t="s">
        <v>7172</v>
      </c>
      <c r="E1007" s="12" t="s">
        <v>2872</v>
      </c>
      <c r="F1007" s="12" t="s">
        <v>2873</v>
      </c>
      <c r="G1007" s="13" t="s">
        <v>6920</v>
      </c>
      <c r="H1007" s="12"/>
      <c r="I1007" s="12" t="s">
        <v>98</v>
      </c>
      <c r="J1007" s="12"/>
      <c r="K1007" s="12"/>
      <c r="L1007" s="14" t="s">
        <v>2861</v>
      </c>
      <c r="M1007" s="12" t="s">
        <v>2874</v>
      </c>
      <c r="N1007" s="12"/>
      <c r="O1007" s="12" t="s">
        <v>2875</v>
      </c>
      <c r="P1007" s="12" t="str">
        <f>HYPERLINK("https://ceds.ed.gov/cedselementdetails.aspx?termid=10314")</f>
        <v>https://ceds.ed.gov/cedselementdetails.aspx?termid=10314</v>
      </c>
      <c r="Q1007" s="12" t="str">
        <f>HYPERLINK("https://ceds.ed.gov/elementComment.aspx?elementName=Financial Account Fund Classification &amp;elementID=10314", "Click here to submit comment")</f>
        <v>Click here to submit comment</v>
      </c>
    </row>
    <row r="1008" spans="1:17" ht="240" x14ac:dyDescent="0.25">
      <c r="A1008" s="12" t="s">
        <v>7242</v>
      </c>
      <c r="B1008" s="12" t="s">
        <v>7255</v>
      </c>
      <c r="C1008" s="12" t="s">
        <v>7192</v>
      </c>
      <c r="D1008" s="12" t="s">
        <v>7172</v>
      </c>
      <c r="E1008" s="12" t="s">
        <v>2884</v>
      </c>
      <c r="F1008" s="12" t="s">
        <v>2885</v>
      </c>
      <c r="G1008" s="13" t="s">
        <v>6921</v>
      </c>
      <c r="H1008" s="12"/>
      <c r="I1008" s="12" t="s">
        <v>98</v>
      </c>
      <c r="J1008" s="12"/>
      <c r="K1008" s="12"/>
      <c r="L1008" s="14" t="s">
        <v>2861</v>
      </c>
      <c r="M1008" s="12" t="s">
        <v>2886</v>
      </c>
      <c r="N1008" s="12"/>
      <c r="O1008" s="12" t="s">
        <v>2887</v>
      </c>
      <c r="P1008" s="12" t="str">
        <f>HYPERLINK("https://ceds.ed.gov/cedselementdetails.aspx?termid=10316")</f>
        <v>https://ceds.ed.gov/cedselementdetails.aspx?termid=10316</v>
      </c>
      <c r="Q1008" s="12" t="str">
        <f>HYPERLINK("https://ceds.ed.gov/elementComment.aspx?elementName=Financial Account Program Code &amp;elementID=10316", "Click here to submit comment")</f>
        <v>Click here to submit comment</v>
      </c>
    </row>
    <row r="1009" spans="1:17" ht="45" x14ac:dyDescent="0.25">
      <c r="A1009" s="12" t="s">
        <v>7242</v>
      </c>
      <c r="B1009" s="12" t="s">
        <v>7255</v>
      </c>
      <c r="C1009" s="12" t="s">
        <v>7192</v>
      </c>
      <c r="D1009" s="12" t="s">
        <v>7172</v>
      </c>
      <c r="E1009" s="12" t="s">
        <v>2892</v>
      </c>
      <c r="F1009" s="12" t="s">
        <v>2893</v>
      </c>
      <c r="G1009" s="12" t="s">
        <v>12</v>
      </c>
      <c r="H1009" s="12"/>
      <c r="I1009" s="12" t="s">
        <v>1498</v>
      </c>
      <c r="J1009" s="12" t="s">
        <v>92</v>
      </c>
      <c r="K1009" s="12"/>
      <c r="L1009" s="12"/>
      <c r="M1009" s="12" t="s">
        <v>2894</v>
      </c>
      <c r="N1009" s="12"/>
      <c r="O1009" s="12" t="s">
        <v>2895</v>
      </c>
      <c r="P1009" s="12" t="str">
        <f>HYPERLINK("https://ceds.ed.gov/cedselementdetails.aspx?termid=10627")</f>
        <v>https://ceds.ed.gov/cedselementdetails.aspx?termid=10627</v>
      </c>
      <c r="Q1009" s="12" t="str">
        <f>HYPERLINK("https://ceds.ed.gov/elementComment.aspx?elementName=Financial Account Program Number &amp;elementID=10627", "Click here to submit comment")</f>
        <v>Click here to submit comment</v>
      </c>
    </row>
    <row r="1010" spans="1:17" ht="45" x14ac:dyDescent="0.25">
      <c r="A1010" s="12" t="s">
        <v>7242</v>
      </c>
      <c r="B1010" s="12" t="s">
        <v>7255</v>
      </c>
      <c r="C1010" s="12" t="s">
        <v>7192</v>
      </c>
      <c r="D1010" s="12" t="s">
        <v>7172</v>
      </c>
      <c r="E1010" s="12" t="s">
        <v>2888</v>
      </c>
      <c r="F1010" s="12" t="s">
        <v>2889</v>
      </c>
      <c r="G1010" s="12" t="s">
        <v>12</v>
      </c>
      <c r="H1010" s="12"/>
      <c r="I1010" s="12" t="s">
        <v>1498</v>
      </c>
      <c r="J1010" s="12" t="s">
        <v>794</v>
      </c>
      <c r="K1010" s="12"/>
      <c r="L1010" s="12"/>
      <c r="M1010" s="12" t="s">
        <v>2890</v>
      </c>
      <c r="N1010" s="12"/>
      <c r="O1010" s="12" t="s">
        <v>2891</v>
      </c>
      <c r="P1010" s="12" t="str">
        <f>HYPERLINK("https://ceds.ed.gov/cedselementdetails.aspx?termid=10626")</f>
        <v>https://ceds.ed.gov/cedselementdetails.aspx?termid=10626</v>
      </c>
      <c r="Q1010" s="12" t="str">
        <f>HYPERLINK("https://ceds.ed.gov/elementComment.aspx?elementName=Financial Account Program Name &amp;elementID=10626", "Click here to submit comment")</f>
        <v>Click here to submit comment</v>
      </c>
    </row>
    <row r="1011" spans="1:17" ht="60" x14ac:dyDescent="0.25">
      <c r="A1011" s="18" t="s">
        <v>7242</v>
      </c>
      <c r="B1011" s="18" t="s">
        <v>7255</v>
      </c>
      <c r="C1011" s="18" t="s">
        <v>7192</v>
      </c>
      <c r="D1011" s="18" t="s">
        <v>7172</v>
      </c>
      <c r="E1011" s="18" t="s">
        <v>2896</v>
      </c>
      <c r="F1011" s="18" t="s">
        <v>2897</v>
      </c>
      <c r="G1011" s="20" t="s">
        <v>6922</v>
      </c>
      <c r="H1011" s="18"/>
      <c r="I1011" s="18" t="s">
        <v>98</v>
      </c>
      <c r="J1011" s="18"/>
      <c r="K1011" s="18"/>
      <c r="L1011" s="14" t="s">
        <v>2861</v>
      </c>
      <c r="M1011" s="18" t="s">
        <v>2899</v>
      </c>
      <c r="N1011" s="18"/>
      <c r="O1011" s="18" t="s">
        <v>2900</v>
      </c>
      <c r="P1011" s="18" t="str">
        <f>HYPERLINK("https://ceds.ed.gov/cedselementdetails.aspx?termid=10440")</f>
        <v>https://ceds.ed.gov/cedselementdetails.aspx?termid=10440</v>
      </c>
      <c r="Q1011" s="18" t="str">
        <f>HYPERLINK("https://ceds.ed.gov/elementComment.aspx?elementName=Financial Account Revenue Code &amp;elementID=10440", "Click here to submit comment")</f>
        <v>Click here to submit comment</v>
      </c>
    </row>
    <row r="1012" spans="1:17" x14ac:dyDescent="0.25">
      <c r="A1012" s="18"/>
      <c r="B1012" s="18"/>
      <c r="C1012" s="18"/>
      <c r="D1012" s="18"/>
      <c r="E1012" s="18"/>
      <c r="F1012" s="18"/>
      <c r="G1012" s="18"/>
      <c r="H1012" s="18"/>
      <c r="I1012" s="18"/>
      <c r="J1012" s="18"/>
      <c r="K1012" s="18"/>
      <c r="L1012" s="12"/>
      <c r="M1012" s="18"/>
      <c r="N1012" s="18"/>
      <c r="O1012" s="18"/>
      <c r="P1012" s="18"/>
      <c r="Q1012" s="18"/>
    </row>
    <row r="1013" spans="1:17" ht="30" x14ac:dyDescent="0.25">
      <c r="A1013" s="18"/>
      <c r="B1013" s="18"/>
      <c r="C1013" s="18"/>
      <c r="D1013" s="18"/>
      <c r="E1013" s="18"/>
      <c r="F1013" s="18"/>
      <c r="G1013" s="18"/>
      <c r="H1013" s="18"/>
      <c r="I1013" s="18"/>
      <c r="J1013" s="18"/>
      <c r="K1013" s="18"/>
      <c r="L1013" s="12" t="s">
        <v>2898</v>
      </c>
      <c r="M1013" s="18"/>
      <c r="N1013" s="18"/>
      <c r="O1013" s="18"/>
      <c r="P1013" s="18"/>
      <c r="Q1013" s="18"/>
    </row>
    <row r="1014" spans="1:17" ht="409.5" x14ac:dyDescent="0.25">
      <c r="A1014" s="12" t="s">
        <v>7242</v>
      </c>
      <c r="B1014" s="12" t="s">
        <v>7255</v>
      </c>
      <c r="C1014" s="12" t="s">
        <v>7192</v>
      </c>
      <c r="D1014" s="12" t="s">
        <v>7172</v>
      </c>
      <c r="E1014" s="12" t="s">
        <v>2968</v>
      </c>
      <c r="F1014" s="12" t="s">
        <v>2969</v>
      </c>
      <c r="G1014" s="13" t="s">
        <v>6928</v>
      </c>
      <c r="H1014" s="12"/>
      <c r="I1014" s="12" t="s">
        <v>98</v>
      </c>
      <c r="J1014" s="12"/>
      <c r="K1014" s="12"/>
      <c r="L1014" s="14" t="s">
        <v>2861</v>
      </c>
      <c r="M1014" s="12" t="s">
        <v>2970</v>
      </c>
      <c r="N1014" s="12"/>
      <c r="O1014" s="12" t="s">
        <v>2971</v>
      </c>
      <c r="P1014" s="12" t="str">
        <f>HYPERLINK("https://ceds.ed.gov/cedselementdetails.aspx?termid=10321")</f>
        <v>https://ceds.ed.gov/cedselementdetails.aspx?termid=10321</v>
      </c>
      <c r="Q1014" s="12" t="str">
        <f>HYPERLINK("https://ceds.ed.gov/elementComment.aspx?elementName=Financial Expenditure Function Code &amp;elementID=10321", "Click here to submit comment")</f>
        <v>Click here to submit comment</v>
      </c>
    </row>
    <row r="1015" spans="1:17" ht="409.5" x14ac:dyDescent="0.25">
      <c r="A1015" s="12" t="s">
        <v>7242</v>
      </c>
      <c r="B1015" s="12" t="s">
        <v>7255</v>
      </c>
      <c r="C1015" s="12" t="s">
        <v>7192</v>
      </c>
      <c r="D1015" s="12" t="s">
        <v>7172</v>
      </c>
      <c r="E1015" s="12" t="s">
        <v>2976</v>
      </c>
      <c r="F1015" s="12" t="s">
        <v>2977</v>
      </c>
      <c r="G1015" s="13" t="s">
        <v>6930</v>
      </c>
      <c r="H1015" s="12"/>
      <c r="I1015" s="12" t="s">
        <v>98</v>
      </c>
      <c r="J1015" s="12"/>
      <c r="K1015" s="12"/>
      <c r="L1015" s="14" t="s">
        <v>2861</v>
      </c>
      <c r="M1015" s="12" t="s">
        <v>2978</v>
      </c>
      <c r="N1015" s="12"/>
      <c r="O1015" s="12" t="s">
        <v>2979</v>
      </c>
      <c r="P1015" s="12" t="str">
        <f>HYPERLINK("https://ceds.ed.gov/cedselementdetails.aspx?termid=10322")</f>
        <v>https://ceds.ed.gov/cedselementdetails.aspx?termid=10322</v>
      </c>
      <c r="Q1015" s="12" t="str">
        <f>HYPERLINK("https://ceds.ed.gov/elementComment.aspx?elementName=Financial Expenditure Object Code &amp;elementID=10322", "Click here to submit comment")</f>
        <v>Click here to submit comment</v>
      </c>
    </row>
    <row r="1016" spans="1:17" ht="195" x14ac:dyDescent="0.25">
      <c r="A1016" s="12" t="s">
        <v>7242</v>
      </c>
      <c r="B1016" s="12" t="s">
        <v>7255</v>
      </c>
      <c r="C1016" s="12" t="s">
        <v>7192</v>
      </c>
      <c r="D1016" s="12" t="s">
        <v>7172</v>
      </c>
      <c r="E1016" s="12" t="s">
        <v>2972</v>
      </c>
      <c r="F1016" s="12" t="s">
        <v>2973</v>
      </c>
      <c r="G1016" s="13" t="s">
        <v>6929</v>
      </c>
      <c r="H1016" s="12"/>
      <c r="I1016" s="12" t="s">
        <v>98</v>
      </c>
      <c r="J1016" s="12"/>
      <c r="K1016" s="12"/>
      <c r="L1016" s="14" t="s">
        <v>2861</v>
      </c>
      <c r="M1016" s="12" t="s">
        <v>2974</v>
      </c>
      <c r="N1016" s="12"/>
      <c r="O1016" s="12" t="s">
        <v>2975</v>
      </c>
      <c r="P1016" s="12" t="str">
        <f>HYPERLINK("https://ceds.ed.gov/cedselementdetails.aspx?termid=10531")</f>
        <v>https://ceds.ed.gov/cedselementdetails.aspx?termid=10531</v>
      </c>
      <c r="Q1016" s="12" t="str">
        <f>HYPERLINK("https://ceds.ed.gov/elementComment.aspx?elementName=Financial Expenditure Level of Instruction Code &amp;elementID=10531", "Click here to submit comment")</f>
        <v>Click here to submit comment</v>
      </c>
    </row>
    <row r="1017" spans="1:17" ht="75" x14ac:dyDescent="0.25">
      <c r="A1017" s="18" t="s">
        <v>7242</v>
      </c>
      <c r="B1017" s="18" t="s">
        <v>7255</v>
      </c>
      <c r="C1017" s="18" t="s">
        <v>7192</v>
      </c>
      <c r="D1017" s="18" t="s">
        <v>7172</v>
      </c>
      <c r="E1017" s="18" t="s">
        <v>2980</v>
      </c>
      <c r="F1017" s="18" t="s">
        <v>2981</v>
      </c>
      <c r="G1017" s="18"/>
      <c r="H1017" s="18"/>
      <c r="I1017" s="18" t="s">
        <v>98</v>
      </c>
      <c r="J1017" s="18" t="s">
        <v>157</v>
      </c>
      <c r="K1017" s="18"/>
      <c r="L1017" s="14" t="s">
        <v>2982</v>
      </c>
      <c r="M1017" s="18" t="s">
        <v>2987</v>
      </c>
      <c r="N1017" s="18"/>
      <c r="O1017" s="18" t="s">
        <v>2988</v>
      </c>
      <c r="P1017" s="18" t="str">
        <f>HYPERLINK("https://ceds.ed.gov/cedselementdetails.aspx?termid=10532")</f>
        <v>https://ceds.ed.gov/cedselementdetails.aspx?termid=10532</v>
      </c>
      <c r="Q1017" s="18" t="str">
        <f>HYPERLINK("https://ceds.ed.gov/elementComment.aspx?elementName=Financial Expenditure Project Reporting Code &amp;elementID=10532", "Click here to submit comment")</f>
        <v>Click here to submit comment</v>
      </c>
    </row>
    <row r="1018" spans="1:17" x14ac:dyDescent="0.25">
      <c r="A1018" s="18"/>
      <c r="B1018" s="18"/>
      <c r="C1018" s="18"/>
      <c r="D1018" s="18"/>
      <c r="E1018" s="18"/>
      <c r="F1018" s="18"/>
      <c r="G1018" s="18"/>
      <c r="H1018" s="18"/>
      <c r="I1018" s="18"/>
      <c r="J1018" s="18"/>
      <c r="K1018" s="18"/>
      <c r="L1018" s="12"/>
      <c r="M1018" s="18"/>
      <c r="N1018" s="18"/>
      <c r="O1018" s="18"/>
      <c r="P1018" s="18"/>
      <c r="Q1018" s="18"/>
    </row>
    <row r="1019" spans="1:17" ht="45" x14ac:dyDescent="0.25">
      <c r="A1019" s="18"/>
      <c r="B1019" s="18"/>
      <c r="C1019" s="18"/>
      <c r="D1019" s="18"/>
      <c r="E1019" s="18"/>
      <c r="F1019" s="18"/>
      <c r="G1019" s="18"/>
      <c r="H1019" s="18"/>
      <c r="I1019" s="18"/>
      <c r="J1019" s="18"/>
      <c r="K1019" s="18"/>
      <c r="L1019" s="12" t="s">
        <v>2983</v>
      </c>
      <c r="M1019" s="18"/>
      <c r="N1019" s="18"/>
      <c r="O1019" s="18"/>
      <c r="P1019" s="18"/>
      <c r="Q1019" s="18"/>
    </row>
    <row r="1020" spans="1:17" x14ac:dyDescent="0.25">
      <c r="A1020" s="18"/>
      <c r="B1020" s="18"/>
      <c r="C1020" s="18"/>
      <c r="D1020" s="18"/>
      <c r="E1020" s="18"/>
      <c r="F1020" s="18"/>
      <c r="G1020" s="18"/>
      <c r="H1020" s="18"/>
      <c r="I1020" s="18"/>
      <c r="J1020" s="18"/>
      <c r="K1020" s="18"/>
      <c r="L1020" s="12"/>
      <c r="M1020" s="18"/>
      <c r="N1020" s="18"/>
      <c r="O1020" s="18"/>
      <c r="P1020" s="18"/>
      <c r="Q1020" s="18"/>
    </row>
    <row r="1021" spans="1:17" ht="45" x14ac:dyDescent="0.25">
      <c r="A1021" s="18"/>
      <c r="B1021" s="18"/>
      <c r="C1021" s="18"/>
      <c r="D1021" s="18"/>
      <c r="E1021" s="18"/>
      <c r="F1021" s="18"/>
      <c r="G1021" s="18"/>
      <c r="H1021" s="18"/>
      <c r="I1021" s="18"/>
      <c r="J1021" s="18"/>
      <c r="K1021" s="18"/>
      <c r="L1021" s="12" t="s">
        <v>2984</v>
      </c>
      <c r="M1021" s="18"/>
      <c r="N1021" s="18"/>
      <c r="O1021" s="18"/>
      <c r="P1021" s="18"/>
      <c r="Q1021" s="18"/>
    </row>
    <row r="1022" spans="1:17" x14ac:dyDescent="0.25">
      <c r="A1022" s="18"/>
      <c r="B1022" s="18"/>
      <c r="C1022" s="18"/>
      <c r="D1022" s="18"/>
      <c r="E1022" s="18"/>
      <c r="F1022" s="18"/>
      <c r="G1022" s="18"/>
      <c r="H1022" s="18"/>
      <c r="I1022" s="18"/>
      <c r="J1022" s="18"/>
      <c r="K1022" s="18"/>
      <c r="L1022" s="12"/>
      <c r="M1022" s="18"/>
      <c r="N1022" s="18"/>
      <c r="O1022" s="18"/>
      <c r="P1022" s="18"/>
      <c r="Q1022" s="18"/>
    </row>
    <row r="1023" spans="1:17" ht="60" x14ac:dyDescent="0.25">
      <c r="A1023" s="18"/>
      <c r="B1023" s="18"/>
      <c r="C1023" s="18"/>
      <c r="D1023" s="18"/>
      <c r="E1023" s="18"/>
      <c r="F1023" s="18"/>
      <c r="G1023" s="18"/>
      <c r="H1023" s="18"/>
      <c r="I1023" s="18"/>
      <c r="J1023" s="18"/>
      <c r="K1023" s="18"/>
      <c r="L1023" s="12" t="s">
        <v>2985</v>
      </c>
      <c r="M1023" s="18"/>
      <c r="N1023" s="18"/>
      <c r="O1023" s="18"/>
      <c r="P1023" s="18"/>
      <c r="Q1023" s="18"/>
    </row>
    <row r="1024" spans="1:17" x14ac:dyDescent="0.25">
      <c r="A1024" s="18"/>
      <c r="B1024" s="18"/>
      <c r="C1024" s="18"/>
      <c r="D1024" s="18"/>
      <c r="E1024" s="18"/>
      <c r="F1024" s="18"/>
      <c r="G1024" s="18"/>
      <c r="H1024" s="18"/>
      <c r="I1024" s="18"/>
      <c r="J1024" s="18"/>
      <c r="K1024" s="18"/>
      <c r="L1024" s="12"/>
      <c r="M1024" s="18"/>
      <c r="N1024" s="18"/>
      <c r="O1024" s="18"/>
      <c r="P1024" s="18"/>
      <c r="Q1024" s="18"/>
    </row>
    <row r="1025" spans="1:17" ht="30" x14ac:dyDescent="0.25">
      <c r="A1025" s="18"/>
      <c r="B1025" s="18"/>
      <c r="C1025" s="18"/>
      <c r="D1025" s="18"/>
      <c r="E1025" s="18"/>
      <c r="F1025" s="18"/>
      <c r="G1025" s="18"/>
      <c r="H1025" s="18"/>
      <c r="I1025" s="18"/>
      <c r="J1025" s="18"/>
      <c r="K1025" s="18"/>
      <c r="L1025" s="12" t="s">
        <v>2986</v>
      </c>
      <c r="M1025" s="18"/>
      <c r="N1025" s="18"/>
      <c r="O1025" s="18"/>
      <c r="P1025" s="18"/>
      <c r="Q1025" s="18"/>
    </row>
    <row r="1026" spans="1:17" ht="75" x14ac:dyDescent="0.25">
      <c r="A1026" s="12" t="s">
        <v>7242</v>
      </c>
      <c r="B1026" s="12" t="s">
        <v>7255</v>
      </c>
      <c r="C1026" s="12" t="s">
        <v>7247</v>
      </c>
      <c r="D1026" s="12" t="s">
        <v>7172</v>
      </c>
      <c r="E1026" s="12" t="s">
        <v>217</v>
      </c>
      <c r="F1026" s="12" t="s">
        <v>218</v>
      </c>
      <c r="G1026" s="13" t="s">
        <v>6729</v>
      </c>
      <c r="H1026" s="12" t="s">
        <v>222</v>
      </c>
      <c r="I1026" s="12"/>
      <c r="J1026" s="12"/>
      <c r="K1026" s="12"/>
      <c r="L1026" s="12"/>
      <c r="M1026" s="12" t="s">
        <v>219</v>
      </c>
      <c r="N1026" s="12" t="s">
        <v>220</v>
      </c>
      <c r="O1026" s="12" t="s">
        <v>221</v>
      </c>
      <c r="P1026" s="12" t="str">
        <f>HYPERLINK("https://ceds.ed.gov/cedselementdetails.aspx?termid=9011")</f>
        <v>https://ceds.ed.gov/cedselementdetails.aspx?termid=9011</v>
      </c>
      <c r="Q1026" s="12" t="str">
        <f>HYPERLINK("https://ceds.ed.gov/elementComment.aspx?elementName=Adequate Yearly Progress Status &amp;elementID=9011", "Click here to submit comment")</f>
        <v>Click here to submit comment</v>
      </c>
    </row>
    <row r="1027" spans="1:17" ht="90" x14ac:dyDescent="0.25">
      <c r="A1027" s="12" t="s">
        <v>7242</v>
      </c>
      <c r="B1027" s="12" t="s">
        <v>7255</v>
      </c>
      <c r="C1027" s="12" t="s">
        <v>7247</v>
      </c>
      <c r="D1027" s="12" t="s">
        <v>7172</v>
      </c>
      <c r="E1027" s="12" t="s">
        <v>372</v>
      </c>
      <c r="F1027" s="12" t="s">
        <v>373</v>
      </c>
      <c r="G1027" s="13" t="s">
        <v>6750</v>
      </c>
      <c r="H1027" s="12" t="s">
        <v>222</v>
      </c>
      <c r="I1027" s="12"/>
      <c r="J1027" s="12"/>
      <c r="K1027" s="12"/>
      <c r="L1027" s="12"/>
      <c r="M1027" s="12" t="s">
        <v>374</v>
      </c>
      <c r="N1027" s="12" t="s">
        <v>375</v>
      </c>
      <c r="O1027" s="12" t="s">
        <v>376</v>
      </c>
      <c r="P1027" s="12" t="str">
        <f>HYPERLINK("https://ceds.ed.gov/cedselementdetails.aspx?termid=9572")</f>
        <v>https://ceds.ed.gov/cedselementdetails.aspx?termid=9572</v>
      </c>
      <c r="Q1027" s="12" t="str">
        <f>HYPERLINK("https://ceds.ed.gov/elementComment.aspx?elementName=Annual Measurable Achievement Objective AYP Progress Attainment Status for LEP Students &amp;elementID=9572", "Click here to submit comment")</f>
        <v>Click here to submit comment</v>
      </c>
    </row>
    <row r="1028" spans="1:17" ht="105" x14ac:dyDescent="0.25">
      <c r="A1028" s="12" t="s">
        <v>7242</v>
      </c>
      <c r="B1028" s="12" t="s">
        <v>7255</v>
      </c>
      <c r="C1028" s="12" t="s">
        <v>7247</v>
      </c>
      <c r="D1028" s="12" t="s">
        <v>7172</v>
      </c>
      <c r="E1028" s="12" t="s">
        <v>377</v>
      </c>
      <c r="F1028" s="12" t="s">
        <v>378</v>
      </c>
      <c r="G1028" s="13" t="s">
        <v>6750</v>
      </c>
      <c r="H1028" s="12" t="s">
        <v>222</v>
      </c>
      <c r="I1028" s="12"/>
      <c r="J1028" s="12"/>
      <c r="K1028" s="12"/>
      <c r="L1028" s="12"/>
      <c r="M1028" s="12" t="s">
        <v>379</v>
      </c>
      <c r="N1028" s="12" t="s">
        <v>380</v>
      </c>
      <c r="O1028" s="12" t="s">
        <v>381</v>
      </c>
      <c r="P1028" s="12" t="str">
        <f>HYPERLINK("https://ceds.ed.gov/cedselementdetails.aspx?termid=9535")</f>
        <v>https://ceds.ed.gov/cedselementdetails.aspx?termid=9535</v>
      </c>
      <c r="Q1028" s="12" t="str">
        <f>HYPERLINK("https://ceds.ed.gov/elementComment.aspx?elementName=Annual Measurable Achievement Objective Proficiency Attainment Status for LEP Students &amp;elementID=9535", "Click here to submit comment")</f>
        <v>Click here to submit comment</v>
      </c>
    </row>
    <row r="1029" spans="1:17" ht="105" x14ac:dyDescent="0.25">
      <c r="A1029" s="12" t="s">
        <v>7242</v>
      </c>
      <c r="B1029" s="12" t="s">
        <v>7255</v>
      </c>
      <c r="C1029" s="12" t="s">
        <v>7247</v>
      </c>
      <c r="D1029" s="12" t="s">
        <v>7172</v>
      </c>
      <c r="E1029" s="12" t="s">
        <v>382</v>
      </c>
      <c r="F1029" s="12" t="s">
        <v>383</v>
      </c>
      <c r="G1029" s="13" t="s">
        <v>6750</v>
      </c>
      <c r="H1029" s="12" t="s">
        <v>222</v>
      </c>
      <c r="I1029" s="12"/>
      <c r="J1029" s="12"/>
      <c r="K1029" s="12"/>
      <c r="L1029" s="12"/>
      <c r="M1029" s="12" t="s">
        <v>384</v>
      </c>
      <c r="N1029" s="12" t="s">
        <v>385</v>
      </c>
      <c r="O1029" s="12" t="s">
        <v>386</v>
      </c>
      <c r="P1029" s="12" t="str">
        <f>HYPERLINK("https://ceds.ed.gov/cedselementdetails.aspx?termid=9545")</f>
        <v>https://ceds.ed.gov/cedselementdetails.aspx?termid=9545</v>
      </c>
      <c r="Q1029" s="12" t="str">
        <f>HYPERLINK("https://ceds.ed.gov/elementComment.aspx?elementName=Annual Measurable Achievement Objective Progress Attainment Status for LEP Students &amp;elementID=9545", "Click here to submit comment")</f>
        <v>Click here to submit comment</v>
      </c>
    </row>
    <row r="1030" spans="1:17" ht="75" x14ac:dyDescent="0.25">
      <c r="A1030" s="12" t="s">
        <v>7242</v>
      </c>
      <c r="B1030" s="12" t="s">
        <v>7255</v>
      </c>
      <c r="C1030" s="12" t="s">
        <v>7247</v>
      </c>
      <c r="D1030" s="12" t="s">
        <v>7172</v>
      </c>
      <c r="E1030" s="12" t="s">
        <v>1649</v>
      </c>
      <c r="F1030" s="12" t="s">
        <v>1650</v>
      </c>
      <c r="G1030" s="13" t="s">
        <v>6806</v>
      </c>
      <c r="H1030" s="12" t="s">
        <v>222</v>
      </c>
      <c r="I1030" s="12"/>
      <c r="J1030" s="12"/>
      <c r="K1030" s="12"/>
      <c r="L1030" s="12"/>
      <c r="M1030" s="12" t="s">
        <v>1652</v>
      </c>
      <c r="N1030" s="12" t="s">
        <v>1653</v>
      </c>
      <c r="O1030" s="12" t="s">
        <v>1654</v>
      </c>
      <c r="P1030" s="12" t="str">
        <f>HYPERLINK("https://ceds.ed.gov/cedselementdetails.aspx?termid=9075")</f>
        <v>https://ceds.ed.gov/cedselementdetails.aspx?termid=9075</v>
      </c>
      <c r="Q1030" s="12" t="str">
        <f>HYPERLINK("https://ceds.ed.gov/elementComment.aspx?elementName=Career and Technical Education Graduation Rate Inclusion &amp;elementID=9075", "Click here to submit comment")</f>
        <v>Click here to submit comment</v>
      </c>
    </row>
    <row r="1031" spans="1:17" ht="45" x14ac:dyDescent="0.25">
      <c r="A1031" s="12" t="s">
        <v>7242</v>
      </c>
      <c r="B1031" s="12" t="s">
        <v>7255</v>
      </c>
      <c r="C1031" s="12" t="s">
        <v>7247</v>
      </c>
      <c r="D1031" s="12" t="s">
        <v>7172</v>
      </c>
      <c r="E1031" s="12" t="s">
        <v>5622</v>
      </c>
      <c r="F1031" s="12" t="s">
        <v>5623</v>
      </c>
      <c r="G1031" s="12" t="s">
        <v>12</v>
      </c>
      <c r="H1031" s="12" t="s">
        <v>1907</v>
      </c>
      <c r="I1031" s="12"/>
      <c r="J1031" s="12" t="s">
        <v>1861</v>
      </c>
      <c r="K1031" s="12"/>
      <c r="L1031" s="12" t="s">
        <v>5624</v>
      </c>
      <c r="M1031" s="12" t="s">
        <v>5625</v>
      </c>
      <c r="N1031" s="12"/>
      <c r="O1031" s="12" t="s">
        <v>5626</v>
      </c>
      <c r="P1031" s="12" t="str">
        <f>HYPERLINK("https://ceds.ed.gov/cedselementdetails.aspx?termid=9243")</f>
        <v>https://ceds.ed.gov/cedselementdetails.aspx?termid=9243</v>
      </c>
      <c r="Q1031" s="12" t="str">
        <f>HYPERLINK("https://ceds.ed.gov/elementComment.aspx?elementName=School Year &amp;elementID=9243", "Click here to submit comment")</f>
        <v>Click here to submit comment</v>
      </c>
    </row>
    <row r="1032" spans="1:17" ht="75" x14ac:dyDescent="0.25">
      <c r="A1032" s="12" t="s">
        <v>7242</v>
      </c>
      <c r="B1032" s="12" t="s">
        <v>7255</v>
      </c>
      <c r="C1032" s="12" t="s">
        <v>7248</v>
      </c>
      <c r="D1032" s="12" t="s">
        <v>7172</v>
      </c>
      <c r="E1032" s="12" t="s">
        <v>2842</v>
      </c>
      <c r="F1032" s="12" t="s">
        <v>2843</v>
      </c>
      <c r="G1032" s="12" t="s">
        <v>12</v>
      </c>
      <c r="H1032" s="12" t="s">
        <v>222</v>
      </c>
      <c r="I1032" s="12"/>
      <c r="J1032" s="12"/>
      <c r="K1032" s="12"/>
      <c r="L1032" s="12"/>
      <c r="M1032" s="12" t="s">
        <v>2844</v>
      </c>
      <c r="N1032" s="12"/>
      <c r="O1032" s="12" t="s">
        <v>2845</v>
      </c>
      <c r="P1032" s="12" t="str">
        <f>HYPERLINK("https://ceds.ed.gov/cedselementdetails.aspx?termid=9538")</f>
        <v>https://ceds.ed.gov/cedselementdetails.aspx?termid=9538</v>
      </c>
      <c r="Q1032" s="12" t="str">
        <f>HYPERLINK("https://ceds.ed.gov/elementComment.aspx?elementName=Federal Program Code &amp;elementID=9538", "Click here to submit comment")</f>
        <v>Click here to submit comment</v>
      </c>
    </row>
    <row r="1033" spans="1:17" ht="135" x14ac:dyDescent="0.25">
      <c r="A1033" s="12" t="s">
        <v>7242</v>
      </c>
      <c r="B1033" s="12" t="s">
        <v>7255</v>
      </c>
      <c r="C1033" s="12" t="s">
        <v>7248</v>
      </c>
      <c r="D1033" s="12" t="s">
        <v>7172</v>
      </c>
      <c r="E1033" s="12" t="s">
        <v>2846</v>
      </c>
      <c r="F1033" s="12" t="s">
        <v>2847</v>
      </c>
      <c r="G1033" s="12" t="s">
        <v>12</v>
      </c>
      <c r="H1033" s="12" t="s">
        <v>222</v>
      </c>
      <c r="I1033" s="12"/>
      <c r="J1033" s="12" t="s">
        <v>1554</v>
      </c>
      <c r="K1033" s="12"/>
      <c r="L1033" s="12"/>
      <c r="M1033" s="12" t="s">
        <v>2848</v>
      </c>
      <c r="N1033" s="12"/>
      <c r="O1033" s="12" t="s">
        <v>2849</v>
      </c>
      <c r="P1033" s="12" t="str">
        <f>HYPERLINK("https://ceds.ed.gov/cedselementdetails.aspx?termid=9540")</f>
        <v>https://ceds.ed.gov/cedselementdetails.aspx?termid=9540</v>
      </c>
      <c r="Q1033" s="12" t="str">
        <f>HYPERLINK("https://ceds.ed.gov/elementComment.aspx?elementName=Federal Programs Funding Allocation &amp;elementID=9540", "Click here to submit comment")</f>
        <v>Click here to submit comment</v>
      </c>
    </row>
    <row r="1034" spans="1:17" ht="135" x14ac:dyDescent="0.25">
      <c r="A1034" s="12" t="s">
        <v>7242</v>
      </c>
      <c r="B1034" s="12" t="s">
        <v>7255</v>
      </c>
      <c r="C1034" s="12" t="s">
        <v>7248</v>
      </c>
      <c r="D1034" s="12" t="s">
        <v>7172</v>
      </c>
      <c r="E1034" s="12" t="s">
        <v>2850</v>
      </c>
      <c r="F1034" s="12" t="s">
        <v>2851</v>
      </c>
      <c r="G1034" s="13" t="s">
        <v>6917</v>
      </c>
      <c r="H1034" s="12"/>
      <c r="I1034" s="12"/>
      <c r="J1034" s="12"/>
      <c r="K1034" s="12"/>
      <c r="L1034" s="12"/>
      <c r="M1034" s="12" t="s">
        <v>2852</v>
      </c>
      <c r="N1034" s="12"/>
      <c r="O1034" s="12" t="s">
        <v>2853</v>
      </c>
      <c r="P1034" s="12" t="str">
        <f>HYPERLINK("https://ceds.ed.gov/cedselementdetails.aspx?termid=9539")</f>
        <v>https://ceds.ed.gov/cedselementdetails.aspx?termid=9539</v>
      </c>
      <c r="Q1034" s="12" t="str">
        <f>HYPERLINK("https://ceds.ed.gov/elementComment.aspx?elementName=Federal Programs Funding Allocation Type &amp;elementID=9539", "Click here to submit comment")</f>
        <v>Click here to submit comment</v>
      </c>
    </row>
    <row r="1035" spans="1:17" ht="45" x14ac:dyDescent="0.25">
      <c r="A1035" s="12" t="s">
        <v>7242</v>
      </c>
      <c r="B1035" s="12" t="s">
        <v>7255</v>
      </c>
      <c r="C1035" s="12" t="s">
        <v>7248</v>
      </c>
      <c r="D1035" s="12" t="s">
        <v>7172</v>
      </c>
      <c r="E1035" s="12" t="s">
        <v>5951</v>
      </c>
      <c r="F1035" s="12" t="s">
        <v>5952</v>
      </c>
      <c r="G1035" s="12" t="s">
        <v>6364</v>
      </c>
      <c r="H1035" s="12" t="s">
        <v>211</v>
      </c>
      <c r="I1035" s="12"/>
      <c r="J1035" s="12"/>
      <c r="K1035" s="12"/>
      <c r="L1035" s="12"/>
      <c r="M1035" s="12" t="s">
        <v>5953</v>
      </c>
      <c r="N1035" s="12"/>
      <c r="O1035" s="12" t="s">
        <v>5954</v>
      </c>
      <c r="P1035" s="12" t="str">
        <f>HYPERLINK("https://ceds.ed.gov/cedselementdetails.aspx?termid=9435")</f>
        <v>https://ceds.ed.gov/cedselementdetails.aspx?termid=9435</v>
      </c>
      <c r="Q1035" s="12" t="str">
        <f>HYPERLINK("https://ceds.ed.gov/elementComment.aspx?elementName=State Transferability of Funds &amp;elementID=9435", "Click here to submit comment")</f>
        <v>Click here to submit comment</v>
      </c>
    </row>
    <row r="1036" spans="1:17" ht="45" x14ac:dyDescent="0.25">
      <c r="A1036" s="12" t="s">
        <v>7242</v>
      </c>
      <c r="B1036" s="12" t="s">
        <v>7255</v>
      </c>
      <c r="C1036" s="12" t="s">
        <v>7248</v>
      </c>
      <c r="D1036" s="12" t="s">
        <v>7172</v>
      </c>
      <c r="E1036" s="12" t="s">
        <v>2235</v>
      </c>
      <c r="F1036" s="12" t="s">
        <v>2236</v>
      </c>
      <c r="G1036" s="12" t="s">
        <v>12</v>
      </c>
      <c r="H1036" s="12" t="s">
        <v>211</v>
      </c>
      <c r="I1036" s="12"/>
      <c r="J1036" s="12" t="s">
        <v>73</v>
      </c>
      <c r="K1036" s="12"/>
      <c r="L1036" s="12"/>
      <c r="M1036" s="12" t="s">
        <v>2238</v>
      </c>
      <c r="N1036" s="12"/>
      <c r="O1036" s="12" t="s">
        <v>2239</v>
      </c>
      <c r="P1036" s="12" t="str">
        <f>HYPERLINK("https://ceds.ed.gov/cedselementdetails.aspx?termid=9445")</f>
        <v>https://ceds.ed.gov/cedselementdetails.aspx?termid=9445</v>
      </c>
      <c r="Q1036" s="12" t="str">
        <f>HYPERLINK("https://ceds.ed.gov/elementComment.aspx?elementName=Date State Received Title III Allocation &amp;elementID=9445", "Click here to submit comment")</f>
        <v>Click here to submit comment</v>
      </c>
    </row>
    <row r="1037" spans="1:17" ht="30" x14ac:dyDescent="0.25">
      <c r="A1037" s="12" t="s">
        <v>7242</v>
      </c>
      <c r="B1037" s="12" t="s">
        <v>7255</v>
      </c>
      <c r="C1037" s="12" t="s">
        <v>7248</v>
      </c>
      <c r="D1037" s="12" t="s">
        <v>7172</v>
      </c>
      <c r="E1037" s="12" t="s">
        <v>2240</v>
      </c>
      <c r="F1037" s="12" t="s">
        <v>2241</v>
      </c>
      <c r="G1037" s="12" t="s">
        <v>12</v>
      </c>
      <c r="H1037" s="12" t="s">
        <v>211</v>
      </c>
      <c r="I1037" s="12"/>
      <c r="J1037" s="12" t="s">
        <v>73</v>
      </c>
      <c r="K1037" s="12"/>
      <c r="L1037" s="12"/>
      <c r="M1037" s="12" t="s">
        <v>2242</v>
      </c>
      <c r="N1037" s="12"/>
      <c r="O1037" s="12" t="s">
        <v>2243</v>
      </c>
      <c r="P1037" s="12" t="str">
        <f>HYPERLINK("https://ceds.ed.gov/cedselementdetails.aspx?termid=9446")</f>
        <v>https://ceds.ed.gov/cedselementdetails.aspx?termid=9446</v>
      </c>
      <c r="Q1037" s="12" t="str">
        <f>HYPERLINK("https://ceds.ed.gov/elementComment.aspx?elementName=Date Title III Funds Available to Subgrantees &amp;elementID=9446", "Click here to submit comment")</f>
        <v>Click here to submit comment</v>
      </c>
    </row>
    <row r="1038" spans="1:17" ht="90" x14ac:dyDescent="0.25">
      <c r="A1038" s="12" t="s">
        <v>7242</v>
      </c>
      <c r="B1038" s="12" t="s">
        <v>7255</v>
      </c>
      <c r="C1038" s="12" t="s">
        <v>7248</v>
      </c>
      <c r="D1038" s="12" t="s">
        <v>7172</v>
      </c>
      <c r="E1038" s="12" t="s">
        <v>4596</v>
      </c>
      <c r="F1038" s="12" t="s">
        <v>4597</v>
      </c>
      <c r="G1038" s="12" t="s">
        <v>12</v>
      </c>
      <c r="H1038" s="12" t="s">
        <v>211</v>
      </c>
      <c r="I1038" s="12"/>
      <c r="J1038" s="12" t="s">
        <v>1554</v>
      </c>
      <c r="K1038" s="12"/>
      <c r="L1038" s="12"/>
      <c r="M1038" s="12" t="s">
        <v>4598</v>
      </c>
      <c r="N1038" s="12"/>
      <c r="O1038" s="12" t="s">
        <v>4599</v>
      </c>
      <c r="P1038" s="12" t="str">
        <f>HYPERLINK("https://ceds.ed.gov/cedselementdetails.aspx?termid=9447")</f>
        <v>https://ceds.ed.gov/cedselementdetails.aspx?termid=9447</v>
      </c>
      <c r="Q1038" s="12" t="str">
        <f>HYPERLINK("https://ceds.ed.gov/elementComment.aspx?elementName=Number of Days for Title III Subgrants &amp;elementID=9447", "Click here to submit comment")</f>
        <v>Click here to submit comment</v>
      </c>
    </row>
    <row r="1039" spans="1:17" ht="345" x14ac:dyDescent="0.25">
      <c r="A1039" s="12" t="s">
        <v>7242</v>
      </c>
      <c r="B1039" s="12" t="s">
        <v>7255</v>
      </c>
      <c r="C1039" s="12" t="s">
        <v>7248</v>
      </c>
      <c r="D1039" s="12" t="s">
        <v>7172</v>
      </c>
      <c r="E1039" s="12" t="s">
        <v>6276</v>
      </c>
      <c r="F1039" s="12" t="s">
        <v>6277</v>
      </c>
      <c r="G1039" s="13" t="s">
        <v>7151</v>
      </c>
      <c r="H1039" s="12" t="s">
        <v>211</v>
      </c>
      <c r="I1039" s="12"/>
      <c r="J1039" s="12"/>
      <c r="K1039" s="12"/>
      <c r="L1039" s="12"/>
      <c r="M1039" s="12" t="s">
        <v>6278</v>
      </c>
      <c r="N1039" s="12"/>
      <c r="O1039" s="12" t="s">
        <v>6279</v>
      </c>
      <c r="P1039" s="12" t="str">
        <f>HYPERLINK("https://ceds.ed.gov/cedselementdetails.aspx?termid=9449")</f>
        <v>https://ceds.ed.gov/cedselementdetails.aspx?termid=9449</v>
      </c>
      <c r="Q1039" s="12" t="str">
        <f>HYPERLINK("https://ceds.ed.gov/elementComment.aspx?elementName=Uses of Funds for Purposes other than Standards and Assessment Development &amp;elementID=9449", "Click here to submit comment")</f>
        <v>Click here to submit comment</v>
      </c>
    </row>
    <row r="1040" spans="1:17" ht="195" x14ac:dyDescent="0.25">
      <c r="A1040" s="12" t="s">
        <v>7242</v>
      </c>
      <c r="B1040" s="12" t="s">
        <v>7256</v>
      </c>
      <c r="C1040" s="12" t="s">
        <v>7171</v>
      </c>
      <c r="D1040" s="12" t="s">
        <v>7172</v>
      </c>
      <c r="E1040" s="12" t="s">
        <v>3017</v>
      </c>
      <c r="F1040" s="12" t="s">
        <v>3018</v>
      </c>
      <c r="G1040" s="12" t="s">
        <v>12</v>
      </c>
      <c r="H1040" s="12" t="s">
        <v>6540</v>
      </c>
      <c r="I1040" s="12"/>
      <c r="J1040" s="12" t="s">
        <v>1349</v>
      </c>
      <c r="K1040" s="12"/>
      <c r="L1040" s="12" t="s">
        <v>3019</v>
      </c>
      <c r="M1040" s="12" t="s">
        <v>3020</v>
      </c>
      <c r="N1040" s="12"/>
      <c r="O1040" s="12" t="s">
        <v>3021</v>
      </c>
      <c r="P1040" s="12" t="str">
        <f>HYPERLINK("https://ceds.ed.gov/cedselementdetails.aspx?termid=9115")</f>
        <v>https://ceds.ed.gov/cedselementdetails.aspx?termid=9115</v>
      </c>
      <c r="Q1040" s="12" t="str">
        <f>HYPERLINK("https://ceds.ed.gov/elementComment.aspx?elementName=First Name &amp;elementID=9115", "Click here to submit comment")</f>
        <v>Click here to submit comment</v>
      </c>
    </row>
    <row r="1041" spans="1:17" x14ac:dyDescent="0.25">
      <c r="A1041" s="18" t="s">
        <v>7242</v>
      </c>
      <c r="B1041" s="18" t="s">
        <v>7256</v>
      </c>
      <c r="C1041" s="18" t="s">
        <v>7171</v>
      </c>
      <c r="D1041" s="18" t="s">
        <v>7172</v>
      </c>
      <c r="E1041" s="18" t="s">
        <v>4405</v>
      </c>
      <c r="F1041" s="18" t="s">
        <v>4406</v>
      </c>
      <c r="G1041" s="18" t="s">
        <v>12</v>
      </c>
      <c r="H1041" s="18" t="s">
        <v>6540</v>
      </c>
      <c r="I1041" s="18"/>
      <c r="J1041" s="18" t="s">
        <v>1349</v>
      </c>
      <c r="K1041" s="18"/>
      <c r="L1041" s="12" t="s">
        <v>3078</v>
      </c>
      <c r="M1041" s="18" t="s">
        <v>4407</v>
      </c>
      <c r="N1041" s="18"/>
      <c r="O1041" s="18" t="s">
        <v>4408</v>
      </c>
      <c r="P1041" s="18" t="str">
        <f>HYPERLINK("https://ceds.ed.gov/cedselementdetails.aspx?termid=9184")</f>
        <v>https://ceds.ed.gov/cedselementdetails.aspx?termid=9184</v>
      </c>
      <c r="Q1041" s="18" t="str">
        <f>HYPERLINK("https://ceds.ed.gov/elementComment.aspx?elementName=Middle Name &amp;elementID=9184", "Click here to submit comment")</f>
        <v>Click here to submit comment</v>
      </c>
    </row>
    <row r="1042" spans="1:17" ht="90" x14ac:dyDescent="0.25">
      <c r="A1042" s="18"/>
      <c r="B1042" s="18"/>
      <c r="C1042" s="18"/>
      <c r="D1042" s="18"/>
      <c r="E1042" s="18"/>
      <c r="F1042" s="18"/>
      <c r="G1042" s="18"/>
      <c r="H1042" s="18"/>
      <c r="I1042" s="18"/>
      <c r="J1042" s="18"/>
      <c r="K1042" s="18"/>
      <c r="L1042" s="12" t="s">
        <v>3079</v>
      </c>
      <c r="M1042" s="18"/>
      <c r="N1042" s="18"/>
      <c r="O1042" s="18"/>
      <c r="P1042" s="18"/>
      <c r="Q1042" s="18"/>
    </row>
    <row r="1043" spans="1:17" x14ac:dyDescent="0.25">
      <c r="A1043" s="18" t="s">
        <v>7242</v>
      </c>
      <c r="B1043" s="18" t="s">
        <v>7256</v>
      </c>
      <c r="C1043" s="18" t="s">
        <v>7171</v>
      </c>
      <c r="D1043" s="18" t="s">
        <v>7172</v>
      </c>
      <c r="E1043" s="18" t="s">
        <v>3684</v>
      </c>
      <c r="F1043" s="18" t="s">
        <v>3685</v>
      </c>
      <c r="G1043" s="18" t="s">
        <v>12</v>
      </c>
      <c r="H1043" s="18" t="s">
        <v>6540</v>
      </c>
      <c r="I1043" s="18"/>
      <c r="J1043" s="18" t="s">
        <v>1349</v>
      </c>
      <c r="K1043" s="18"/>
      <c r="L1043" s="12" t="s">
        <v>3078</v>
      </c>
      <c r="M1043" s="18" t="s">
        <v>3686</v>
      </c>
      <c r="N1043" s="18" t="s">
        <v>3687</v>
      </c>
      <c r="O1043" s="18" t="s">
        <v>3688</v>
      </c>
      <c r="P1043" s="18" t="str">
        <f>HYPERLINK("https://ceds.ed.gov/cedselementdetails.aspx?termid=9172")</f>
        <v>https://ceds.ed.gov/cedselementdetails.aspx?termid=9172</v>
      </c>
      <c r="Q1043" s="18" t="str">
        <f>HYPERLINK("https://ceds.ed.gov/elementComment.aspx?elementName=Last or Surname &amp;elementID=9172", "Click here to submit comment")</f>
        <v>Click here to submit comment</v>
      </c>
    </row>
    <row r="1044" spans="1:17" ht="90" x14ac:dyDescent="0.25">
      <c r="A1044" s="18"/>
      <c r="B1044" s="18"/>
      <c r="C1044" s="18"/>
      <c r="D1044" s="18"/>
      <c r="E1044" s="18"/>
      <c r="F1044" s="18"/>
      <c r="G1044" s="18"/>
      <c r="H1044" s="18"/>
      <c r="I1044" s="18"/>
      <c r="J1044" s="18"/>
      <c r="K1044" s="18"/>
      <c r="L1044" s="12" t="s">
        <v>3079</v>
      </c>
      <c r="M1044" s="18"/>
      <c r="N1044" s="18"/>
      <c r="O1044" s="18"/>
      <c r="P1044" s="18"/>
      <c r="Q1044" s="18"/>
    </row>
    <row r="1045" spans="1:17" x14ac:dyDescent="0.25">
      <c r="A1045" s="18" t="s">
        <v>7242</v>
      </c>
      <c r="B1045" s="18" t="s">
        <v>7256</v>
      </c>
      <c r="C1045" s="18" t="s">
        <v>7171</v>
      </c>
      <c r="D1045" s="18" t="s">
        <v>7172</v>
      </c>
      <c r="E1045" s="18" t="s">
        <v>3076</v>
      </c>
      <c r="F1045" s="18" t="s">
        <v>3077</v>
      </c>
      <c r="G1045" s="18" t="s">
        <v>12</v>
      </c>
      <c r="H1045" s="18" t="s">
        <v>6543</v>
      </c>
      <c r="I1045" s="18"/>
      <c r="J1045" s="18" t="s">
        <v>2143</v>
      </c>
      <c r="K1045" s="18"/>
      <c r="L1045" s="12" t="s">
        <v>3078</v>
      </c>
      <c r="M1045" s="18" t="s">
        <v>3080</v>
      </c>
      <c r="N1045" s="18"/>
      <c r="O1045" s="18" t="s">
        <v>3081</v>
      </c>
      <c r="P1045" s="18" t="str">
        <f>HYPERLINK("https://ceds.ed.gov/cedselementdetails.aspx?termid=9121")</f>
        <v>https://ceds.ed.gov/cedselementdetails.aspx?termid=9121</v>
      </c>
      <c r="Q1045" s="18" t="str">
        <f>HYPERLINK("https://ceds.ed.gov/elementComment.aspx?elementName=Generation Code or Suffix &amp;elementID=9121", "Click here to submit comment")</f>
        <v>Click here to submit comment</v>
      </c>
    </row>
    <row r="1046" spans="1:17" ht="90" x14ac:dyDescent="0.25">
      <c r="A1046" s="18"/>
      <c r="B1046" s="18"/>
      <c r="C1046" s="18"/>
      <c r="D1046" s="18"/>
      <c r="E1046" s="18"/>
      <c r="F1046" s="18"/>
      <c r="G1046" s="18"/>
      <c r="H1046" s="18"/>
      <c r="I1046" s="18"/>
      <c r="J1046" s="18"/>
      <c r="K1046" s="18"/>
      <c r="L1046" s="12" t="s">
        <v>3079</v>
      </c>
      <c r="M1046" s="18"/>
      <c r="N1046" s="18"/>
      <c r="O1046" s="18"/>
      <c r="P1046" s="18"/>
      <c r="Q1046" s="18"/>
    </row>
    <row r="1047" spans="1:17" ht="105" x14ac:dyDescent="0.25">
      <c r="A1047" s="12" t="s">
        <v>7242</v>
      </c>
      <c r="B1047" s="12" t="s">
        <v>7256</v>
      </c>
      <c r="C1047" s="12" t="s">
        <v>7171</v>
      </c>
      <c r="D1047" s="12" t="s">
        <v>7172</v>
      </c>
      <c r="E1047" s="12" t="s">
        <v>4835</v>
      </c>
      <c r="F1047" s="12" t="s">
        <v>4836</v>
      </c>
      <c r="G1047" s="12" t="s">
        <v>12</v>
      </c>
      <c r="H1047" s="12" t="s">
        <v>6627</v>
      </c>
      <c r="I1047" s="12"/>
      <c r="J1047" s="12" t="s">
        <v>92</v>
      </c>
      <c r="K1047" s="12"/>
      <c r="L1047" s="12"/>
      <c r="M1047" s="12" t="s">
        <v>4837</v>
      </c>
      <c r="N1047" s="12" t="s">
        <v>4838</v>
      </c>
      <c r="O1047" s="12" t="s">
        <v>4839</v>
      </c>
      <c r="P1047" s="12" t="str">
        <f>HYPERLINK("https://ceds.ed.gov/cedselementdetails.aspx?termid=9212")</f>
        <v>https://ceds.ed.gov/cedselementdetails.aspx?termid=9212</v>
      </c>
      <c r="Q1047" s="12" t="str">
        <f>HYPERLINK("https://ceds.ed.gov/elementComment.aspx?elementName=Personal Title or Prefix &amp;elementID=9212", "Click here to submit comment")</f>
        <v>Click here to submit comment</v>
      </c>
    </row>
    <row r="1048" spans="1:17" ht="30" x14ac:dyDescent="0.25">
      <c r="A1048" s="12" t="s">
        <v>7242</v>
      </c>
      <c r="B1048" s="12" t="s">
        <v>7256</v>
      </c>
      <c r="C1048" s="12" t="s">
        <v>7173</v>
      </c>
      <c r="D1048" s="12" t="s">
        <v>7172</v>
      </c>
      <c r="E1048" s="12" t="s">
        <v>4705</v>
      </c>
      <c r="F1048" s="12" t="s">
        <v>4706</v>
      </c>
      <c r="G1048" s="12" t="s">
        <v>12</v>
      </c>
      <c r="H1048" s="12"/>
      <c r="I1048" s="12"/>
      <c r="J1048" s="12" t="s">
        <v>1349</v>
      </c>
      <c r="K1048" s="12"/>
      <c r="L1048" s="12" t="s">
        <v>4707</v>
      </c>
      <c r="M1048" s="12" t="s">
        <v>4708</v>
      </c>
      <c r="N1048" s="12"/>
      <c r="O1048" s="12" t="s">
        <v>4709</v>
      </c>
      <c r="P1048" s="12" t="str">
        <f>HYPERLINK("https://ceds.ed.gov/cedselementdetails.aspx?termid=10486")</f>
        <v>https://ceds.ed.gov/cedselementdetails.aspx?termid=10486</v>
      </c>
      <c r="Q1048" s="12" t="str">
        <f>HYPERLINK("https://ceds.ed.gov/elementComment.aspx?elementName=Other First Name &amp;elementID=10486", "Click here to submit comment")</f>
        <v>Click here to submit comment</v>
      </c>
    </row>
    <row r="1049" spans="1:17" ht="30" x14ac:dyDescent="0.25">
      <c r="A1049" s="12" t="s">
        <v>7242</v>
      </c>
      <c r="B1049" s="12" t="s">
        <v>7256</v>
      </c>
      <c r="C1049" s="12" t="s">
        <v>7173</v>
      </c>
      <c r="D1049" s="12" t="s">
        <v>7172</v>
      </c>
      <c r="E1049" s="12" t="s">
        <v>4710</v>
      </c>
      <c r="F1049" s="12" t="s">
        <v>4711</v>
      </c>
      <c r="G1049" s="12" t="s">
        <v>12</v>
      </c>
      <c r="H1049" s="12"/>
      <c r="I1049" s="12"/>
      <c r="J1049" s="12" t="s">
        <v>1349</v>
      </c>
      <c r="K1049" s="12"/>
      <c r="L1049" s="12" t="s">
        <v>4712</v>
      </c>
      <c r="M1049" s="12" t="s">
        <v>4713</v>
      </c>
      <c r="N1049" s="12"/>
      <c r="O1049" s="12" t="s">
        <v>4714</v>
      </c>
      <c r="P1049" s="12" t="str">
        <f>HYPERLINK("https://ceds.ed.gov/cedselementdetails.aspx?termid=10485")</f>
        <v>https://ceds.ed.gov/cedselementdetails.aspx?termid=10485</v>
      </c>
      <c r="Q1049" s="12" t="str">
        <f>HYPERLINK("https://ceds.ed.gov/elementComment.aspx?elementName=Other Last Name &amp;elementID=10485", "Click here to submit comment")</f>
        <v>Click here to submit comment</v>
      </c>
    </row>
    <row r="1050" spans="1:17" ht="30" x14ac:dyDescent="0.25">
      <c r="A1050" s="12" t="s">
        <v>7242</v>
      </c>
      <c r="B1050" s="12" t="s">
        <v>7256</v>
      </c>
      <c r="C1050" s="12" t="s">
        <v>7173</v>
      </c>
      <c r="D1050" s="12" t="s">
        <v>7172</v>
      </c>
      <c r="E1050" s="12" t="s">
        <v>4715</v>
      </c>
      <c r="F1050" s="12" t="s">
        <v>4716</v>
      </c>
      <c r="G1050" s="12" t="s">
        <v>12</v>
      </c>
      <c r="H1050" s="12"/>
      <c r="I1050" s="12"/>
      <c r="J1050" s="12" t="s">
        <v>1349</v>
      </c>
      <c r="K1050" s="12"/>
      <c r="L1050" s="12" t="s">
        <v>4717</v>
      </c>
      <c r="M1050" s="12" t="s">
        <v>4718</v>
      </c>
      <c r="N1050" s="12"/>
      <c r="O1050" s="12" t="s">
        <v>4719</v>
      </c>
      <c r="P1050" s="12" t="str">
        <f>HYPERLINK("https://ceds.ed.gov/cedselementdetails.aspx?termid=10487")</f>
        <v>https://ceds.ed.gov/cedselementdetails.aspx?termid=10487</v>
      </c>
      <c r="Q1050" s="12" t="str">
        <f>HYPERLINK("https://ceds.ed.gov/elementComment.aspx?elementName=Other Middle Name &amp;elementID=10487", "Click here to submit comment")</f>
        <v>Click here to submit comment</v>
      </c>
    </row>
    <row r="1051" spans="1:17" ht="150" x14ac:dyDescent="0.25">
      <c r="A1051" s="12" t="s">
        <v>7242</v>
      </c>
      <c r="B1051" s="12" t="s">
        <v>7256</v>
      </c>
      <c r="C1051" s="12" t="s">
        <v>7173</v>
      </c>
      <c r="D1051" s="12" t="s">
        <v>7172</v>
      </c>
      <c r="E1051" s="12" t="s">
        <v>4720</v>
      </c>
      <c r="F1051" s="12" t="s">
        <v>4721</v>
      </c>
      <c r="G1051" s="12" t="s">
        <v>12</v>
      </c>
      <c r="H1051" s="12" t="s">
        <v>6543</v>
      </c>
      <c r="I1051" s="12"/>
      <c r="J1051" s="12" t="s">
        <v>142</v>
      </c>
      <c r="K1051" s="12"/>
      <c r="L1051" s="12"/>
      <c r="M1051" s="12" t="s">
        <v>4722</v>
      </c>
      <c r="N1051" s="12"/>
      <c r="O1051" s="12" t="s">
        <v>4723</v>
      </c>
      <c r="P1051" s="12" t="str">
        <f>HYPERLINK("https://ceds.ed.gov/cedselementdetails.aspx?termid=9206")</f>
        <v>https://ceds.ed.gov/cedselementdetails.aspx?termid=9206</v>
      </c>
      <c r="Q1051" s="12" t="str">
        <f>HYPERLINK("https://ceds.ed.gov/elementComment.aspx?elementName=Other Name &amp;elementID=9206", "Click here to submit comment")</f>
        <v>Click here to submit comment</v>
      </c>
    </row>
    <row r="1052" spans="1:17" ht="165" x14ac:dyDescent="0.25">
      <c r="A1052" s="12" t="s">
        <v>7242</v>
      </c>
      <c r="B1052" s="12" t="s">
        <v>7256</v>
      </c>
      <c r="C1052" s="12" t="s">
        <v>7173</v>
      </c>
      <c r="D1052" s="12" t="s">
        <v>7172</v>
      </c>
      <c r="E1052" s="12" t="s">
        <v>4724</v>
      </c>
      <c r="F1052" s="12" t="s">
        <v>4725</v>
      </c>
      <c r="G1052" s="13" t="s">
        <v>7046</v>
      </c>
      <c r="H1052" s="12" t="s">
        <v>6619</v>
      </c>
      <c r="I1052" s="12"/>
      <c r="J1052" s="12" t="s">
        <v>92</v>
      </c>
      <c r="K1052" s="12"/>
      <c r="L1052" s="12"/>
      <c r="M1052" s="12" t="s">
        <v>4726</v>
      </c>
      <c r="N1052" s="12"/>
      <c r="O1052" s="12" t="s">
        <v>4727</v>
      </c>
      <c r="P1052" s="12" t="str">
        <f>HYPERLINK("https://ceds.ed.gov/cedselementdetails.aspx?termid=9627")</f>
        <v>https://ceds.ed.gov/cedselementdetails.aspx?termid=9627</v>
      </c>
      <c r="Q1052" s="12" t="str">
        <f>HYPERLINK("https://ceds.ed.gov/elementComment.aspx?elementName=Other Name Type &amp;elementID=9627", "Click here to submit comment")</f>
        <v>Click here to submit comment</v>
      </c>
    </row>
    <row r="1053" spans="1:17" ht="105" x14ac:dyDescent="0.25">
      <c r="A1053" s="18" t="s">
        <v>7242</v>
      </c>
      <c r="B1053" s="18" t="s">
        <v>7256</v>
      </c>
      <c r="C1053" s="18" t="s">
        <v>7174</v>
      </c>
      <c r="D1053" s="18" t="s">
        <v>7172</v>
      </c>
      <c r="E1053" s="18" t="s">
        <v>5984</v>
      </c>
      <c r="F1053" s="18" t="s">
        <v>5985</v>
      </c>
      <c r="G1053" s="18" t="s">
        <v>12</v>
      </c>
      <c r="H1053" s="18" t="s">
        <v>6687</v>
      </c>
      <c r="I1053" s="18"/>
      <c r="J1053" s="18" t="s">
        <v>142</v>
      </c>
      <c r="K1053" s="18"/>
      <c r="L1053" s="12" t="s">
        <v>143</v>
      </c>
      <c r="M1053" s="18" t="s">
        <v>5986</v>
      </c>
      <c r="N1053" s="18"/>
      <c r="O1053" s="18" t="s">
        <v>5987</v>
      </c>
      <c r="P1053" s="18" t="str">
        <f>HYPERLINK("https://ceds.ed.gov/cedselementdetails.aspx?termid=9157")</f>
        <v>https://ceds.ed.gov/cedselementdetails.aspx?termid=9157</v>
      </c>
      <c r="Q1053" s="18" t="str">
        <f>HYPERLINK("https://ceds.ed.gov/elementComment.aspx?elementName=Student Identifier &amp;elementID=9157", "Click here to submit comment")</f>
        <v>Click here to submit comment</v>
      </c>
    </row>
    <row r="1054" spans="1:17" x14ac:dyDescent="0.25">
      <c r="A1054" s="18"/>
      <c r="B1054" s="18"/>
      <c r="C1054" s="18"/>
      <c r="D1054" s="18"/>
      <c r="E1054" s="18"/>
      <c r="F1054" s="18"/>
      <c r="G1054" s="18"/>
      <c r="H1054" s="18"/>
      <c r="I1054" s="18"/>
      <c r="J1054" s="18"/>
      <c r="K1054" s="18"/>
      <c r="L1054" s="12"/>
      <c r="M1054" s="18"/>
      <c r="N1054" s="18"/>
      <c r="O1054" s="18"/>
      <c r="P1054" s="18"/>
      <c r="Q1054" s="18"/>
    </row>
    <row r="1055" spans="1:17" ht="90" x14ac:dyDescent="0.25">
      <c r="A1055" s="18"/>
      <c r="B1055" s="18"/>
      <c r="C1055" s="18"/>
      <c r="D1055" s="18"/>
      <c r="E1055" s="18"/>
      <c r="F1055" s="18"/>
      <c r="G1055" s="18"/>
      <c r="H1055" s="18"/>
      <c r="I1055" s="18"/>
      <c r="J1055" s="18"/>
      <c r="K1055" s="18"/>
      <c r="L1055" s="12" t="s">
        <v>144</v>
      </c>
      <c r="M1055" s="18"/>
      <c r="N1055" s="18"/>
      <c r="O1055" s="18"/>
      <c r="P1055" s="18"/>
      <c r="Q1055" s="18"/>
    </row>
    <row r="1056" spans="1:17" ht="210" x14ac:dyDescent="0.25">
      <c r="A1056" s="12" t="s">
        <v>7242</v>
      </c>
      <c r="B1056" s="12" t="s">
        <v>7256</v>
      </c>
      <c r="C1056" s="12" t="s">
        <v>7174</v>
      </c>
      <c r="D1056" s="12" t="s">
        <v>7172</v>
      </c>
      <c r="E1056" s="12" t="s">
        <v>5980</v>
      </c>
      <c r="F1056" s="12" t="s">
        <v>5981</v>
      </c>
      <c r="G1056" s="13" t="s">
        <v>7124</v>
      </c>
      <c r="H1056" s="12" t="s">
        <v>6687</v>
      </c>
      <c r="I1056" s="12"/>
      <c r="J1056" s="12"/>
      <c r="K1056" s="12"/>
      <c r="L1056" s="12"/>
      <c r="M1056" s="12" t="s">
        <v>5982</v>
      </c>
      <c r="N1056" s="12"/>
      <c r="O1056" s="12" t="s">
        <v>5983</v>
      </c>
      <c r="P1056" s="12" t="str">
        <f>HYPERLINK("https://ceds.ed.gov/cedselementdetails.aspx?termid=9163")</f>
        <v>https://ceds.ed.gov/cedselementdetails.aspx?termid=9163</v>
      </c>
      <c r="Q1056" s="12" t="str">
        <f>HYPERLINK("https://ceds.ed.gov/elementComment.aspx?elementName=Student Identification System &amp;elementID=9163", "Click here to submit comment")</f>
        <v>Click here to submit comment</v>
      </c>
    </row>
    <row r="1057" spans="1:17" ht="225" x14ac:dyDescent="0.25">
      <c r="A1057" s="18" t="s">
        <v>7242</v>
      </c>
      <c r="B1057" s="18" t="s">
        <v>7256</v>
      </c>
      <c r="C1057" s="18" t="s">
        <v>7174</v>
      </c>
      <c r="D1057" s="18" t="s">
        <v>7172</v>
      </c>
      <c r="E1057" s="18" t="s">
        <v>5745</v>
      </c>
      <c r="F1057" s="18" t="s">
        <v>5746</v>
      </c>
      <c r="G1057" s="18" t="s">
        <v>12</v>
      </c>
      <c r="H1057" s="18" t="s">
        <v>6670</v>
      </c>
      <c r="I1057" s="18"/>
      <c r="J1057" s="18" t="s">
        <v>5747</v>
      </c>
      <c r="K1057" s="18"/>
      <c r="L1057" s="12" t="s">
        <v>5748</v>
      </c>
      <c r="M1057" s="18" t="s">
        <v>5750</v>
      </c>
      <c r="N1057" s="18" t="s">
        <v>5751</v>
      </c>
      <c r="O1057" s="18" t="s">
        <v>5752</v>
      </c>
      <c r="P1057" s="18" t="str">
        <f>HYPERLINK("https://ceds.ed.gov/cedselementdetails.aspx?termid=9259")</f>
        <v>https://ceds.ed.gov/cedselementdetails.aspx?termid=9259</v>
      </c>
      <c r="Q1057" s="18" t="str">
        <f>HYPERLINK("https://ceds.ed.gov/elementComment.aspx?elementName=Social Security Number &amp;elementID=9259", "Click here to submit comment")</f>
        <v>Click here to submit comment</v>
      </c>
    </row>
    <row r="1058" spans="1:17" x14ac:dyDescent="0.25">
      <c r="A1058" s="18"/>
      <c r="B1058" s="18"/>
      <c r="C1058" s="18"/>
      <c r="D1058" s="18"/>
      <c r="E1058" s="18"/>
      <c r="F1058" s="18"/>
      <c r="G1058" s="18"/>
      <c r="H1058" s="18"/>
      <c r="I1058" s="18"/>
      <c r="J1058" s="18"/>
      <c r="K1058" s="18"/>
      <c r="L1058" s="12"/>
      <c r="M1058" s="18"/>
      <c r="N1058" s="18"/>
      <c r="O1058" s="18"/>
      <c r="P1058" s="18"/>
      <c r="Q1058" s="18"/>
    </row>
    <row r="1059" spans="1:17" ht="180" x14ac:dyDescent="0.25">
      <c r="A1059" s="18"/>
      <c r="B1059" s="18"/>
      <c r="C1059" s="18"/>
      <c r="D1059" s="18"/>
      <c r="E1059" s="18"/>
      <c r="F1059" s="18"/>
      <c r="G1059" s="18"/>
      <c r="H1059" s="18"/>
      <c r="I1059" s="18"/>
      <c r="J1059" s="18"/>
      <c r="K1059" s="18"/>
      <c r="L1059" s="12" t="s">
        <v>5749</v>
      </c>
      <c r="M1059" s="18"/>
      <c r="N1059" s="18"/>
      <c r="O1059" s="18"/>
      <c r="P1059" s="18"/>
      <c r="Q1059" s="18"/>
    </row>
    <row r="1060" spans="1:17" ht="255" x14ac:dyDescent="0.25">
      <c r="A1060" s="12" t="s">
        <v>7242</v>
      </c>
      <c r="B1060" s="12" t="s">
        <v>7256</v>
      </c>
      <c r="C1060" s="12" t="s">
        <v>7174</v>
      </c>
      <c r="D1060" s="12" t="s">
        <v>7172</v>
      </c>
      <c r="E1060" s="12" t="s">
        <v>4831</v>
      </c>
      <c r="F1060" s="12" t="s">
        <v>4832</v>
      </c>
      <c r="G1060" s="13" t="s">
        <v>7053</v>
      </c>
      <c r="H1060" s="12"/>
      <c r="I1060" s="12"/>
      <c r="J1060" s="12"/>
      <c r="K1060" s="12"/>
      <c r="L1060" s="12"/>
      <c r="M1060" s="12" t="s">
        <v>4833</v>
      </c>
      <c r="N1060" s="12"/>
      <c r="O1060" s="12" t="s">
        <v>4834</v>
      </c>
      <c r="P1060" s="12" t="str">
        <f>HYPERLINK("https://ceds.ed.gov/cedselementdetails.aspx?termid=9611")</f>
        <v>https://ceds.ed.gov/cedselementdetails.aspx?termid=9611</v>
      </c>
      <c r="Q1060" s="12" t="str">
        <f>HYPERLINK("https://ceds.ed.gov/elementComment.aspx?elementName=Personal Information Verification &amp;elementID=9611", "Click here to submit comment")</f>
        <v>Click here to submit comment</v>
      </c>
    </row>
    <row r="1061" spans="1:17" ht="210" x14ac:dyDescent="0.25">
      <c r="A1061" s="12" t="s">
        <v>7242</v>
      </c>
      <c r="B1061" s="12" t="s">
        <v>7256</v>
      </c>
      <c r="C1061" s="12" t="s">
        <v>7175</v>
      </c>
      <c r="D1061" s="12" t="s">
        <v>7172</v>
      </c>
      <c r="E1061" s="12" t="s">
        <v>193</v>
      </c>
      <c r="F1061" s="12" t="s">
        <v>194</v>
      </c>
      <c r="G1061" s="13" t="s">
        <v>6726</v>
      </c>
      <c r="H1061" s="12" t="s">
        <v>6380</v>
      </c>
      <c r="I1061" s="12"/>
      <c r="J1061" s="12" t="s">
        <v>92</v>
      </c>
      <c r="K1061" s="12"/>
      <c r="L1061" s="12"/>
      <c r="M1061" s="12" t="s">
        <v>195</v>
      </c>
      <c r="N1061" s="12"/>
      <c r="O1061" s="12" t="s">
        <v>196</v>
      </c>
      <c r="P1061" s="12" t="str">
        <f>HYPERLINK("https://ceds.ed.gov/cedselementdetails.aspx?termid=9358")</f>
        <v>https://ceds.ed.gov/cedselementdetails.aspx?termid=9358</v>
      </c>
      <c r="Q1061" s="12" t="str">
        <f>HYPERLINK("https://ceds.ed.gov/elementComment.aspx?elementName=Address Type for Learner or Family &amp;elementID=9358", "Click here to submit comment")</f>
        <v>Click here to submit comment</v>
      </c>
    </row>
    <row r="1062" spans="1:17" ht="225" x14ac:dyDescent="0.25">
      <c r="A1062" s="12" t="s">
        <v>7242</v>
      </c>
      <c r="B1062" s="12" t="s">
        <v>7256</v>
      </c>
      <c r="C1062" s="12" t="s">
        <v>7175</v>
      </c>
      <c r="D1062" s="12" t="s">
        <v>7172</v>
      </c>
      <c r="E1062" s="12" t="s">
        <v>189</v>
      </c>
      <c r="F1062" s="12" t="s">
        <v>190</v>
      </c>
      <c r="G1062" s="12" t="s">
        <v>12</v>
      </c>
      <c r="H1062" s="12" t="s">
        <v>6377</v>
      </c>
      <c r="I1062" s="12"/>
      <c r="J1062" s="12" t="s">
        <v>142</v>
      </c>
      <c r="K1062" s="12"/>
      <c r="L1062" s="12"/>
      <c r="M1062" s="12" t="s">
        <v>191</v>
      </c>
      <c r="N1062" s="12"/>
      <c r="O1062" s="12" t="s">
        <v>192</v>
      </c>
      <c r="P1062" s="12" t="str">
        <f>HYPERLINK("https://ceds.ed.gov/cedselementdetails.aspx?termid=9269")</f>
        <v>https://ceds.ed.gov/cedselementdetails.aspx?termid=9269</v>
      </c>
      <c r="Q1062" s="12" t="str">
        <f>HYPERLINK("https://ceds.ed.gov/elementComment.aspx?elementName=Address Street Number and Name &amp;elementID=9269", "Click here to submit comment")</f>
        <v>Click here to submit comment</v>
      </c>
    </row>
    <row r="1063" spans="1:17" ht="225" x14ac:dyDescent="0.25">
      <c r="A1063" s="12" t="s">
        <v>7242</v>
      </c>
      <c r="B1063" s="12" t="s">
        <v>7256</v>
      </c>
      <c r="C1063" s="12" t="s">
        <v>7175</v>
      </c>
      <c r="D1063" s="12" t="s">
        <v>7172</v>
      </c>
      <c r="E1063" s="12" t="s">
        <v>172</v>
      </c>
      <c r="F1063" s="12" t="s">
        <v>173</v>
      </c>
      <c r="G1063" s="12" t="s">
        <v>12</v>
      </c>
      <c r="H1063" s="12" t="s">
        <v>6377</v>
      </c>
      <c r="I1063" s="12"/>
      <c r="J1063" s="12" t="s">
        <v>92</v>
      </c>
      <c r="K1063" s="12"/>
      <c r="L1063" s="12"/>
      <c r="M1063" s="12" t="s">
        <v>174</v>
      </c>
      <c r="N1063" s="12"/>
      <c r="O1063" s="12" t="s">
        <v>175</v>
      </c>
      <c r="P1063" s="12" t="str">
        <f>HYPERLINK("https://ceds.ed.gov/cedselementdetails.aspx?termid=9019")</f>
        <v>https://ceds.ed.gov/cedselementdetails.aspx?termid=9019</v>
      </c>
      <c r="Q1063" s="12" t="str">
        <f>HYPERLINK("https://ceds.ed.gov/elementComment.aspx?elementName=Address Apartment Room or Suite Number &amp;elementID=9019", "Click here to submit comment")</f>
        <v>Click here to submit comment</v>
      </c>
    </row>
    <row r="1064" spans="1:17" ht="225" x14ac:dyDescent="0.25">
      <c r="A1064" s="12" t="s">
        <v>7242</v>
      </c>
      <c r="B1064" s="12" t="s">
        <v>7256</v>
      </c>
      <c r="C1064" s="12" t="s">
        <v>7175</v>
      </c>
      <c r="D1064" s="12" t="s">
        <v>7172</v>
      </c>
      <c r="E1064" s="12" t="s">
        <v>176</v>
      </c>
      <c r="F1064" s="12" t="s">
        <v>177</v>
      </c>
      <c r="G1064" s="12" t="s">
        <v>12</v>
      </c>
      <c r="H1064" s="12" t="s">
        <v>6377</v>
      </c>
      <c r="I1064" s="12"/>
      <c r="J1064" s="12" t="s">
        <v>92</v>
      </c>
      <c r="K1064" s="12"/>
      <c r="L1064" s="12"/>
      <c r="M1064" s="12" t="s">
        <v>178</v>
      </c>
      <c r="N1064" s="12"/>
      <c r="O1064" s="12" t="s">
        <v>179</v>
      </c>
      <c r="P1064" s="12" t="str">
        <f>HYPERLINK("https://ceds.ed.gov/cedselementdetails.aspx?termid=9040")</f>
        <v>https://ceds.ed.gov/cedselementdetails.aspx?termid=9040</v>
      </c>
      <c r="Q1064" s="12" t="str">
        <f>HYPERLINK("https://ceds.ed.gov/elementComment.aspx?elementName=Address City &amp;elementID=9040", "Click here to submit comment")</f>
        <v>Click here to submit comment</v>
      </c>
    </row>
    <row r="1065" spans="1:17" ht="409.5" x14ac:dyDescent="0.25">
      <c r="A1065" s="12" t="s">
        <v>7242</v>
      </c>
      <c r="B1065" s="12" t="s">
        <v>7256</v>
      </c>
      <c r="C1065" s="12" t="s">
        <v>7175</v>
      </c>
      <c r="D1065" s="12" t="s">
        <v>7172</v>
      </c>
      <c r="E1065" s="12" t="s">
        <v>5898</v>
      </c>
      <c r="F1065" s="12" t="s">
        <v>5899</v>
      </c>
      <c r="G1065" s="13" t="s">
        <v>7120</v>
      </c>
      <c r="H1065" s="12" t="s">
        <v>6678</v>
      </c>
      <c r="I1065" s="12"/>
      <c r="J1065" s="12"/>
      <c r="K1065" s="12"/>
      <c r="L1065" s="12"/>
      <c r="M1065" s="12" t="s">
        <v>5900</v>
      </c>
      <c r="N1065" s="12"/>
      <c r="O1065" s="12" t="s">
        <v>5901</v>
      </c>
      <c r="P1065" s="12" t="str">
        <f>HYPERLINK("https://ceds.ed.gov/cedselementdetails.aspx?termid=9267")</f>
        <v>https://ceds.ed.gov/cedselementdetails.aspx?termid=9267</v>
      </c>
      <c r="Q1065" s="12" t="str">
        <f>HYPERLINK("https://ceds.ed.gov/elementComment.aspx?elementName=State Abbreviation &amp;elementID=9267", "Click here to submit comment")</f>
        <v>Click here to submit comment</v>
      </c>
    </row>
    <row r="1066" spans="1:17" ht="225" x14ac:dyDescent="0.25">
      <c r="A1066" s="12" t="s">
        <v>7242</v>
      </c>
      <c r="B1066" s="12" t="s">
        <v>7256</v>
      </c>
      <c r="C1066" s="12" t="s">
        <v>7175</v>
      </c>
      <c r="D1066" s="12" t="s">
        <v>7172</v>
      </c>
      <c r="E1066" s="12" t="s">
        <v>184</v>
      </c>
      <c r="F1066" s="12" t="s">
        <v>185</v>
      </c>
      <c r="G1066" s="12" t="s">
        <v>12</v>
      </c>
      <c r="H1066" s="12" t="s">
        <v>6377</v>
      </c>
      <c r="I1066" s="12"/>
      <c r="J1066" s="12" t="s">
        <v>186</v>
      </c>
      <c r="K1066" s="12"/>
      <c r="L1066" s="12"/>
      <c r="M1066" s="12" t="s">
        <v>187</v>
      </c>
      <c r="N1066" s="12"/>
      <c r="O1066" s="12" t="s">
        <v>188</v>
      </c>
      <c r="P1066" s="12" t="str">
        <f>HYPERLINK("https://ceds.ed.gov/cedselementdetails.aspx?termid=9214")</f>
        <v>https://ceds.ed.gov/cedselementdetails.aspx?termid=9214</v>
      </c>
      <c r="Q1066" s="12" t="str">
        <f>HYPERLINK("https://ceds.ed.gov/elementComment.aspx?elementName=Address Postal Code &amp;elementID=9214", "Click here to submit comment")</f>
        <v>Click here to submit comment</v>
      </c>
    </row>
    <row r="1067" spans="1:17" ht="225" x14ac:dyDescent="0.25">
      <c r="A1067" s="12" t="s">
        <v>7242</v>
      </c>
      <c r="B1067" s="12" t="s">
        <v>7256</v>
      </c>
      <c r="C1067" s="12" t="s">
        <v>7175</v>
      </c>
      <c r="D1067" s="12" t="s">
        <v>7172</v>
      </c>
      <c r="E1067" s="12" t="s">
        <v>180</v>
      </c>
      <c r="F1067" s="12" t="s">
        <v>181</v>
      </c>
      <c r="G1067" s="12" t="s">
        <v>12</v>
      </c>
      <c r="H1067" s="12" t="s">
        <v>6377</v>
      </c>
      <c r="I1067" s="12"/>
      <c r="J1067" s="12" t="s">
        <v>92</v>
      </c>
      <c r="K1067" s="12"/>
      <c r="L1067" s="12"/>
      <c r="M1067" s="12" t="s">
        <v>182</v>
      </c>
      <c r="N1067" s="12"/>
      <c r="O1067" s="12" t="s">
        <v>183</v>
      </c>
      <c r="P1067" s="12" t="str">
        <f>HYPERLINK("https://ceds.ed.gov/cedselementdetails.aspx?termid=9190")</f>
        <v>https://ceds.ed.gov/cedselementdetails.aspx?termid=9190</v>
      </c>
      <c r="Q1067" s="12" t="str">
        <f>HYPERLINK("https://ceds.ed.gov/elementComment.aspx?elementName=Address County Name &amp;elementID=9190", "Click here to submit comment")</f>
        <v>Click here to submit comment</v>
      </c>
    </row>
    <row r="1068" spans="1:17" ht="409.5" x14ac:dyDescent="0.25">
      <c r="A1068" s="12" t="s">
        <v>7242</v>
      </c>
      <c r="B1068" s="12" t="s">
        <v>7256</v>
      </c>
      <c r="C1068" s="12" t="s">
        <v>7175</v>
      </c>
      <c r="D1068" s="12" t="s">
        <v>7172</v>
      </c>
      <c r="E1068" s="12" t="s">
        <v>1934</v>
      </c>
      <c r="F1068" s="12" t="s">
        <v>1935</v>
      </c>
      <c r="G1068" s="13" t="s">
        <v>6829</v>
      </c>
      <c r="H1068" s="12" t="s">
        <v>6467</v>
      </c>
      <c r="I1068" s="12" t="s">
        <v>98</v>
      </c>
      <c r="J1068" s="12"/>
      <c r="K1068" s="12"/>
      <c r="L1068" s="14" t="s">
        <v>1936</v>
      </c>
      <c r="M1068" s="12" t="s">
        <v>1937</v>
      </c>
      <c r="N1068" s="12"/>
      <c r="O1068" s="12" t="s">
        <v>1938</v>
      </c>
      <c r="P1068" s="12" t="str">
        <f>HYPERLINK("https://ceds.ed.gov/cedselementdetails.aspx?termid=9050")</f>
        <v>https://ceds.ed.gov/cedselementdetails.aspx?termid=9050</v>
      </c>
      <c r="Q1068" s="12" t="str">
        <f>HYPERLINK("https://ceds.ed.gov/elementComment.aspx?elementName=Country Code &amp;elementID=9050", "Click here to submit comment")</f>
        <v>Click here to submit comment</v>
      </c>
    </row>
    <row r="1069" spans="1:17" ht="75" x14ac:dyDescent="0.25">
      <c r="A1069" s="12" t="s">
        <v>7242</v>
      </c>
      <c r="B1069" s="12" t="s">
        <v>7256</v>
      </c>
      <c r="C1069" s="12" t="s">
        <v>7175</v>
      </c>
      <c r="D1069" s="12" t="s">
        <v>7176</v>
      </c>
      <c r="E1069" s="12" t="s">
        <v>3693</v>
      </c>
      <c r="F1069" s="12" t="s">
        <v>3694</v>
      </c>
      <c r="G1069" s="12" t="s">
        <v>12</v>
      </c>
      <c r="H1069" s="12"/>
      <c r="I1069" s="12"/>
      <c r="J1069" s="12" t="s">
        <v>1201</v>
      </c>
      <c r="K1069" s="12"/>
      <c r="L1069" s="12"/>
      <c r="M1069" s="12" t="s">
        <v>3695</v>
      </c>
      <c r="N1069" s="12"/>
      <c r="O1069" s="12" t="s">
        <v>3693</v>
      </c>
      <c r="P1069" s="12" t="str">
        <f>HYPERLINK("https://ceds.ed.gov/cedselementdetails.aspx?termid=9599")</f>
        <v>https://ceds.ed.gov/cedselementdetails.aspx?termid=9599</v>
      </c>
      <c r="Q1069" s="12" t="str">
        <f>HYPERLINK("https://ceds.ed.gov/elementComment.aspx?elementName=Latitude &amp;elementID=9599", "Click here to submit comment")</f>
        <v>Click here to submit comment</v>
      </c>
    </row>
    <row r="1070" spans="1:17" ht="75" x14ac:dyDescent="0.25">
      <c r="A1070" s="12" t="s">
        <v>7242</v>
      </c>
      <c r="B1070" s="12" t="s">
        <v>7256</v>
      </c>
      <c r="C1070" s="12" t="s">
        <v>7175</v>
      </c>
      <c r="D1070" s="12" t="s">
        <v>7176</v>
      </c>
      <c r="E1070" s="12" t="s">
        <v>4361</v>
      </c>
      <c r="F1070" s="12" t="s">
        <v>4362</v>
      </c>
      <c r="G1070" s="12" t="s">
        <v>12</v>
      </c>
      <c r="H1070" s="12"/>
      <c r="I1070" s="12"/>
      <c r="J1070" s="12" t="s">
        <v>1201</v>
      </c>
      <c r="K1070" s="12"/>
      <c r="L1070" s="12"/>
      <c r="M1070" s="12" t="s">
        <v>4363</v>
      </c>
      <c r="N1070" s="12"/>
      <c r="O1070" s="12" t="s">
        <v>4361</v>
      </c>
      <c r="P1070" s="12" t="str">
        <f>HYPERLINK("https://ceds.ed.gov/cedselementdetails.aspx?termid=9600")</f>
        <v>https://ceds.ed.gov/cedselementdetails.aspx?termid=9600</v>
      </c>
      <c r="Q1070" s="12" t="str">
        <f>HYPERLINK("https://ceds.ed.gov/elementComment.aspx?elementName=Longitude &amp;elementID=9600", "Click here to submit comment")</f>
        <v>Click here to submit comment</v>
      </c>
    </row>
    <row r="1071" spans="1:17" ht="90" x14ac:dyDescent="0.25">
      <c r="A1071" s="12" t="s">
        <v>7242</v>
      </c>
      <c r="B1071" s="12" t="s">
        <v>7256</v>
      </c>
      <c r="C1071" s="12" t="s">
        <v>7177</v>
      </c>
      <c r="D1071" s="12" t="s">
        <v>7172</v>
      </c>
      <c r="E1071" s="12" t="s">
        <v>6107</v>
      </c>
      <c r="F1071" s="12" t="s">
        <v>6108</v>
      </c>
      <c r="G1071" s="13" t="s">
        <v>7135</v>
      </c>
      <c r="H1071" s="12" t="s">
        <v>6369</v>
      </c>
      <c r="I1071" s="12"/>
      <c r="J1071" s="12" t="s">
        <v>1950</v>
      </c>
      <c r="K1071" s="12"/>
      <c r="L1071" s="12"/>
      <c r="M1071" s="12" t="s">
        <v>6109</v>
      </c>
      <c r="N1071" s="12"/>
      <c r="O1071" s="12" t="s">
        <v>6110</v>
      </c>
      <c r="P1071" s="12" t="str">
        <f>HYPERLINK("https://ceds.ed.gov/cedselementdetails.aspx?termid=9280")</f>
        <v>https://ceds.ed.gov/cedselementdetails.aspx?termid=9280</v>
      </c>
      <c r="Q1071" s="12" t="str">
        <f>HYPERLINK("https://ceds.ed.gov/elementComment.aspx?elementName=Telephone Number Type &amp;elementID=9280", "Click here to submit comment")</f>
        <v>Click here to submit comment</v>
      </c>
    </row>
    <row r="1072" spans="1:17" ht="90" x14ac:dyDescent="0.25">
      <c r="A1072" s="12" t="s">
        <v>7242</v>
      </c>
      <c r="B1072" s="12" t="s">
        <v>7256</v>
      </c>
      <c r="C1072" s="12" t="s">
        <v>7177</v>
      </c>
      <c r="D1072" s="12" t="s">
        <v>7172</v>
      </c>
      <c r="E1072" s="12" t="s">
        <v>4934</v>
      </c>
      <c r="F1072" s="12" t="s">
        <v>4935</v>
      </c>
      <c r="G1072" s="12" t="s">
        <v>6364</v>
      </c>
      <c r="H1072" s="12" t="s">
        <v>6369</v>
      </c>
      <c r="I1072" s="12"/>
      <c r="J1072" s="12"/>
      <c r="K1072" s="12"/>
      <c r="L1072" s="12"/>
      <c r="M1072" s="12" t="s">
        <v>4936</v>
      </c>
      <c r="N1072" s="12"/>
      <c r="O1072" s="12" t="s">
        <v>4937</v>
      </c>
      <c r="P1072" s="12" t="str">
        <f>HYPERLINK("https://ceds.ed.gov/cedselementdetails.aspx?termid=9219")</f>
        <v>https://ceds.ed.gov/cedselementdetails.aspx?termid=9219</v>
      </c>
      <c r="Q1072" s="12" t="str">
        <f>HYPERLINK("https://ceds.ed.gov/elementComment.aspx?elementName=Primary Telephone Number Indicator &amp;elementID=9219", "Click here to submit comment")</f>
        <v>Click here to submit comment</v>
      </c>
    </row>
    <row r="1073" spans="1:17" ht="90" x14ac:dyDescent="0.25">
      <c r="A1073" s="12" t="s">
        <v>7242</v>
      </c>
      <c r="B1073" s="12" t="s">
        <v>7256</v>
      </c>
      <c r="C1073" s="12" t="s">
        <v>7177</v>
      </c>
      <c r="D1073" s="12" t="s">
        <v>7172</v>
      </c>
      <c r="E1073" s="12" t="s">
        <v>6102</v>
      </c>
      <c r="F1073" s="12" t="s">
        <v>6103</v>
      </c>
      <c r="G1073" s="12" t="s">
        <v>12</v>
      </c>
      <c r="H1073" s="12" t="s">
        <v>6369</v>
      </c>
      <c r="I1073" s="12"/>
      <c r="J1073" s="12" t="s">
        <v>6104</v>
      </c>
      <c r="K1073" s="12"/>
      <c r="L1073" s="12"/>
      <c r="M1073" s="12" t="s">
        <v>6105</v>
      </c>
      <c r="N1073" s="12"/>
      <c r="O1073" s="12" t="s">
        <v>6106</v>
      </c>
      <c r="P1073" s="12" t="str">
        <f>HYPERLINK("https://ceds.ed.gov/cedselementdetails.aspx?termid=9279")</f>
        <v>https://ceds.ed.gov/cedselementdetails.aspx?termid=9279</v>
      </c>
      <c r="Q1073" s="12" t="str">
        <f>HYPERLINK("https://ceds.ed.gov/elementComment.aspx?elementName=Telephone Number &amp;elementID=9279", "Click here to submit comment")</f>
        <v>Click here to submit comment</v>
      </c>
    </row>
    <row r="1074" spans="1:17" ht="90" x14ac:dyDescent="0.25">
      <c r="A1074" s="12" t="s">
        <v>7242</v>
      </c>
      <c r="B1074" s="12" t="s">
        <v>7256</v>
      </c>
      <c r="C1074" s="12" t="s">
        <v>7204</v>
      </c>
      <c r="D1074" s="12" t="s">
        <v>7172</v>
      </c>
      <c r="E1074" s="12" t="s">
        <v>2653</v>
      </c>
      <c r="F1074" s="12" t="s">
        <v>2654</v>
      </c>
      <c r="G1074" s="13" t="s">
        <v>6898</v>
      </c>
      <c r="H1074" s="12" t="s">
        <v>6369</v>
      </c>
      <c r="I1074" s="12"/>
      <c r="J1074" s="12"/>
      <c r="K1074" s="12"/>
      <c r="L1074" s="12"/>
      <c r="M1074" s="12" t="s">
        <v>2655</v>
      </c>
      <c r="N1074" s="12" t="s">
        <v>2656</v>
      </c>
      <c r="O1074" s="12" t="s">
        <v>2657</v>
      </c>
      <c r="P1074" s="12" t="str">
        <f>HYPERLINK("https://ceds.ed.gov/cedselementdetails.aspx?termid=9089")</f>
        <v>https://ceds.ed.gov/cedselementdetails.aspx?termid=9089</v>
      </c>
      <c r="Q1074" s="12" t="str">
        <f>HYPERLINK("https://ceds.ed.gov/elementComment.aspx?elementName=Electronic Mail Address Type &amp;elementID=9089", "Click here to submit comment")</f>
        <v>Click here to submit comment</v>
      </c>
    </row>
    <row r="1075" spans="1:17" ht="90" x14ac:dyDescent="0.25">
      <c r="A1075" s="12" t="s">
        <v>7242</v>
      </c>
      <c r="B1075" s="12" t="s">
        <v>7256</v>
      </c>
      <c r="C1075" s="12" t="s">
        <v>7204</v>
      </c>
      <c r="D1075" s="12" t="s">
        <v>7172</v>
      </c>
      <c r="E1075" s="12" t="s">
        <v>2647</v>
      </c>
      <c r="F1075" s="12" t="s">
        <v>2648</v>
      </c>
      <c r="G1075" s="12" t="s">
        <v>12</v>
      </c>
      <c r="H1075" s="12" t="s">
        <v>6369</v>
      </c>
      <c r="I1075" s="12"/>
      <c r="J1075" s="12" t="s">
        <v>2649</v>
      </c>
      <c r="K1075" s="12"/>
      <c r="L1075" s="12"/>
      <c r="M1075" s="12" t="s">
        <v>2650</v>
      </c>
      <c r="N1075" s="12" t="s">
        <v>2651</v>
      </c>
      <c r="O1075" s="12" t="s">
        <v>2652</v>
      </c>
      <c r="P1075" s="12" t="str">
        <f>HYPERLINK("https://ceds.ed.gov/cedselementdetails.aspx?termid=9088")</f>
        <v>https://ceds.ed.gov/cedselementdetails.aspx?termid=9088</v>
      </c>
      <c r="Q1075" s="12" t="str">
        <f>HYPERLINK("https://ceds.ed.gov/elementComment.aspx?elementName=Electronic Mail Address &amp;elementID=9088", "Click here to submit comment")</f>
        <v>Click here to submit comment</v>
      </c>
    </row>
    <row r="1076" spans="1:17" ht="240" x14ac:dyDescent="0.25">
      <c r="A1076" s="12" t="s">
        <v>7242</v>
      </c>
      <c r="B1076" s="12" t="s">
        <v>7256</v>
      </c>
      <c r="C1076" s="12" t="s">
        <v>7178</v>
      </c>
      <c r="D1076" s="12" t="s">
        <v>7172</v>
      </c>
      <c r="E1076" s="12" t="s">
        <v>1571</v>
      </c>
      <c r="F1076" s="12" t="s">
        <v>1572</v>
      </c>
      <c r="G1076" s="12" t="s">
        <v>12</v>
      </c>
      <c r="H1076" s="12" t="s">
        <v>6432</v>
      </c>
      <c r="I1076" s="12"/>
      <c r="J1076" s="12" t="s">
        <v>73</v>
      </c>
      <c r="K1076" s="12"/>
      <c r="L1076" s="12"/>
      <c r="M1076" s="12" t="s">
        <v>1573</v>
      </c>
      <c r="N1076" s="12"/>
      <c r="O1076" s="12" t="s">
        <v>1571</v>
      </c>
      <c r="P1076" s="12" t="str">
        <f>HYPERLINK("https://ceds.ed.gov/cedselementdetails.aspx?termid=9033")</f>
        <v>https://ceds.ed.gov/cedselementdetails.aspx?termid=9033</v>
      </c>
      <c r="Q1076" s="12" t="str">
        <f>HYPERLINK("https://ceds.ed.gov/elementComment.aspx?elementName=Birthdate &amp;elementID=9033", "Click here to submit comment")</f>
        <v>Click here to submit comment</v>
      </c>
    </row>
    <row r="1077" spans="1:17" ht="255" x14ac:dyDescent="0.25">
      <c r="A1077" s="12" t="s">
        <v>7242</v>
      </c>
      <c r="B1077" s="12" t="s">
        <v>7256</v>
      </c>
      <c r="C1077" s="12" t="s">
        <v>7178</v>
      </c>
      <c r="D1077" s="12" t="s">
        <v>7172</v>
      </c>
      <c r="E1077" s="12" t="s">
        <v>5711</v>
      </c>
      <c r="F1077" s="12" t="s">
        <v>5712</v>
      </c>
      <c r="G1077" s="13" t="s">
        <v>7112</v>
      </c>
      <c r="H1077" s="12" t="s">
        <v>6666</v>
      </c>
      <c r="I1077" s="12"/>
      <c r="J1077" s="12"/>
      <c r="K1077" s="12"/>
      <c r="L1077" s="12" t="s">
        <v>5713</v>
      </c>
      <c r="M1077" s="12" t="s">
        <v>5714</v>
      </c>
      <c r="N1077" s="12"/>
      <c r="O1077" s="12" t="s">
        <v>5711</v>
      </c>
      <c r="P1077" s="12" t="str">
        <f>HYPERLINK("https://ceds.ed.gov/cedselementdetails.aspx?termid=9255")</f>
        <v>https://ceds.ed.gov/cedselementdetails.aspx?termid=9255</v>
      </c>
      <c r="Q1077" s="12" t="str">
        <f>HYPERLINK("https://ceds.ed.gov/elementComment.aspx?elementName=Sex &amp;elementID=9255", "Click here to submit comment")</f>
        <v>Click here to submit comment</v>
      </c>
    </row>
    <row r="1078" spans="1:17" ht="30" x14ac:dyDescent="0.25">
      <c r="A1078" s="18" t="s">
        <v>7242</v>
      </c>
      <c r="B1078" s="18" t="s">
        <v>7256</v>
      </c>
      <c r="C1078" s="18" t="s">
        <v>7178</v>
      </c>
      <c r="D1078" s="18" t="s">
        <v>7172</v>
      </c>
      <c r="E1078" s="18" t="s">
        <v>359</v>
      </c>
      <c r="F1078" s="18" t="s">
        <v>360</v>
      </c>
      <c r="G1078" s="20" t="s">
        <v>6749</v>
      </c>
      <c r="H1078" s="18" t="s">
        <v>6390</v>
      </c>
      <c r="I1078" s="18"/>
      <c r="J1078" s="18"/>
      <c r="K1078" s="18"/>
      <c r="L1078" s="12" t="s">
        <v>361</v>
      </c>
      <c r="M1078" s="18" t="s">
        <v>365</v>
      </c>
      <c r="N1078" s="18"/>
      <c r="O1078" s="18" t="s">
        <v>366</v>
      </c>
      <c r="P1078" s="18" t="str">
        <f>HYPERLINK("https://ceds.ed.gov/cedselementdetails.aspx?termid=9655")</f>
        <v>https://ceds.ed.gov/cedselementdetails.aspx?termid=9655</v>
      </c>
      <c r="Q1078" s="18" t="str">
        <f>HYPERLINK("https://ceds.ed.gov/elementComment.aspx?elementName=American Indian or Alaska Native &amp;elementID=9655", "Click here to submit comment")</f>
        <v>Click here to submit comment</v>
      </c>
    </row>
    <row r="1079" spans="1:17" x14ac:dyDescent="0.25">
      <c r="A1079" s="18"/>
      <c r="B1079" s="18"/>
      <c r="C1079" s="18"/>
      <c r="D1079" s="18"/>
      <c r="E1079" s="18"/>
      <c r="F1079" s="18"/>
      <c r="G1079" s="18"/>
      <c r="H1079" s="18"/>
      <c r="I1079" s="18"/>
      <c r="J1079" s="18"/>
      <c r="K1079" s="18"/>
      <c r="L1079" s="12"/>
      <c r="M1079" s="18"/>
      <c r="N1079" s="18"/>
      <c r="O1079" s="18"/>
      <c r="P1079" s="18"/>
      <c r="Q1079" s="18"/>
    </row>
    <row r="1080" spans="1:17" x14ac:dyDescent="0.25">
      <c r="A1080" s="18"/>
      <c r="B1080" s="18"/>
      <c r="C1080" s="18"/>
      <c r="D1080" s="18"/>
      <c r="E1080" s="18"/>
      <c r="F1080" s="18"/>
      <c r="G1080" s="18"/>
      <c r="H1080" s="18"/>
      <c r="I1080" s="18"/>
      <c r="J1080" s="18"/>
      <c r="K1080" s="18"/>
      <c r="L1080" s="12" t="s">
        <v>362</v>
      </c>
      <c r="M1080" s="18"/>
      <c r="N1080" s="18"/>
      <c r="O1080" s="18"/>
      <c r="P1080" s="18"/>
      <c r="Q1080" s="18"/>
    </row>
    <row r="1081" spans="1:17" ht="30" x14ac:dyDescent="0.25">
      <c r="A1081" s="18"/>
      <c r="B1081" s="18"/>
      <c r="C1081" s="18"/>
      <c r="D1081" s="18"/>
      <c r="E1081" s="18"/>
      <c r="F1081" s="18"/>
      <c r="G1081" s="18"/>
      <c r="H1081" s="18"/>
      <c r="I1081" s="18"/>
      <c r="J1081" s="18"/>
      <c r="K1081" s="18"/>
      <c r="L1081" s="12" t="s">
        <v>363</v>
      </c>
      <c r="M1081" s="18"/>
      <c r="N1081" s="18"/>
      <c r="O1081" s="18"/>
      <c r="P1081" s="18"/>
      <c r="Q1081" s="18"/>
    </row>
    <row r="1082" spans="1:17" x14ac:dyDescent="0.25">
      <c r="A1082" s="18"/>
      <c r="B1082" s="18"/>
      <c r="C1082" s="18"/>
      <c r="D1082" s="18"/>
      <c r="E1082" s="18"/>
      <c r="F1082" s="18"/>
      <c r="G1082" s="18"/>
      <c r="H1082" s="18"/>
      <c r="I1082" s="18"/>
      <c r="J1082" s="18"/>
      <c r="K1082" s="18"/>
      <c r="L1082" s="12" t="s">
        <v>364</v>
      </c>
      <c r="M1082" s="18"/>
      <c r="N1082" s="18"/>
      <c r="O1082" s="18"/>
      <c r="P1082" s="18"/>
      <c r="Q1082" s="18"/>
    </row>
    <row r="1083" spans="1:17" ht="30" x14ac:dyDescent="0.25">
      <c r="A1083" s="18" t="s">
        <v>7242</v>
      </c>
      <c r="B1083" s="18" t="s">
        <v>7256</v>
      </c>
      <c r="C1083" s="18" t="s">
        <v>7178</v>
      </c>
      <c r="D1083" s="18" t="s">
        <v>7172</v>
      </c>
      <c r="E1083" s="18" t="s">
        <v>401</v>
      </c>
      <c r="F1083" s="18" t="s">
        <v>402</v>
      </c>
      <c r="G1083" s="20" t="s">
        <v>6749</v>
      </c>
      <c r="H1083" s="18" t="s">
        <v>6390</v>
      </c>
      <c r="I1083" s="18"/>
      <c r="J1083" s="18"/>
      <c r="K1083" s="18"/>
      <c r="L1083" s="12" t="s">
        <v>361</v>
      </c>
      <c r="M1083" s="18" t="s">
        <v>403</v>
      </c>
      <c r="N1083" s="18"/>
      <c r="O1083" s="18" t="s">
        <v>401</v>
      </c>
      <c r="P1083" s="18" t="str">
        <f>HYPERLINK("https://ceds.ed.gov/cedselementdetails.aspx?termid=9656")</f>
        <v>https://ceds.ed.gov/cedselementdetails.aspx?termid=9656</v>
      </c>
      <c r="Q1083" s="18" t="str">
        <f>HYPERLINK("https://ceds.ed.gov/elementComment.aspx?elementName=Asian &amp;elementID=9656", "Click here to submit comment")</f>
        <v>Click here to submit comment</v>
      </c>
    </row>
    <row r="1084" spans="1:17" x14ac:dyDescent="0.25">
      <c r="A1084" s="18"/>
      <c r="B1084" s="18"/>
      <c r="C1084" s="18"/>
      <c r="D1084" s="18"/>
      <c r="E1084" s="18"/>
      <c r="F1084" s="18"/>
      <c r="G1084" s="18"/>
      <c r="H1084" s="18"/>
      <c r="I1084" s="18"/>
      <c r="J1084" s="18"/>
      <c r="K1084" s="18"/>
      <c r="L1084" s="12"/>
      <c r="M1084" s="18"/>
      <c r="N1084" s="18"/>
      <c r="O1084" s="18"/>
      <c r="P1084" s="18"/>
      <c r="Q1084" s="18"/>
    </row>
    <row r="1085" spans="1:17" x14ac:dyDescent="0.25">
      <c r="A1085" s="18"/>
      <c r="B1085" s="18"/>
      <c r="C1085" s="18"/>
      <c r="D1085" s="18"/>
      <c r="E1085" s="18"/>
      <c r="F1085" s="18"/>
      <c r="G1085" s="18"/>
      <c r="H1085" s="18"/>
      <c r="I1085" s="18"/>
      <c r="J1085" s="18"/>
      <c r="K1085" s="18"/>
      <c r="L1085" s="12" t="s">
        <v>362</v>
      </c>
      <c r="M1085" s="18"/>
      <c r="N1085" s="18"/>
      <c r="O1085" s="18"/>
      <c r="P1085" s="18"/>
      <c r="Q1085" s="18"/>
    </row>
    <row r="1086" spans="1:17" ht="30" x14ac:dyDescent="0.25">
      <c r="A1086" s="18"/>
      <c r="B1086" s="18"/>
      <c r="C1086" s="18"/>
      <c r="D1086" s="18"/>
      <c r="E1086" s="18"/>
      <c r="F1086" s="18"/>
      <c r="G1086" s="18"/>
      <c r="H1086" s="18"/>
      <c r="I1086" s="18"/>
      <c r="J1086" s="18"/>
      <c r="K1086" s="18"/>
      <c r="L1086" s="12" t="s">
        <v>363</v>
      </c>
      <c r="M1086" s="18"/>
      <c r="N1086" s="18"/>
      <c r="O1086" s="18"/>
      <c r="P1086" s="18"/>
      <c r="Q1086" s="18"/>
    </row>
    <row r="1087" spans="1:17" x14ac:dyDescent="0.25">
      <c r="A1087" s="18"/>
      <c r="B1087" s="18"/>
      <c r="C1087" s="18"/>
      <c r="D1087" s="18"/>
      <c r="E1087" s="18"/>
      <c r="F1087" s="18"/>
      <c r="G1087" s="18"/>
      <c r="H1087" s="18"/>
      <c r="I1087" s="18"/>
      <c r="J1087" s="18"/>
      <c r="K1087" s="18"/>
      <c r="L1087" s="12" t="s">
        <v>364</v>
      </c>
      <c r="M1087" s="18"/>
      <c r="N1087" s="18"/>
      <c r="O1087" s="18"/>
      <c r="P1087" s="18"/>
      <c r="Q1087" s="18"/>
    </row>
    <row r="1088" spans="1:17" ht="30" x14ac:dyDescent="0.25">
      <c r="A1088" s="18" t="s">
        <v>7242</v>
      </c>
      <c r="B1088" s="18" t="s">
        <v>7256</v>
      </c>
      <c r="C1088" s="18" t="s">
        <v>7178</v>
      </c>
      <c r="D1088" s="18" t="s">
        <v>7172</v>
      </c>
      <c r="E1088" s="18" t="s">
        <v>1579</v>
      </c>
      <c r="F1088" s="18" t="s">
        <v>1580</v>
      </c>
      <c r="G1088" s="20" t="s">
        <v>6749</v>
      </c>
      <c r="H1088" s="18" t="s">
        <v>6390</v>
      </c>
      <c r="I1088" s="18"/>
      <c r="J1088" s="18"/>
      <c r="K1088" s="18"/>
      <c r="L1088" s="12" t="s">
        <v>361</v>
      </c>
      <c r="M1088" s="18" t="s">
        <v>1581</v>
      </c>
      <c r="N1088" s="18"/>
      <c r="O1088" s="18" t="s">
        <v>1582</v>
      </c>
      <c r="P1088" s="18" t="str">
        <f>HYPERLINK("https://ceds.ed.gov/cedselementdetails.aspx?termid=9657")</f>
        <v>https://ceds.ed.gov/cedselementdetails.aspx?termid=9657</v>
      </c>
      <c r="Q1088" s="18" t="str">
        <f>HYPERLINK("https://ceds.ed.gov/elementComment.aspx?elementName=Black or African American &amp;elementID=9657", "Click here to submit comment")</f>
        <v>Click here to submit comment</v>
      </c>
    </row>
    <row r="1089" spans="1:17" x14ac:dyDescent="0.25">
      <c r="A1089" s="18"/>
      <c r="B1089" s="18"/>
      <c r="C1089" s="18"/>
      <c r="D1089" s="18"/>
      <c r="E1089" s="18"/>
      <c r="F1089" s="18"/>
      <c r="G1089" s="18"/>
      <c r="H1089" s="18"/>
      <c r="I1089" s="18"/>
      <c r="J1089" s="18"/>
      <c r="K1089" s="18"/>
      <c r="L1089" s="12"/>
      <c r="M1089" s="18"/>
      <c r="N1089" s="18"/>
      <c r="O1089" s="18"/>
      <c r="P1089" s="18"/>
      <c r="Q1089" s="18"/>
    </row>
    <row r="1090" spans="1:17" x14ac:dyDescent="0.25">
      <c r="A1090" s="18"/>
      <c r="B1090" s="18"/>
      <c r="C1090" s="18"/>
      <c r="D1090" s="18"/>
      <c r="E1090" s="18"/>
      <c r="F1090" s="18"/>
      <c r="G1090" s="18"/>
      <c r="H1090" s="18"/>
      <c r="I1090" s="18"/>
      <c r="J1090" s="18"/>
      <c r="K1090" s="18"/>
      <c r="L1090" s="12" t="s">
        <v>362</v>
      </c>
      <c r="M1090" s="18"/>
      <c r="N1090" s="18"/>
      <c r="O1090" s="18"/>
      <c r="P1090" s="18"/>
      <c r="Q1090" s="18"/>
    </row>
    <row r="1091" spans="1:17" ht="30" x14ac:dyDescent="0.25">
      <c r="A1091" s="18"/>
      <c r="B1091" s="18"/>
      <c r="C1091" s="18"/>
      <c r="D1091" s="18"/>
      <c r="E1091" s="18"/>
      <c r="F1091" s="18"/>
      <c r="G1091" s="18"/>
      <c r="H1091" s="18"/>
      <c r="I1091" s="18"/>
      <c r="J1091" s="18"/>
      <c r="K1091" s="18"/>
      <c r="L1091" s="12" t="s">
        <v>363</v>
      </c>
      <c r="M1091" s="18"/>
      <c r="N1091" s="18"/>
      <c r="O1091" s="18"/>
      <c r="P1091" s="18"/>
      <c r="Q1091" s="18"/>
    </row>
    <row r="1092" spans="1:17" x14ac:dyDescent="0.25">
      <c r="A1092" s="18"/>
      <c r="B1092" s="18"/>
      <c r="C1092" s="18"/>
      <c r="D1092" s="18"/>
      <c r="E1092" s="18"/>
      <c r="F1092" s="18"/>
      <c r="G1092" s="18"/>
      <c r="H1092" s="18"/>
      <c r="I1092" s="18"/>
      <c r="J1092" s="18"/>
      <c r="K1092" s="18"/>
      <c r="L1092" s="12" t="s">
        <v>364</v>
      </c>
      <c r="M1092" s="18"/>
      <c r="N1092" s="18"/>
      <c r="O1092" s="18"/>
      <c r="P1092" s="18"/>
      <c r="Q1092" s="18"/>
    </row>
    <row r="1093" spans="1:17" ht="30" x14ac:dyDescent="0.25">
      <c r="A1093" s="18" t="s">
        <v>7242</v>
      </c>
      <c r="B1093" s="18" t="s">
        <v>7256</v>
      </c>
      <c r="C1093" s="18" t="s">
        <v>7178</v>
      </c>
      <c r="D1093" s="18" t="s">
        <v>7172</v>
      </c>
      <c r="E1093" s="18" t="s">
        <v>4536</v>
      </c>
      <c r="F1093" s="18" t="s">
        <v>4537</v>
      </c>
      <c r="G1093" s="20" t="s">
        <v>6749</v>
      </c>
      <c r="H1093" s="18" t="s">
        <v>6390</v>
      </c>
      <c r="I1093" s="18"/>
      <c r="J1093" s="18"/>
      <c r="K1093" s="18"/>
      <c r="L1093" s="12" t="s">
        <v>361</v>
      </c>
      <c r="M1093" s="18" t="s">
        <v>4538</v>
      </c>
      <c r="N1093" s="18"/>
      <c r="O1093" s="18" t="s">
        <v>4539</v>
      </c>
      <c r="P1093" s="18" t="str">
        <f>HYPERLINK("https://ceds.ed.gov/cedselementdetails.aspx?termid=9658")</f>
        <v>https://ceds.ed.gov/cedselementdetails.aspx?termid=9658</v>
      </c>
      <c r="Q1093" s="18" t="str">
        <f>HYPERLINK("https://ceds.ed.gov/elementComment.aspx?elementName=Native Hawaiian or Other Pacific Islander &amp;elementID=9658", "Click here to submit comment")</f>
        <v>Click here to submit comment</v>
      </c>
    </row>
    <row r="1094" spans="1:17" x14ac:dyDescent="0.25">
      <c r="A1094" s="18"/>
      <c r="B1094" s="18"/>
      <c r="C1094" s="18"/>
      <c r="D1094" s="18"/>
      <c r="E1094" s="18"/>
      <c r="F1094" s="18"/>
      <c r="G1094" s="18"/>
      <c r="H1094" s="18"/>
      <c r="I1094" s="18"/>
      <c r="J1094" s="18"/>
      <c r="K1094" s="18"/>
      <c r="L1094" s="12"/>
      <c r="M1094" s="18"/>
      <c r="N1094" s="18"/>
      <c r="O1094" s="18"/>
      <c r="P1094" s="18"/>
      <c r="Q1094" s="18"/>
    </row>
    <row r="1095" spans="1:17" x14ac:dyDescent="0.25">
      <c r="A1095" s="18"/>
      <c r="B1095" s="18"/>
      <c r="C1095" s="18"/>
      <c r="D1095" s="18"/>
      <c r="E1095" s="18"/>
      <c r="F1095" s="18"/>
      <c r="G1095" s="18"/>
      <c r="H1095" s="18"/>
      <c r="I1095" s="18"/>
      <c r="J1095" s="18"/>
      <c r="K1095" s="18"/>
      <c r="L1095" s="12" t="s">
        <v>362</v>
      </c>
      <c r="M1095" s="18"/>
      <c r="N1095" s="18"/>
      <c r="O1095" s="18"/>
      <c r="P1095" s="18"/>
      <c r="Q1095" s="18"/>
    </row>
    <row r="1096" spans="1:17" ht="30" x14ac:dyDescent="0.25">
      <c r="A1096" s="18"/>
      <c r="B1096" s="18"/>
      <c r="C1096" s="18"/>
      <c r="D1096" s="18"/>
      <c r="E1096" s="18"/>
      <c r="F1096" s="18"/>
      <c r="G1096" s="18"/>
      <c r="H1096" s="18"/>
      <c r="I1096" s="18"/>
      <c r="J1096" s="18"/>
      <c r="K1096" s="18"/>
      <c r="L1096" s="12" t="s">
        <v>363</v>
      </c>
      <c r="M1096" s="18"/>
      <c r="N1096" s="18"/>
      <c r="O1096" s="18"/>
      <c r="P1096" s="18"/>
      <c r="Q1096" s="18"/>
    </row>
    <row r="1097" spans="1:17" x14ac:dyDescent="0.25">
      <c r="A1097" s="18"/>
      <c r="B1097" s="18"/>
      <c r="C1097" s="18"/>
      <c r="D1097" s="18"/>
      <c r="E1097" s="18"/>
      <c r="F1097" s="18"/>
      <c r="G1097" s="18"/>
      <c r="H1097" s="18"/>
      <c r="I1097" s="18"/>
      <c r="J1097" s="18"/>
      <c r="K1097" s="18"/>
      <c r="L1097" s="12" t="s">
        <v>364</v>
      </c>
      <c r="M1097" s="18"/>
      <c r="N1097" s="18"/>
      <c r="O1097" s="18"/>
      <c r="P1097" s="18"/>
      <c r="Q1097" s="18"/>
    </row>
    <row r="1098" spans="1:17" ht="30" x14ac:dyDescent="0.25">
      <c r="A1098" s="18" t="s">
        <v>7242</v>
      </c>
      <c r="B1098" s="18" t="s">
        <v>7256</v>
      </c>
      <c r="C1098" s="18" t="s">
        <v>7178</v>
      </c>
      <c r="D1098" s="18" t="s">
        <v>7172</v>
      </c>
      <c r="E1098" s="18" t="s">
        <v>6333</v>
      </c>
      <c r="F1098" s="18" t="s">
        <v>6334</v>
      </c>
      <c r="G1098" s="20" t="s">
        <v>6749</v>
      </c>
      <c r="H1098" s="18" t="s">
        <v>6390</v>
      </c>
      <c r="I1098" s="18"/>
      <c r="J1098" s="18"/>
      <c r="K1098" s="18"/>
      <c r="L1098" s="12" t="s">
        <v>361</v>
      </c>
      <c r="M1098" s="18" t="s">
        <v>6335</v>
      </c>
      <c r="N1098" s="18"/>
      <c r="O1098" s="18" t="s">
        <v>6333</v>
      </c>
      <c r="P1098" s="18" t="str">
        <f>HYPERLINK("https://ceds.ed.gov/cedselementdetails.aspx?termid=9659")</f>
        <v>https://ceds.ed.gov/cedselementdetails.aspx?termid=9659</v>
      </c>
      <c r="Q1098" s="18" t="str">
        <f>HYPERLINK("https://ceds.ed.gov/elementComment.aspx?elementName=White &amp;elementID=9659", "Click here to submit comment")</f>
        <v>Click here to submit comment</v>
      </c>
    </row>
    <row r="1099" spans="1:17" x14ac:dyDescent="0.25">
      <c r="A1099" s="18"/>
      <c r="B1099" s="18"/>
      <c r="C1099" s="18"/>
      <c r="D1099" s="18"/>
      <c r="E1099" s="18"/>
      <c r="F1099" s="18"/>
      <c r="G1099" s="18"/>
      <c r="H1099" s="18"/>
      <c r="I1099" s="18"/>
      <c r="J1099" s="18"/>
      <c r="K1099" s="18"/>
      <c r="L1099" s="12"/>
      <c r="M1099" s="18"/>
      <c r="N1099" s="18"/>
      <c r="O1099" s="18"/>
      <c r="P1099" s="18"/>
      <c r="Q1099" s="18"/>
    </row>
    <row r="1100" spans="1:17" x14ac:dyDescent="0.25">
      <c r="A1100" s="18"/>
      <c r="B1100" s="18"/>
      <c r="C1100" s="18"/>
      <c r="D1100" s="18"/>
      <c r="E1100" s="18"/>
      <c r="F1100" s="18"/>
      <c r="G1100" s="18"/>
      <c r="H1100" s="18"/>
      <c r="I1100" s="18"/>
      <c r="J1100" s="18"/>
      <c r="K1100" s="18"/>
      <c r="L1100" s="12" t="s">
        <v>362</v>
      </c>
      <c r="M1100" s="18"/>
      <c r="N1100" s="18"/>
      <c r="O1100" s="18"/>
      <c r="P1100" s="18"/>
      <c r="Q1100" s="18"/>
    </row>
    <row r="1101" spans="1:17" ht="30" x14ac:dyDescent="0.25">
      <c r="A1101" s="18"/>
      <c r="B1101" s="18"/>
      <c r="C1101" s="18"/>
      <c r="D1101" s="18"/>
      <c r="E1101" s="18"/>
      <c r="F1101" s="18"/>
      <c r="G1101" s="18"/>
      <c r="H1101" s="18"/>
      <c r="I1101" s="18"/>
      <c r="J1101" s="18"/>
      <c r="K1101" s="18"/>
      <c r="L1101" s="12" t="s">
        <v>363</v>
      </c>
      <c r="M1101" s="18"/>
      <c r="N1101" s="18"/>
      <c r="O1101" s="18"/>
      <c r="P1101" s="18"/>
      <c r="Q1101" s="18"/>
    </row>
    <row r="1102" spans="1:17" x14ac:dyDescent="0.25">
      <c r="A1102" s="18"/>
      <c r="B1102" s="18"/>
      <c r="C1102" s="18"/>
      <c r="D1102" s="18"/>
      <c r="E1102" s="18"/>
      <c r="F1102" s="18"/>
      <c r="G1102" s="18"/>
      <c r="H1102" s="18"/>
      <c r="I1102" s="18"/>
      <c r="J1102" s="18"/>
      <c r="K1102" s="18"/>
      <c r="L1102" s="12" t="s">
        <v>364</v>
      </c>
      <c r="M1102" s="18"/>
      <c r="N1102" s="18"/>
      <c r="O1102" s="18"/>
      <c r="P1102" s="18"/>
      <c r="Q1102" s="18"/>
    </row>
    <row r="1103" spans="1:17" ht="75" x14ac:dyDescent="0.25">
      <c r="A1103" s="12" t="s">
        <v>7242</v>
      </c>
      <c r="B1103" s="12" t="s">
        <v>7256</v>
      </c>
      <c r="C1103" s="12" t="s">
        <v>7178</v>
      </c>
      <c r="D1103" s="12" t="s">
        <v>7172</v>
      </c>
      <c r="E1103" s="12" t="s">
        <v>2273</v>
      </c>
      <c r="F1103" s="12" t="s">
        <v>2274</v>
      </c>
      <c r="G1103" s="12" t="s">
        <v>6364</v>
      </c>
      <c r="H1103" s="12"/>
      <c r="I1103" s="12"/>
      <c r="J1103" s="12"/>
      <c r="K1103" s="12"/>
      <c r="L1103" s="12" t="s">
        <v>2275</v>
      </c>
      <c r="M1103" s="12" t="s">
        <v>2276</v>
      </c>
      <c r="N1103" s="12"/>
      <c r="O1103" s="12" t="s">
        <v>2277</v>
      </c>
      <c r="P1103" s="12" t="str">
        <f>HYPERLINK("https://ceds.ed.gov/cedselementdetails.aspx?termid=9974")</f>
        <v>https://ceds.ed.gov/cedselementdetails.aspx?termid=9974</v>
      </c>
      <c r="Q1103" s="12" t="str">
        <f>HYPERLINK("https://ceds.ed.gov/elementComment.aspx?elementName=Demographic Race Two or More Races &amp;elementID=9974", "Click here to submit comment")</f>
        <v>Click here to submit comment</v>
      </c>
    </row>
    <row r="1104" spans="1:17" ht="30" x14ac:dyDescent="0.25">
      <c r="A1104" s="18" t="s">
        <v>7242</v>
      </c>
      <c r="B1104" s="18" t="s">
        <v>7256</v>
      </c>
      <c r="C1104" s="18" t="s">
        <v>7178</v>
      </c>
      <c r="D1104" s="18" t="s">
        <v>7172</v>
      </c>
      <c r="E1104" s="18" t="s">
        <v>3227</v>
      </c>
      <c r="F1104" s="18" t="s">
        <v>3228</v>
      </c>
      <c r="G1104" s="20" t="s">
        <v>6749</v>
      </c>
      <c r="H1104" s="18" t="s">
        <v>6390</v>
      </c>
      <c r="I1104" s="18"/>
      <c r="J1104" s="18"/>
      <c r="K1104" s="18"/>
      <c r="L1104" s="12" t="s">
        <v>361</v>
      </c>
      <c r="M1104" s="18" t="s">
        <v>3229</v>
      </c>
      <c r="N1104" s="18"/>
      <c r="O1104" s="18" t="s">
        <v>3230</v>
      </c>
      <c r="P1104" s="18" t="str">
        <f>HYPERLINK("https://ceds.ed.gov/cedselementdetails.aspx?termid=9144")</f>
        <v>https://ceds.ed.gov/cedselementdetails.aspx?termid=9144</v>
      </c>
      <c r="Q1104" s="18" t="str">
        <f>HYPERLINK("https://ceds.ed.gov/elementComment.aspx?elementName=Hispanic or Latino Ethnicity &amp;elementID=9144", "Click here to submit comment")</f>
        <v>Click here to submit comment</v>
      </c>
    </row>
    <row r="1105" spans="1:17" x14ac:dyDescent="0.25">
      <c r="A1105" s="18"/>
      <c r="B1105" s="18"/>
      <c r="C1105" s="18"/>
      <c r="D1105" s="18"/>
      <c r="E1105" s="18"/>
      <c r="F1105" s="18"/>
      <c r="G1105" s="18"/>
      <c r="H1105" s="18"/>
      <c r="I1105" s="18"/>
      <c r="J1105" s="18"/>
      <c r="K1105" s="18"/>
      <c r="L1105" s="12"/>
      <c r="M1105" s="18"/>
      <c r="N1105" s="18"/>
      <c r="O1105" s="18"/>
      <c r="P1105" s="18"/>
      <c r="Q1105" s="18"/>
    </row>
    <row r="1106" spans="1:17" x14ac:dyDescent="0.25">
      <c r="A1106" s="18"/>
      <c r="B1106" s="18"/>
      <c r="C1106" s="18"/>
      <c r="D1106" s="18"/>
      <c r="E1106" s="18"/>
      <c r="F1106" s="18"/>
      <c r="G1106" s="18"/>
      <c r="H1106" s="18"/>
      <c r="I1106" s="18"/>
      <c r="J1106" s="18"/>
      <c r="K1106" s="18"/>
      <c r="L1106" s="12" t="s">
        <v>362</v>
      </c>
      <c r="M1106" s="18"/>
      <c r="N1106" s="18"/>
      <c r="O1106" s="18"/>
      <c r="P1106" s="18"/>
      <c r="Q1106" s="18"/>
    </row>
    <row r="1107" spans="1:17" ht="30" x14ac:dyDescent="0.25">
      <c r="A1107" s="18"/>
      <c r="B1107" s="18"/>
      <c r="C1107" s="18"/>
      <c r="D1107" s="18"/>
      <c r="E1107" s="18"/>
      <c r="F1107" s="18"/>
      <c r="G1107" s="18"/>
      <c r="H1107" s="18"/>
      <c r="I1107" s="18"/>
      <c r="J1107" s="18"/>
      <c r="K1107" s="18"/>
      <c r="L1107" s="12" t="s">
        <v>363</v>
      </c>
      <c r="M1107" s="18"/>
      <c r="N1107" s="18"/>
      <c r="O1107" s="18"/>
      <c r="P1107" s="18"/>
      <c r="Q1107" s="18"/>
    </row>
    <row r="1108" spans="1:17" x14ac:dyDescent="0.25">
      <c r="A1108" s="18"/>
      <c r="B1108" s="18"/>
      <c r="C1108" s="18"/>
      <c r="D1108" s="18"/>
      <c r="E1108" s="18"/>
      <c r="F1108" s="18"/>
      <c r="G1108" s="18"/>
      <c r="H1108" s="18"/>
      <c r="I1108" s="18"/>
      <c r="J1108" s="18"/>
      <c r="K1108" s="18"/>
      <c r="L1108" s="12" t="s">
        <v>364</v>
      </c>
      <c r="M1108" s="18"/>
      <c r="N1108" s="18"/>
      <c r="O1108" s="18"/>
      <c r="P1108" s="18"/>
      <c r="Q1108" s="18"/>
    </row>
    <row r="1109" spans="1:17" ht="409.5" x14ac:dyDescent="0.25">
      <c r="A1109" s="12" t="s">
        <v>7242</v>
      </c>
      <c r="B1109" s="12" t="s">
        <v>7256</v>
      </c>
      <c r="C1109" s="12" t="s">
        <v>7178</v>
      </c>
      <c r="D1109" s="12" t="s">
        <v>7172</v>
      </c>
      <c r="E1109" s="12" t="s">
        <v>1939</v>
      </c>
      <c r="F1109" s="12" t="s">
        <v>1940</v>
      </c>
      <c r="G1109" s="13" t="s">
        <v>6829</v>
      </c>
      <c r="H1109" s="12" t="s">
        <v>6468</v>
      </c>
      <c r="I1109" s="12" t="s">
        <v>98</v>
      </c>
      <c r="J1109" s="12"/>
      <c r="K1109" s="12"/>
      <c r="L1109" s="14" t="s">
        <v>1936</v>
      </c>
      <c r="M1109" s="12" t="s">
        <v>1941</v>
      </c>
      <c r="N1109" s="12"/>
      <c r="O1109" s="12" t="s">
        <v>1942</v>
      </c>
      <c r="P1109" s="12" t="str">
        <f>HYPERLINK("https://ceds.ed.gov/cedselementdetails.aspx?termid=9051")</f>
        <v>https://ceds.ed.gov/cedselementdetails.aspx?termid=9051</v>
      </c>
      <c r="Q1109" s="12" t="str">
        <f>HYPERLINK("https://ceds.ed.gov/elementComment.aspx?elementName=Country of Birth Code &amp;elementID=9051", "Click here to submit comment")</f>
        <v>Click here to submit comment</v>
      </c>
    </row>
    <row r="1110" spans="1:17" ht="409.5" x14ac:dyDescent="0.25">
      <c r="A1110" s="12" t="s">
        <v>7242</v>
      </c>
      <c r="B1110" s="12" t="s">
        <v>7256</v>
      </c>
      <c r="C1110" s="12" t="s">
        <v>7178</v>
      </c>
      <c r="D1110" s="12" t="s">
        <v>7172</v>
      </c>
      <c r="E1110" s="12" t="s">
        <v>5938</v>
      </c>
      <c r="F1110" s="12" t="s">
        <v>5939</v>
      </c>
      <c r="G1110" s="13" t="s">
        <v>7089</v>
      </c>
      <c r="H1110" s="12" t="s">
        <v>1578</v>
      </c>
      <c r="I1110" s="12"/>
      <c r="J1110" s="12"/>
      <c r="K1110" s="12"/>
      <c r="L1110" s="12"/>
      <c r="M1110" s="12" t="s">
        <v>5940</v>
      </c>
      <c r="N1110" s="12"/>
      <c r="O1110" s="12" t="s">
        <v>5941</v>
      </c>
      <c r="P1110" s="12" t="str">
        <f>HYPERLINK("https://ceds.ed.gov/cedselementdetails.aspx?termid=9417")</f>
        <v>https://ceds.ed.gov/cedselementdetails.aspx?termid=9417</v>
      </c>
      <c r="Q1110" s="12" t="str">
        <f>HYPERLINK("https://ceds.ed.gov/elementComment.aspx?elementName=State of Birth Abbreviation &amp;elementID=9417", "Click here to submit comment")</f>
        <v>Click here to submit comment</v>
      </c>
    </row>
    <row r="1111" spans="1:17" ht="30" x14ac:dyDescent="0.25">
      <c r="A1111" s="12" t="s">
        <v>7242</v>
      </c>
      <c r="B1111" s="12" t="s">
        <v>7256</v>
      </c>
      <c r="C1111" s="12" t="s">
        <v>7178</v>
      </c>
      <c r="D1111" s="12" t="s">
        <v>7172</v>
      </c>
      <c r="E1111" s="12" t="s">
        <v>1799</v>
      </c>
      <c r="F1111" s="12" t="s">
        <v>1800</v>
      </c>
      <c r="G1111" s="12" t="s">
        <v>12</v>
      </c>
      <c r="H1111" s="12" t="s">
        <v>1578</v>
      </c>
      <c r="I1111" s="12"/>
      <c r="J1111" s="12" t="s">
        <v>92</v>
      </c>
      <c r="K1111" s="12"/>
      <c r="L1111" s="12"/>
      <c r="M1111" s="12" t="s">
        <v>1802</v>
      </c>
      <c r="N1111" s="12"/>
      <c r="O1111" s="12" t="s">
        <v>1803</v>
      </c>
      <c r="P1111" s="12" t="str">
        <f>HYPERLINK("https://ceds.ed.gov/cedselementdetails.aspx?termid=9416")</f>
        <v>https://ceds.ed.gov/cedselementdetails.aspx?termid=9416</v>
      </c>
      <c r="Q1111" s="12" t="str">
        <f>HYPERLINK("https://ceds.ed.gov/elementComment.aspx?elementName=City of Birth &amp;elementID=9416", "Click here to submit comment")</f>
        <v>Click here to submit comment</v>
      </c>
    </row>
    <row r="1112" spans="1:17" ht="150" x14ac:dyDescent="0.25">
      <c r="A1112" s="12" t="s">
        <v>7242</v>
      </c>
      <c r="B1112" s="12" t="s">
        <v>7256</v>
      </c>
      <c r="C1112" s="12" t="s">
        <v>7178</v>
      </c>
      <c r="D1112" s="12" t="s">
        <v>7172</v>
      </c>
      <c r="E1112" s="12" t="s">
        <v>5234</v>
      </c>
      <c r="F1112" s="12" t="s">
        <v>5235</v>
      </c>
      <c r="G1112" s="13" t="s">
        <v>7087</v>
      </c>
      <c r="H1112" s="12"/>
      <c r="I1112" s="12"/>
      <c r="J1112" s="12"/>
      <c r="K1112" s="12"/>
      <c r="L1112" s="12"/>
      <c r="M1112" s="12" t="s">
        <v>5236</v>
      </c>
      <c r="N1112" s="12"/>
      <c r="O1112" s="12" t="s">
        <v>5237</v>
      </c>
      <c r="P1112" s="12" t="str">
        <f>HYPERLINK("https://ceds.ed.gov/cedselementdetails.aspx?termid=9523")</f>
        <v>https://ceds.ed.gov/cedselementdetails.aspx?termid=9523</v>
      </c>
      <c r="Q1112" s="12" t="str">
        <f>HYPERLINK("https://ceds.ed.gov/elementComment.aspx?elementName=Public School Residence Status &amp;elementID=9523", "Click here to submit comment")</f>
        <v>Click here to submit comment</v>
      </c>
    </row>
    <row r="1113" spans="1:17" ht="409.5" x14ac:dyDescent="0.25">
      <c r="A1113" s="22" t="s">
        <v>7242</v>
      </c>
      <c r="B1113" s="22" t="s">
        <v>7256</v>
      </c>
      <c r="C1113" s="22" t="s">
        <v>7178</v>
      </c>
      <c r="D1113" s="22" t="s">
        <v>7172</v>
      </c>
      <c r="E1113" s="22" t="s">
        <v>6228</v>
      </c>
      <c r="F1113" s="22" t="s">
        <v>6229</v>
      </c>
      <c r="G1113" s="13" t="s">
        <v>7158</v>
      </c>
      <c r="H1113" s="22"/>
      <c r="I1113" s="22" t="s">
        <v>1498</v>
      </c>
      <c r="J1113" s="22"/>
      <c r="K1113" s="22"/>
      <c r="L1113" s="22"/>
      <c r="M1113" s="22" t="s">
        <v>6230</v>
      </c>
      <c r="N1113" s="22"/>
      <c r="O1113" s="22" t="s">
        <v>6231</v>
      </c>
      <c r="P1113" s="22" t="str">
        <f>HYPERLINK("https://ceds.ed.gov/cedselementdetails.aspx?termid=10638")</f>
        <v>https://ceds.ed.gov/cedselementdetails.aspx?termid=10638</v>
      </c>
      <c r="Q1113" s="22" t="str">
        <f>HYPERLINK("https://ceds.ed.gov/elementComment.aspx?elementName=Tribal Affiliation &amp;elementID=10638", "Click here to submit comment")</f>
        <v>Click here to submit comment</v>
      </c>
    </row>
    <row r="1114" spans="1:17" ht="409.5" x14ac:dyDescent="0.25">
      <c r="A1114" s="23"/>
      <c r="B1114" s="23"/>
      <c r="C1114" s="23"/>
      <c r="D1114" s="23"/>
      <c r="E1114" s="23"/>
      <c r="F1114" s="23"/>
      <c r="G1114" s="13" t="s">
        <v>7159</v>
      </c>
      <c r="H1114" s="23"/>
      <c r="I1114" s="23"/>
      <c r="J1114" s="23"/>
      <c r="K1114" s="23"/>
      <c r="L1114" s="23"/>
      <c r="M1114" s="23"/>
      <c r="N1114" s="23"/>
      <c r="O1114" s="23"/>
      <c r="P1114" s="23"/>
      <c r="Q1114" s="23"/>
    </row>
    <row r="1115" spans="1:17" ht="409.5" x14ac:dyDescent="0.25">
      <c r="A1115" s="23"/>
      <c r="B1115" s="23"/>
      <c r="C1115" s="23"/>
      <c r="D1115" s="23"/>
      <c r="E1115" s="23"/>
      <c r="F1115" s="23"/>
      <c r="G1115" s="13" t="s">
        <v>7160</v>
      </c>
      <c r="H1115" s="23"/>
      <c r="I1115" s="23"/>
      <c r="J1115" s="23"/>
      <c r="K1115" s="23"/>
      <c r="L1115" s="23"/>
      <c r="M1115" s="23"/>
      <c r="N1115" s="23"/>
      <c r="O1115" s="23"/>
      <c r="P1115" s="23"/>
      <c r="Q1115" s="23"/>
    </row>
    <row r="1116" spans="1:17" ht="409.5" x14ac:dyDescent="0.25">
      <c r="A1116" s="23"/>
      <c r="B1116" s="23"/>
      <c r="C1116" s="23"/>
      <c r="D1116" s="23"/>
      <c r="E1116" s="23"/>
      <c r="F1116" s="23"/>
      <c r="G1116" s="13" t="s">
        <v>7161</v>
      </c>
      <c r="H1116" s="23"/>
      <c r="I1116" s="23"/>
      <c r="J1116" s="23"/>
      <c r="K1116" s="23"/>
      <c r="L1116" s="23"/>
      <c r="M1116" s="23"/>
      <c r="N1116" s="23"/>
      <c r="O1116" s="23"/>
      <c r="P1116" s="23"/>
      <c r="Q1116" s="23"/>
    </row>
    <row r="1117" spans="1:17" ht="409.5" x14ac:dyDescent="0.25">
      <c r="A1117" s="23"/>
      <c r="B1117" s="23"/>
      <c r="C1117" s="23"/>
      <c r="D1117" s="23"/>
      <c r="E1117" s="23"/>
      <c r="F1117" s="23"/>
      <c r="G1117" s="13" t="s">
        <v>7162</v>
      </c>
      <c r="H1117" s="23"/>
      <c r="I1117" s="23"/>
      <c r="J1117" s="23"/>
      <c r="K1117" s="23"/>
      <c r="L1117" s="23"/>
      <c r="M1117" s="23"/>
      <c r="N1117" s="23"/>
      <c r="O1117" s="23"/>
      <c r="P1117" s="23"/>
      <c r="Q1117" s="23"/>
    </row>
    <row r="1118" spans="1:17" ht="409.5" x14ac:dyDescent="0.25">
      <c r="A1118" s="23"/>
      <c r="B1118" s="23"/>
      <c r="C1118" s="23"/>
      <c r="D1118" s="23"/>
      <c r="E1118" s="23"/>
      <c r="F1118" s="23"/>
      <c r="G1118" s="13" t="s">
        <v>7163</v>
      </c>
      <c r="H1118" s="23"/>
      <c r="I1118" s="23"/>
      <c r="J1118" s="23"/>
      <c r="K1118" s="23"/>
      <c r="L1118" s="23"/>
      <c r="M1118" s="23"/>
      <c r="N1118" s="23"/>
      <c r="O1118" s="23"/>
      <c r="P1118" s="23"/>
      <c r="Q1118" s="23"/>
    </row>
    <row r="1119" spans="1:17" ht="409.5" x14ac:dyDescent="0.25">
      <c r="A1119" s="23"/>
      <c r="B1119" s="23"/>
      <c r="C1119" s="23"/>
      <c r="D1119" s="23"/>
      <c r="E1119" s="23"/>
      <c r="F1119" s="23"/>
      <c r="G1119" s="13" t="s">
        <v>7164</v>
      </c>
      <c r="H1119" s="23"/>
      <c r="I1119" s="23"/>
      <c r="J1119" s="23"/>
      <c r="K1119" s="23"/>
      <c r="L1119" s="23"/>
      <c r="M1119" s="23"/>
      <c r="N1119" s="23"/>
      <c r="O1119" s="23"/>
      <c r="P1119" s="23"/>
      <c r="Q1119" s="23"/>
    </row>
    <row r="1120" spans="1:17" ht="409.5" x14ac:dyDescent="0.25">
      <c r="A1120" s="23"/>
      <c r="B1120" s="23"/>
      <c r="C1120" s="23"/>
      <c r="D1120" s="23"/>
      <c r="E1120" s="23"/>
      <c r="F1120" s="23"/>
      <c r="G1120" s="13" t="s">
        <v>7165</v>
      </c>
      <c r="H1120" s="23"/>
      <c r="I1120" s="23"/>
      <c r="J1120" s="23"/>
      <c r="K1120" s="23"/>
      <c r="L1120" s="23"/>
      <c r="M1120" s="23"/>
      <c r="N1120" s="23"/>
      <c r="O1120" s="23"/>
      <c r="P1120" s="23"/>
      <c r="Q1120" s="23"/>
    </row>
    <row r="1121" spans="1:17" ht="409.5" x14ac:dyDescent="0.25">
      <c r="A1121" s="23"/>
      <c r="B1121" s="23"/>
      <c r="C1121" s="23"/>
      <c r="D1121" s="23"/>
      <c r="E1121" s="23"/>
      <c r="F1121" s="23"/>
      <c r="G1121" s="13" t="s">
        <v>7166</v>
      </c>
      <c r="H1121" s="23"/>
      <c r="I1121" s="23"/>
      <c r="J1121" s="23"/>
      <c r="K1121" s="23"/>
      <c r="L1121" s="23"/>
      <c r="M1121" s="23"/>
      <c r="N1121" s="23"/>
      <c r="O1121" s="23"/>
      <c r="P1121" s="23"/>
      <c r="Q1121" s="23"/>
    </row>
    <row r="1122" spans="1:17" ht="409.5" x14ac:dyDescent="0.25">
      <c r="A1122" s="23"/>
      <c r="B1122" s="23"/>
      <c r="C1122" s="23"/>
      <c r="D1122" s="23"/>
      <c r="E1122" s="23"/>
      <c r="F1122" s="23"/>
      <c r="G1122" s="13" t="s">
        <v>7167</v>
      </c>
      <c r="H1122" s="23"/>
      <c r="I1122" s="23"/>
      <c r="J1122" s="23"/>
      <c r="K1122" s="23"/>
      <c r="L1122" s="23"/>
      <c r="M1122" s="23"/>
      <c r="N1122" s="23"/>
      <c r="O1122" s="23"/>
      <c r="P1122" s="23"/>
      <c r="Q1122" s="23"/>
    </row>
    <row r="1123" spans="1:17" ht="409.5" x14ac:dyDescent="0.25">
      <c r="A1123" s="24"/>
      <c r="B1123" s="24"/>
      <c r="C1123" s="24"/>
      <c r="D1123" s="24"/>
      <c r="E1123" s="24"/>
      <c r="F1123" s="24"/>
      <c r="G1123" s="13" t="s">
        <v>7168</v>
      </c>
      <c r="H1123" s="24"/>
      <c r="I1123" s="24"/>
      <c r="J1123" s="24"/>
      <c r="K1123" s="24"/>
      <c r="L1123" s="24"/>
      <c r="M1123" s="24"/>
      <c r="N1123" s="24"/>
      <c r="O1123" s="24"/>
      <c r="P1123" s="24"/>
      <c r="Q1123" s="24"/>
    </row>
    <row r="1124" spans="1:17" ht="30" x14ac:dyDescent="0.25">
      <c r="A1124" s="12" t="s">
        <v>7242</v>
      </c>
      <c r="B1124" s="12" t="s">
        <v>7256</v>
      </c>
      <c r="C1124" s="12" t="s">
        <v>7178</v>
      </c>
      <c r="D1124" s="12" t="s">
        <v>7172</v>
      </c>
      <c r="E1124" s="12" t="s">
        <v>1574</v>
      </c>
      <c r="F1124" s="12" t="s">
        <v>1575</v>
      </c>
      <c r="G1124" s="12" t="s">
        <v>12</v>
      </c>
      <c r="H1124" s="12" t="s">
        <v>1578</v>
      </c>
      <c r="I1124" s="12"/>
      <c r="J1124" s="12" t="s">
        <v>99</v>
      </c>
      <c r="K1124" s="12"/>
      <c r="L1124" s="12"/>
      <c r="M1124" s="12" t="s">
        <v>1576</v>
      </c>
      <c r="N1124" s="12"/>
      <c r="O1124" s="12" t="s">
        <v>1577</v>
      </c>
      <c r="P1124" s="12" t="str">
        <f>HYPERLINK("https://ceds.ed.gov/cedselementdetails.aspx?termid=9418")</f>
        <v>https://ceds.ed.gov/cedselementdetails.aspx?termid=9418</v>
      </c>
      <c r="Q1124" s="12" t="str">
        <f>HYPERLINK("https://ceds.ed.gov/elementComment.aspx?elementName=Birthdate Verification &amp;elementID=9418", "Click here to submit comment")</f>
        <v>Click here to submit comment</v>
      </c>
    </row>
    <row r="1125" spans="1:17" ht="105" x14ac:dyDescent="0.25">
      <c r="A1125" s="12" t="s">
        <v>7242</v>
      </c>
      <c r="B1125" s="12" t="s">
        <v>7256</v>
      </c>
      <c r="C1125" s="12" t="s">
        <v>7178</v>
      </c>
      <c r="D1125" s="12" t="s">
        <v>7172</v>
      </c>
      <c r="E1125" s="12" t="s">
        <v>4476</v>
      </c>
      <c r="F1125" s="12" t="s">
        <v>4477</v>
      </c>
      <c r="G1125" s="13" t="s">
        <v>7035</v>
      </c>
      <c r="H1125" s="12"/>
      <c r="I1125" s="12" t="s">
        <v>1498</v>
      </c>
      <c r="J1125" s="12"/>
      <c r="K1125" s="12"/>
      <c r="L1125" s="12"/>
      <c r="M1125" s="12" t="s">
        <v>4478</v>
      </c>
      <c r="N1125" s="12"/>
      <c r="O1125" s="12" t="s">
        <v>4479</v>
      </c>
      <c r="P1125" s="12" t="str">
        <f>HYPERLINK("https://ceds.ed.gov/cedselementdetails.aspx?termid=10621")</f>
        <v>https://ceds.ed.gov/cedselementdetails.aspx?termid=10621</v>
      </c>
      <c r="Q1125" s="12" t="str">
        <f>HYPERLINK("https://ceds.ed.gov/elementComment.aspx?elementName=Military Branch &amp;elementID=10621", "Click here to submit comment")</f>
        <v>Click here to submit comment</v>
      </c>
    </row>
    <row r="1126" spans="1:17" ht="105" x14ac:dyDescent="0.25">
      <c r="A1126" s="12" t="s">
        <v>7242</v>
      </c>
      <c r="B1126" s="12" t="s">
        <v>7256</v>
      </c>
      <c r="C1126" s="12" t="s">
        <v>7178</v>
      </c>
      <c r="D1126" s="12" t="s">
        <v>7172</v>
      </c>
      <c r="E1126" s="12" t="s">
        <v>4480</v>
      </c>
      <c r="F1126" s="12" t="s">
        <v>4481</v>
      </c>
      <c r="G1126" s="13" t="s">
        <v>7036</v>
      </c>
      <c r="H1126" s="12"/>
      <c r="I1126" s="12"/>
      <c r="J1126" s="12"/>
      <c r="K1126" s="12"/>
      <c r="L1126" s="12"/>
      <c r="M1126" s="12" t="s">
        <v>4482</v>
      </c>
      <c r="N1126" s="12"/>
      <c r="O1126" s="12" t="s">
        <v>4483</v>
      </c>
      <c r="P1126" s="12" t="str">
        <f>HYPERLINK("https://ceds.ed.gov/cedselementdetails.aspx?termid=10555")</f>
        <v>https://ceds.ed.gov/cedselementdetails.aspx?termid=10555</v>
      </c>
      <c r="Q1126" s="12" t="str">
        <f>HYPERLINK("https://ceds.ed.gov/elementComment.aspx?elementName=Military Connected Student Indicator &amp;elementID=10555", "Click here to submit comment")</f>
        <v>Click here to submit comment</v>
      </c>
    </row>
    <row r="1127" spans="1:17" ht="105" x14ac:dyDescent="0.25">
      <c r="A1127" s="18" t="s">
        <v>7242</v>
      </c>
      <c r="B1127" s="18" t="s">
        <v>7256</v>
      </c>
      <c r="C1127" s="18" t="s">
        <v>7191</v>
      </c>
      <c r="D1127" s="18" t="s">
        <v>7172</v>
      </c>
      <c r="E1127" s="18" t="s">
        <v>4328</v>
      </c>
      <c r="F1127" s="18" t="s">
        <v>4329</v>
      </c>
      <c r="G1127" s="18" t="s">
        <v>12</v>
      </c>
      <c r="H1127" s="18" t="s">
        <v>6596</v>
      </c>
      <c r="I1127" s="18"/>
      <c r="J1127" s="18" t="s">
        <v>142</v>
      </c>
      <c r="K1127" s="18"/>
      <c r="L1127" s="12" t="s">
        <v>143</v>
      </c>
      <c r="M1127" s="18" t="s">
        <v>4330</v>
      </c>
      <c r="N1127" s="18" t="s">
        <v>4331</v>
      </c>
      <c r="O1127" s="18" t="s">
        <v>4332</v>
      </c>
      <c r="P1127" s="18" t="str">
        <f>HYPERLINK("https://ceds.ed.gov/cedselementdetails.aspx?termid=9153")</f>
        <v>https://ceds.ed.gov/cedselementdetails.aspx?termid=9153</v>
      </c>
      <c r="Q1127" s="18" t="str">
        <f>HYPERLINK("https://ceds.ed.gov/elementComment.aspx?elementName=Local Education Agency Identifier &amp;elementID=9153", "Click here to submit comment")</f>
        <v>Click here to submit comment</v>
      </c>
    </row>
    <row r="1128" spans="1:17" x14ac:dyDescent="0.25">
      <c r="A1128" s="18"/>
      <c r="B1128" s="18"/>
      <c r="C1128" s="18"/>
      <c r="D1128" s="18"/>
      <c r="E1128" s="18"/>
      <c r="F1128" s="18"/>
      <c r="G1128" s="18"/>
      <c r="H1128" s="18"/>
      <c r="I1128" s="18"/>
      <c r="J1128" s="18"/>
      <c r="K1128" s="18"/>
      <c r="L1128" s="12"/>
      <c r="M1128" s="18"/>
      <c r="N1128" s="18"/>
      <c r="O1128" s="18"/>
      <c r="P1128" s="18"/>
      <c r="Q1128" s="18"/>
    </row>
    <row r="1129" spans="1:17" ht="90" x14ac:dyDescent="0.25">
      <c r="A1129" s="18"/>
      <c r="B1129" s="18"/>
      <c r="C1129" s="18"/>
      <c r="D1129" s="18"/>
      <c r="E1129" s="18"/>
      <c r="F1129" s="18"/>
      <c r="G1129" s="18"/>
      <c r="H1129" s="18"/>
      <c r="I1129" s="18"/>
      <c r="J1129" s="18"/>
      <c r="K1129" s="18"/>
      <c r="L1129" s="12" t="s">
        <v>144</v>
      </c>
      <c r="M1129" s="18"/>
      <c r="N1129" s="18"/>
      <c r="O1129" s="18"/>
      <c r="P1129" s="18"/>
      <c r="Q1129" s="18"/>
    </row>
    <row r="1130" spans="1:17" ht="240" x14ac:dyDescent="0.25">
      <c r="A1130" s="12" t="s">
        <v>7242</v>
      </c>
      <c r="B1130" s="12" t="s">
        <v>7256</v>
      </c>
      <c r="C1130" s="12" t="s">
        <v>7191</v>
      </c>
      <c r="D1130" s="12" t="s">
        <v>7172</v>
      </c>
      <c r="E1130" s="12" t="s">
        <v>4323</v>
      </c>
      <c r="F1130" s="12" t="s">
        <v>4324</v>
      </c>
      <c r="G1130" s="13" t="s">
        <v>7020</v>
      </c>
      <c r="H1130" s="12" t="s">
        <v>6596</v>
      </c>
      <c r="I1130" s="12" t="s">
        <v>98</v>
      </c>
      <c r="J1130" s="12"/>
      <c r="K1130" s="12"/>
      <c r="L1130" s="12"/>
      <c r="M1130" s="12" t="s">
        <v>4325</v>
      </c>
      <c r="N1130" s="12" t="s">
        <v>4326</v>
      </c>
      <c r="O1130" s="12" t="s">
        <v>4327</v>
      </c>
      <c r="P1130" s="12" t="str">
        <f>HYPERLINK("https://ceds.ed.gov/cedselementdetails.aspx?termid=9159")</f>
        <v>https://ceds.ed.gov/cedselementdetails.aspx?termid=9159</v>
      </c>
      <c r="Q1130" s="12" t="str">
        <f>HYPERLINK("https://ceds.ed.gov/elementComment.aspx?elementName=Local Education Agency Identification System &amp;elementID=9159", "Click here to submit comment")</f>
        <v>Click here to submit comment</v>
      </c>
    </row>
    <row r="1131" spans="1:17" ht="105" x14ac:dyDescent="0.25">
      <c r="A1131" s="18" t="s">
        <v>7242</v>
      </c>
      <c r="B1131" s="18" t="s">
        <v>7256</v>
      </c>
      <c r="C1131" s="18" t="s">
        <v>7191</v>
      </c>
      <c r="D1131" s="18" t="s">
        <v>7172</v>
      </c>
      <c r="E1131" s="18" t="s">
        <v>5583</v>
      </c>
      <c r="F1131" s="18" t="s">
        <v>279</v>
      </c>
      <c r="G1131" s="18" t="s">
        <v>12</v>
      </c>
      <c r="H1131" s="18" t="s">
        <v>6657</v>
      </c>
      <c r="I1131" s="18"/>
      <c r="J1131" s="18" t="s">
        <v>142</v>
      </c>
      <c r="K1131" s="18"/>
      <c r="L1131" s="12" t="s">
        <v>143</v>
      </c>
      <c r="M1131" s="18" t="s">
        <v>5584</v>
      </c>
      <c r="N1131" s="18"/>
      <c r="O1131" s="18" t="s">
        <v>5585</v>
      </c>
      <c r="P1131" s="18" t="str">
        <f>HYPERLINK("https://ceds.ed.gov/cedselementdetails.aspx?termid=9155")</f>
        <v>https://ceds.ed.gov/cedselementdetails.aspx?termid=9155</v>
      </c>
      <c r="Q1131" s="18" t="str">
        <f>HYPERLINK("https://ceds.ed.gov/elementComment.aspx?elementName=School Identifier &amp;elementID=9155", "Click here to submit comment")</f>
        <v>Click here to submit comment</v>
      </c>
    </row>
    <row r="1132" spans="1:17" x14ac:dyDescent="0.25">
      <c r="A1132" s="18"/>
      <c r="B1132" s="18"/>
      <c r="C1132" s="18"/>
      <c r="D1132" s="18"/>
      <c r="E1132" s="18"/>
      <c r="F1132" s="18"/>
      <c r="G1132" s="18"/>
      <c r="H1132" s="18"/>
      <c r="I1132" s="18"/>
      <c r="J1132" s="18"/>
      <c r="K1132" s="18"/>
      <c r="L1132" s="12"/>
      <c r="M1132" s="18"/>
      <c r="N1132" s="18"/>
      <c r="O1132" s="18"/>
      <c r="P1132" s="18"/>
      <c r="Q1132" s="18"/>
    </row>
    <row r="1133" spans="1:17" ht="90" x14ac:dyDescent="0.25">
      <c r="A1133" s="18"/>
      <c r="B1133" s="18"/>
      <c r="C1133" s="18"/>
      <c r="D1133" s="18"/>
      <c r="E1133" s="18"/>
      <c r="F1133" s="18"/>
      <c r="G1133" s="18"/>
      <c r="H1133" s="18"/>
      <c r="I1133" s="18"/>
      <c r="J1133" s="18"/>
      <c r="K1133" s="18"/>
      <c r="L1133" s="12" t="s">
        <v>144</v>
      </c>
      <c r="M1133" s="18"/>
      <c r="N1133" s="18"/>
      <c r="O1133" s="18"/>
      <c r="P1133" s="18"/>
      <c r="Q1133" s="18"/>
    </row>
    <row r="1134" spans="1:17" ht="270" x14ac:dyDescent="0.25">
      <c r="A1134" s="12" t="s">
        <v>7242</v>
      </c>
      <c r="B1134" s="12" t="s">
        <v>7256</v>
      </c>
      <c r="C1134" s="12" t="s">
        <v>7191</v>
      </c>
      <c r="D1134" s="12" t="s">
        <v>7172</v>
      </c>
      <c r="E1134" s="12" t="s">
        <v>5580</v>
      </c>
      <c r="F1134" s="12" t="s">
        <v>275</v>
      </c>
      <c r="G1134" s="13" t="s">
        <v>7103</v>
      </c>
      <c r="H1134" s="12" t="s">
        <v>6657</v>
      </c>
      <c r="I1134" s="12"/>
      <c r="J1134" s="12"/>
      <c r="K1134" s="12"/>
      <c r="L1134" s="12"/>
      <c r="M1134" s="12" t="s">
        <v>5581</v>
      </c>
      <c r="N1134" s="12"/>
      <c r="O1134" s="12" t="s">
        <v>5582</v>
      </c>
      <c r="P1134" s="12" t="str">
        <f>HYPERLINK("https://ceds.ed.gov/cedselementdetails.aspx?termid=9161")</f>
        <v>https://ceds.ed.gov/cedselementdetails.aspx?termid=9161</v>
      </c>
      <c r="Q1134" s="12" t="str">
        <f>HYPERLINK("https://ceds.ed.gov/elementComment.aspx?elementName=School Identification System &amp;elementID=9161", "Click here to submit comment")</f>
        <v>Click here to submit comment</v>
      </c>
    </row>
    <row r="1135" spans="1:17" ht="105" x14ac:dyDescent="0.25">
      <c r="A1135" s="18" t="s">
        <v>7242</v>
      </c>
      <c r="B1135" s="18" t="s">
        <v>7256</v>
      </c>
      <c r="C1135" s="18" t="s">
        <v>7191</v>
      </c>
      <c r="D1135" s="18" t="s">
        <v>7172</v>
      </c>
      <c r="E1135" s="18" t="s">
        <v>5386</v>
      </c>
      <c r="F1135" s="18" t="s">
        <v>5387</v>
      </c>
      <c r="G1135" s="18" t="s">
        <v>12</v>
      </c>
      <c r="H1135" s="18" t="s">
        <v>222</v>
      </c>
      <c r="I1135" s="18"/>
      <c r="J1135" s="18" t="s">
        <v>142</v>
      </c>
      <c r="K1135" s="18"/>
      <c r="L1135" s="12" t="s">
        <v>143</v>
      </c>
      <c r="M1135" s="18" t="s">
        <v>5388</v>
      </c>
      <c r="N1135" s="18"/>
      <c r="O1135" s="18" t="s">
        <v>5389</v>
      </c>
      <c r="P1135" s="18" t="str">
        <f>HYPERLINK("https://ceds.ed.gov/cedselementdetails.aspx?termid=9639")</f>
        <v>https://ceds.ed.gov/cedselementdetails.aspx?termid=9639</v>
      </c>
      <c r="Q1135" s="18" t="str">
        <f>HYPERLINK("https://ceds.ed.gov/elementComment.aspx?elementName=Responsible District Identifier &amp;elementID=9639", "Click here to submit comment")</f>
        <v>Click here to submit comment</v>
      </c>
    </row>
    <row r="1136" spans="1:17" x14ac:dyDescent="0.25">
      <c r="A1136" s="18"/>
      <c r="B1136" s="18"/>
      <c r="C1136" s="18"/>
      <c r="D1136" s="18"/>
      <c r="E1136" s="18"/>
      <c r="F1136" s="18"/>
      <c r="G1136" s="18"/>
      <c r="H1136" s="18"/>
      <c r="I1136" s="18"/>
      <c r="J1136" s="18"/>
      <c r="K1136" s="18"/>
      <c r="L1136" s="12"/>
      <c r="M1136" s="18"/>
      <c r="N1136" s="18"/>
      <c r="O1136" s="18"/>
      <c r="P1136" s="18"/>
      <c r="Q1136" s="18"/>
    </row>
    <row r="1137" spans="1:17" ht="90" x14ac:dyDescent="0.25">
      <c r="A1137" s="18"/>
      <c r="B1137" s="18"/>
      <c r="C1137" s="18"/>
      <c r="D1137" s="18"/>
      <c r="E1137" s="18"/>
      <c r="F1137" s="18"/>
      <c r="G1137" s="18"/>
      <c r="H1137" s="18"/>
      <c r="I1137" s="18"/>
      <c r="J1137" s="18"/>
      <c r="K1137" s="18"/>
      <c r="L1137" s="12" t="s">
        <v>144</v>
      </c>
      <c r="M1137" s="18"/>
      <c r="N1137" s="18"/>
      <c r="O1137" s="18"/>
      <c r="P1137" s="18"/>
      <c r="Q1137" s="18"/>
    </row>
    <row r="1138" spans="1:17" ht="120" x14ac:dyDescent="0.25">
      <c r="A1138" s="12" t="s">
        <v>7242</v>
      </c>
      <c r="B1138" s="12" t="s">
        <v>7256</v>
      </c>
      <c r="C1138" s="12" t="s">
        <v>7191</v>
      </c>
      <c r="D1138" s="12" t="s">
        <v>7172</v>
      </c>
      <c r="E1138" s="12" t="s">
        <v>5390</v>
      </c>
      <c r="F1138" s="12" t="s">
        <v>5391</v>
      </c>
      <c r="G1138" s="13" t="s">
        <v>7098</v>
      </c>
      <c r="H1138" s="12" t="s">
        <v>222</v>
      </c>
      <c r="I1138" s="12"/>
      <c r="J1138" s="12"/>
      <c r="K1138" s="12"/>
      <c r="L1138" s="12"/>
      <c r="M1138" s="12" t="s">
        <v>5392</v>
      </c>
      <c r="N1138" s="12"/>
      <c r="O1138" s="12" t="s">
        <v>5393</v>
      </c>
      <c r="P1138" s="12" t="str">
        <f>HYPERLINK("https://ceds.ed.gov/cedselementdetails.aspx?termid=9587")</f>
        <v>https://ceds.ed.gov/cedselementdetails.aspx?termid=9587</v>
      </c>
      <c r="Q1138" s="12" t="str">
        <f>HYPERLINK("https://ceds.ed.gov/elementComment.aspx?elementName=Responsible District Type &amp;elementID=9587", "Click here to submit comment")</f>
        <v>Click here to submit comment</v>
      </c>
    </row>
    <row r="1139" spans="1:17" ht="105" x14ac:dyDescent="0.25">
      <c r="A1139" s="18" t="s">
        <v>7242</v>
      </c>
      <c r="B1139" s="18" t="s">
        <v>7256</v>
      </c>
      <c r="C1139" s="18" t="s">
        <v>7191</v>
      </c>
      <c r="D1139" s="18" t="s">
        <v>7172</v>
      </c>
      <c r="E1139" s="18" t="s">
        <v>5409</v>
      </c>
      <c r="F1139" s="18" t="s">
        <v>5410</v>
      </c>
      <c r="G1139" s="18" t="s">
        <v>12</v>
      </c>
      <c r="H1139" s="18" t="s">
        <v>222</v>
      </c>
      <c r="I1139" s="18"/>
      <c r="J1139" s="18" t="s">
        <v>142</v>
      </c>
      <c r="K1139" s="18"/>
      <c r="L1139" s="12" t="s">
        <v>143</v>
      </c>
      <c r="M1139" s="18" t="s">
        <v>5411</v>
      </c>
      <c r="N1139" s="18"/>
      <c r="O1139" s="18" t="s">
        <v>5412</v>
      </c>
      <c r="P1139" s="18" t="str">
        <f>HYPERLINK("https://ceds.ed.gov/cedselementdetails.aspx?termid=9640")</f>
        <v>https://ceds.ed.gov/cedselementdetails.aspx?termid=9640</v>
      </c>
      <c r="Q1139" s="18" t="str">
        <f>HYPERLINK("https://ceds.ed.gov/elementComment.aspx?elementName=Responsible School Identifier &amp;elementID=9640", "Click here to submit comment")</f>
        <v>Click here to submit comment</v>
      </c>
    </row>
    <row r="1140" spans="1:17" x14ac:dyDescent="0.25">
      <c r="A1140" s="18"/>
      <c r="B1140" s="18"/>
      <c r="C1140" s="18"/>
      <c r="D1140" s="18"/>
      <c r="E1140" s="18"/>
      <c r="F1140" s="18"/>
      <c r="G1140" s="18"/>
      <c r="H1140" s="18"/>
      <c r="I1140" s="18"/>
      <c r="J1140" s="18"/>
      <c r="K1140" s="18"/>
      <c r="L1140" s="12"/>
      <c r="M1140" s="18"/>
      <c r="N1140" s="18"/>
      <c r="O1140" s="18"/>
      <c r="P1140" s="18"/>
      <c r="Q1140" s="18"/>
    </row>
    <row r="1141" spans="1:17" ht="90" x14ac:dyDescent="0.25">
      <c r="A1141" s="18"/>
      <c r="B1141" s="18"/>
      <c r="C1141" s="18"/>
      <c r="D1141" s="18"/>
      <c r="E1141" s="18"/>
      <c r="F1141" s="18"/>
      <c r="G1141" s="18"/>
      <c r="H1141" s="18"/>
      <c r="I1141" s="18"/>
      <c r="J1141" s="18"/>
      <c r="K1141" s="18"/>
      <c r="L1141" s="12" t="s">
        <v>144</v>
      </c>
      <c r="M1141" s="18"/>
      <c r="N1141" s="18"/>
      <c r="O1141" s="18"/>
      <c r="P1141" s="18"/>
      <c r="Q1141" s="18"/>
    </row>
    <row r="1142" spans="1:17" ht="120" x14ac:dyDescent="0.25">
      <c r="A1142" s="12" t="s">
        <v>7242</v>
      </c>
      <c r="B1142" s="12" t="s">
        <v>7256</v>
      </c>
      <c r="C1142" s="12" t="s">
        <v>7191</v>
      </c>
      <c r="D1142" s="12" t="s">
        <v>7172</v>
      </c>
      <c r="E1142" s="12" t="s">
        <v>5413</v>
      </c>
      <c r="F1142" s="12" t="s">
        <v>5414</v>
      </c>
      <c r="G1142" s="13" t="s">
        <v>7098</v>
      </c>
      <c r="H1142" s="12" t="s">
        <v>222</v>
      </c>
      <c r="I1142" s="12"/>
      <c r="J1142" s="12"/>
      <c r="K1142" s="12"/>
      <c r="L1142" s="12"/>
      <c r="M1142" s="12" t="s">
        <v>5415</v>
      </c>
      <c r="N1142" s="12"/>
      <c r="O1142" s="12" t="s">
        <v>5416</v>
      </c>
      <c r="P1142" s="12" t="str">
        <f>HYPERLINK("https://ceds.ed.gov/cedselementdetails.aspx?termid=9588")</f>
        <v>https://ceds.ed.gov/cedselementdetails.aspx?termid=9588</v>
      </c>
      <c r="Q1142" s="12" t="str">
        <f>HYPERLINK("https://ceds.ed.gov/elementComment.aspx?elementName=Responsible School Type &amp;elementID=9588", "Click here to submit comment")</f>
        <v>Click here to submit comment</v>
      </c>
    </row>
    <row r="1143" spans="1:17" ht="60" x14ac:dyDescent="0.25">
      <c r="A1143" s="18" t="s">
        <v>7242</v>
      </c>
      <c r="B1143" s="18" t="s">
        <v>7256</v>
      </c>
      <c r="C1143" s="18" t="s">
        <v>7191</v>
      </c>
      <c r="D1143" s="18" t="s">
        <v>7176</v>
      </c>
      <c r="E1143" s="18" t="s">
        <v>5394</v>
      </c>
      <c r="F1143" s="18" t="s">
        <v>5395</v>
      </c>
      <c r="G1143" s="18" t="s">
        <v>12</v>
      </c>
      <c r="H1143" s="18"/>
      <c r="I1143" s="18"/>
      <c r="J1143" s="18" t="s">
        <v>142</v>
      </c>
      <c r="K1143" s="18"/>
      <c r="L1143" s="12" t="s">
        <v>5396</v>
      </c>
      <c r="M1143" s="18" t="s">
        <v>5397</v>
      </c>
      <c r="N1143" s="18"/>
      <c r="O1143" s="18" t="s">
        <v>5398</v>
      </c>
      <c r="P1143" s="18" t="str">
        <f>HYPERLINK("https://ceds.ed.gov/cedselementdetails.aspx?termid=10438")</f>
        <v>https://ceds.ed.gov/cedselementdetails.aspx?termid=10438</v>
      </c>
      <c r="Q1143" s="18" t="str">
        <f>HYPERLINK("https://ceds.ed.gov/elementComment.aspx?elementName=Responsible Organization Identifier &amp;elementID=10438", "Click here to submit comment")</f>
        <v>Click here to submit comment</v>
      </c>
    </row>
    <row r="1144" spans="1:17" x14ac:dyDescent="0.25">
      <c r="A1144" s="18"/>
      <c r="B1144" s="18"/>
      <c r="C1144" s="18"/>
      <c r="D1144" s="18"/>
      <c r="E1144" s="18"/>
      <c r="F1144" s="18"/>
      <c r="G1144" s="18"/>
      <c r="H1144" s="18"/>
      <c r="I1144" s="18"/>
      <c r="J1144" s="18"/>
      <c r="K1144" s="18"/>
      <c r="L1144" s="12"/>
      <c r="M1144" s="18"/>
      <c r="N1144" s="18"/>
      <c r="O1144" s="18"/>
      <c r="P1144" s="18"/>
      <c r="Q1144" s="18"/>
    </row>
    <row r="1145" spans="1:17" ht="105" x14ac:dyDescent="0.25">
      <c r="A1145" s="18"/>
      <c r="B1145" s="18"/>
      <c r="C1145" s="18"/>
      <c r="D1145" s="18"/>
      <c r="E1145" s="18"/>
      <c r="F1145" s="18"/>
      <c r="G1145" s="18"/>
      <c r="H1145" s="18"/>
      <c r="I1145" s="18"/>
      <c r="J1145" s="18"/>
      <c r="K1145" s="18"/>
      <c r="L1145" s="12" t="s">
        <v>143</v>
      </c>
      <c r="M1145" s="18"/>
      <c r="N1145" s="18"/>
      <c r="O1145" s="18"/>
      <c r="P1145" s="18"/>
      <c r="Q1145" s="18"/>
    </row>
    <row r="1146" spans="1:17" x14ac:dyDescent="0.25">
      <c r="A1146" s="18"/>
      <c r="B1146" s="18"/>
      <c r="C1146" s="18"/>
      <c r="D1146" s="18"/>
      <c r="E1146" s="18"/>
      <c r="F1146" s="18"/>
      <c r="G1146" s="18"/>
      <c r="H1146" s="18"/>
      <c r="I1146" s="18"/>
      <c r="J1146" s="18"/>
      <c r="K1146" s="18"/>
      <c r="L1146" s="12"/>
      <c r="M1146" s="18"/>
      <c r="N1146" s="18"/>
      <c r="O1146" s="18"/>
      <c r="P1146" s="18"/>
      <c r="Q1146" s="18"/>
    </row>
    <row r="1147" spans="1:17" ht="90" x14ac:dyDescent="0.25">
      <c r="A1147" s="18"/>
      <c r="B1147" s="18"/>
      <c r="C1147" s="18"/>
      <c r="D1147" s="18"/>
      <c r="E1147" s="18"/>
      <c r="F1147" s="18"/>
      <c r="G1147" s="18"/>
      <c r="H1147" s="18"/>
      <c r="I1147" s="18"/>
      <c r="J1147" s="18"/>
      <c r="K1147" s="18"/>
      <c r="L1147" s="12" t="s">
        <v>144</v>
      </c>
      <c r="M1147" s="18"/>
      <c r="N1147" s="18"/>
      <c r="O1147" s="18"/>
      <c r="P1147" s="18"/>
      <c r="Q1147" s="18"/>
    </row>
    <row r="1148" spans="1:17" ht="240" x14ac:dyDescent="0.25">
      <c r="A1148" s="12" t="s">
        <v>7242</v>
      </c>
      <c r="B1148" s="12" t="s">
        <v>7256</v>
      </c>
      <c r="C1148" s="12" t="s">
        <v>7191</v>
      </c>
      <c r="D1148" s="12" t="s">
        <v>7176</v>
      </c>
      <c r="E1148" s="12" t="s">
        <v>4668</v>
      </c>
      <c r="F1148" s="12" t="s">
        <v>4669</v>
      </c>
      <c r="G1148" s="13" t="s">
        <v>6739</v>
      </c>
      <c r="H1148" s="12" t="s">
        <v>64</v>
      </c>
      <c r="I1148" s="12"/>
      <c r="J1148" s="12"/>
      <c r="K1148" s="12"/>
      <c r="L1148" s="12"/>
      <c r="M1148" s="12" t="s">
        <v>4670</v>
      </c>
      <c r="N1148" s="12"/>
      <c r="O1148" s="12" t="s">
        <v>4671</v>
      </c>
      <c r="P1148" s="12" t="str">
        <f>HYPERLINK("https://ceds.ed.gov/cedselementdetails.aspx?termid=9827")</f>
        <v>https://ceds.ed.gov/cedselementdetails.aspx?termid=9827</v>
      </c>
      <c r="Q1148" s="12" t="str">
        <f>HYPERLINK("https://ceds.ed.gov/elementComment.aspx?elementName=Organization Identification System &amp;elementID=9827", "Click here to submit comment")</f>
        <v>Click here to submit comment</v>
      </c>
    </row>
    <row r="1149" spans="1:17" ht="120" x14ac:dyDescent="0.25">
      <c r="A1149" s="12" t="s">
        <v>7242</v>
      </c>
      <c r="B1149" s="12" t="s">
        <v>7256</v>
      </c>
      <c r="C1149" s="12" t="s">
        <v>7191</v>
      </c>
      <c r="D1149" s="12" t="s">
        <v>7176</v>
      </c>
      <c r="E1149" s="12" t="s">
        <v>5405</v>
      </c>
      <c r="F1149" s="12" t="s">
        <v>5406</v>
      </c>
      <c r="G1149" s="13" t="s">
        <v>7098</v>
      </c>
      <c r="H1149" s="12"/>
      <c r="I1149" s="12"/>
      <c r="J1149" s="12"/>
      <c r="K1149" s="12"/>
      <c r="L1149" s="12" t="s">
        <v>5396</v>
      </c>
      <c r="M1149" s="12" t="s">
        <v>5407</v>
      </c>
      <c r="N1149" s="12"/>
      <c r="O1149" s="12" t="s">
        <v>5408</v>
      </c>
      <c r="P1149" s="12" t="str">
        <f>HYPERLINK("https://ceds.ed.gov/cedselementdetails.aspx?termid=10439")</f>
        <v>https://ceds.ed.gov/cedselementdetails.aspx?termid=10439</v>
      </c>
      <c r="Q1149" s="12" t="str">
        <f>HYPERLINK("https://ceds.ed.gov/elementComment.aspx?elementName=Responsible Organization Type &amp;elementID=10439", "Click here to submit comment")</f>
        <v>Click here to submit comment</v>
      </c>
    </row>
    <row r="1150" spans="1:17" ht="105" x14ac:dyDescent="0.25">
      <c r="A1150" s="12" t="s">
        <v>7242</v>
      </c>
      <c r="B1150" s="12" t="s">
        <v>7256</v>
      </c>
      <c r="C1150" s="12" t="s">
        <v>7191</v>
      </c>
      <c r="D1150" s="12" t="s">
        <v>7172</v>
      </c>
      <c r="E1150" s="12" t="s">
        <v>3668</v>
      </c>
      <c r="F1150" s="12" t="s">
        <v>3669</v>
      </c>
      <c r="G1150" s="13" t="s">
        <v>6987</v>
      </c>
      <c r="H1150" s="12"/>
      <c r="I1150" s="12"/>
      <c r="J1150" s="12"/>
      <c r="K1150" s="12"/>
      <c r="L1150" s="12"/>
      <c r="M1150" s="12" t="s">
        <v>3670</v>
      </c>
      <c r="N1150" s="12"/>
      <c r="O1150" s="12" t="s">
        <v>3671</v>
      </c>
      <c r="P1150" s="12" t="str">
        <f>HYPERLINK("https://ceds.ed.gov/cedselementdetails.aspx?termid=9690")</f>
        <v>https://ceds.ed.gov/cedselementdetails.aspx?termid=9690</v>
      </c>
      <c r="Q1150" s="12" t="str">
        <f>HYPERLINK("https://ceds.ed.gov/elementComment.aspx?elementName=Kindergarten Program Participation Type &amp;elementID=9690", "Click here to submit comment")</f>
        <v>Click here to submit comment</v>
      </c>
    </row>
    <row r="1151" spans="1:17" ht="90" x14ac:dyDescent="0.25">
      <c r="A1151" s="12" t="s">
        <v>7242</v>
      </c>
      <c r="B1151" s="12" t="s">
        <v>7256</v>
      </c>
      <c r="C1151" s="12" t="s">
        <v>7191</v>
      </c>
      <c r="D1151" s="12" t="s">
        <v>7172</v>
      </c>
      <c r="E1151" s="12" t="s">
        <v>3082</v>
      </c>
      <c r="F1151" s="12" t="s">
        <v>3083</v>
      </c>
      <c r="G1151" s="12" t="s">
        <v>6544</v>
      </c>
      <c r="H1151" s="12" t="s">
        <v>6369</v>
      </c>
      <c r="I1151" s="12"/>
      <c r="J1151" s="12"/>
      <c r="K1151" s="12"/>
      <c r="L1151" s="12"/>
      <c r="M1151" s="12" t="s">
        <v>3084</v>
      </c>
      <c r="N1151" s="12"/>
      <c r="O1151" s="12" t="s">
        <v>3085</v>
      </c>
      <c r="P1151" s="12" t="str">
        <f>HYPERLINK("https://ceds.ed.gov/cedselementdetails.aspx?termid=9122")</f>
        <v>https://ceds.ed.gov/cedselementdetails.aspx?termid=9122</v>
      </c>
      <c r="Q1151" s="12" t="str">
        <f>HYPERLINK("https://ceds.ed.gov/elementComment.aspx?elementName=Gifted and Talented Indicator &amp;elementID=9122", "Click here to submit comment")</f>
        <v>Click here to submit comment</v>
      </c>
    </row>
    <row r="1152" spans="1:17" ht="75" x14ac:dyDescent="0.25">
      <c r="A1152" s="12" t="s">
        <v>7242</v>
      </c>
      <c r="B1152" s="12" t="s">
        <v>7256</v>
      </c>
      <c r="C1152" s="12" t="s">
        <v>7191</v>
      </c>
      <c r="D1152" s="12" t="s">
        <v>7172</v>
      </c>
      <c r="E1152" s="12" t="s">
        <v>2760</v>
      </c>
      <c r="F1152" s="12" t="s">
        <v>2761</v>
      </c>
      <c r="G1152" s="13" t="s">
        <v>6907</v>
      </c>
      <c r="H1152" s="12" t="s">
        <v>222</v>
      </c>
      <c r="I1152" s="12"/>
      <c r="J1152" s="12"/>
      <c r="K1152" s="12"/>
      <c r="L1152" s="12"/>
      <c r="M1152" s="12" t="s">
        <v>2762</v>
      </c>
      <c r="N1152" s="12"/>
      <c r="O1152" s="12" t="s">
        <v>2763</v>
      </c>
      <c r="P1152" s="12" t="str">
        <f>HYPERLINK("https://ceds.ed.gov/cedselementdetails.aspx?termid=9094")</f>
        <v>https://ceds.ed.gov/cedselementdetails.aspx?termid=9094</v>
      </c>
      <c r="Q1152" s="12" t="str">
        <f>HYPERLINK("https://ceds.ed.gov/elementComment.aspx?elementName=Enrollment Status &amp;elementID=9094", "Click here to submit comment")</f>
        <v>Click here to submit comment</v>
      </c>
    </row>
    <row r="1153" spans="1:17" ht="195" x14ac:dyDescent="0.25">
      <c r="A1153" s="12" t="s">
        <v>7242</v>
      </c>
      <c r="B1153" s="12" t="s">
        <v>7256</v>
      </c>
      <c r="C1153" s="12" t="s">
        <v>7191</v>
      </c>
      <c r="D1153" s="12" t="s">
        <v>7172</v>
      </c>
      <c r="E1153" s="12" t="s">
        <v>2747</v>
      </c>
      <c r="F1153" s="12" t="s">
        <v>2748</v>
      </c>
      <c r="G1153" s="12" t="s">
        <v>12</v>
      </c>
      <c r="H1153" s="12" t="s">
        <v>6526</v>
      </c>
      <c r="I1153" s="12"/>
      <c r="J1153" s="12" t="s">
        <v>73</v>
      </c>
      <c r="K1153" s="12"/>
      <c r="L1153" s="12"/>
      <c r="M1153" s="12" t="s">
        <v>2749</v>
      </c>
      <c r="N1153" s="12"/>
      <c r="O1153" s="12" t="s">
        <v>2750</v>
      </c>
      <c r="P1153" s="12" t="str">
        <f>HYPERLINK("https://ceds.ed.gov/cedselementdetails.aspx?termid=9097")</f>
        <v>https://ceds.ed.gov/cedselementdetails.aspx?termid=9097</v>
      </c>
      <c r="Q1153" s="12" t="str">
        <f>HYPERLINK("https://ceds.ed.gov/elementComment.aspx?elementName=Enrollment Entry Date &amp;elementID=9097", "Click here to submit comment")</f>
        <v>Click here to submit comment</v>
      </c>
    </row>
    <row r="1154" spans="1:17" ht="330" x14ac:dyDescent="0.25">
      <c r="A1154" s="12" t="s">
        <v>7242</v>
      </c>
      <c r="B1154" s="12" t="s">
        <v>7256</v>
      </c>
      <c r="C1154" s="12" t="s">
        <v>7191</v>
      </c>
      <c r="D1154" s="12" t="s">
        <v>7172</v>
      </c>
      <c r="E1154" s="12" t="s">
        <v>2768</v>
      </c>
      <c r="F1154" s="12" t="s">
        <v>2769</v>
      </c>
      <c r="G1154" s="13" t="s">
        <v>6908</v>
      </c>
      <c r="H1154" s="12" t="s">
        <v>6438</v>
      </c>
      <c r="I1154" s="12"/>
      <c r="J1154" s="12"/>
      <c r="K1154" s="12"/>
      <c r="L1154" s="12"/>
      <c r="M1154" s="12" t="s">
        <v>2770</v>
      </c>
      <c r="N1154" s="12"/>
      <c r="O1154" s="12" t="s">
        <v>2771</v>
      </c>
      <c r="P1154" s="12" t="str">
        <f>HYPERLINK("https://ceds.ed.gov/cedselementdetails.aspx?termid=9100")</f>
        <v>https://ceds.ed.gov/cedselementdetails.aspx?termid=9100</v>
      </c>
      <c r="Q1154" s="12" t="str">
        <f>HYPERLINK("https://ceds.ed.gov/elementComment.aspx?elementName=Entry Grade Level &amp;elementID=9100", "Click here to submit comment")</f>
        <v>Click here to submit comment</v>
      </c>
    </row>
    <row r="1155" spans="1:17" ht="409.5" x14ac:dyDescent="0.25">
      <c r="A1155" s="12" t="s">
        <v>7242</v>
      </c>
      <c r="B1155" s="12" t="s">
        <v>7256</v>
      </c>
      <c r="C1155" s="12" t="s">
        <v>7191</v>
      </c>
      <c r="D1155" s="12" t="s">
        <v>7172</v>
      </c>
      <c r="E1155" s="12" t="s">
        <v>2772</v>
      </c>
      <c r="F1155" s="12" t="s">
        <v>2773</v>
      </c>
      <c r="G1155" s="13" t="s">
        <v>6909</v>
      </c>
      <c r="H1155" s="12" t="s">
        <v>6369</v>
      </c>
      <c r="I1155" s="12"/>
      <c r="J1155" s="12"/>
      <c r="K1155" s="12"/>
      <c r="L1155" s="12"/>
      <c r="M1155" s="12" t="s">
        <v>2774</v>
      </c>
      <c r="N1155" s="12"/>
      <c r="O1155" s="12" t="s">
        <v>2775</v>
      </c>
      <c r="P1155" s="12" t="str">
        <f>HYPERLINK("https://ceds.ed.gov/cedselementdetails.aspx?termid=9099")</f>
        <v>https://ceds.ed.gov/cedselementdetails.aspx?termid=9099</v>
      </c>
      <c r="Q1155" s="12" t="str">
        <f>HYPERLINK("https://ceds.ed.gov/elementComment.aspx?elementName=Entry Type &amp;elementID=9099", "Click here to submit comment")</f>
        <v>Click here to submit comment</v>
      </c>
    </row>
    <row r="1156" spans="1:17" ht="60" x14ac:dyDescent="0.25">
      <c r="A1156" s="12" t="s">
        <v>7242</v>
      </c>
      <c r="B1156" s="12" t="s">
        <v>7256</v>
      </c>
      <c r="C1156" s="12" t="s">
        <v>7191</v>
      </c>
      <c r="D1156" s="12" t="s">
        <v>7172</v>
      </c>
      <c r="E1156" s="12" t="s">
        <v>2751</v>
      </c>
      <c r="F1156" s="12" t="s">
        <v>2752</v>
      </c>
      <c r="G1156" s="12" t="s">
        <v>12</v>
      </c>
      <c r="H1156" s="12" t="s">
        <v>25</v>
      </c>
      <c r="I1156" s="12"/>
      <c r="J1156" s="12" t="s">
        <v>73</v>
      </c>
      <c r="K1156" s="12"/>
      <c r="L1156" s="12"/>
      <c r="M1156" s="12" t="s">
        <v>2753</v>
      </c>
      <c r="N1156" s="12"/>
      <c r="O1156" s="12" t="s">
        <v>2754</v>
      </c>
      <c r="P1156" s="12" t="str">
        <f>HYPERLINK("https://ceds.ed.gov/cedselementdetails.aspx?termid=9107")</f>
        <v>https://ceds.ed.gov/cedselementdetails.aspx?termid=9107</v>
      </c>
      <c r="Q1156" s="12" t="str">
        <f>HYPERLINK("https://ceds.ed.gov/elementComment.aspx?elementName=Enrollment Exit Date &amp;elementID=9107", "Click here to submit comment")</f>
        <v>Click here to submit comment</v>
      </c>
    </row>
    <row r="1157" spans="1:17" ht="330" x14ac:dyDescent="0.25">
      <c r="A1157" s="12" t="s">
        <v>7242</v>
      </c>
      <c r="B1157" s="12" t="s">
        <v>7256</v>
      </c>
      <c r="C1157" s="12" t="s">
        <v>7191</v>
      </c>
      <c r="D1157" s="12" t="s">
        <v>7172</v>
      </c>
      <c r="E1157" s="12" t="s">
        <v>2776</v>
      </c>
      <c r="F1157" s="12" t="s">
        <v>2777</v>
      </c>
      <c r="G1157" s="13" t="s">
        <v>6908</v>
      </c>
      <c r="H1157" s="12"/>
      <c r="I1157" s="12"/>
      <c r="J1157" s="12"/>
      <c r="K1157" s="12"/>
      <c r="L1157" s="12"/>
      <c r="M1157" s="12" t="s">
        <v>2778</v>
      </c>
      <c r="N1157" s="12"/>
      <c r="O1157" s="12" t="s">
        <v>2779</v>
      </c>
      <c r="P1157" s="12" t="str">
        <f>HYPERLINK("https://ceds.ed.gov/cedselementdetails.aspx?termid=10177")</f>
        <v>https://ceds.ed.gov/cedselementdetails.aspx?termid=10177</v>
      </c>
      <c r="Q1157" s="12" t="str">
        <f>HYPERLINK("https://ceds.ed.gov/elementComment.aspx?elementName=Exit Grade Level &amp;elementID=10177", "Click here to submit comment")</f>
        <v>Click here to submit comment</v>
      </c>
    </row>
    <row r="1158" spans="1:17" ht="409.5" x14ac:dyDescent="0.25">
      <c r="A1158" s="12" t="s">
        <v>7242</v>
      </c>
      <c r="B1158" s="12" t="s">
        <v>7256</v>
      </c>
      <c r="C1158" s="12" t="s">
        <v>7191</v>
      </c>
      <c r="D1158" s="12" t="s">
        <v>7172</v>
      </c>
      <c r="E1158" s="12" t="s">
        <v>2784</v>
      </c>
      <c r="F1158" s="12" t="s">
        <v>2785</v>
      </c>
      <c r="G1158" s="13" t="s">
        <v>6911</v>
      </c>
      <c r="H1158" s="12" t="s">
        <v>6531</v>
      </c>
      <c r="I1158" s="12"/>
      <c r="J1158" s="12"/>
      <c r="K1158" s="12"/>
      <c r="L1158" s="12"/>
      <c r="M1158" s="12" t="s">
        <v>2786</v>
      </c>
      <c r="N1158" s="12"/>
      <c r="O1158" s="12" t="s">
        <v>2787</v>
      </c>
      <c r="P1158" s="12" t="str">
        <f>HYPERLINK("https://ceds.ed.gov/cedselementdetails.aspx?termid=9110")</f>
        <v>https://ceds.ed.gov/cedselementdetails.aspx?termid=9110</v>
      </c>
      <c r="Q1158" s="12" t="str">
        <f>HYPERLINK("https://ceds.ed.gov/elementComment.aspx?elementName=Exit or Withdrawal Type &amp;elementID=9110", "Click here to submit comment")</f>
        <v>Click here to submit comment</v>
      </c>
    </row>
    <row r="1159" spans="1:17" ht="60" x14ac:dyDescent="0.25">
      <c r="A1159" s="12" t="s">
        <v>7242</v>
      </c>
      <c r="B1159" s="12" t="s">
        <v>7256</v>
      </c>
      <c r="C1159" s="12" t="s">
        <v>7191</v>
      </c>
      <c r="D1159" s="12" t="s">
        <v>7172</v>
      </c>
      <c r="E1159" s="12" t="s">
        <v>2780</v>
      </c>
      <c r="F1159" s="12" t="s">
        <v>2781</v>
      </c>
      <c r="G1159" s="13" t="s">
        <v>6910</v>
      </c>
      <c r="H1159" s="12" t="s">
        <v>2107</v>
      </c>
      <c r="I1159" s="12"/>
      <c r="J1159" s="12"/>
      <c r="K1159" s="12"/>
      <c r="L1159" s="12"/>
      <c r="M1159" s="12" t="s">
        <v>2782</v>
      </c>
      <c r="N1159" s="12"/>
      <c r="O1159" s="12" t="s">
        <v>2783</v>
      </c>
      <c r="P1159" s="12" t="str">
        <f>HYPERLINK("https://ceds.ed.gov/cedselementdetails.aspx?termid=9108")</f>
        <v>https://ceds.ed.gov/cedselementdetails.aspx?termid=9108</v>
      </c>
      <c r="Q1159" s="12" t="str">
        <f>HYPERLINK("https://ceds.ed.gov/elementComment.aspx?elementName=Exit or Withdrawal Status &amp;elementID=9108", "Click here to submit comment")</f>
        <v>Click here to submit comment</v>
      </c>
    </row>
    <row r="1160" spans="1:17" ht="60" x14ac:dyDescent="0.25">
      <c r="A1160" s="12" t="s">
        <v>7242</v>
      </c>
      <c r="B1160" s="12" t="s">
        <v>7256</v>
      </c>
      <c r="C1160" s="12" t="s">
        <v>7191</v>
      </c>
      <c r="D1160" s="12" t="s">
        <v>7172</v>
      </c>
      <c r="E1160" s="12" t="s">
        <v>1864</v>
      </c>
      <c r="F1160" s="12" t="s">
        <v>1865</v>
      </c>
      <c r="G1160" s="12" t="s">
        <v>12</v>
      </c>
      <c r="H1160" s="12" t="s">
        <v>6446</v>
      </c>
      <c r="I1160" s="12"/>
      <c r="J1160" s="12" t="s">
        <v>1861</v>
      </c>
      <c r="K1160" s="12"/>
      <c r="L1160" s="12"/>
      <c r="M1160" s="12" t="s">
        <v>1866</v>
      </c>
      <c r="N1160" s="12"/>
      <c r="O1160" s="12" t="s">
        <v>1867</v>
      </c>
      <c r="P1160" s="12" t="str">
        <f>HYPERLINK("https://ceds.ed.gov/cedselementdetails.aspx?termid=9046")</f>
        <v>https://ceds.ed.gov/cedselementdetails.aspx?termid=9046</v>
      </c>
      <c r="Q1160" s="12" t="str">
        <f>HYPERLINK("https://ceds.ed.gov/elementComment.aspx?elementName=Cohort Year &amp;elementID=9046", "Click here to submit comment")</f>
        <v>Click here to submit comment</v>
      </c>
    </row>
    <row r="1161" spans="1:17" ht="45" x14ac:dyDescent="0.25">
      <c r="A1161" s="12" t="s">
        <v>7242</v>
      </c>
      <c r="B1161" s="12" t="s">
        <v>7256</v>
      </c>
      <c r="C1161" s="12" t="s">
        <v>7191</v>
      </c>
      <c r="D1161" s="12" t="s">
        <v>7172</v>
      </c>
      <c r="E1161" s="12" t="s">
        <v>1859</v>
      </c>
      <c r="F1161" s="12" t="s">
        <v>1860</v>
      </c>
      <c r="G1161" s="12" t="s">
        <v>12</v>
      </c>
      <c r="H1161" s="12" t="s">
        <v>6460</v>
      </c>
      <c r="I1161" s="12"/>
      <c r="J1161" s="12" t="s">
        <v>1861</v>
      </c>
      <c r="K1161" s="12"/>
      <c r="L1161" s="12"/>
      <c r="M1161" s="12" t="s">
        <v>1862</v>
      </c>
      <c r="N1161" s="12"/>
      <c r="O1161" s="12" t="s">
        <v>1863</v>
      </c>
      <c r="P1161" s="12" t="str">
        <f>HYPERLINK("https://ceds.ed.gov/cedselementdetails.aspx?termid=9577")</f>
        <v>https://ceds.ed.gov/cedselementdetails.aspx?termid=9577</v>
      </c>
      <c r="Q1161" s="12" t="str">
        <f>HYPERLINK("https://ceds.ed.gov/elementComment.aspx?elementName=Cohort Graduation Year &amp;elementID=9577", "Click here to submit comment")</f>
        <v>Click here to submit comment</v>
      </c>
    </row>
    <row r="1162" spans="1:17" ht="60" x14ac:dyDescent="0.25">
      <c r="A1162" s="12" t="s">
        <v>7242</v>
      </c>
      <c r="B1162" s="12" t="s">
        <v>7256</v>
      </c>
      <c r="C1162" s="12" t="s">
        <v>7191</v>
      </c>
      <c r="D1162" s="12" t="s">
        <v>7172</v>
      </c>
      <c r="E1162" s="12" t="s">
        <v>3072</v>
      </c>
      <c r="F1162" s="12" t="s">
        <v>3073</v>
      </c>
      <c r="G1162" s="12" t="s">
        <v>6364</v>
      </c>
      <c r="H1162" s="12" t="s">
        <v>4</v>
      </c>
      <c r="I1162" s="12"/>
      <c r="J1162" s="12"/>
      <c r="K1162" s="12"/>
      <c r="L1162" s="12"/>
      <c r="M1162" s="12" t="s">
        <v>3074</v>
      </c>
      <c r="N1162" s="12"/>
      <c r="O1162" s="12" t="s">
        <v>3075</v>
      </c>
      <c r="P1162" s="12" t="str">
        <f>HYPERLINK("https://ceds.ed.gov/cedselementdetails.aspx?termid=9120")</f>
        <v>https://ceds.ed.gov/cedselementdetails.aspx?termid=9120</v>
      </c>
      <c r="Q1162" s="12" t="str">
        <f>HYPERLINK("https://ceds.ed.gov/elementComment.aspx?elementName=GED Preparation Program Participation Status &amp;elementID=9120", "Click here to submit comment")</f>
        <v>Click here to submit comment</v>
      </c>
    </row>
    <row r="1163" spans="1:17" ht="45" x14ac:dyDescent="0.25">
      <c r="A1163" s="12" t="s">
        <v>7242</v>
      </c>
      <c r="B1163" s="12" t="s">
        <v>7256</v>
      </c>
      <c r="C1163" s="12" t="s">
        <v>7191</v>
      </c>
      <c r="D1163" s="12" t="s">
        <v>7172</v>
      </c>
      <c r="E1163" s="12" t="s">
        <v>2392</v>
      </c>
      <c r="F1163" s="12" t="s">
        <v>2393</v>
      </c>
      <c r="G1163" s="12" t="s">
        <v>6364</v>
      </c>
      <c r="H1163" s="12"/>
      <c r="I1163" s="12"/>
      <c r="J1163" s="12"/>
      <c r="K1163" s="12"/>
      <c r="L1163" s="12"/>
      <c r="M1163" s="12" t="s">
        <v>2395</v>
      </c>
      <c r="N1163" s="12"/>
      <c r="O1163" s="12" t="s">
        <v>2396</v>
      </c>
      <c r="P1163" s="12" t="str">
        <f>HYPERLINK("https://ceds.ed.gov/cedselementdetails.aspx?termid=9603")</f>
        <v>https://ceds.ed.gov/cedselementdetails.aspx?termid=9603</v>
      </c>
      <c r="Q1163" s="12" t="str">
        <f>HYPERLINK("https://ceds.ed.gov/elementComment.aspx?elementName=Displaced Student Status &amp;elementID=9603", "Click here to submit comment")</f>
        <v>Click here to submit comment</v>
      </c>
    </row>
    <row r="1164" spans="1:17" ht="45" x14ac:dyDescent="0.25">
      <c r="A1164" s="12" t="s">
        <v>7242</v>
      </c>
      <c r="B1164" s="12" t="s">
        <v>7256</v>
      </c>
      <c r="C1164" s="12" t="s">
        <v>7191</v>
      </c>
      <c r="D1164" s="12" t="s">
        <v>7172</v>
      </c>
      <c r="E1164" s="12" t="s">
        <v>6237</v>
      </c>
      <c r="F1164" s="12" t="s">
        <v>6238</v>
      </c>
      <c r="G1164" s="12" t="s">
        <v>6364</v>
      </c>
      <c r="H1164" s="12" t="s">
        <v>222</v>
      </c>
      <c r="I1164" s="12"/>
      <c r="J1164" s="12"/>
      <c r="K1164" s="12"/>
      <c r="L1164" s="12"/>
      <c r="M1164" s="12" t="s">
        <v>6239</v>
      </c>
      <c r="N1164" s="12"/>
      <c r="O1164" s="12" t="s">
        <v>6240</v>
      </c>
      <c r="P1164" s="12" t="str">
        <f>HYPERLINK("https://ceds.ed.gov/cedselementdetails.aspx?termid=9561")</f>
        <v>https://ceds.ed.gov/cedselementdetails.aspx?termid=9561</v>
      </c>
      <c r="Q1164" s="12" t="str">
        <f>HYPERLINK("https://ceds.ed.gov/elementComment.aspx?elementName=Truant Status &amp;elementID=9561", "Click here to submit comment")</f>
        <v>Click here to submit comment</v>
      </c>
    </row>
    <row r="1165" spans="1:17" ht="75" x14ac:dyDescent="0.25">
      <c r="A1165" s="12" t="s">
        <v>7242</v>
      </c>
      <c r="B1165" s="12" t="s">
        <v>7256</v>
      </c>
      <c r="C1165" s="12" t="s">
        <v>7191</v>
      </c>
      <c r="D1165" s="12" t="s">
        <v>7172</v>
      </c>
      <c r="E1165" s="12" t="s">
        <v>2331</v>
      </c>
      <c r="F1165" s="12" t="s">
        <v>2332</v>
      </c>
      <c r="G1165" s="13" t="s">
        <v>6861</v>
      </c>
      <c r="H1165" s="12" t="s">
        <v>6504</v>
      </c>
      <c r="I1165" s="12"/>
      <c r="J1165" s="12"/>
      <c r="K1165" s="12"/>
      <c r="L1165" s="12"/>
      <c r="M1165" s="12" t="s">
        <v>2333</v>
      </c>
      <c r="N1165" s="12"/>
      <c r="O1165" s="12" t="s">
        <v>2334</v>
      </c>
      <c r="P1165" s="12" t="str">
        <f>HYPERLINK("https://ceds.ed.gov/cedselementdetails.aspx?termid=10569")</f>
        <v>https://ceds.ed.gov/cedselementdetails.aspx?termid=10569</v>
      </c>
      <c r="Q1165" s="12" t="str">
        <f>HYPERLINK("https://ceds.ed.gov/elementComment.aspx?elementName=Directory Information Block Status &amp;elementID=10569", "Click here to submit comment")</f>
        <v>Click here to submit comment</v>
      </c>
    </row>
    <row r="1166" spans="1:17" ht="409.5" x14ac:dyDescent="0.25">
      <c r="A1166" s="12" t="s">
        <v>7242</v>
      </c>
      <c r="B1166" s="12" t="s">
        <v>7256</v>
      </c>
      <c r="C1166" s="12" t="s">
        <v>7191</v>
      </c>
      <c r="D1166" s="12" t="s">
        <v>7172</v>
      </c>
      <c r="E1166" s="12" t="s">
        <v>5132</v>
      </c>
      <c r="F1166" s="12" t="s">
        <v>5133</v>
      </c>
      <c r="G1166" s="13" t="s">
        <v>7079</v>
      </c>
      <c r="H1166" s="12"/>
      <c r="I1166" s="12"/>
      <c r="J1166" s="12"/>
      <c r="K1166" s="12"/>
      <c r="L1166" s="12"/>
      <c r="M1166" s="12" t="s">
        <v>5134</v>
      </c>
      <c r="N1166" s="12"/>
      <c r="O1166" s="12" t="s">
        <v>5135</v>
      </c>
      <c r="P1166" s="12" t="str">
        <f>HYPERLINK("https://ceds.ed.gov/cedselementdetails.aspx?termid=10210")</f>
        <v>https://ceds.ed.gov/cedselementdetails.aspx?termid=10210</v>
      </c>
      <c r="Q1166" s="12" t="str">
        <f>HYPERLINK("https://ceds.ed.gov/elementComment.aspx?elementName=Program Gifted Eligibility Criteria &amp;elementID=10210", "Click here to submit comment")</f>
        <v>Click here to submit comment</v>
      </c>
    </row>
    <row r="1167" spans="1:17" ht="90" x14ac:dyDescent="0.25">
      <c r="A1167" s="12" t="s">
        <v>7242</v>
      </c>
      <c r="B1167" s="12" t="s">
        <v>7256</v>
      </c>
      <c r="C1167" s="12" t="s">
        <v>7257</v>
      </c>
      <c r="D1167" s="12" t="s">
        <v>7172</v>
      </c>
      <c r="E1167" s="12" t="s">
        <v>164</v>
      </c>
      <c r="F1167" s="12" t="s">
        <v>165</v>
      </c>
      <c r="G1167" s="12" t="s">
        <v>12</v>
      </c>
      <c r="H1167" s="12" t="s">
        <v>6369</v>
      </c>
      <c r="I1167" s="12"/>
      <c r="J1167" s="12" t="s">
        <v>99</v>
      </c>
      <c r="K1167" s="12"/>
      <c r="L1167" s="12"/>
      <c r="M1167" s="12" t="s">
        <v>166</v>
      </c>
      <c r="N1167" s="12"/>
      <c r="O1167" s="12" t="s">
        <v>167</v>
      </c>
      <c r="P1167" s="12" t="str">
        <f>HYPERLINK("https://ceds.ed.gov/cedselementdetails.aspx?termid=9009")</f>
        <v>https://ceds.ed.gov/cedselementdetails.aspx?termid=9009</v>
      </c>
      <c r="Q1167" s="12" t="str">
        <f>HYPERLINK("https://ceds.ed.gov/elementComment.aspx?elementName=Activity Title &amp;elementID=9009", "Click here to submit comment")</f>
        <v>Click here to submit comment</v>
      </c>
    </row>
    <row r="1168" spans="1:17" ht="105" x14ac:dyDescent="0.25">
      <c r="A1168" s="18" t="s">
        <v>7242</v>
      </c>
      <c r="B1168" s="18" t="s">
        <v>7256</v>
      </c>
      <c r="C1168" s="18" t="s">
        <v>7257</v>
      </c>
      <c r="D1168" s="18" t="s">
        <v>7172</v>
      </c>
      <c r="E1168" s="18" t="s">
        <v>140</v>
      </c>
      <c r="F1168" s="18" t="s">
        <v>141</v>
      </c>
      <c r="G1168" s="18" t="s">
        <v>12</v>
      </c>
      <c r="H1168" s="18" t="s">
        <v>6369</v>
      </c>
      <c r="I1168" s="18"/>
      <c r="J1168" s="18" t="s">
        <v>142</v>
      </c>
      <c r="K1168" s="18"/>
      <c r="L1168" s="12" t="s">
        <v>143</v>
      </c>
      <c r="M1168" s="18" t="s">
        <v>145</v>
      </c>
      <c r="N1168" s="18"/>
      <c r="O1168" s="18" t="s">
        <v>146</v>
      </c>
      <c r="P1168" s="18" t="str">
        <f>HYPERLINK("https://ceds.ed.gov/cedselementdetails.aspx?termid=9006")</f>
        <v>https://ceds.ed.gov/cedselementdetails.aspx?termid=9006</v>
      </c>
      <c r="Q1168" s="18" t="str">
        <f>HYPERLINK("https://ceds.ed.gov/elementComment.aspx?elementName=Activity Identifier &amp;elementID=9006", "Click here to submit comment")</f>
        <v>Click here to submit comment</v>
      </c>
    </row>
    <row r="1169" spans="1:17" x14ac:dyDescent="0.25">
      <c r="A1169" s="18"/>
      <c r="B1169" s="18"/>
      <c r="C1169" s="18"/>
      <c r="D1169" s="18"/>
      <c r="E1169" s="18"/>
      <c r="F1169" s="18"/>
      <c r="G1169" s="18"/>
      <c r="H1169" s="18"/>
      <c r="I1169" s="18"/>
      <c r="J1169" s="18"/>
      <c r="K1169" s="18"/>
      <c r="L1169" s="12"/>
      <c r="M1169" s="18"/>
      <c r="N1169" s="18"/>
      <c r="O1169" s="18"/>
      <c r="P1169" s="18"/>
      <c r="Q1169" s="18"/>
    </row>
    <row r="1170" spans="1:17" ht="90" x14ac:dyDescent="0.25">
      <c r="A1170" s="18"/>
      <c r="B1170" s="18"/>
      <c r="C1170" s="18"/>
      <c r="D1170" s="18"/>
      <c r="E1170" s="18"/>
      <c r="F1170" s="18"/>
      <c r="G1170" s="18"/>
      <c r="H1170" s="18"/>
      <c r="I1170" s="18"/>
      <c r="J1170" s="18"/>
      <c r="K1170" s="18"/>
      <c r="L1170" s="12" t="s">
        <v>144</v>
      </c>
      <c r="M1170" s="18"/>
      <c r="N1170" s="18"/>
      <c r="O1170" s="18"/>
      <c r="P1170" s="18"/>
      <c r="Q1170" s="18"/>
    </row>
    <row r="1171" spans="1:17" ht="90" x14ac:dyDescent="0.25">
      <c r="A1171" s="12" t="s">
        <v>7242</v>
      </c>
      <c r="B1171" s="12" t="s">
        <v>7256</v>
      </c>
      <c r="C1171" s="12" t="s">
        <v>7257</v>
      </c>
      <c r="D1171" s="12" t="s">
        <v>7172</v>
      </c>
      <c r="E1171" s="12" t="s">
        <v>136</v>
      </c>
      <c r="F1171" s="12" t="s">
        <v>137</v>
      </c>
      <c r="G1171" s="12" t="s">
        <v>12</v>
      </c>
      <c r="H1171" s="12"/>
      <c r="I1171" s="12"/>
      <c r="J1171" s="12" t="s">
        <v>68</v>
      </c>
      <c r="K1171" s="12"/>
      <c r="L1171" s="12"/>
      <c r="M1171" s="12" t="s">
        <v>138</v>
      </c>
      <c r="N1171" s="12"/>
      <c r="O1171" s="12" t="s">
        <v>139</v>
      </c>
      <c r="P1171" s="12" t="str">
        <f>HYPERLINK("https://ceds.ed.gov/cedselementdetails.aspx?termid=10505")</f>
        <v>https://ceds.ed.gov/cedselementdetails.aspx?termid=10505</v>
      </c>
      <c r="Q1171" s="12" t="str">
        <f>HYPERLINK("https://ceds.ed.gov/elementComment.aspx?elementName=Activity Description &amp;elementID=10505", "Click here to submit comment")</f>
        <v>Click here to submit comment</v>
      </c>
    </row>
    <row r="1172" spans="1:17" ht="90" x14ac:dyDescent="0.25">
      <c r="A1172" s="12" t="s">
        <v>7242</v>
      </c>
      <c r="B1172" s="12" t="s">
        <v>7256</v>
      </c>
      <c r="C1172" s="12" t="s">
        <v>7257</v>
      </c>
      <c r="D1172" s="12" t="s">
        <v>7172</v>
      </c>
      <c r="E1172" s="12" t="s">
        <v>147</v>
      </c>
      <c r="F1172" s="12" t="s">
        <v>148</v>
      </c>
      <c r="G1172" s="12" t="s">
        <v>12</v>
      </c>
      <c r="H1172" s="12" t="s">
        <v>6369</v>
      </c>
      <c r="I1172" s="12"/>
      <c r="J1172" s="12" t="s">
        <v>73</v>
      </c>
      <c r="K1172" s="12"/>
      <c r="L1172" s="12"/>
      <c r="M1172" s="12" t="s">
        <v>149</v>
      </c>
      <c r="N1172" s="12"/>
      <c r="O1172" s="12" t="s">
        <v>150</v>
      </c>
      <c r="P1172" s="12" t="str">
        <f>HYPERLINK("https://ceds.ed.gov/cedselementdetails.aspx?termid=9007")</f>
        <v>https://ceds.ed.gov/cedselementdetails.aspx?termid=9007</v>
      </c>
      <c r="Q1172" s="12" t="str">
        <f>HYPERLINK("https://ceds.ed.gov/elementComment.aspx?elementName=Activity Involvement Begin Date &amp;elementID=9007", "Click here to submit comment")</f>
        <v>Click here to submit comment</v>
      </c>
    </row>
    <row r="1173" spans="1:17" ht="90" x14ac:dyDescent="0.25">
      <c r="A1173" s="12" t="s">
        <v>7242</v>
      </c>
      <c r="B1173" s="12" t="s">
        <v>7256</v>
      </c>
      <c r="C1173" s="12" t="s">
        <v>7257</v>
      </c>
      <c r="D1173" s="12" t="s">
        <v>7172</v>
      </c>
      <c r="E1173" s="12" t="s">
        <v>151</v>
      </c>
      <c r="F1173" s="12" t="s">
        <v>152</v>
      </c>
      <c r="G1173" s="12" t="s">
        <v>12</v>
      </c>
      <c r="H1173" s="12" t="s">
        <v>6369</v>
      </c>
      <c r="I1173" s="12"/>
      <c r="J1173" s="12" t="s">
        <v>73</v>
      </c>
      <c r="K1173" s="12"/>
      <c r="L1173" s="12"/>
      <c r="M1173" s="12" t="s">
        <v>153</v>
      </c>
      <c r="N1173" s="12"/>
      <c r="O1173" s="12" t="s">
        <v>154</v>
      </c>
      <c r="P1173" s="12" t="str">
        <f>HYPERLINK("https://ceds.ed.gov/cedselementdetails.aspx?termid=9008")</f>
        <v>https://ceds.ed.gov/cedselementdetails.aspx?termid=9008</v>
      </c>
      <c r="Q1173" s="12" t="str">
        <f>HYPERLINK("https://ceds.ed.gov/elementComment.aspx?elementName=Activity Involvement End Date &amp;elementID=9008", "Click here to submit comment")</f>
        <v>Click here to submit comment</v>
      </c>
    </row>
    <row r="1174" spans="1:17" ht="90" x14ac:dyDescent="0.25">
      <c r="A1174" s="12" t="s">
        <v>7242</v>
      </c>
      <c r="B1174" s="12" t="s">
        <v>7256</v>
      </c>
      <c r="C1174" s="12" t="s">
        <v>7257</v>
      </c>
      <c r="D1174" s="12" t="s">
        <v>7172</v>
      </c>
      <c r="E1174" s="12" t="s">
        <v>155</v>
      </c>
      <c r="F1174" s="12" t="s">
        <v>156</v>
      </c>
      <c r="G1174" s="12" t="s">
        <v>12</v>
      </c>
      <c r="H1174" s="12"/>
      <c r="I1174" s="12"/>
      <c r="J1174" s="12" t="s">
        <v>157</v>
      </c>
      <c r="K1174" s="12"/>
      <c r="L1174" s="12"/>
      <c r="M1174" s="12" t="s">
        <v>158</v>
      </c>
      <c r="N1174" s="12"/>
      <c r="O1174" s="12" t="s">
        <v>159</v>
      </c>
      <c r="P1174" s="12" t="str">
        <f>HYPERLINK("https://ceds.ed.gov/cedselementdetails.aspx?termid=10502")</f>
        <v>https://ceds.ed.gov/cedselementdetails.aspx?termid=10502</v>
      </c>
      <c r="Q1174" s="12" t="str">
        <f>HYPERLINK("https://ceds.ed.gov/elementComment.aspx?elementName=Activity Time Involved &amp;elementID=10502", "Click here to submit comment")</f>
        <v>Click here to submit comment</v>
      </c>
    </row>
    <row r="1175" spans="1:17" ht="105" x14ac:dyDescent="0.25">
      <c r="A1175" s="12" t="s">
        <v>7242</v>
      </c>
      <c r="B1175" s="12" t="s">
        <v>7256</v>
      </c>
      <c r="C1175" s="12" t="s">
        <v>7257</v>
      </c>
      <c r="D1175" s="12" t="s">
        <v>7172</v>
      </c>
      <c r="E1175" s="12" t="s">
        <v>160</v>
      </c>
      <c r="F1175" s="12" t="s">
        <v>161</v>
      </c>
      <c r="G1175" s="13" t="s">
        <v>6724</v>
      </c>
      <c r="H1175" s="12"/>
      <c r="I1175" s="12"/>
      <c r="J1175" s="12"/>
      <c r="K1175" s="12"/>
      <c r="L1175" s="12"/>
      <c r="M1175" s="12" t="s">
        <v>162</v>
      </c>
      <c r="N1175" s="12"/>
      <c r="O1175" s="12" t="s">
        <v>163</v>
      </c>
      <c r="P1175" s="12" t="str">
        <f>HYPERLINK("https://ceds.ed.gov/cedselementdetails.aspx?termid=10503")</f>
        <v>https://ceds.ed.gov/cedselementdetails.aspx?termid=10503</v>
      </c>
      <c r="Q1175" s="12" t="str">
        <f>HYPERLINK("https://ceds.ed.gov/elementComment.aspx?elementName=Activity Time Measurement Type &amp;elementID=10503", "Click here to submit comment")</f>
        <v>Click here to submit comment</v>
      </c>
    </row>
    <row r="1176" spans="1:17" ht="105" x14ac:dyDescent="0.25">
      <c r="A1176" s="18" t="s">
        <v>7242</v>
      </c>
      <c r="B1176" s="18" t="s">
        <v>7256</v>
      </c>
      <c r="C1176" s="18" t="s">
        <v>7258</v>
      </c>
      <c r="D1176" s="18" t="s">
        <v>7172</v>
      </c>
      <c r="E1176" s="18" t="s">
        <v>2036</v>
      </c>
      <c r="F1176" s="18" t="s">
        <v>2037</v>
      </c>
      <c r="G1176" s="18" t="s">
        <v>12</v>
      </c>
      <c r="H1176" s="18" t="s">
        <v>6479</v>
      </c>
      <c r="I1176" s="18"/>
      <c r="J1176" s="18" t="s">
        <v>142</v>
      </c>
      <c r="K1176" s="18"/>
      <c r="L1176" s="12" t="s">
        <v>143</v>
      </c>
      <c r="M1176" s="18" t="s">
        <v>2038</v>
      </c>
      <c r="N1176" s="18"/>
      <c r="O1176" s="18" t="s">
        <v>2039</v>
      </c>
      <c r="P1176" s="18" t="str">
        <f>HYPERLINK("https://ceds.ed.gov/cedselementdetails.aspx?termid=9055")</f>
        <v>https://ceds.ed.gov/cedselementdetails.aspx?termid=9055</v>
      </c>
      <c r="Q1176" s="18" t="str">
        <f>HYPERLINK("https://ceds.ed.gov/elementComment.aspx?elementName=Course Identifier &amp;elementID=9055", "Click here to submit comment")</f>
        <v>Click here to submit comment</v>
      </c>
    </row>
    <row r="1177" spans="1:17" x14ac:dyDescent="0.25">
      <c r="A1177" s="18"/>
      <c r="B1177" s="18"/>
      <c r="C1177" s="18"/>
      <c r="D1177" s="18"/>
      <c r="E1177" s="18"/>
      <c r="F1177" s="18"/>
      <c r="G1177" s="18"/>
      <c r="H1177" s="18"/>
      <c r="I1177" s="18"/>
      <c r="J1177" s="18"/>
      <c r="K1177" s="18"/>
      <c r="L1177" s="12"/>
      <c r="M1177" s="18"/>
      <c r="N1177" s="18"/>
      <c r="O1177" s="18"/>
      <c r="P1177" s="18"/>
      <c r="Q1177" s="18"/>
    </row>
    <row r="1178" spans="1:17" ht="90" x14ac:dyDescent="0.25">
      <c r="A1178" s="18"/>
      <c r="B1178" s="18"/>
      <c r="C1178" s="18"/>
      <c r="D1178" s="18"/>
      <c r="E1178" s="18"/>
      <c r="F1178" s="18"/>
      <c r="G1178" s="18"/>
      <c r="H1178" s="18"/>
      <c r="I1178" s="18"/>
      <c r="J1178" s="18"/>
      <c r="K1178" s="18"/>
      <c r="L1178" s="12" t="s">
        <v>144</v>
      </c>
      <c r="M1178" s="18"/>
      <c r="N1178" s="18"/>
      <c r="O1178" s="18"/>
      <c r="P1178" s="18"/>
      <c r="Q1178" s="18"/>
    </row>
    <row r="1179" spans="1:17" ht="195" x14ac:dyDescent="0.25">
      <c r="A1179" s="12" t="s">
        <v>7242</v>
      </c>
      <c r="B1179" s="12" t="s">
        <v>7256</v>
      </c>
      <c r="C1179" s="12" t="s">
        <v>7258</v>
      </c>
      <c r="D1179" s="12" t="s">
        <v>7172</v>
      </c>
      <c r="E1179" s="12" t="s">
        <v>1984</v>
      </c>
      <c r="F1179" s="12" t="s">
        <v>1985</v>
      </c>
      <c r="G1179" s="13" t="s">
        <v>6832</v>
      </c>
      <c r="H1179" s="12" t="s">
        <v>6429</v>
      </c>
      <c r="I1179" s="12"/>
      <c r="J1179" s="12"/>
      <c r="K1179" s="12"/>
      <c r="L1179" s="12"/>
      <c r="M1179" s="12" t="s">
        <v>1986</v>
      </c>
      <c r="N1179" s="12"/>
      <c r="O1179" s="12" t="s">
        <v>1987</v>
      </c>
      <c r="P1179" s="12" t="str">
        <f>HYPERLINK("https://ceds.ed.gov/cedselementdetails.aspx?termid=9056")</f>
        <v>https://ceds.ed.gov/cedselementdetails.aspx?termid=9056</v>
      </c>
      <c r="Q1179" s="12" t="str">
        <f>HYPERLINK("https://ceds.ed.gov/elementComment.aspx?elementName=Course Code System &amp;elementID=9056", "Click here to submit comment")</f>
        <v>Click here to submit comment</v>
      </c>
    </row>
    <row r="1180" spans="1:17" ht="225" x14ac:dyDescent="0.25">
      <c r="A1180" s="12" t="s">
        <v>7242</v>
      </c>
      <c r="B1180" s="12" t="s">
        <v>7256</v>
      </c>
      <c r="C1180" s="12" t="s">
        <v>7258</v>
      </c>
      <c r="D1180" s="12" t="s">
        <v>7172</v>
      </c>
      <c r="E1180" s="12" t="s">
        <v>2146</v>
      </c>
      <c r="F1180" s="12" t="s">
        <v>2147</v>
      </c>
      <c r="G1180" s="12" t="s">
        <v>12</v>
      </c>
      <c r="H1180" s="12" t="s">
        <v>6429</v>
      </c>
      <c r="I1180" s="12"/>
      <c r="J1180" s="12" t="s">
        <v>99</v>
      </c>
      <c r="K1180" s="12"/>
      <c r="L1180" s="12"/>
      <c r="M1180" s="12" t="s">
        <v>2148</v>
      </c>
      <c r="N1180" s="12"/>
      <c r="O1180" s="12" t="s">
        <v>2149</v>
      </c>
      <c r="P1180" s="12" t="str">
        <f>HYPERLINK("https://ceds.ed.gov/cedselementdetails.aspx?termid=9067")</f>
        <v>https://ceds.ed.gov/cedselementdetails.aspx?termid=9067</v>
      </c>
      <c r="Q1180" s="12" t="str">
        <f>HYPERLINK("https://ceds.ed.gov/elementComment.aspx?elementName=Course Title &amp;elementID=9067", "Click here to submit comment")</f>
        <v>Click here to submit comment</v>
      </c>
    </row>
    <row r="1181" spans="1:17" ht="330" x14ac:dyDescent="0.25">
      <c r="A1181" s="12" t="s">
        <v>7242</v>
      </c>
      <c r="B1181" s="12" t="s">
        <v>7256</v>
      </c>
      <c r="C1181" s="12" t="s">
        <v>7258</v>
      </c>
      <c r="D1181" s="12" t="s">
        <v>7172</v>
      </c>
      <c r="E1181" s="12" t="s">
        <v>3094</v>
      </c>
      <c r="F1181" s="12" t="s">
        <v>3095</v>
      </c>
      <c r="G1181" s="13" t="s">
        <v>6908</v>
      </c>
      <c r="H1181" s="12" t="s">
        <v>6369</v>
      </c>
      <c r="I1181" s="12"/>
      <c r="J1181" s="12"/>
      <c r="K1181" s="12"/>
      <c r="L1181" s="12"/>
      <c r="M1181" s="12" t="s">
        <v>3096</v>
      </c>
      <c r="N1181" s="12"/>
      <c r="O1181" s="12" t="s">
        <v>3097</v>
      </c>
      <c r="P1181" s="12" t="str">
        <f>HYPERLINK("https://ceds.ed.gov/cedselementdetails.aspx?termid=9125")</f>
        <v>https://ceds.ed.gov/cedselementdetails.aspx?termid=9125</v>
      </c>
      <c r="Q1181" s="12" t="str">
        <f>HYPERLINK("https://ceds.ed.gov/elementComment.aspx?elementName=Grade Level When Course Taken &amp;elementID=9125", "Click here to submit comment")</f>
        <v>Click here to submit comment</v>
      </c>
    </row>
    <row r="1182" spans="1:17" ht="210" x14ac:dyDescent="0.25">
      <c r="A1182" s="12" t="s">
        <v>7242</v>
      </c>
      <c r="B1182" s="12" t="s">
        <v>7256</v>
      </c>
      <c r="C1182" s="12" t="s">
        <v>7258</v>
      </c>
      <c r="D1182" s="12" t="s">
        <v>7172</v>
      </c>
      <c r="E1182" s="12" t="s">
        <v>2081</v>
      </c>
      <c r="F1182" s="12" t="s">
        <v>2082</v>
      </c>
      <c r="G1182" s="13" t="s">
        <v>6843</v>
      </c>
      <c r="H1182" s="12" t="s">
        <v>6369</v>
      </c>
      <c r="I1182" s="12"/>
      <c r="J1182" s="12"/>
      <c r="K1182" s="12"/>
      <c r="L1182" s="12"/>
      <c r="M1182" s="12" t="s">
        <v>2083</v>
      </c>
      <c r="N1182" s="12"/>
      <c r="O1182" s="12" t="s">
        <v>2084</v>
      </c>
      <c r="P1182" s="12" t="str">
        <f>HYPERLINK("https://ceds.ed.gov/cedselementdetails.aspx?termid=9065")</f>
        <v>https://ceds.ed.gov/cedselementdetails.aspx?termid=9065</v>
      </c>
      <c r="Q1182" s="12" t="str">
        <f>HYPERLINK("https://ceds.ed.gov/elementComment.aspx?elementName=Course Repeat Code &amp;elementID=9065", "Click here to submit comment")</f>
        <v>Click here to submit comment</v>
      </c>
    </row>
    <row r="1183" spans="1:17" ht="90" x14ac:dyDescent="0.25">
      <c r="A1183" s="12" t="s">
        <v>7242</v>
      </c>
      <c r="B1183" s="12" t="s">
        <v>7256</v>
      </c>
      <c r="C1183" s="12" t="s">
        <v>7258</v>
      </c>
      <c r="D1183" s="12" t="s">
        <v>7172</v>
      </c>
      <c r="E1183" s="12" t="s">
        <v>4584</v>
      </c>
      <c r="F1183" s="12" t="s">
        <v>4585</v>
      </c>
      <c r="G1183" s="12" t="s">
        <v>12</v>
      </c>
      <c r="H1183" s="12" t="s">
        <v>6369</v>
      </c>
      <c r="I1183" s="12"/>
      <c r="J1183" s="12" t="s">
        <v>1554</v>
      </c>
      <c r="K1183" s="12"/>
      <c r="L1183" s="12"/>
      <c r="M1183" s="12" t="s">
        <v>4586</v>
      </c>
      <c r="N1183" s="12"/>
      <c r="O1183" s="12" t="s">
        <v>4587</v>
      </c>
      <c r="P1183" s="12" t="str">
        <f>HYPERLINK("https://ceds.ed.gov/cedselementdetails.aspx?termid=9199")</f>
        <v>https://ceds.ed.gov/cedselementdetails.aspx?termid=9199</v>
      </c>
      <c r="Q1183" s="12" t="str">
        <f>HYPERLINK("https://ceds.ed.gov/elementComment.aspx?elementName=Number of Credits Attempted &amp;elementID=9199", "Click here to submit comment")</f>
        <v>Click here to submit comment</v>
      </c>
    </row>
    <row r="1184" spans="1:17" ht="120" x14ac:dyDescent="0.25">
      <c r="A1184" s="12" t="s">
        <v>7242</v>
      </c>
      <c r="B1184" s="12" t="s">
        <v>7256</v>
      </c>
      <c r="C1184" s="12" t="s">
        <v>7258</v>
      </c>
      <c r="D1184" s="12" t="s">
        <v>7172</v>
      </c>
      <c r="E1184" s="12" t="s">
        <v>4588</v>
      </c>
      <c r="F1184" s="12" t="s">
        <v>4589</v>
      </c>
      <c r="G1184" s="12" t="s">
        <v>12</v>
      </c>
      <c r="H1184" s="12" t="s">
        <v>6596</v>
      </c>
      <c r="I1184" s="12"/>
      <c r="J1184" s="12" t="s">
        <v>1554</v>
      </c>
      <c r="K1184" s="12"/>
      <c r="L1184" s="12"/>
      <c r="M1184" s="12" t="s">
        <v>4590</v>
      </c>
      <c r="N1184" s="12"/>
      <c r="O1184" s="12" t="s">
        <v>4591</v>
      </c>
      <c r="P1184" s="12" t="str">
        <f>HYPERLINK("https://ceds.ed.gov/cedselementdetails.aspx?termid=9200")</f>
        <v>https://ceds.ed.gov/cedselementdetails.aspx?termid=9200</v>
      </c>
      <c r="Q1184" s="12" t="str">
        <f>HYPERLINK("https://ceds.ed.gov/elementComment.aspx?elementName=Number of Credits Earned &amp;elementID=9200", "Click here to submit comment")</f>
        <v>Click here to submit comment</v>
      </c>
    </row>
    <row r="1185" spans="1:17" ht="90" x14ac:dyDescent="0.25">
      <c r="A1185" s="12" t="s">
        <v>7242</v>
      </c>
      <c r="B1185" s="12" t="s">
        <v>7256</v>
      </c>
      <c r="C1185" s="12" t="s">
        <v>7258</v>
      </c>
      <c r="D1185" s="12" t="s">
        <v>7172</v>
      </c>
      <c r="E1185" s="12" t="s">
        <v>5968</v>
      </c>
      <c r="F1185" s="12" t="s">
        <v>5969</v>
      </c>
      <c r="G1185" s="12" t="s">
        <v>12</v>
      </c>
      <c r="H1185" s="12" t="s">
        <v>6369</v>
      </c>
      <c r="I1185" s="12"/>
      <c r="J1185" s="12" t="s">
        <v>1950</v>
      </c>
      <c r="K1185" s="12"/>
      <c r="L1185" s="12"/>
      <c r="M1185" s="12" t="s">
        <v>5970</v>
      </c>
      <c r="N1185" s="12"/>
      <c r="O1185" s="12" t="s">
        <v>5971</v>
      </c>
      <c r="P1185" s="12" t="str">
        <f>HYPERLINK("https://ceds.ed.gov/cedselementdetails.aspx?termid=9124")</f>
        <v>https://ceds.ed.gov/cedselementdetails.aspx?termid=9124</v>
      </c>
      <c r="Q1185" s="12" t="str">
        <f>HYPERLINK("https://ceds.ed.gov/elementComment.aspx?elementName=Student Course Section Grade Earned &amp;elementID=9124", "Click here to submit comment")</f>
        <v>Click here to submit comment</v>
      </c>
    </row>
    <row r="1186" spans="1:17" ht="285" x14ac:dyDescent="0.25">
      <c r="A1186" s="12" t="s">
        <v>7242</v>
      </c>
      <c r="B1186" s="12" t="s">
        <v>7256</v>
      </c>
      <c r="C1186" s="12" t="s">
        <v>7258</v>
      </c>
      <c r="D1186" s="12" t="s">
        <v>7172</v>
      </c>
      <c r="E1186" s="12" t="s">
        <v>2174</v>
      </c>
      <c r="F1186" s="12" t="s">
        <v>2175</v>
      </c>
      <c r="G1186" s="13" t="s">
        <v>6851</v>
      </c>
      <c r="H1186" s="12" t="s">
        <v>6369</v>
      </c>
      <c r="I1186" s="12"/>
      <c r="J1186" s="12"/>
      <c r="K1186" s="12"/>
      <c r="L1186" s="12"/>
      <c r="M1186" s="12" t="s">
        <v>2176</v>
      </c>
      <c r="N1186" s="12"/>
      <c r="O1186" s="12" t="s">
        <v>2177</v>
      </c>
      <c r="P1186" s="12" t="str">
        <f>HYPERLINK("https://ceds.ed.gov/cedselementdetails.aspx?termid=9072")</f>
        <v>https://ceds.ed.gov/cedselementdetails.aspx?termid=9072</v>
      </c>
      <c r="Q1186" s="12" t="str">
        <f>HYPERLINK("https://ceds.ed.gov/elementComment.aspx?elementName=Credit Type Earned &amp;elementID=9072", "Click here to submit comment")</f>
        <v>Click here to submit comment</v>
      </c>
    </row>
    <row r="1187" spans="1:17" ht="135" x14ac:dyDescent="0.25">
      <c r="A1187" s="12" t="s">
        <v>7242</v>
      </c>
      <c r="B1187" s="12" t="s">
        <v>7256</v>
      </c>
      <c r="C1187" s="12" t="s">
        <v>7258</v>
      </c>
      <c r="D1187" s="12" t="s">
        <v>7172</v>
      </c>
      <c r="E1187" s="12" t="s">
        <v>3129</v>
      </c>
      <c r="F1187" s="12" t="s">
        <v>3130</v>
      </c>
      <c r="G1187" s="12" t="s">
        <v>12</v>
      </c>
      <c r="H1187" s="12"/>
      <c r="I1187" s="12"/>
      <c r="J1187" s="12" t="s">
        <v>794</v>
      </c>
      <c r="K1187" s="12"/>
      <c r="L1187" s="12" t="s">
        <v>3131</v>
      </c>
      <c r="M1187" s="12" t="s">
        <v>3132</v>
      </c>
      <c r="N1187" s="12"/>
      <c r="O1187" s="12" t="s">
        <v>3133</v>
      </c>
      <c r="P1187" s="12" t="str">
        <f>HYPERLINK("https://ceds.ed.gov/cedselementdetails.aspx?termid=9609")</f>
        <v>https://ceds.ed.gov/cedselementdetails.aspx?termid=9609</v>
      </c>
      <c r="Q1187" s="12" t="str">
        <f>HYPERLINK("https://ceds.ed.gov/elementComment.aspx?elementName=Grade Value Qualifier &amp;elementID=9609", "Click here to submit comment")</f>
        <v>Click here to submit comment</v>
      </c>
    </row>
    <row r="1188" spans="1:17" ht="105" x14ac:dyDescent="0.25">
      <c r="A1188" s="12" t="s">
        <v>7242</v>
      </c>
      <c r="B1188" s="12" t="s">
        <v>7256</v>
      </c>
      <c r="C1188" s="12" t="s">
        <v>7258</v>
      </c>
      <c r="D1188" s="12" t="s">
        <v>7172</v>
      </c>
      <c r="E1188" s="12" t="s">
        <v>2178</v>
      </c>
      <c r="F1188" s="12" t="s">
        <v>2179</v>
      </c>
      <c r="G1188" s="12" t="s">
        <v>12</v>
      </c>
      <c r="H1188" s="12" t="s">
        <v>6369</v>
      </c>
      <c r="I1188" s="12"/>
      <c r="J1188" s="12" t="s">
        <v>1554</v>
      </c>
      <c r="K1188" s="12"/>
      <c r="L1188" s="12"/>
      <c r="M1188" s="12" t="s">
        <v>2180</v>
      </c>
      <c r="N1188" s="12"/>
      <c r="O1188" s="12" t="s">
        <v>2181</v>
      </c>
      <c r="P1188" s="12" t="str">
        <f>HYPERLINK("https://ceds.ed.gov/cedselementdetails.aspx?termid=9073")</f>
        <v>https://ceds.ed.gov/cedselementdetails.aspx?termid=9073</v>
      </c>
      <c r="Q1188" s="12" t="str">
        <f>HYPERLINK("https://ceds.ed.gov/elementComment.aspx?elementName=Credits Attempted Cumulative &amp;elementID=9073", "Click here to submit comment")</f>
        <v>Click here to submit comment</v>
      </c>
    </row>
    <row r="1189" spans="1:17" ht="75" x14ac:dyDescent="0.25">
      <c r="A1189" s="12" t="s">
        <v>7242</v>
      </c>
      <c r="B1189" s="12" t="s">
        <v>7256</v>
      </c>
      <c r="C1189" s="12" t="s">
        <v>7258</v>
      </c>
      <c r="D1189" s="12" t="s">
        <v>7172</v>
      </c>
      <c r="E1189" s="12" t="s">
        <v>6094</v>
      </c>
      <c r="F1189" s="12" t="s">
        <v>6095</v>
      </c>
      <c r="G1189" s="13" t="s">
        <v>7134</v>
      </c>
      <c r="H1189" s="12" t="s">
        <v>222</v>
      </c>
      <c r="I1189" s="12"/>
      <c r="J1189" s="12"/>
      <c r="K1189" s="12"/>
      <c r="L1189" s="12"/>
      <c r="M1189" s="12" t="s">
        <v>6096</v>
      </c>
      <c r="N1189" s="12"/>
      <c r="O1189" s="12" t="s">
        <v>6097</v>
      </c>
      <c r="P1189" s="12" t="str">
        <f>HYPERLINK("https://ceds.ed.gov/cedselementdetails.aspx?termid=9558")</f>
        <v>https://ceds.ed.gov/cedselementdetails.aspx?termid=9558</v>
      </c>
      <c r="Q1189" s="12" t="str">
        <f>HYPERLINK("https://ceds.ed.gov/elementComment.aspx?elementName=Technology Literacy Status in 8th Grade &amp;elementID=9558", "Click here to submit comment")</f>
        <v>Click here to submit comment</v>
      </c>
    </row>
    <row r="1190" spans="1:17" ht="105" x14ac:dyDescent="0.25">
      <c r="A1190" s="12" t="s">
        <v>7242</v>
      </c>
      <c r="B1190" s="12" t="s">
        <v>7256</v>
      </c>
      <c r="C1190" s="12" t="s">
        <v>7258</v>
      </c>
      <c r="D1190" s="12" t="s">
        <v>7172</v>
      </c>
      <c r="E1190" s="12" t="s">
        <v>2182</v>
      </c>
      <c r="F1190" s="12" t="s">
        <v>2183</v>
      </c>
      <c r="G1190" s="12" t="s">
        <v>12</v>
      </c>
      <c r="H1190" s="12" t="s">
        <v>6369</v>
      </c>
      <c r="I1190" s="12"/>
      <c r="J1190" s="12" t="s">
        <v>1554</v>
      </c>
      <c r="K1190" s="12"/>
      <c r="L1190" s="12"/>
      <c r="M1190" s="12" t="s">
        <v>2184</v>
      </c>
      <c r="N1190" s="12"/>
      <c r="O1190" s="12" t="s">
        <v>2185</v>
      </c>
      <c r="P1190" s="12" t="str">
        <f>HYPERLINK("https://ceds.ed.gov/cedselementdetails.aspx?termid=9074")</f>
        <v>https://ceds.ed.gov/cedselementdetails.aspx?termid=9074</v>
      </c>
      <c r="Q1190" s="12" t="str">
        <f>HYPERLINK("https://ceds.ed.gov/elementComment.aspx?elementName=Credits Earned Cumulative &amp;elementID=9074", "Click here to submit comment")</f>
        <v>Click here to submit comment</v>
      </c>
    </row>
    <row r="1191" spans="1:17" ht="105" x14ac:dyDescent="0.25">
      <c r="A1191" s="12" t="s">
        <v>7242</v>
      </c>
      <c r="B1191" s="12" t="s">
        <v>7256</v>
      </c>
      <c r="C1191" s="12" t="s">
        <v>7258</v>
      </c>
      <c r="D1191" s="12" t="s">
        <v>7172</v>
      </c>
      <c r="E1191" s="12" t="s">
        <v>3125</v>
      </c>
      <c r="F1191" s="12" t="s">
        <v>3126</v>
      </c>
      <c r="G1191" s="12" t="s">
        <v>12</v>
      </c>
      <c r="H1191" s="12" t="s">
        <v>6369</v>
      </c>
      <c r="I1191" s="12"/>
      <c r="J1191" s="12" t="s">
        <v>1554</v>
      </c>
      <c r="K1191" s="12"/>
      <c r="L1191" s="12"/>
      <c r="M1191" s="12" t="s">
        <v>3127</v>
      </c>
      <c r="N1191" s="12"/>
      <c r="O1191" s="12" t="s">
        <v>3128</v>
      </c>
      <c r="P1191" s="12" t="str">
        <f>HYPERLINK("https://ceds.ed.gov/cedselementdetails.aspx?termid=9130")</f>
        <v>https://ceds.ed.gov/cedselementdetails.aspx?termid=9130</v>
      </c>
      <c r="Q1191" s="12" t="str">
        <f>HYPERLINK("https://ceds.ed.gov/elementComment.aspx?elementName=Grade Points Earned Cumulative &amp;elementID=9130", "Click here to submit comment")</f>
        <v>Click here to submit comment</v>
      </c>
    </row>
    <row r="1192" spans="1:17" ht="180" x14ac:dyDescent="0.25">
      <c r="A1192" s="12" t="s">
        <v>7242</v>
      </c>
      <c r="B1192" s="12" t="s">
        <v>7256</v>
      </c>
      <c r="C1192" s="12" t="s">
        <v>7258</v>
      </c>
      <c r="D1192" s="12" t="s">
        <v>7172</v>
      </c>
      <c r="E1192" s="12" t="s">
        <v>3103</v>
      </c>
      <c r="F1192" s="12" t="s">
        <v>3104</v>
      </c>
      <c r="G1192" s="12" t="s">
        <v>12</v>
      </c>
      <c r="H1192" s="12" t="s">
        <v>6548</v>
      </c>
      <c r="I1192" s="12"/>
      <c r="J1192" s="12" t="s">
        <v>3100</v>
      </c>
      <c r="K1192" s="12"/>
      <c r="L1192" s="12" t="s">
        <v>3105</v>
      </c>
      <c r="M1192" s="12" t="s">
        <v>3106</v>
      </c>
      <c r="N1192" s="12" t="s">
        <v>3107</v>
      </c>
      <c r="O1192" s="12" t="s">
        <v>3108</v>
      </c>
      <c r="P1192" s="12" t="str">
        <f>HYPERLINK("https://ceds.ed.gov/cedselementdetails.aspx?termid=9128")</f>
        <v>https://ceds.ed.gov/cedselementdetails.aspx?termid=9128</v>
      </c>
      <c r="Q1192" s="12" t="str">
        <f>HYPERLINK("https://ceds.ed.gov/elementComment.aspx?elementName=Grade Point Average Cumulative &amp;elementID=9128", "Click here to submit comment")</f>
        <v>Click here to submit comment</v>
      </c>
    </row>
    <row r="1193" spans="1:17" ht="90" x14ac:dyDescent="0.25">
      <c r="A1193" s="12" t="s">
        <v>7242</v>
      </c>
      <c r="B1193" s="12" t="s">
        <v>7256</v>
      </c>
      <c r="C1193" s="12" t="s">
        <v>7258</v>
      </c>
      <c r="D1193" s="12" t="s">
        <v>7172</v>
      </c>
      <c r="E1193" s="12" t="s">
        <v>3115</v>
      </c>
      <c r="F1193" s="12" t="s">
        <v>3116</v>
      </c>
      <c r="G1193" s="12" t="s">
        <v>12</v>
      </c>
      <c r="H1193" s="12" t="s">
        <v>6369</v>
      </c>
      <c r="I1193" s="12"/>
      <c r="J1193" s="12" t="s">
        <v>3100</v>
      </c>
      <c r="K1193" s="12"/>
      <c r="L1193" s="12"/>
      <c r="M1193" s="12" t="s">
        <v>3117</v>
      </c>
      <c r="N1193" s="12" t="s">
        <v>3118</v>
      </c>
      <c r="O1193" s="12" t="s">
        <v>3119</v>
      </c>
      <c r="P1193" s="12" t="str">
        <f>HYPERLINK("https://ceds.ed.gov/cedselementdetails.aspx?termid=9129")</f>
        <v>https://ceds.ed.gov/cedselementdetails.aspx?termid=9129</v>
      </c>
      <c r="Q1193" s="12" t="str">
        <f>HYPERLINK("https://ceds.ed.gov/elementComment.aspx?elementName=Grade Point Average Given Session &amp;elementID=9129", "Click here to submit comment")</f>
        <v>Click here to submit comment</v>
      </c>
    </row>
    <row r="1194" spans="1:17" ht="120" x14ac:dyDescent="0.25">
      <c r="A1194" s="12" t="s">
        <v>7242</v>
      </c>
      <c r="B1194" s="12" t="s">
        <v>7256</v>
      </c>
      <c r="C1194" s="12" t="s">
        <v>7258</v>
      </c>
      <c r="D1194" s="12" t="s">
        <v>7172</v>
      </c>
      <c r="E1194" s="12" t="s">
        <v>3205</v>
      </c>
      <c r="F1194" s="12" t="s">
        <v>3206</v>
      </c>
      <c r="G1194" s="12" t="s">
        <v>12</v>
      </c>
      <c r="H1194" s="12" t="s">
        <v>6559</v>
      </c>
      <c r="I1194" s="12"/>
      <c r="J1194" s="12" t="s">
        <v>317</v>
      </c>
      <c r="K1194" s="12"/>
      <c r="L1194" s="12"/>
      <c r="M1194" s="12" t="s">
        <v>3207</v>
      </c>
      <c r="N1194" s="12"/>
      <c r="O1194" s="12" t="s">
        <v>3208</v>
      </c>
      <c r="P1194" s="12" t="str">
        <f>HYPERLINK("https://ceds.ed.gov/cedselementdetails.aspx?termid=9041")</f>
        <v>https://ceds.ed.gov/cedselementdetails.aspx?termid=9041</v>
      </c>
      <c r="Q1194" s="12" t="str">
        <f>HYPERLINK("https://ceds.ed.gov/elementComment.aspx?elementName=High School Student Class Rank &amp;elementID=9041", "Click here to submit comment")</f>
        <v>Click here to submit comment</v>
      </c>
    </row>
    <row r="1195" spans="1:17" ht="120" x14ac:dyDescent="0.25">
      <c r="A1195" s="12" t="s">
        <v>7242</v>
      </c>
      <c r="B1195" s="12" t="s">
        <v>7256</v>
      </c>
      <c r="C1195" s="12" t="s">
        <v>7258</v>
      </c>
      <c r="D1195" s="12" t="s">
        <v>7172</v>
      </c>
      <c r="E1195" s="12" t="s">
        <v>5741</v>
      </c>
      <c r="F1195" s="12" t="s">
        <v>5742</v>
      </c>
      <c r="G1195" s="12" t="s">
        <v>12</v>
      </c>
      <c r="H1195" s="12" t="s">
        <v>6559</v>
      </c>
      <c r="I1195" s="12"/>
      <c r="J1195" s="12" t="s">
        <v>317</v>
      </c>
      <c r="K1195" s="12"/>
      <c r="L1195" s="12"/>
      <c r="M1195" s="12" t="s">
        <v>5743</v>
      </c>
      <c r="N1195" s="12"/>
      <c r="O1195" s="12" t="s">
        <v>5744</v>
      </c>
      <c r="P1195" s="12" t="str">
        <f>HYPERLINK("https://ceds.ed.gov/cedselementdetails.aspx?termid=9294")</f>
        <v>https://ceds.ed.gov/cedselementdetails.aspx?termid=9294</v>
      </c>
      <c r="Q1195" s="12" t="str">
        <f>HYPERLINK("https://ceds.ed.gov/elementComment.aspx?elementName=Size of High School Graduating Class &amp;elementID=9294", "Click here to submit comment")</f>
        <v>Click here to submit comment</v>
      </c>
    </row>
    <row r="1196" spans="1:17" ht="90" x14ac:dyDescent="0.25">
      <c r="A1196" s="12" t="s">
        <v>7242</v>
      </c>
      <c r="B1196" s="12" t="s">
        <v>7256</v>
      </c>
      <c r="C1196" s="12" t="s">
        <v>7258</v>
      </c>
      <c r="D1196" s="12" t="s">
        <v>7172</v>
      </c>
      <c r="E1196" s="12" t="s">
        <v>1821</v>
      </c>
      <c r="F1196" s="12" t="s">
        <v>1822</v>
      </c>
      <c r="G1196" s="12" t="s">
        <v>12</v>
      </c>
      <c r="H1196" s="12" t="s">
        <v>6369</v>
      </c>
      <c r="I1196" s="12"/>
      <c r="J1196" s="12" t="s">
        <v>1823</v>
      </c>
      <c r="K1196" s="12"/>
      <c r="L1196" s="12"/>
      <c r="M1196" s="12" t="s">
        <v>1824</v>
      </c>
      <c r="N1196" s="12"/>
      <c r="O1196" s="12" t="s">
        <v>1825</v>
      </c>
      <c r="P1196" s="12" t="str">
        <f>HYPERLINK("https://ceds.ed.gov/cedselementdetails.aspx?termid=9042")</f>
        <v>https://ceds.ed.gov/cedselementdetails.aspx?termid=9042</v>
      </c>
      <c r="Q1196" s="12" t="str">
        <f>HYPERLINK("https://ceds.ed.gov/elementComment.aspx?elementName=Class Ranking Date &amp;elementID=9042", "Click here to submit comment")</f>
        <v>Click here to submit comment</v>
      </c>
    </row>
    <row r="1197" spans="1:17" ht="90" x14ac:dyDescent="0.25">
      <c r="A1197" s="12" t="s">
        <v>7242</v>
      </c>
      <c r="B1197" s="12" t="s">
        <v>7256</v>
      </c>
      <c r="C1197" s="12" t="s">
        <v>7258</v>
      </c>
      <c r="D1197" s="12" t="s">
        <v>7172</v>
      </c>
      <c r="E1197" s="12" t="s">
        <v>5205</v>
      </c>
      <c r="F1197" s="12" t="s">
        <v>5206</v>
      </c>
      <c r="G1197" s="12" t="s">
        <v>12</v>
      </c>
      <c r="H1197" s="12" t="s">
        <v>6369</v>
      </c>
      <c r="I1197" s="12"/>
      <c r="J1197" s="12" t="s">
        <v>2328</v>
      </c>
      <c r="K1197" s="12"/>
      <c r="L1197" s="12"/>
      <c r="M1197" s="12" t="s">
        <v>5207</v>
      </c>
      <c r="N1197" s="12"/>
      <c r="O1197" s="12" t="s">
        <v>5208</v>
      </c>
      <c r="P1197" s="12" t="str">
        <f>HYPERLINK("https://ceds.ed.gov/cedselementdetails.aspx?termid=9226")</f>
        <v>https://ceds.ed.gov/cedselementdetails.aspx?termid=9226</v>
      </c>
      <c r="Q1197" s="12" t="str">
        <f>HYPERLINK("https://ceds.ed.gov/elementComment.aspx?elementName=Projected Graduation Date &amp;elementID=9226", "Click here to submit comment")</f>
        <v>Click here to submit comment</v>
      </c>
    </row>
    <row r="1198" spans="1:17" ht="345" x14ac:dyDescent="0.25">
      <c r="A1198" s="12" t="s">
        <v>7242</v>
      </c>
      <c r="B1198" s="12" t="s">
        <v>7256</v>
      </c>
      <c r="C1198" s="12" t="s">
        <v>7258</v>
      </c>
      <c r="D1198" s="12" t="s">
        <v>7172</v>
      </c>
      <c r="E1198" s="12" t="s">
        <v>26</v>
      </c>
      <c r="F1198" s="12" t="s">
        <v>27</v>
      </c>
      <c r="G1198" s="13" t="s">
        <v>6719</v>
      </c>
      <c r="H1198" s="12" t="s">
        <v>6369</v>
      </c>
      <c r="I1198" s="12"/>
      <c r="J1198" s="12"/>
      <c r="K1198" s="12"/>
      <c r="L1198" s="12"/>
      <c r="M1198" s="12" t="s">
        <v>29</v>
      </c>
      <c r="N1198" s="12"/>
      <c r="O1198" s="12" t="s">
        <v>30</v>
      </c>
      <c r="P1198" s="12" t="str">
        <f>HYPERLINK("https://ceds.ed.gov/cedselementdetails.aspx?termid=9004")</f>
        <v>https://ceds.ed.gov/cedselementdetails.aspx?termid=9004</v>
      </c>
      <c r="Q1198" s="12" t="str">
        <f>HYPERLINK("https://ceds.ed.gov/elementComment.aspx?elementName=Academic Honors Type &amp;elementID=9004", "Click here to submit comment")</f>
        <v>Click here to submit comment</v>
      </c>
    </row>
    <row r="1199" spans="1:17" ht="90" x14ac:dyDescent="0.25">
      <c r="A1199" s="12" t="s">
        <v>7242</v>
      </c>
      <c r="B1199" s="12" t="s">
        <v>7256</v>
      </c>
      <c r="C1199" s="12" t="s">
        <v>7258</v>
      </c>
      <c r="D1199" s="12" t="s">
        <v>7172</v>
      </c>
      <c r="E1199" s="12" t="s">
        <v>3248</v>
      </c>
      <c r="F1199" s="12" t="s">
        <v>3249</v>
      </c>
      <c r="G1199" s="12" t="s">
        <v>12</v>
      </c>
      <c r="H1199" s="12" t="s">
        <v>6369</v>
      </c>
      <c r="I1199" s="12"/>
      <c r="J1199" s="12" t="s">
        <v>22</v>
      </c>
      <c r="K1199" s="12"/>
      <c r="L1199" s="12"/>
      <c r="M1199" s="12" t="s">
        <v>3250</v>
      </c>
      <c r="N1199" s="12"/>
      <c r="O1199" s="12" t="s">
        <v>3251</v>
      </c>
      <c r="P1199" s="12" t="str">
        <f>HYPERLINK("https://ceds.ed.gov/cedselementdetails.aspx?termid=9150")</f>
        <v>https://ceds.ed.gov/cedselementdetails.aspx?termid=9150</v>
      </c>
      <c r="Q1199" s="12" t="str">
        <f>HYPERLINK("https://ceds.ed.gov/elementComment.aspx?elementName=Honors Description &amp;elementID=9150", "Click here to submit comment")</f>
        <v>Click here to submit comment</v>
      </c>
    </row>
    <row r="1200" spans="1:17" ht="90" x14ac:dyDescent="0.25">
      <c r="A1200" s="12" t="s">
        <v>7242</v>
      </c>
      <c r="B1200" s="12" t="s">
        <v>7256</v>
      </c>
      <c r="C1200" s="12" t="s">
        <v>7258</v>
      </c>
      <c r="D1200" s="12" t="s">
        <v>7172</v>
      </c>
      <c r="E1200" s="12" t="s">
        <v>1639</v>
      </c>
      <c r="F1200" s="12" t="s">
        <v>1640</v>
      </c>
      <c r="G1200" s="12" t="s">
        <v>6364</v>
      </c>
      <c r="H1200" s="12" t="s">
        <v>6369</v>
      </c>
      <c r="I1200" s="12" t="s">
        <v>98</v>
      </c>
      <c r="J1200" s="12"/>
      <c r="K1200" s="12"/>
      <c r="L1200" s="12"/>
      <c r="M1200" s="12" t="s">
        <v>1641</v>
      </c>
      <c r="N1200" s="12" t="s">
        <v>1642</v>
      </c>
      <c r="O1200" s="12" t="s">
        <v>1643</v>
      </c>
      <c r="P1200" s="12" t="str">
        <f>HYPERLINK("https://ceds.ed.gov/cedselementdetails.aspx?termid=9036")</f>
        <v>https://ceds.ed.gov/cedselementdetails.aspx?termid=9036</v>
      </c>
      <c r="Q1200" s="12" t="str">
        <f>HYPERLINK("https://ceds.ed.gov/elementComment.aspx?elementName=Career and Technical Education Completer &amp;elementID=9036", "Click here to submit comment")</f>
        <v>Click here to submit comment</v>
      </c>
    </row>
    <row r="1201" spans="1:17" ht="210" x14ac:dyDescent="0.25">
      <c r="A1201" s="12" t="s">
        <v>7242</v>
      </c>
      <c r="B1201" s="12" t="s">
        <v>7256</v>
      </c>
      <c r="C1201" s="12" t="s">
        <v>7258</v>
      </c>
      <c r="D1201" s="12" t="s">
        <v>7172</v>
      </c>
      <c r="E1201" s="12" t="s">
        <v>5321</v>
      </c>
      <c r="F1201" s="12" t="s">
        <v>5322</v>
      </c>
      <c r="G1201" s="13" t="s">
        <v>7094</v>
      </c>
      <c r="H1201" s="12" t="s">
        <v>6369</v>
      </c>
      <c r="I1201" s="12"/>
      <c r="J1201" s="12"/>
      <c r="K1201" s="12"/>
      <c r="L1201" s="12"/>
      <c r="M1201" s="12" t="s">
        <v>5323</v>
      </c>
      <c r="N1201" s="12"/>
      <c r="O1201" s="12" t="s">
        <v>5324</v>
      </c>
      <c r="P1201" s="12" t="str">
        <f>HYPERLINK("https://ceds.ed.gov/cedselementdetails.aspx?termid=9229")</f>
        <v>https://ceds.ed.gov/cedselementdetails.aspx?termid=9229</v>
      </c>
      <c r="Q1201" s="12" t="str">
        <f>HYPERLINK("https://ceds.ed.gov/elementComment.aspx?elementName=Recognition for Participation or Performance in an Activity &amp;elementID=9229", "Click here to submit comment")</f>
        <v>Click here to submit comment</v>
      </c>
    </row>
    <row r="1202" spans="1:17" ht="45" x14ac:dyDescent="0.25">
      <c r="A1202" s="12" t="s">
        <v>7242</v>
      </c>
      <c r="B1202" s="12" t="s">
        <v>7256</v>
      </c>
      <c r="C1202" s="12" t="s">
        <v>7258</v>
      </c>
      <c r="D1202" s="12" t="s">
        <v>7172</v>
      </c>
      <c r="E1202" s="12" t="s">
        <v>2739</v>
      </c>
      <c r="F1202" s="12" t="s">
        <v>2740</v>
      </c>
      <c r="G1202" s="13" t="s">
        <v>6906</v>
      </c>
      <c r="H1202" s="12" t="s">
        <v>4</v>
      </c>
      <c r="I1202" s="12"/>
      <c r="J1202" s="12"/>
      <c r="K1202" s="12"/>
      <c r="L1202" s="12"/>
      <c r="M1202" s="12" t="s">
        <v>2741</v>
      </c>
      <c r="N1202" s="12"/>
      <c r="O1202" s="12" t="s">
        <v>2742</v>
      </c>
      <c r="P1202" s="12" t="str">
        <f>HYPERLINK("https://ceds.ed.gov/cedselementdetails.aspx?termid=9093")</f>
        <v>https://ceds.ed.gov/cedselementdetails.aspx?termid=9093</v>
      </c>
      <c r="Q1202" s="12" t="str">
        <f>HYPERLINK("https://ceds.ed.gov/elementComment.aspx?elementName=End of Term Status &amp;elementID=9093", "Click here to submit comment")</f>
        <v>Click here to submit comment</v>
      </c>
    </row>
    <row r="1203" spans="1:17" ht="150" x14ac:dyDescent="0.25">
      <c r="A1203" s="12" t="s">
        <v>7242</v>
      </c>
      <c r="B1203" s="12" t="s">
        <v>7256</v>
      </c>
      <c r="C1203" s="12" t="s">
        <v>7258</v>
      </c>
      <c r="D1203" s="12" t="s">
        <v>7172</v>
      </c>
      <c r="E1203" s="12" t="s">
        <v>5209</v>
      </c>
      <c r="F1203" s="12" t="s">
        <v>5210</v>
      </c>
      <c r="G1203" s="13" t="s">
        <v>7084</v>
      </c>
      <c r="H1203" s="12"/>
      <c r="I1203" s="12"/>
      <c r="J1203" s="12"/>
      <c r="K1203" s="12"/>
      <c r="L1203" s="12"/>
      <c r="M1203" s="12" t="s">
        <v>5211</v>
      </c>
      <c r="N1203" s="12"/>
      <c r="O1203" s="12" t="s">
        <v>5212</v>
      </c>
      <c r="P1203" s="12" t="str">
        <f>HYPERLINK("https://ceds.ed.gov/cedselementdetails.aspx?termid=9521")</f>
        <v>https://ceds.ed.gov/cedselementdetails.aspx?termid=9521</v>
      </c>
      <c r="Q1203" s="12" t="str">
        <f>HYPERLINK("https://ceds.ed.gov/elementComment.aspx?elementName=Promotion Reason &amp;elementID=9521", "Click here to submit comment")</f>
        <v>Click here to submit comment</v>
      </c>
    </row>
    <row r="1204" spans="1:17" ht="165" x14ac:dyDescent="0.25">
      <c r="A1204" s="12" t="s">
        <v>7242</v>
      </c>
      <c r="B1204" s="12" t="s">
        <v>7256</v>
      </c>
      <c r="C1204" s="12" t="s">
        <v>7258</v>
      </c>
      <c r="D1204" s="12" t="s">
        <v>7172</v>
      </c>
      <c r="E1204" s="12" t="s">
        <v>4568</v>
      </c>
      <c r="F1204" s="12" t="s">
        <v>4569</v>
      </c>
      <c r="G1204" s="13" t="s">
        <v>7041</v>
      </c>
      <c r="H1204" s="12"/>
      <c r="I1204" s="12"/>
      <c r="J1204" s="12"/>
      <c r="K1204" s="12"/>
      <c r="L1204" s="12"/>
      <c r="M1204" s="12" t="s">
        <v>4570</v>
      </c>
      <c r="N1204" s="12"/>
      <c r="O1204" s="12" t="s">
        <v>4571</v>
      </c>
      <c r="P1204" s="12" t="str">
        <f>HYPERLINK("https://ceds.ed.gov/cedselementdetails.aspx?termid=9522")</f>
        <v>https://ceds.ed.gov/cedselementdetails.aspx?termid=9522</v>
      </c>
      <c r="Q1204" s="12" t="str">
        <f>HYPERLINK("https://ceds.ed.gov/elementComment.aspx?elementName=Nonpromotion Reason &amp;elementID=9522", "Click here to submit comment")</f>
        <v>Click here to submit comment</v>
      </c>
    </row>
    <row r="1205" spans="1:17" ht="240" x14ac:dyDescent="0.25">
      <c r="A1205" s="12" t="s">
        <v>7242</v>
      </c>
      <c r="B1205" s="12" t="s">
        <v>7256</v>
      </c>
      <c r="C1205" s="12" t="s">
        <v>7258</v>
      </c>
      <c r="D1205" s="12" t="s">
        <v>7172</v>
      </c>
      <c r="E1205" s="12" t="s">
        <v>4301</v>
      </c>
      <c r="F1205" s="12" t="s">
        <v>4302</v>
      </c>
      <c r="G1205" s="13" t="s">
        <v>7018</v>
      </c>
      <c r="H1205" s="12" t="s">
        <v>211</v>
      </c>
      <c r="I1205" s="12"/>
      <c r="J1205" s="12"/>
      <c r="K1205" s="12"/>
      <c r="L1205" s="12"/>
      <c r="M1205" s="12" t="s">
        <v>4303</v>
      </c>
      <c r="N1205" s="12"/>
      <c r="O1205" s="12" t="s">
        <v>4304</v>
      </c>
      <c r="P1205" s="12" t="str">
        <f>HYPERLINK("https://ceds.ed.gov/cedselementdetails.aspx?termid=9456")</f>
        <v>https://ceds.ed.gov/cedselementdetails.aspx?termid=9456</v>
      </c>
      <c r="Q1205" s="12" t="str">
        <f>HYPERLINK("https://ceds.ed.gov/elementComment.aspx?elementName=Literacy Assessment Administered Type &amp;elementID=9456", "Click here to submit comment")</f>
        <v>Click here to submit comment</v>
      </c>
    </row>
    <row r="1206" spans="1:17" ht="60" x14ac:dyDescent="0.25">
      <c r="A1206" s="12" t="s">
        <v>7242</v>
      </c>
      <c r="B1206" s="12" t="s">
        <v>7256</v>
      </c>
      <c r="C1206" s="12" t="s">
        <v>7258</v>
      </c>
      <c r="D1206" s="12" t="s">
        <v>7172</v>
      </c>
      <c r="E1206" s="12" t="s">
        <v>4305</v>
      </c>
      <c r="F1206" s="12" t="s">
        <v>4306</v>
      </c>
      <c r="G1206" s="12" t="s">
        <v>6364</v>
      </c>
      <c r="H1206" s="12" t="s">
        <v>211</v>
      </c>
      <c r="I1206" s="12"/>
      <c r="J1206" s="12"/>
      <c r="K1206" s="12"/>
      <c r="L1206" s="12"/>
      <c r="M1206" s="12" t="s">
        <v>4307</v>
      </c>
      <c r="N1206" s="12"/>
      <c r="O1206" s="12" t="s">
        <v>4308</v>
      </c>
      <c r="P1206" s="12" t="str">
        <f>HYPERLINK("https://ceds.ed.gov/cedselementdetails.aspx?termid=9457")</f>
        <v>https://ceds.ed.gov/cedselementdetails.aspx?termid=9457</v>
      </c>
      <c r="Q1206" s="12" t="str">
        <f>HYPERLINK("https://ceds.ed.gov/elementComment.aspx?elementName=Literacy Goal Met Status &amp;elementID=9457", "Click here to submit comment")</f>
        <v>Click here to submit comment</v>
      </c>
    </row>
    <row r="1207" spans="1:17" ht="45" x14ac:dyDescent="0.25">
      <c r="A1207" s="12" t="s">
        <v>7242</v>
      </c>
      <c r="B1207" s="12" t="s">
        <v>7256</v>
      </c>
      <c r="C1207" s="12" t="s">
        <v>7258</v>
      </c>
      <c r="D1207" s="12" t="s">
        <v>7172</v>
      </c>
      <c r="E1207" s="12" t="s">
        <v>4309</v>
      </c>
      <c r="F1207" s="12" t="s">
        <v>4310</v>
      </c>
      <c r="G1207" s="12" t="s">
        <v>6364</v>
      </c>
      <c r="H1207" s="12" t="s">
        <v>211</v>
      </c>
      <c r="I1207" s="12"/>
      <c r="J1207" s="12"/>
      <c r="K1207" s="12"/>
      <c r="L1207" s="12"/>
      <c r="M1207" s="12" t="s">
        <v>4311</v>
      </c>
      <c r="N1207" s="12"/>
      <c r="O1207" s="12" t="s">
        <v>4312</v>
      </c>
      <c r="P1207" s="12" t="str">
        <f>HYPERLINK("https://ceds.ed.gov/cedselementdetails.aspx?termid=9458")</f>
        <v>https://ceds.ed.gov/cedselementdetails.aspx?termid=9458</v>
      </c>
      <c r="Q1207" s="12" t="str">
        <f>HYPERLINK("https://ceds.ed.gov/elementComment.aspx?elementName=Literacy Post Test Status &amp;elementID=9458", "Click here to submit comment")</f>
        <v>Click here to submit comment</v>
      </c>
    </row>
    <row r="1208" spans="1:17" ht="45" x14ac:dyDescent="0.25">
      <c r="A1208" s="12" t="s">
        <v>7242</v>
      </c>
      <c r="B1208" s="12" t="s">
        <v>7256</v>
      </c>
      <c r="C1208" s="12" t="s">
        <v>7258</v>
      </c>
      <c r="D1208" s="12" t="s">
        <v>7172</v>
      </c>
      <c r="E1208" s="12" t="s">
        <v>4313</v>
      </c>
      <c r="F1208" s="12" t="s">
        <v>4314</v>
      </c>
      <c r="G1208" s="12" t="s">
        <v>6364</v>
      </c>
      <c r="H1208" s="12" t="s">
        <v>211</v>
      </c>
      <c r="I1208" s="12"/>
      <c r="J1208" s="12"/>
      <c r="K1208" s="12"/>
      <c r="L1208" s="12"/>
      <c r="M1208" s="12" t="s">
        <v>4315</v>
      </c>
      <c r="N1208" s="12"/>
      <c r="O1208" s="12" t="s">
        <v>4316</v>
      </c>
      <c r="P1208" s="12" t="str">
        <f>HYPERLINK("https://ceds.ed.gov/cedselementdetails.aspx?termid=9459")</f>
        <v>https://ceds.ed.gov/cedselementdetails.aspx?termid=9459</v>
      </c>
      <c r="Q1208" s="12" t="str">
        <f>HYPERLINK("https://ceds.ed.gov/elementComment.aspx?elementName=Literacy Pre Test Status &amp;elementID=9459", "Click here to submit comment")</f>
        <v>Click here to submit comment</v>
      </c>
    </row>
    <row r="1209" spans="1:17" ht="75" x14ac:dyDescent="0.25">
      <c r="A1209" s="12" t="s">
        <v>7242</v>
      </c>
      <c r="B1209" s="12" t="s">
        <v>7256</v>
      </c>
      <c r="C1209" s="12" t="s">
        <v>7258</v>
      </c>
      <c r="D1209" s="12" t="s">
        <v>7172</v>
      </c>
      <c r="E1209" s="12" t="s">
        <v>4857</v>
      </c>
      <c r="F1209" s="12" t="s">
        <v>4858</v>
      </c>
      <c r="G1209" s="13" t="s">
        <v>6737</v>
      </c>
      <c r="H1209" s="12" t="s">
        <v>222</v>
      </c>
      <c r="I1209" s="12"/>
      <c r="J1209" s="12"/>
      <c r="K1209" s="12"/>
      <c r="L1209" s="12"/>
      <c r="M1209" s="12" t="s">
        <v>4859</v>
      </c>
      <c r="N1209" s="12"/>
      <c r="O1209" s="12" t="s">
        <v>4860</v>
      </c>
      <c r="P1209" s="12" t="str">
        <f>HYPERLINK("https://ceds.ed.gov/cedselementdetails.aspx?termid=9579")</f>
        <v>https://ceds.ed.gov/cedselementdetails.aspx?termid=9579</v>
      </c>
      <c r="Q1209" s="12" t="str">
        <f>HYPERLINK("https://ceds.ed.gov/elementComment.aspx?elementName=Postsecondary Enrollment Action &amp;elementID=9579", "Click here to submit comment")</f>
        <v>Click here to submit comment</v>
      </c>
    </row>
    <row r="1210" spans="1:17" ht="30" x14ac:dyDescent="0.25">
      <c r="A1210" s="12" t="s">
        <v>7242</v>
      </c>
      <c r="B1210" s="12" t="s">
        <v>7256</v>
      </c>
      <c r="C1210" s="12" t="s">
        <v>7258</v>
      </c>
      <c r="D1210" s="12" t="s">
        <v>7172</v>
      </c>
      <c r="E1210" s="12" t="s">
        <v>1850</v>
      </c>
      <c r="F1210" s="12" t="s">
        <v>1851</v>
      </c>
      <c r="G1210" s="12" t="s">
        <v>12</v>
      </c>
      <c r="H1210" s="12"/>
      <c r="I1210" s="12"/>
      <c r="J1210" s="12" t="s">
        <v>92</v>
      </c>
      <c r="K1210" s="12"/>
      <c r="L1210" s="12"/>
      <c r="M1210" s="12" t="s">
        <v>1852</v>
      </c>
      <c r="N1210" s="12"/>
      <c r="O1210" s="12" t="s">
        <v>1853</v>
      </c>
      <c r="P1210" s="12" t="str">
        <f>HYPERLINK("https://ceds.ed.gov/cedselementdetails.aspx?termid=9687")</f>
        <v>https://ceds.ed.gov/cedselementdetails.aspx?termid=9687</v>
      </c>
      <c r="Q1210" s="12" t="str">
        <f>HYPERLINK("https://ceds.ed.gov/elementComment.aspx?elementName=Cohort Description &amp;elementID=9687", "Click here to submit comment")</f>
        <v>Click here to submit comment</v>
      </c>
    </row>
    <row r="1211" spans="1:17" ht="30" x14ac:dyDescent="0.25">
      <c r="A1211" s="12" t="s">
        <v>7242</v>
      </c>
      <c r="B1211" s="12" t="s">
        <v>7256</v>
      </c>
      <c r="C1211" s="12" t="s">
        <v>7258</v>
      </c>
      <c r="D1211" s="12" t="s">
        <v>7172</v>
      </c>
      <c r="E1211" s="12" t="s">
        <v>3150</v>
      </c>
      <c r="F1211" s="12" t="s">
        <v>3151</v>
      </c>
      <c r="G1211" s="12" t="s">
        <v>12</v>
      </c>
      <c r="H1211" s="12"/>
      <c r="I1211" s="12"/>
      <c r="J1211" s="12" t="s">
        <v>1861</v>
      </c>
      <c r="K1211" s="12"/>
      <c r="L1211" s="12"/>
      <c r="M1211" s="12" t="s">
        <v>3152</v>
      </c>
      <c r="N1211" s="12"/>
      <c r="O1211" s="12" t="s">
        <v>3153</v>
      </c>
      <c r="P1211" s="12" t="str">
        <f>HYPERLINK("https://ceds.ed.gov/cedselementdetails.aspx?termid=9132")</f>
        <v>https://ceds.ed.gov/cedselementdetails.aspx?termid=9132</v>
      </c>
      <c r="Q1211" s="12" t="str">
        <f>HYPERLINK("https://ceds.ed.gov/elementComment.aspx?elementName=Graduation Rate Survey Cohort Year &amp;elementID=9132", "Click here to submit comment")</f>
        <v>Click here to submit comment</v>
      </c>
    </row>
    <row r="1212" spans="1:17" ht="75" x14ac:dyDescent="0.25">
      <c r="A1212" s="12" t="s">
        <v>7242</v>
      </c>
      <c r="B1212" s="12" t="s">
        <v>7256</v>
      </c>
      <c r="C1212" s="12" t="s">
        <v>7258</v>
      </c>
      <c r="D1212" s="12" t="s">
        <v>7172</v>
      </c>
      <c r="E1212" s="12" t="s">
        <v>3154</v>
      </c>
      <c r="F1212" s="12" t="s">
        <v>3155</v>
      </c>
      <c r="G1212" s="12" t="s">
        <v>6364</v>
      </c>
      <c r="H1212" s="12" t="s">
        <v>3158</v>
      </c>
      <c r="I1212" s="12"/>
      <c r="J1212" s="12"/>
      <c r="K1212" s="12"/>
      <c r="L1212" s="12"/>
      <c r="M1212" s="12" t="s">
        <v>3156</v>
      </c>
      <c r="N1212" s="12"/>
      <c r="O1212" s="12" t="s">
        <v>3157</v>
      </c>
      <c r="P1212" s="12" t="str">
        <f>HYPERLINK("https://ceds.ed.gov/cedselementdetails.aspx?termid=9133")</f>
        <v>https://ceds.ed.gov/cedselementdetails.aspx?termid=9133</v>
      </c>
      <c r="Q1212" s="12" t="str">
        <f>HYPERLINK("https://ceds.ed.gov/elementComment.aspx?elementName=Graduation Rate Survey Indicator &amp;elementID=9133", "Click here to submit comment")</f>
        <v>Click here to submit comment</v>
      </c>
    </row>
    <row r="1213" spans="1:17" ht="75" x14ac:dyDescent="0.25">
      <c r="A1213" s="12" t="s">
        <v>7242</v>
      </c>
      <c r="B1213" s="12" t="s">
        <v>7256</v>
      </c>
      <c r="C1213" s="12" t="s">
        <v>7258</v>
      </c>
      <c r="D1213" s="12" t="s">
        <v>7172</v>
      </c>
      <c r="E1213" s="12" t="s">
        <v>4893</v>
      </c>
      <c r="F1213" s="12" t="s">
        <v>4894</v>
      </c>
      <c r="G1213" s="13" t="s">
        <v>7059</v>
      </c>
      <c r="H1213" s="12" t="s">
        <v>6416</v>
      </c>
      <c r="I1213" s="12"/>
      <c r="J1213" s="12"/>
      <c r="K1213" s="12"/>
      <c r="L1213" s="12"/>
      <c r="M1213" s="12" t="s">
        <v>4895</v>
      </c>
      <c r="N1213" s="12"/>
      <c r="O1213" s="12" t="s">
        <v>4896</v>
      </c>
      <c r="P1213" s="12" t="str">
        <f>HYPERLINK("https://ceds.ed.gov/cedselementdetails.aspx?termid=9563")</f>
        <v>https://ceds.ed.gov/cedselementdetails.aspx?termid=9563</v>
      </c>
      <c r="Q1213" s="12" t="str">
        <f>HYPERLINK("https://ceds.ed.gov/elementComment.aspx?elementName=Pre and Post Test Indicator &amp;elementID=9563", "Click here to submit comment")</f>
        <v>Click here to submit comment</v>
      </c>
    </row>
    <row r="1214" spans="1:17" ht="45" x14ac:dyDescent="0.25">
      <c r="A1214" s="12" t="s">
        <v>7242</v>
      </c>
      <c r="B1214" s="12" t="s">
        <v>7256</v>
      </c>
      <c r="C1214" s="12" t="s">
        <v>7258</v>
      </c>
      <c r="D1214" s="12" t="s">
        <v>7172</v>
      </c>
      <c r="E1214" s="12" t="s">
        <v>5111</v>
      </c>
      <c r="F1214" s="12" t="s">
        <v>5112</v>
      </c>
      <c r="G1214" s="13" t="s">
        <v>7077</v>
      </c>
      <c r="H1214" s="12" t="s">
        <v>222</v>
      </c>
      <c r="I1214" s="12"/>
      <c r="J1214" s="12"/>
      <c r="K1214" s="12"/>
      <c r="L1214" s="12"/>
      <c r="M1214" s="12" t="s">
        <v>5113</v>
      </c>
      <c r="N1214" s="12"/>
      <c r="O1214" s="12" t="s">
        <v>5114</v>
      </c>
      <c r="P1214" s="12" t="str">
        <f>HYPERLINK("https://ceds.ed.gov/cedselementdetails.aspx?termid=9565")</f>
        <v>https://ceds.ed.gov/cedselementdetails.aspx?termid=9565</v>
      </c>
      <c r="Q1214" s="12" t="str">
        <f>HYPERLINK("https://ceds.ed.gov/elementComment.aspx?elementName=Proficiency Status &amp;elementID=9565", "Click here to submit comment")</f>
        <v>Click here to submit comment</v>
      </c>
    </row>
    <row r="1215" spans="1:17" ht="165" x14ac:dyDescent="0.25">
      <c r="A1215" s="12" t="s">
        <v>7242</v>
      </c>
      <c r="B1215" s="12" t="s">
        <v>7256</v>
      </c>
      <c r="C1215" s="12" t="s">
        <v>7258</v>
      </c>
      <c r="D1215" s="12" t="s">
        <v>7172</v>
      </c>
      <c r="E1215" s="12" t="s">
        <v>5201</v>
      </c>
      <c r="F1215" s="12" t="s">
        <v>5202</v>
      </c>
      <c r="G1215" s="13" t="s">
        <v>7083</v>
      </c>
      <c r="H1215" s="12" t="s">
        <v>222</v>
      </c>
      <c r="I1215" s="12"/>
      <c r="J1215" s="12"/>
      <c r="K1215" s="12"/>
      <c r="L1215" s="12"/>
      <c r="M1215" s="12" t="s">
        <v>5203</v>
      </c>
      <c r="N1215" s="12"/>
      <c r="O1215" s="12" t="s">
        <v>5204</v>
      </c>
      <c r="P1215" s="12" t="str">
        <f>HYPERLINK("https://ceds.ed.gov/cedselementdetails.aspx?termid=9553")</f>
        <v>https://ceds.ed.gov/cedselementdetails.aspx?termid=9553</v>
      </c>
      <c r="Q1215" s="12" t="str">
        <f>HYPERLINK("https://ceds.ed.gov/elementComment.aspx?elementName=Progress Level &amp;elementID=9553", "Click here to submit comment")</f>
        <v>Click here to submit comment</v>
      </c>
    </row>
    <row r="1216" spans="1:17" ht="45" x14ac:dyDescent="0.25">
      <c r="A1216" s="12" t="s">
        <v>7242</v>
      </c>
      <c r="B1216" s="12" t="s">
        <v>7256</v>
      </c>
      <c r="C1216" s="12" t="s">
        <v>7258</v>
      </c>
      <c r="D1216" s="12" t="s">
        <v>7172</v>
      </c>
      <c r="E1216" s="12" t="s">
        <v>1675</v>
      </c>
      <c r="F1216" s="12" t="s">
        <v>1676</v>
      </c>
      <c r="G1216" s="12" t="s">
        <v>12</v>
      </c>
      <c r="H1216" s="12"/>
      <c r="I1216" s="12"/>
      <c r="J1216" s="12" t="s">
        <v>73</v>
      </c>
      <c r="K1216" s="12"/>
      <c r="L1216" s="12"/>
      <c r="M1216" s="12" t="s">
        <v>1677</v>
      </c>
      <c r="N1216" s="12"/>
      <c r="O1216" s="12" t="s">
        <v>1678</v>
      </c>
      <c r="P1216" s="12" t="str">
        <f>HYPERLINK("https://ceds.ed.gov/cedselementdetails.aspx?termid=10255")</f>
        <v>https://ceds.ed.gov/cedselementdetails.aspx?termid=10255</v>
      </c>
      <c r="Q1216" s="12" t="str">
        <f>HYPERLINK("https://ceds.ed.gov/elementComment.aspx?elementName=Career Education Plan Date &amp;elementID=10255", "Click here to submit comment")</f>
        <v>Click here to submit comment</v>
      </c>
    </row>
    <row r="1217" spans="1:17" ht="75" x14ac:dyDescent="0.25">
      <c r="A1217" s="12" t="s">
        <v>7242</v>
      </c>
      <c r="B1217" s="12" t="s">
        <v>7256</v>
      </c>
      <c r="C1217" s="12" t="s">
        <v>7258</v>
      </c>
      <c r="D1217" s="12" t="s">
        <v>7172</v>
      </c>
      <c r="E1217" s="12" t="s">
        <v>1679</v>
      </c>
      <c r="F1217" s="12" t="s">
        <v>1680</v>
      </c>
      <c r="G1217" s="13" t="s">
        <v>6808</v>
      </c>
      <c r="H1217" s="12"/>
      <c r="I1217" s="12"/>
      <c r="J1217" s="12"/>
      <c r="K1217" s="12"/>
      <c r="L1217" s="12"/>
      <c r="M1217" s="12" t="s">
        <v>1681</v>
      </c>
      <c r="N1217" s="12"/>
      <c r="O1217" s="12" t="s">
        <v>1682</v>
      </c>
      <c r="P1217" s="12" t="str">
        <f>HYPERLINK("https://ceds.ed.gov/cedselementdetails.aspx?termid=10256")</f>
        <v>https://ceds.ed.gov/cedselementdetails.aspx?termid=10256</v>
      </c>
      <c r="Q1217" s="12" t="str">
        <f>HYPERLINK("https://ceds.ed.gov/elementComment.aspx?elementName=Career Education Plan Type &amp;elementID=10256", "Click here to submit comment")</f>
        <v>Click here to submit comment</v>
      </c>
    </row>
    <row r="1218" spans="1:17" ht="30" x14ac:dyDescent="0.25">
      <c r="A1218" s="12" t="s">
        <v>7242</v>
      </c>
      <c r="B1218" s="12" t="s">
        <v>7256</v>
      </c>
      <c r="C1218" s="12" t="s">
        <v>7258</v>
      </c>
      <c r="D1218" s="12" t="s">
        <v>7172</v>
      </c>
      <c r="E1218" s="12" t="s">
        <v>2005</v>
      </c>
      <c r="F1218" s="12" t="s">
        <v>2006</v>
      </c>
      <c r="G1218" s="12" t="s">
        <v>12</v>
      </c>
      <c r="H1218" s="12"/>
      <c r="I1218" s="12"/>
      <c r="J1218" s="12" t="s">
        <v>99</v>
      </c>
      <c r="K1218" s="12"/>
      <c r="L1218" s="12"/>
      <c r="M1218" s="12" t="s">
        <v>2007</v>
      </c>
      <c r="N1218" s="12"/>
      <c r="O1218" s="12" t="s">
        <v>2008</v>
      </c>
      <c r="P1218" s="12" t="str">
        <f>HYPERLINK("https://ceds.ed.gov/cedselementdetails.aspx?termid=10525")</f>
        <v>https://ceds.ed.gov/cedselementdetails.aspx?termid=10525</v>
      </c>
      <c r="Q1218" s="12" t="str">
        <f>HYPERLINK("https://ceds.ed.gov/elementComment.aspx?elementName=Course Department Name &amp;elementID=10525", "Click here to submit comment")</f>
        <v>Click here to submit comment</v>
      </c>
    </row>
    <row r="1219" spans="1:17" ht="45" x14ac:dyDescent="0.25">
      <c r="A1219" s="12" t="s">
        <v>7242</v>
      </c>
      <c r="B1219" s="12" t="s">
        <v>7256</v>
      </c>
      <c r="C1219" s="12" t="s">
        <v>7258</v>
      </c>
      <c r="D1219" s="12" t="s">
        <v>7172</v>
      </c>
      <c r="E1219" s="12" t="s">
        <v>5972</v>
      </c>
      <c r="F1219" s="12" t="s">
        <v>5973</v>
      </c>
      <c r="G1219" s="12" t="s">
        <v>12</v>
      </c>
      <c r="H1219" s="12"/>
      <c r="I1219" s="12"/>
      <c r="J1219" s="12" t="s">
        <v>68</v>
      </c>
      <c r="K1219" s="12"/>
      <c r="L1219" s="12"/>
      <c r="M1219" s="12" t="s">
        <v>5974</v>
      </c>
      <c r="N1219" s="12"/>
      <c r="O1219" s="12" t="s">
        <v>5975</v>
      </c>
      <c r="P1219" s="12" t="str">
        <f>HYPERLINK("https://ceds.ed.gov/cedselementdetails.aspx?termid=10552")</f>
        <v>https://ceds.ed.gov/cedselementdetails.aspx?termid=10552</v>
      </c>
      <c r="Q1219" s="12" t="str">
        <f>HYPERLINK("https://ceds.ed.gov/elementComment.aspx?elementName=Student Course Section Grade Narrative &amp;elementID=10552", "Click here to submit comment")</f>
        <v>Click here to submit comment</v>
      </c>
    </row>
    <row r="1220" spans="1:17" ht="30" x14ac:dyDescent="0.25">
      <c r="A1220" s="12" t="s">
        <v>7242</v>
      </c>
      <c r="B1220" s="12" t="s">
        <v>7256</v>
      </c>
      <c r="C1220" s="12" t="s">
        <v>7259</v>
      </c>
      <c r="D1220" s="12" t="s">
        <v>7172</v>
      </c>
      <c r="E1220" s="12" t="s">
        <v>132</v>
      </c>
      <c r="F1220" s="12" t="s">
        <v>133</v>
      </c>
      <c r="G1220" s="12" t="s">
        <v>12</v>
      </c>
      <c r="H1220" s="12"/>
      <c r="I1220" s="12"/>
      <c r="J1220" s="12" t="s">
        <v>68</v>
      </c>
      <c r="K1220" s="12"/>
      <c r="L1220" s="12"/>
      <c r="M1220" s="12" t="s">
        <v>134</v>
      </c>
      <c r="N1220" s="12"/>
      <c r="O1220" s="12" t="s">
        <v>135</v>
      </c>
      <c r="P1220" s="12" t="str">
        <f>HYPERLINK("https://ceds.ed.gov/cedselementdetails.aspx?termid=9893")</f>
        <v>https://ceds.ed.gov/cedselementdetails.aspx?termid=9893</v>
      </c>
      <c r="Q1220" s="12" t="str">
        <f>HYPERLINK("https://ceds.ed.gov/elementComment.aspx?elementName=Achievement Title &amp;elementID=9893", "Click here to submit comment")</f>
        <v>Click here to submit comment</v>
      </c>
    </row>
    <row r="1221" spans="1:17" ht="30" x14ac:dyDescent="0.25">
      <c r="A1221" s="12" t="s">
        <v>7242</v>
      </c>
      <c r="B1221" s="12" t="s">
        <v>7256</v>
      </c>
      <c r="C1221" s="12" t="s">
        <v>7259</v>
      </c>
      <c r="D1221" s="12" t="s">
        <v>7172</v>
      </c>
      <c r="E1221" s="12" t="s">
        <v>111</v>
      </c>
      <c r="F1221" s="12" t="s">
        <v>112</v>
      </c>
      <c r="G1221" s="12" t="s">
        <v>12</v>
      </c>
      <c r="H1221" s="12"/>
      <c r="I1221" s="12"/>
      <c r="J1221" s="12" t="s">
        <v>68</v>
      </c>
      <c r="K1221" s="12"/>
      <c r="L1221" s="12"/>
      <c r="M1221" s="12" t="s">
        <v>113</v>
      </c>
      <c r="N1221" s="12"/>
      <c r="O1221" s="12" t="s">
        <v>114</v>
      </c>
      <c r="P1221" s="12" t="str">
        <f>HYPERLINK("https://ceds.ed.gov/cedselementdetails.aspx?termid=9895")</f>
        <v>https://ceds.ed.gov/cedselementdetails.aspx?termid=9895</v>
      </c>
      <c r="Q1221" s="12" t="str">
        <f>HYPERLINK("https://ceds.ed.gov/elementComment.aspx?elementName=Achievement Description &amp;elementID=9895", "Click here to submit comment")</f>
        <v>Click here to submit comment</v>
      </c>
    </row>
    <row r="1222" spans="1:17" ht="30" x14ac:dyDescent="0.25">
      <c r="A1222" s="12" t="s">
        <v>7242</v>
      </c>
      <c r="B1222" s="12" t="s">
        <v>7256</v>
      </c>
      <c r="C1222" s="12" t="s">
        <v>7259</v>
      </c>
      <c r="D1222" s="12" t="s">
        <v>7172</v>
      </c>
      <c r="E1222" s="12" t="s">
        <v>128</v>
      </c>
      <c r="F1222" s="12" t="s">
        <v>129</v>
      </c>
      <c r="G1222" s="12" t="s">
        <v>12</v>
      </c>
      <c r="H1222" s="12"/>
      <c r="I1222" s="12"/>
      <c r="J1222" s="12" t="s">
        <v>73</v>
      </c>
      <c r="K1222" s="12"/>
      <c r="L1222" s="12"/>
      <c r="M1222" s="12" t="s">
        <v>130</v>
      </c>
      <c r="N1222" s="12"/>
      <c r="O1222" s="12" t="s">
        <v>131</v>
      </c>
      <c r="P1222" s="12" t="str">
        <f>HYPERLINK("https://ceds.ed.gov/cedselementdetails.aspx?termid=10120")</f>
        <v>https://ceds.ed.gov/cedselementdetails.aspx?termid=10120</v>
      </c>
      <c r="Q1222" s="12" t="str">
        <f>HYPERLINK("https://ceds.ed.gov/elementComment.aspx?elementName=Achievement Start Date &amp;elementID=10120", "Click here to submit comment")</f>
        <v>Click here to submit comment</v>
      </c>
    </row>
    <row r="1223" spans="1:17" ht="45" x14ac:dyDescent="0.25">
      <c r="A1223" s="12" t="s">
        <v>7242</v>
      </c>
      <c r="B1223" s="12" t="s">
        <v>7256</v>
      </c>
      <c r="C1223" s="12" t="s">
        <v>7259</v>
      </c>
      <c r="D1223" s="12" t="s">
        <v>7172</v>
      </c>
      <c r="E1223" s="12" t="s">
        <v>115</v>
      </c>
      <c r="F1223" s="12" t="s">
        <v>116</v>
      </c>
      <c r="G1223" s="12" t="s">
        <v>12</v>
      </c>
      <c r="H1223" s="12"/>
      <c r="I1223" s="12"/>
      <c r="J1223" s="12" t="s">
        <v>73</v>
      </c>
      <c r="K1223" s="12"/>
      <c r="L1223" s="12"/>
      <c r="M1223" s="12" t="s">
        <v>117</v>
      </c>
      <c r="N1223" s="12"/>
      <c r="O1223" s="12" t="s">
        <v>118</v>
      </c>
      <c r="P1223" s="12" t="str">
        <f>HYPERLINK("https://ceds.ed.gov/cedselementdetails.aspx?termid=10121")</f>
        <v>https://ceds.ed.gov/cedselementdetails.aspx?termid=10121</v>
      </c>
      <c r="Q1223" s="12" t="str">
        <f>HYPERLINK("https://ceds.ed.gov/elementComment.aspx?elementName=Achievement End Date &amp;elementID=10121", "Click here to submit comment")</f>
        <v>Click here to submit comment</v>
      </c>
    </row>
    <row r="1224" spans="1:17" ht="30" x14ac:dyDescent="0.25">
      <c r="A1224" s="12" t="s">
        <v>7242</v>
      </c>
      <c r="B1224" s="12" t="s">
        <v>7256</v>
      </c>
      <c r="C1224" s="12" t="s">
        <v>7259</v>
      </c>
      <c r="D1224" s="12" t="s">
        <v>7172</v>
      </c>
      <c r="E1224" s="12" t="s">
        <v>80</v>
      </c>
      <c r="F1224" s="12" t="s">
        <v>81</v>
      </c>
      <c r="G1224" s="12" t="s">
        <v>12</v>
      </c>
      <c r="H1224" s="12"/>
      <c r="I1224" s="12"/>
      <c r="J1224" s="12" t="s">
        <v>82</v>
      </c>
      <c r="K1224" s="12"/>
      <c r="L1224" s="12"/>
      <c r="M1224" s="12" t="s">
        <v>83</v>
      </c>
      <c r="N1224" s="12"/>
      <c r="O1224" s="12" t="s">
        <v>84</v>
      </c>
      <c r="P1224" s="12" t="str">
        <f>HYPERLINK("https://ceds.ed.gov/cedselementdetails.aspx?termid=9898")</f>
        <v>https://ceds.ed.gov/cedselementdetails.aspx?termid=9898</v>
      </c>
      <c r="Q1224" s="12" t="str">
        <f>HYPERLINK("https://ceds.ed.gov/elementComment.aspx?elementName=Achievement Award Issuer Name &amp;elementID=9898", "Click here to submit comment")</f>
        <v>Click here to submit comment</v>
      </c>
    </row>
    <row r="1225" spans="1:17" ht="30" x14ac:dyDescent="0.25">
      <c r="A1225" s="12" t="s">
        <v>7242</v>
      </c>
      <c r="B1225" s="12" t="s">
        <v>7256</v>
      </c>
      <c r="C1225" s="12" t="s">
        <v>7259</v>
      </c>
      <c r="D1225" s="12" t="s">
        <v>7172</v>
      </c>
      <c r="E1225" s="12" t="s">
        <v>85</v>
      </c>
      <c r="F1225" s="12" t="s">
        <v>86</v>
      </c>
      <c r="G1225" s="12" t="s">
        <v>12</v>
      </c>
      <c r="H1225" s="12"/>
      <c r="I1225" s="12"/>
      <c r="J1225" s="12" t="s">
        <v>68</v>
      </c>
      <c r="K1225" s="12"/>
      <c r="L1225" s="12" t="s">
        <v>87</v>
      </c>
      <c r="M1225" s="12" t="s">
        <v>88</v>
      </c>
      <c r="N1225" s="12"/>
      <c r="O1225" s="12" t="s">
        <v>89</v>
      </c>
      <c r="P1225" s="12" t="str">
        <f>HYPERLINK("https://ceds.ed.gov/cedselementdetails.aspx?termid=9900")</f>
        <v>https://ceds.ed.gov/cedselementdetails.aspx?termid=9900</v>
      </c>
      <c r="Q1225" s="12" t="str">
        <f>HYPERLINK("https://ceds.ed.gov/elementComment.aspx?elementName=Achievement Award Issuer Origin URL &amp;elementID=9900", "Click here to submit comment")</f>
        <v>Click here to submit comment</v>
      </c>
    </row>
    <row r="1226" spans="1:17" ht="75" x14ac:dyDescent="0.25">
      <c r="A1226" s="12" t="s">
        <v>7242</v>
      </c>
      <c r="B1226" s="12" t="s">
        <v>7256</v>
      </c>
      <c r="C1226" s="12" t="s">
        <v>7259</v>
      </c>
      <c r="D1226" s="12" t="s">
        <v>7172</v>
      </c>
      <c r="E1226" s="12" t="s">
        <v>90</v>
      </c>
      <c r="F1226" s="12" t="s">
        <v>91</v>
      </c>
      <c r="G1226" s="12" t="s">
        <v>12</v>
      </c>
      <c r="H1226" s="12"/>
      <c r="I1226" s="12"/>
      <c r="J1226" s="12" t="s">
        <v>92</v>
      </c>
      <c r="K1226" s="12"/>
      <c r="L1226" s="12" t="s">
        <v>93</v>
      </c>
      <c r="M1226" s="12" t="s">
        <v>94</v>
      </c>
      <c r="N1226" s="12"/>
      <c r="O1226" s="12" t="s">
        <v>95</v>
      </c>
      <c r="P1226" s="12" t="str">
        <f>HYPERLINK("https://ceds.ed.gov/cedselementdetails.aspx?termid=10211")</f>
        <v>https://ceds.ed.gov/cedselementdetails.aspx?termid=10211</v>
      </c>
      <c r="Q1226" s="12" t="str">
        <f>HYPERLINK("https://ceds.ed.gov/elementComment.aspx?elementName=Achievement Category System &amp;elementID=10211", "Click here to submit comment")</f>
        <v>Click here to submit comment</v>
      </c>
    </row>
    <row r="1227" spans="1:17" ht="285" x14ac:dyDescent="0.25">
      <c r="A1227" s="12" t="s">
        <v>7242</v>
      </c>
      <c r="B1227" s="12" t="s">
        <v>7256</v>
      </c>
      <c r="C1227" s="12" t="s">
        <v>7259</v>
      </c>
      <c r="D1227" s="12" t="s">
        <v>7172</v>
      </c>
      <c r="E1227" s="12" t="s">
        <v>96</v>
      </c>
      <c r="F1227" s="12" t="s">
        <v>97</v>
      </c>
      <c r="G1227" s="12" t="s">
        <v>12</v>
      </c>
      <c r="H1227" s="12"/>
      <c r="I1227" s="12" t="s">
        <v>98</v>
      </c>
      <c r="J1227" s="12" t="s">
        <v>99</v>
      </c>
      <c r="K1227" s="12"/>
      <c r="L1227" s="12" t="s">
        <v>100</v>
      </c>
      <c r="M1227" s="12" t="s">
        <v>101</v>
      </c>
      <c r="N1227" s="12"/>
      <c r="O1227" s="12" t="s">
        <v>102</v>
      </c>
      <c r="P1227" s="12" t="str">
        <f>HYPERLINK("https://ceds.ed.gov/cedselementdetails.aspx?termid=9892")</f>
        <v>https://ceds.ed.gov/cedselementdetails.aspx?termid=9892</v>
      </c>
      <c r="Q1227" s="12" t="str">
        <f>HYPERLINK("https://ceds.ed.gov/elementComment.aspx?elementName=Achievement Category Type &amp;elementID=9892", "Click here to submit comment")</f>
        <v>Click here to submit comment</v>
      </c>
    </row>
    <row r="1228" spans="1:17" ht="60" x14ac:dyDescent="0.25">
      <c r="A1228" s="12" t="s">
        <v>7242</v>
      </c>
      <c r="B1228" s="12" t="s">
        <v>7256</v>
      </c>
      <c r="C1228" s="12" t="s">
        <v>7259</v>
      </c>
      <c r="D1228" s="12" t="s">
        <v>7172</v>
      </c>
      <c r="E1228" s="12" t="s">
        <v>123</v>
      </c>
      <c r="F1228" s="12" t="s">
        <v>124</v>
      </c>
      <c r="G1228" s="12" t="s">
        <v>12</v>
      </c>
      <c r="H1228" s="12"/>
      <c r="I1228" s="12"/>
      <c r="J1228" s="12" t="s">
        <v>68</v>
      </c>
      <c r="K1228" s="12"/>
      <c r="L1228" s="12" t="s">
        <v>125</v>
      </c>
      <c r="M1228" s="12" t="s">
        <v>126</v>
      </c>
      <c r="N1228" s="12"/>
      <c r="O1228" s="12" t="s">
        <v>127</v>
      </c>
      <c r="P1228" s="12" t="str">
        <f>HYPERLINK("https://ceds.ed.gov/cedselementdetails.aspx?termid=9894")</f>
        <v>https://ceds.ed.gov/cedselementdetails.aspx?termid=9894</v>
      </c>
      <c r="Q1228" s="12" t="str">
        <f>HYPERLINK("https://ceds.ed.gov/elementComment.aspx?elementName=Achievement Image URL &amp;elementID=9894", "Click here to submit comment")</f>
        <v>Click here to submit comment</v>
      </c>
    </row>
    <row r="1229" spans="1:17" ht="30" x14ac:dyDescent="0.25">
      <c r="A1229" s="12" t="s">
        <v>7242</v>
      </c>
      <c r="B1229" s="12" t="s">
        <v>7256</v>
      </c>
      <c r="C1229" s="12" t="s">
        <v>7259</v>
      </c>
      <c r="D1229" s="12" t="s">
        <v>7172</v>
      </c>
      <c r="E1229" s="12" t="s">
        <v>103</v>
      </c>
      <c r="F1229" s="12" t="s">
        <v>104</v>
      </c>
      <c r="G1229" s="12" t="s">
        <v>12</v>
      </c>
      <c r="H1229" s="12"/>
      <c r="I1229" s="12"/>
      <c r="J1229" s="12" t="s">
        <v>68</v>
      </c>
      <c r="K1229" s="12"/>
      <c r="L1229" s="12"/>
      <c r="M1229" s="12" t="s">
        <v>105</v>
      </c>
      <c r="N1229" s="12"/>
      <c r="O1229" s="12" t="s">
        <v>106</v>
      </c>
      <c r="P1229" s="12" t="str">
        <f>HYPERLINK("https://ceds.ed.gov/cedselementdetails.aspx?termid=9896")</f>
        <v>https://ceds.ed.gov/cedselementdetails.aspx?termid=9896</v>
      </c>
      <c r="Q1229" s="12" t="str">
        <f>HYPERLINK("https://ceds.ed.gov/elementComment.aspx?elementName=Achievement Criteria &amp;elementID=9896", "Click here to submit comment")</f>
        <v>Click here to submit comment</v>
      </c>
    </row>
    <row r="1230" spans="1:17" ht="75" x14ac:dyDescent="0.25">
      <c r="A1230" s="12" t="s">
        <v>7242</v>
      </c>
      <c r="B1230" s="12" t="s">
        <v>7256</v>
      </c>
      <c r="C1230" s="12" t="s">
        <v>7259</v>
      </c>
      <c r="D1230" s="12" t="s">
        <v>7172</v>
      </c>
      <c r="E1230" s="12" t="s">
        <v>107</v>
      </c>
      <c r="F1230" s="12" t="s">
        <v>108</v>
      </c>
      <c r="G1230" s="12" t="s">
        <v>12</v>
      </c>
      <c r="H1230" s="12"/>
      <c r="I1230" s="12"/>
      <c r="J1230" s="12" t="s">
        <v>68</v>
      </c>
      <c r="K1230" s="12"/>
      <c r="L1230" s="12"/>
      <c r="M1230" s="12" t="s">
        <v>109</v>
      </c>
      <c r="N1230" s="12"/>
      <c r="O1230" s="12" t="s">
        <v>110</v>
      </c>
      <c r="P1230" s="12" t="str">
        <f>HYPERLINK("https://ceds.ed.gov/cedselementdetails.aspx?termid=10113")</f>
        <v>https://ceds.ed.gov/cedselementdetails.aspx?termid=10113</v>
      </c>
      <c r="Q1230" s="12" t="str">
        <f>HYPERLINK("https://ceds.ed.gov/elementComment.aspx?elementName=Achievement Criteria URL &amp;elementID=10113", "Click here to submit comment")</f>
        <v>Click here to submit comment</v>
      </c>
    </row>
    <row r="1231" spans="1:17" ht="60" x14ac:dyDescent="0.25">
      <c r="A1231" s="12" t="s">
        <v>7242</v>
      </c>
      <c r="B1231" s="12" t="s">
        <v>7256</v>
      </c>
      <c r="C1231" s="12" t="s">
        <v>7259</v>
      </c>
      <c r="D1231" s="12" t="s">
        <v>7172</v>
      </c>
      <c r="E1231" s="12" t="s">
        <v>119</v>
      </c>
      <c r="F1231" s="12" t="s">
        <v>120</v>
      </c>
      <c r="G1231" s="12" t="s">
        <v>12</v>
      </c>
      <c r="H1231" s="12"/>
      <c r="I1231" s="12"/>
      <c r="J1231" s="12" t="s">
        <v>68</v>
      </c>
      <c r="K1231" s="12"/>
      <c r="L1231" s="12"/>
      <c r="M1231" s="12" t="s">
        <v>121</v>
      </c>
      <c r="N1231" s="12"/>
      <c r="O1231" s="12" t="s">
        <v>122</v>
      </c>
      <c r="P1231" s="12" t="str">
        <f>HYPERLINK("https://ceds.ed.gov/cedselementdetails.aspx?termid=9901")</f>
        <v>https://ceds.ed.gov/cedselementdetails.aspx?termid=9901</v>
      </c>
      <c r="Q1231" s="12" t="str">
        <f>HYPERLINK("https://ceds.ed.gov/elementComment.aspx?elementName=Achievement Evidence Statement &amp;elementID=9901", "Click here to submit comment")</f>
        <v>Click here to submit comment</v>
      </c>
    </row>
    <row r="1232" spans="1:17" ht="105" x14ac:dyDescent="0.25">
      <c r="A1232" s="18" t="s">
        <v>7242</v>
      </c>
      <c r="B1232" s="18" t="s">
        <v>7256</v>
      </c>
      <c r="C1232" s="18" t="s">
        <v>7260</v>
      </c>
      <c r="D1232" s="18" t="s">
        <v>7172</v>
      </c>
      <c r="E1232" s="18" t="s">
        <v>140</v>
      </c>
      <c r="F1232" s="18" t="s">
        <v>141</v>
      </c>
      <c r="G1232" s="18" t="s">
        <v>12</v>
      </c>
      <c r="H1232" s="18" t="s">
        <v>6369</v>
      </c>
      <c r="I1232" s="18"/>
      <c r="J1232" s="18" t="s">
        <v>142</v>
      </c>
      <c r="K1232" s="18"/>
      <c r="L1232" s="12" t="s">
        <v>143</v>
      </c>
      <c r="M1232" s="18" t="s">
        <v>145</v>
      </c>
      <c r="N1232" s="18"/>
      <c r="O1232" s="18" t="s">
        <v>146</v>
      </c>
      <c r="P1232" s="18" t="str">
        <f>HYPERLINK("https://ceds.ed.gov/cedselementdetails.aspx?termid=9006")</f>
        <v>https://ceds.ed.gov/cedselementdetails.aspx?termid=9006</v>
      </c>
      <c r="Q1232" s="18" t="str">
        <f>HYPERLINK("https://ceds.ed.gov/elementComment.aspx?elementName=Activity Identifier &amp;elementID=9006", "Click here to submit comment")</f>
        <v>Click here to submit comment</v>
      </c>
    </row>
    <row r="1233" spans="1:17" x14ac:dyDescent="0.25">
      <c r="A1233" s="18"/>
      <c r="B1233" s="18"/>
      <c r="C1233" s="18"/>
      <c r="D1233" s="18"/>
      <c r="E1233" s="18"/>
      <c r="F1233" s="18"/>
      <c r="G1233" s="18"/>
      <c r="H1233" s="18"/>
      <c r="I1233" s="18"/>
      <c r="J1233" s="18"/>
      <c r="K1233" s="18"/>
      <c r="L1233" s="12"/>
      <c r="M1233" s="18"/>
      <c r="N1233" s="18"/>
      <c r="O1233" s="18"/>
      <c r="P1233" s="18"/>
      <c r="Q1233" s="18"/>
    </row>
    <row r="1234" spans="1:17" ht="90" x14ac:dyDescent="0.25">
      <c r="A1234" s="18"/>
      <c r="B1234" s="18"/>
      <c r="C1234" s="18"/>
      <c r="D1234" s="18"/>
      <c r="E1234" s="18"/>
      <c r="F1234" s="18"/>
      <c r="G1234" s="18"/>
      <c r="H1234" s="18"/>
      <c r="I1234" s="18"/>
      <c r="J1234" s="18"/>
      <c r="K1234" s="18"/>
      <c r="L1234" s="12" t="s">
        <v>144</v>
      </c>
      <c r="M1234" s="18"/>
      <c r="N1234" s="18"/>
      <c r="O1234" s="18"/>
      <c r="P1234" s="18"/>
      <c r="Q1234" s="18"/>
    </row>
    <row r="1235" spans="1:17" ht="90" x14ac:dyDescent="0.25">
      <c r="A1235" s="12" t="s">
        <v>7242</v>
      </c>
      <c r="B1235" s="12" t="s">
        <v>7256</v>
      </c>
      <c r="C1235" s="12" t="s">
        <v>7260</v>
      </c>
      <c r="D1235" s="12" t="s">
        <v>7172</v>
      </c>
      <c r="E1235" s="12" t="s">
        <v>136</v>
      </c>
      <c r="F1235" s="12" t="s">
        <v>137</v>
      </c>
      <c r="G1235" s="12" t="s">
        <v>12</v>
      </c>
      <c r="H1235" s="12"/>
      <c r="I1235" s="12"/>
      <c r="J1235" s="12" t="s">
        <v>68</v>
      </c>
      <c r="K1235" s="12"/>
      <c r="L1235" s="12"/>
      <c r="M1235" s="12" t="s">
        <v>138</v>
      </c>
      <c r="N1235" s="12"/>
      <c r="O1235" s="12" t="s">
        <v>139</v>
      </c>
      <c r="P1235" s="12" t="str">
        <f>HYPERLINK("https://ceds.ed.gov/cedselementdetails.aspx?termid=10505")</f>
        <v>https://ceds.ed.gov/cedselementdetails.aspx?termid=10505</v>
      </c>
      <c r="Q1235" s="12" t="str">
        <f>HYPERLINK("https://ceds.ed.gov/elementComment.aspx?elementName=Activity Description &amp;elementID=10505", "Click here to submit comment")</f>
        <v>Click here to submit comment</v>
      </c>
    </row>
    <row r="1236" spans="1:17" ht="90" x14ac:dyDescent="0.25">
      <c r="A1236" s="12" t="s">
        <v>7242</v>
      </c>
      <c r="B1236" s="12" t="s">
        <v>7256</v>
      </c>
      <c r="C1236" s="12" t="s">
        <v>7260</v>
      </c>
      <c r="D1236" s="12" t="s">
        <v>7172</v>
      </c>
      <c r="E1236" s="12" t="s">
        <v>147</v>
      </c>
      <c r="F1236" s="12" t="s">
        <v>148</v>
      </c>
      <c r="G1236" s="12" t="s">
        <v>12</v>
      </c>
      <c r="H1236" s="12" t="s">
        <v>6369</v>
      </c>
      <c r="I1236" s="12"/>
      <c r="J1236" s="12" t="s">
        <v>73</v>
      </c>
      <c r="K1236" s="12"/>
      <c r="L1236" s="12"/>
      <c r="M1236" s="12" t="s">
        <v>149</v>
      </c>
      <c r="N1236" s="12"/>
      <c r="O1236" s="12" t="s">
        <v>150</v>
      </c>
      <c r="P1236" s="12" t="str">
        <f>HYPERLINK("https://ceds.ed.gov/cedselementdetails.aspx?termid=9007")</f>
        <v>https://ceds.ed.gov/cedselementdetails.aspx?termid=9007</v>
      </c>
      <c r="Q1236" s="12" t="str">
        <f>HYPERLINK("https://ceds.ed.gov/elementComment.aspx?elementName=Activity Involvement Begin Date &amp;elementID=9007", "Click here to submit comment")</f>
        <v>Click here to submit comment</v>
      </c>
    </row>
    <row r="1237" spans="1:17" ht="90" x14ac:dyDescent="0.25">
      <c r="A1237" s="12" t="s">
        <v>7242</v>
      </c>
      <c r="B1237" s="12" t="s">
        <v>7256</v>
      </c>
      <c r="C1237" s="12" t="s">
        <v>7260</v>
      </c>
      <c r="D1237" s="12" t="s">
        <v>7172</v>
      </c>
      <c r="E1237" s="12" t="s">
        <v>164</v>
      </c>
      <c r="F1237" s="12" t="s">
        <v>165</v>
      </c>
      <c r="G1237" s="12" t="s">
        <v>12</v>
      </c>
      <c r="H1237" s="12" t="s">
        <v>6369</v>
      </c>
      <c r="I1237" s="12"/>
      <c r="J1237" s="12" t="s">
        <v>99</v>
      </c>
      <c r="K1237" s="12"/>
      <c r="L1237" s="12"/>
      <c r="M1237" s="12" t="s">
        <v>166</v>
      </c>
      <c r="N1237" s="12"/>
      <c r="O1237" s="12" t="s">
        <v>167</v>
      </c>
      <c r="P1237" s="12" t="str">
        <f>HYPERLINK("https://ceds.ed.gov/cedselementdetails.aspx?termid=9009")</f>
        <v>https://ceds.ed.gov/cedselementdetails.aspx?termid=9009</v>
      </c>
      <c r="Q1237" s="12" t="str">
        <f>HYPERLINK("https://ceds.ed.gov/elementComment.aspx?elementName=Activity Title &amp;elementID=9009", "Click here to submit comment")</f>
        <v>Click here to submit comment</v>
      </c>
    </row>
    <row r="1238" spans="1:17" ht="90" x14ac:dyDescent="0.25">
      <c r="A1238" s="12" t="s">
        <v>7242</v>
      </c>
      <c r="B1238" s="12" t="s">
        <v>7256</v>
      </c>
      <c r="C1238" s="12" t="s">
        <v>7260</v>
      </c>
      <c r="D1238" s="12" t="s">
        <v>7172</v>
      </c>
      <c r="E1238" s="12" t="s">
        <v>151</v>
      </c>
      <c r="F1238" s="12" t="s">
        <v>152</v>
      </c>
      <c r="G1238" s="12" t="s">
        <v>12</v>
      </c>
      <c r="H1238" s="12" t="s">
        <v>6369</v>
      </c>
      <c r="I1238" s="12"/>
      <c r="J1238" s="12" t="s">
        <v>73</v>
      </c>
      <c r="K1238" s="12"/>
      <c r="L1238" s="12"/>
      <c r="M1238" s="12" t="s">
        <v>153</v>
      </c>
      <c r="N1238" s="12"/>
      <c r="O1238" s="12" t="s">
        <v>154</v>
      </c>
      <c r="P1238" s="12" t="str">
        <f>HYPERLINK("https://ceds.ed.gov/cedselementdetails.aspx?termid=9008")</f>
        <v>https://ceds.ed.gov/cedselementdetails.aspx?termid=9008</v>
      </c>
      <c r="Q1238" s="12" t="str">
        <f>HYPERLINK("https://ceds.ed.gov/elementComment.aspx?elementName=Activity Involvement End Date &amp;elementID=9008", "Click here to submit comment")</f>
        <v>Click here to submit comment</v>
      </c>
    </row>
    <row r="1239" spans="1:17" ht="90" x14ac:dyDescent="0.25">
      <c r="A1239" s="12" t="s">
        <v>7242</v>
      </c>
      <c r="B1239" s="12" t="s">
        <v>7256</v>
      </c>
      <c r="C1239" s="12" t="s">
        <v>7260</v>
      </c>
      <c r="D1239" s="12" t="s">
        <v>7172</v>
      </c>
      <c r="E1239" s="12" t="s">
        <v>155</v>
      </c>
      <c r="F1239" s="12" t="s">
        <v>156</v>
      </c>
      <c r="G1239" s="12" t="s">
        <v>12</v>
      </c>
      <c r="H1239" s="12"/>
      <c r="I1239" s="12"/>
      <c r="J1239" s="12" t="s">
        <v>157</v>
      </c>
      <c r="K1239" s="12"/>
      <c r="L1239" s="12"/>
      <c r="M1239" s="12" t="s">
        <v>158</v>
      </c>
      <c r="N1239" s="12"/>
      <c r="O1239" s="12" t="s">
        <v>159</v>
      </c>
      <c r="P1239" s="12" t="str">
        <f>HYPERLINK("https://ceds.ed.gov/cedselementdetails.aspx?termid=10502")</f>
        <v>https://ceds.ed.gov/cedselementdetails.aspx?termid=10502</v>
      </c>
      <c r="Q1239" s="12" t="str">
        <f>HYPERLINK("https://ceds.ed.gov/elementComment.aspx?elementName=Activity Time Involved &amp;elementID=10502", "Click here to submit comment")</f>
        <v>Click here to submit comment</v>
      </c>
    </row>
    <row r="1240" spans="1:17" ht="105" x14ac:dyDescent="0.25">
      <c r="A1240" s="12" t="s">
        <v>7242</v>
      </c>
      <c r="B1240" s="12" t="s">
        <v>7256</v>
      </c>
      <c r="C1240" s="12" t="s">
        <v>7260</v>
      </c>
      <c r="D1240" s="12" t="s">
        <v>7172</v>
      </c>
      <c r="E1240" s="12" t="s">
        <v>160</v>
      </c>
      <c r="F1240" s="12" t="s">
        <v>161</v>
      </c>
      <c r="G1240" s="13" t="s">
        <v>6724</v>
      </c>
      <c r="H1240" s="12"/>
      <c r="I1240" s="12"/>
      <c r="J1240" s="12"/>
      <c r="K1240" s="12"/>
      <c r="L1240" s="12"/>
      <c r="M1240" s="12" t="s">
        <v>162</v>
      </c>
      <c r="N1240" s="12"/>
      <c r="O1240" s="12" t="s">
        <v>163</v>
      </c>
      <c r="P1240" s="12" t="str">
        <f>HYPERLINK("https://ceds.ed.gov/cedselementdetails.aspx?termid=10503")</f>
        <v>https://ceds.ed.gov/cedselementdetails.aspx?termid=10503</v>
      </c>
      <c r="Q1240" s="12" t="str">
        <f>HYPERLINK("https://ceds.ed.gov/elementComment.aspx?elementName=Activity Time Measurement Type &amp;elementID=10503", "Click here to submit comment")</f>
        <v>Click here to submit comment</v>
      </c>
    </row>
    <row r="1241" spans="1:17" ht="135" x14ac:dyDescent="0.25">
      <c r="A1241" s="12" t="s">
        <v>7242</v>
      </c>
      <c r="B1241" s="12" t="s">
        <v>7256</v>
      </c>
      <c r="C1241" s="12" t="s">
        <v>7261</v>
      </c>
      <c r="D1241" s="12" t="s">
        <v>7176</v>
      </c>
      <c r="E1241" s="12" t="s">
        <v>2326</v>
      </c>
      <c r="F1241" s="12" t="s">
        <v>2327</v>
      </c>
      <c r="G1241" s="12" t="s">
        <v>12</v>
      </c>
      <c r="H1241" s="12" t="s">
        <v>6502</v>
      </c>
      <c r="I1241" s="12"/>
      <c r="J1241" s="12" t="s">
        <v>2328</v>
      </c>
      <c r="K1241" s="12"/>
      <c r="L1241" s="12"/>
      <c r="M1241" s="12" t="s">
        <v>2329</v>
      </c>
      <c r="N1241" s="12"/>
      <c r="O1241" s="12" t="s">
        <v>2330</v>
      </c>
      <c r="P1241" s="12" t="str">
        <f>HYPERLINK("https://ceds.ed.gov/cedselementdetails.aspx?termid=9081")</f>
        <v>https://ceds.ed.gov/cedselementdetails.aspx?termid=9081</v>
      </c>
      <c r="Q1241" s="12" t="str">
        <f>HYPERLINK("https://ceds.ed.gov/elementComment.aspx?elementName=Diploma or Credential Award Date &amp;elementID=9081", "Click here to submit comment")</f>
        <v>Click here to submit comment</v>
      </c>
    </row>
    <row r="1242" spans="1:17" ht="285" x14ac:dyDescent="0.25">
      <c r="A1242" s="12" t="s">
        <v>7242</v>
      </c>
      <c r="B1242" s="12" t="s">
        <v>7256</v>
      </c>
      <c r="C1242" s="12" t="s">
        <v>7261</v>
      </c>
      <c r="D1242" s="12" t="s">
        <v>7172</v>
      </c>
      <c r="E1242" s="12" t="s">
        <v>3191</v>
      </c>
      <c r="F1242" s="12" t="s">
        <v>3192</v>
      </c>
      <c r="G1242" s="13" t="s">
        <v>6946</v>
      </c>
      <c r="H1242" s="12" t="s">
        <v>6557</v>
      </c>
      <c r="I1242" s="12"/>
      <c r="J1242" s="12"/>
      <c r="K1242" s="12"/>
      <c r="L1242" s="12"/>
      <c r="M1242" s="12" t="s">
        <v>3193</v>
      </c>
      <c r="N1242" s="12"/>
      <c r="O1242" s="12" t="s">
        <v>3194</v>
      </c>
      <c r="P1242" s="12" t="str">
        <f>HYPERLINK("https://ceds.ed.gov/cedselementdetails.aspx?termid=9138")</f>
        <v>https://ceds.ed.gov/cedselementdetails.aspx?termid=9138</v>
      </c>
      <c r="Q1242" s="12" t="str">
        <f>HYPERLINK("https://ceds.ed.gov/elementComment.aspx?elementName=High School Diploma Type &amp;elementID=9138", "Click here to submit comment")</f>
        <v>Click here to submit comment</v>
      </c>
    </row>
    <row r="1243" spans="1:17" ht="105" x14ac:dyDescent="0.25">
      <c r="A1243" s="12" t="s">
        <v>7242</v>
      </c>
      <c r="B1243" s="12" t="s">
        <v>7256</v>
      </c>
      <c r="C1243" s="12" t="s">
        <v>7261</v>
      </c>
      <c r="D1243" s="12" t="s">
        <v>7172</v>
      </c>
      <c r="E1243" s="12" t="s">
        <v>3187</v>
      </c>
      <c r="F1243" s="12" t="s">
        <v>3188</v>
      </c>
      <c r="G1243" s="13" t="s">
        <v>6945</v>
      </c>
      <c r="H1243" s="12"/>
      <c r="I1243" s="12"/>
      <c r="J1243" s="12"/>
      <c r="K1243" s="12"/>
      <c r="L1243" s="12"/>
      <c r="M1243" s="12" t="s">
        <v>3189</v>
      </c>
      <c r="N1243" s="12"/>
      <c r="O1243" s="12" t="s">
        <v>3190</v>
      </c>
      <c r="P1243" s="12" t="str">
        <f>HYPERLINK("https://ceds.ed.gov/cedselementdetails.aspx?termid=9689")</f>
        <v>https://ceds.ed.gov/cedselementdetails.aspx?termid=9689</v>
      </c>
      <c r="Q1243" s="12" t="str">
        <f>HYPERLINK("https://ceds.ed.gov/elementComment.aspx?elementName=High School Diploma Distinction Type &amp;elementID=9689", "Click here to submit comment")</f>
        <v>Click here to submit comment</v>
      </c>
    </row>
    <row r="1244" spans="1:17" ht="60" x14ac:dyDescent="0.25">
      <c r="A1244" s="12" t="s">
        <v>7242</v>
      </c>
      <c r="B1244" s="12" t="s">
        <v>7256</v>
      </c>
      <c r="C1244" s="12" t="s">
        <v>7261</v>
      </c>
      <c r="D1244" s="12" t="s">
        <v>7176</v>
      </c>
      <c r="E1244" s="12" t="s">
        <v>10</v>
      </c>
      <c r="F1244" s="12" t="s">
        <v>11</v>
      </c>
      <c r="G1244" s="12" t="s">
        <v>12</v>
      </c>
      <c r="H1244" s="12" t="s">
        <v>6367</v>
      </c>
      <c r="I1244" s="12"/>
      <c r="J1244" s="12" t="s">
        <v>13</v>
      </c>
      <c r="K1244" s="12"/>
      <c r="L1244" s="12"/>
      <c r="M1244" s="12" t="s">
        <v>14</v>
      </c>
      <c r="N1244" s="12"/>
      <c r="O1244" s="12" t="s">
        <v>15</v>
      </c>
      <c r="P1244" s="12" t="str">
        <f>HYPERLINK("https://ceds.ed.gov/cedselementdetails.aspx?termid=9001")</f>
        <v>https://ceds.ed.gov/cedselementdetails.aspx?termid=9001</v>
      </c>
      <c r="Q1244" s="12" t="str">
        <f>HYPERLINK("https://ceds.ed.gov/elementComment.aspx?elementName=Academic Award Date &amp;elementID=9001", "Click here to submit comment")</f>
        <v>Click here to submit comment</v>
      </c>
    </row>
    <row r="1245" spans="1:17" ht="285" x14ac:dyDescent="0.25">
      <c r="A1245" s="12" t="s">
        <v>7242</v>
      </c>
      <c r="B1245" s="12" t="s">
        <v>7256</v>
      </c>
      <c r="C1245" s="12" t="s">
        <v>7261</v>
      </c>
      <c r="D1245" s="12" t="s">
        <v>7176</v>
      </c>
      <c r="E1245" s="12" t="s">
        <v>16</v>
      </c>
      <c r="F1245" s="12" t="s">
        <v>17</v>
      </c>
      <c r="G1245" s="13" t="s">
        <v>6718</v>
      </c>
      <c r="H1245" s="12" t="s">
        <v>6368</v>
      </c>
      <c r="I1245" s="12"/>
      <c r="J1245" s="12"/>
      <c r="K1245" s="12"/>
      <c r="L1245" s="12"/>
      <c r="M1245" s="12" t="s">
        <v>18</v>
      </c>
      <c r="N1245" s="12"/>
      <c r="O1245" s="12" t="s">
        <v>19</v>
      </c>
      <c r="P1245" s="12" t="str">
        <f>HYPERLINK("https://ceds.ed.gov/cedselementdetails.aspx?termid=9002")</f>
        <v>https://ceds.ed.gov/cedselementdetails.aspx?termid=9002</v>
      </c>
      <c r="Q1245" s="12" t="str">
        <f>HYPERLINK("https://ceds.ed.gov/elementComment.aspx?elementName=Academic Award Level Conferred &amp;elementID=9002", "Click here to submit comment")</f>
        <v>Click here to submit comment</v>
      </c>
    </row>
    <row r="1246" spans="1:17" ht="30" x14ac:dyDescent="0.25">
      <c r="A1246" s="12" t="s">
        <v>7242</v>
      </c>
      <c r="B1246" s="12" t="s">
        <v>7256</v>
      </c>
      <c r="C1246" s="12" t="s">
        <v>7261</v>
      </c>
      <c r="D1246" s="12" t="s">
        <v>7176</v>
      </c>
      <c r="E1246" s="12" t="s">
        <v>20</v>
      </c>
      <c r="F1246" s="12" t="s">
        <v>21</v>
      </c>
      <c r="G1246" s="12" t="s">
        <v>12</v>
      </c>
      <c r="H1246" s="12" t="s">
        <v>25</v>
      </c>
      <c r="I1246" s="12"/>
      <c r="J1246" s="12" t="s">
        <v>22</v>
      </c>
      <c r="K1246" s="12"/>
      <c r="L1246" s="12"/>
      <c r="M1246" s="12" t="s">
        <v>23</v>
      </c>
      <c r="N1246" s="12"/>
      <c r="O1246" s="12" t="s">
        <v>24</v>
      </c>
      <c r="P1246" s="12" t="str">
        <f>HYPERLINK("https://ceds.ed.gov/cedselementdetails.aspx?termid=9003")</f>
        <v>https://ceds.ed.gov/cedselementdetails.aspx?termid=9003</v>
      </c>
      <c r="Q1246" s="12" t="str">
        <f>HYPERLINK("https://ceds.ed.gov/elementComment.aspx?elementName=Academic Award Title &amp;elementID=9003", "Click here to submit comment")</f>
        <v>Click here to submit comment</v>
      </c>
    </row>
    <row r="1247" spans="1:17" ht="270" x14ac:dyDescent="0.25">
      <c r="A1247" s="12" t="s">
        <v>7242</v>
      </c>
      <c r="B1247" s="12" t="s">
        <v>7256</v>
      </c>
      <c r="C1247" s="12" t="s">
        <v>7261</v>
      </c>
      <c r="D1247" s="12" t="s">
        <v>7176</v>
      </c>
      <c r="E1247" s="12" t="s">
        <v>2170</v>
      </c>
      <c r="F1247" s="12" t="s">
        <v>2171</v>
      </c>
      <c r="G1247" s="13" t="s">
        <v>6850</v>
      </c>
      <c r="H1247" s="12"/>
      <c r="I1247" s="12"/>
      <c r="J1247" s="12"/>
      <c r="K1247" s="12"/>
      <c r="L1247" s="12"/>
      <c r="M1247" s="12" t="s">
        <v>2172</v>
      </c>
      <c r="N1247" s="12"/>
      <c r="O1247" s="12" t="s">
        <v>2173</v>
      </c>
      <c r="P1247" s="12" t="str">
        <f>HYPERLINK("https://ceds.ed.gov/cedselementdetails.aspx?termid=10283")</f>
        <v>https://ceds.ed.gov/cedselementdetails.aspx?termid=10283</v>
      </c>
      <c r="Q1247" s="12" t="str">
        <f>HYPERLINK("https://ceds.ed.gov/elementComment.aspx?elementName=Credit Hours Applied Other Program &amp;elementID=10283", "Click here to submit comment")</f>
        <v>Click here to submit comment</v>
      </c>
    </row>
    <row r="1248" spans="1:17" ht="195" x14ac:dyDescent="0.25">
      <c r="A1248" s="12" t="s">
        <v>7242</v>
      </c>
      <c r="B1248" s="12" t="s">
        <v>7256</v>
      </c>
      <c r="C1248" s="12" t="s">
        <v>7261</v>
      </c>
      <c r="D1248" s="12" t="s">
        <v>7176</v>
      </c>
      <c r="E1248" s="12" t="s">
        <v>5107</v>
      </c>
      <c r="F1248" s="12" t="s">
        <v>5108</v>
      </c>
      <c r="G1248" s="13" t="s">
        <v>7076</v>
      </c>
      <c r="H1248" s="12"/>
      <c r="I1248" s="12"/>
      <c r="J1248" s="12"/>
      <c r="K1248" s="12"/>
      <c r="L1248" s="12"/>
      <c r="M1248" s="12" t="s">
        <v>5109</v>
      </c>
      <c r="N1248" s="12"/>
      <c r="O1248" s="12" t="s">
        <v>5110</v>
      </c>
      <c r="P1248" s="12" t="str">
        <f>HYPERLINK("https://ceds.ed.gov/cedselementdetails.aspx?termid=9780")</f>
        <v>https://ceds.ed.gov/cedselementdetails.aspx?termid=9780</v>
      </c>
      <c r="Q1248" s="12" t="str">
        <f>HYPERLINK("https://ceds.ed.gov/elementComment.aspx?elementName=Professional or Technical Credential Conferred &amp;elementID=9780", "Click here to submit comment")</f>
        <v>Click here to submit comment</v>
      </c>
    </row>
    <row r="1249" spans="1:17" ht="105" x14ac:dyDescent="0.25">
      <c r="A1249" s="18" t="s">
        <v>7242</v>
      </c>
      <c r="B1249" s="18" t="s">
        <v>7256</v>
      </c>
      <c r="C1249" s="18" t="s">
        <v>7261</v>
      </c>
      <c r="D1249" s="18" t="s">
        <v>7176</v>
      </c>
      <c r="E1249" s="18" t="s">
        <v>5141</v>
      </c>
      <c r="F1249" s="18" t="s">
        <v>5142</v>
      </c>
      <c r="G1249" s="18" t="s">
        <v>12</v>
      </c>
      <c r="H1249" s="18" t="s">
        <v>2017</v>
      </c>
      <c r="I1249" s="18"/>
      <c r="J1249" s="18" t="s">
        <v>142</v>
      </c>
      <c r="K1249" s="18"/>
      <c r="L1249" s="12" t="s">
        <v>143</v>
      </c>
      <c r="M1249" s="18" t="s">
        <v>5143</v>
      </c>
      <c r="N1249" s="18"/>
      <c r="O1249" s="18" t="s">
        <v>5144</v>
      </c>
      <c r="P1249" s="18" t="str">
        <f>HYPERLINK("https://ceds.ed.gov/cedselementdetails.aspx?termid=9618")</f>
        <v>https://ceds.ed.gov/cedselementdetails.aspx?termid=9618</v>
      </c>
      <c r="Q1249" s="18" t="str">
        <f>HYPERLINK("https://ceds.ed.gov/elementComment.aspx?elementName=Program Identifier &amp;elementID=9618", "Click here to submit comment")</f>
        <v>Click here to submit comment</v>
      </c>
    </row>
    <row r="1250" spans="1:17" x14ac:dyDescent="0.25">
      <c r="A1250" s="18"/>
      <c r="B1250" s="18"/>
      <c r="C1250" s="18"/>
      <c r="D1250" s="18"/>
      <c r="E1250" s="18"/>
      <c r="F1250" s="18"/>
      <c r="G1250" s="18"/>
      <c r="H1250" s="18"/>
      <c r="I1250" s="18"/>
      <c r="J1250" s="18"/>
      <c r="K1250" s="18"/>
      <c r="L1250" s="12"/>
      <c r="M1250" s="18"/>
      <c r="N1250" s="18"/>
      <c r="O1250" s="18"/>
      <c r="P1250" s="18"/>
      <c r="Q1250" s="18"/>
    </row>
    <row r="1251" spans="1:17" ht="90" x14ac:dyDescent="0.25">
      <c r="A1251" s="18"/>
      <c r="B1251" s="18"/>
      <c r="C1251" s="18"/>
      <c r="D1251" s="18"/>
      <c r="E1251" s="18"/>
      <c r="F1251" s="18"/>
      <c r="G1251" s="18"/>
      <c r="H1251" s="18"/>
      <c r="I1251" s="18"/>
      <c r="J1251" s="18"/>
      <c r="K1251" s="18"/>
      <c r="L1251" s="12" t="s">
        <v>144</v>
      </c>
      <c r="M1251" s="18"/>
      <c r="N1251" s="18"/>
      <c r="O1251" s="18"/>
      <c r="P1251" s="18"/>
      <c r="Q1251" s="18"/>
    </row>
    <row r="1252" spans="1:17" ht="255" x14ac:dyDescent="0.25">
      <c r="A1252" s="12" t="s">
        <v>7242</v>
      </c>
      <c r="B1252" s="12" t="s">
        <v>7256</v>
      </c>
      <c r="C1252" s="12" t="s">
        <v>7262</v>
      </c>
      <c r="D1252" s="12" t="s">
        <v>7172</v>
      </c>
      <c r="E1252" s="12" t="s">
        <v>4600</v>
      </c>
      <c r="F1252" s="12" t="s">
        <v>4601</v>
      </c>
      <c r="G1252" s="12" t="s">
        <v>12</v>
      </c>
      <c r="H1252" s="12" t="s">
        <v>6610</v>
      </c>
      <c r="I1252" s="12"/>
      <c r="J1252" s="12" t="s">
        <v>1554</v>
      </c>
      <c r="K1252" s="12"/>
      <c r="L1252" s="12" t="s">
        <v>4602</v>
      </c>
      <c r="M1252" s="12" t="s">
        <v>4603</v>
      </c>
      <c r="N1252" s="12"/>
      <c r="O1252" s="12" t="s">
        <v>4604</v>
      </c>
      <c r="P1252" s="12" t="str">
        <f>HYPERLINK("https://ceds.ed.gov/cedselementdetails.aspx?termid=9202")</f>
        <v>https://ceds.ed.gov/cedselementdetails.aspx?termid=9202</v>
      </c>
      <c r="Q1252" s="12" t="str">
        <f>HYPERLINK("https://ceds.ed.gov/elementComment.aspx?elementName=Number of Days in Attendance &amp;elementID=9202", "Click here to submit comment")</f>
        <v>Click here to submit comment</v>
      </c>
    </row>
    <row r="1253" spans="1:17" ht="120" x14ac:dyDescent="0.25">
      <c r="A1253" s="12" t="s">
        <v>7242</v>
      </c>
      <c r="B1253" s="12" t="s">
        <v>7256</v>
      </c>
      <c r="C1253" s="12" t="s">
        <v>7262</v>
      </c>
      <c r="D1253" s="12" t="s">
        <v>7172</v>
      </c>
      <c r="E1253" s="12" t="s">
        <v>4592</v>
      </c>
      <c r="F1253" s="12" t="s">
        <v>4593</v>
      </c>
      <c r="G1253" s="12" t="s">
        <v>12</v>
      </c>
      <c r="H1253" s="12" t="s">
        <v>6608</v>
      </c>
      <c r="I1253" s="12"/>
      <c r="J1253" s="12" t="s">
        <v>1554</v>
      </c>
      <c r="K1253" s="12"/>
      <c r="L1253" s="12"/>
      <c r="M1253" s="12" t="s">
        <v>4594</v>
      </c>
      <c r="N1253" s="12"/>
      <c r="O1253" s="12" t="s">
        <v>4595</v>
      </c>
      <c r="P1253" s="12" t="str">
        <f>HYPERLINK("https://ceds.ed.gov/cedselementdetails.aspx?termid=9201")</f>
        <v>https://ceds.ed.gov/cedselementdetails.aspx?termid=9201</v>
      </c>
      <c r="Q1253" s="12" t="str">
        <f>HYPERLINK("https://ceds.ed.gov/elementComment.aspx?elementName=Number of Days Absent &amp;elementID=9201", "Click here to submit comment")</f>
        <v>Click here to submit comment</v>
      </c>
    </row>
    <row r="1254" spans="1:17" ht="285" x14ac:dyDescent="0.25">
      <c r="A1254" s="12" t="s">
        <v>7242</v>
      </c>
      <c r="B1254" s="12" t="s">
        <v>7256</v>
      </c>
      <c r="C1254" s="12" t="s">
        <v>7262</v>
      </c>
      <c r="D1254" s="12" t="s">
        <v>7172</v>
      </c>
      <c r="E1254" s="12" t="s">
        <v>5</v>
      </c>
      <c r="F1254" s="12" t="s">
        <v>6</v>
      </c>
      <c r="G1254" s="13" t="s">
        <v>6717</v>
      </c>
      <c r="H1254" s="12"/>
      <c r="I1254" s="12"/>
      <c r="J1254" s="12"/>
      <c r="K1254" s="12"/>
      <c r="L1254" s="12"/>
      <c r="M1254" s="12" t="s">
        <v>8</v>
      </c>
      <c r="N1254" s="12"/>
      <c r="O1254" s="12" t="s">
        <v>9</v>
      </c>
      <c r="P1254" s="12" t="str">
        <f>HYPERLINK("https://ceds.ed.gov/cedselementdetails.aspx?termid=9592")</f>
        <v>https://ceds.ed.gov/cedselementdetails.aspx?termid=9592</v>
      </c>
      <c r="Q1254" s="12" t="str">
        <f>HYPERLINK("https://ceds.ed.gov/elementComment.aspx?elementName=Absent Attendance Category &amp;elementID=9592", "Click here to submit comment")</f>
        <v>Click here to submit comment</v>
      </c>
    </row>
    <row r="1255" spans="1:17" ht="120" x14ac:dyDescent="0.25">
      <c r="A1255" s="12" t="s">
        <v>7242</v>
      </c>
      <c r="B1255" s="12" t="s">
        <v>7256</v>
      </c>
      <c r="C1255" s="12" t="s">
        <v>7262</v>
      </c>
      <c r="D1255" s="12" t="s">
        <v>7172</v>
      </c>
      <c r="E1255" s="12" t="s">
        <v>1501</v>
      </c>
      <c r="F1255" s="12" t="s">
        <v>1502</v>
      </c>
      <c r="G1255" s="13" t="s">
        <v>6798</v>
      </c>
      <c r="H1255" s="12"/>
      <c r="I1255" s="12"/>
      <c r="J1255" s="12"/>
      <c r="K1255" s="12"/>
      <c r="L1255" s="12"/>
      <c r="M1255" s="12" t="s">
        <v>1503</v>
      </c>
      <c r="N1255" s="12"/>
      <c r="O1255" s="12" t="s">
        <v>1504</v>
      </c>
      <c r="P1255" s="12" t="str">
        <f>HYPERLINK("https://ceds.ed.gov/cedselementdetails.aspx?termid=9594")</f>
        <v>https://ceds.ed.gov/cedselementdetails.aspx?termid=9594</v>
      </c>
      <c r="Q1255" s="12" t="str">
        <f>HYPERLINK("https://ceds.ed.gov/elementComment.aspx?elementName=Attendance Event Type &amp;elementID=9594", "Click here to submit comment")</f>
        <v>Click here to submit comment</v>
      </c>
    </row>
    <row r="1256" spans="1:17" ht="30" x14ac:dyDescent="0.25">
      <c r="A1256" s="12" t="s">
        <v>7242</v>
      </c>
      <c r="B1256" s="12" t="s">
        <v>7256</v>
      </c>
      <c r="C1256" s="12" t="s">
        <v>7262</v>
      </c>
      <c r="D1256" s="12" t="s">
        <v>7172</v>
      </c>
      <c r="E1256" s="12" t="s">
        <v>1496</v>
      </c>
      <c r="F1256" s="12" t="s">
        <v>1497</v>
      </c>
      <c r="G1256" s="12" t="s">
        <v>12</v>
      </c>
      <c r="H1256" s="12"/>
      <c r="I1256" s="12" t="s">
        <v>1498</v>
      </c>
      <c r="J1256" s="12" t="s">
        <v>73</v>
      </c>
      <c r="K1256" s="12"/>
      <c r="L1256" s="12"/>
      <c r="M1256" s="12" t="s">
        <v>1499</v>
      </c>
      <c r="N1256" s="12"/>
      <c r="O1256" s="12" t="s">
        <v>1500</v>
      </c>
      <c r="P1256" s="12" t="str">
        <f>HYPERLINK("https://ceds.ed.gov/cedselementdetails.aspx?termid=10630")</f>
        <v>https://ceds.ed.gov/cedselementdetails.aspx?termid=10630</v>
      </c>
      <c r="Q1256" s="12" t="str">
        <f>HYPERLINK("https://ceds.ed.gov/elementComment.aspx?elementName=Attendance Event Date &amp;elementID=10630", "Click here to submit comment")</f>
        <v>Click here to submit comment</v>
      </c>
    </row>
    <row r="1257" spans="1:17" ht="105" x14ac:dyDescent="0.25">
      <c r="A1257" s="12" t="s">
        <v>7242</v>
      </c>
      <c r="B1257" s="12" t="s">
        <v>7256</v>
      </c>
      <c r="C1257" s="12" t="s">
        <v>7262</v>
      </c>
      <c r="D1257" s="12" t="s">
        <v>7172</v>
      </c>
      <c r="E1257" s="12" t="s">
        <v>1505</v>
      </c>
      <c r="F1257" s="12" t="s">
        <v>1506</v>
      </c>
      <c r="G1257" s="13" t="s">
        <v>6799</v>
      </c>
      <c r="H1257" s="12"/>
      <c r="I1257" s="12" t="s">
        <v>98</v>
      </c>
      <c r="J1257" s="12"/>
      <c r="K1257" s="12"/>
      <c r="L1257" s="12"/>
      <c r="M1257" s="12" t="s">
        <v>1507</v>
      </c>
      <c r="N1257" s="12"/>
      <c r="O1257" s="12" t="s">
        <v>1508</v>
      </c>
      <c r="P1257" s="12" t="str">
        <f>HYPERLINK("https://ceds.ed.gov/cedselementdetails.aspx?termid=9076")</f>
        <v>https://ceds.ed.gov/cedselementdetails.aspx?termid=9076</v>
      </c>
      <c r="Q1257" s="12" t="str">
        <f>HYPERLINK("https://ceds.ed.gov/elementComment.aspx?elementName=Attendance Status &amp;elementID=9076", "Click here to submit comment")</f>
        <v>Click here to submit comment</v>
      </c>
    </row>
    <row r="1258" spans="1:17" ht="180" x14ac:dyDescent="0.25">
      <c r="A1258" s="12" t="s">
        <v>7242</v>
      </c>
      <c r="B1258" s="12" t="s">
        <v>7256</v>
      </c>
      <c r="C1258" s="12" t="s">
        <v>7262</v>
      </c>
      <c r="D1258" s="12" t="s">
        <v>7172</v>
      </c>
      <c r="E1258" s="12" t="s">
        <v>4914</v>
      </c>
      <c r="F1258" s="12" t="s">
        <v>4915</v>
      </c>
      <c r="G1258" s="13" t="s">
        <v>7063</v>
      </c>
      <c r="H1258" s="12"/>
      <c r="I1258" s="12"/>
      <c r="J1258" s="12"/>
      <c r="K1258" s="12"/>
      <c r="L1258" s="12"/>
      <c r="M1258" s="12" t="s">
        <v>4916</v>
      </c>
      <c r="N1258" s="12"/>
      <c r="O1258" s="12" t="s">
        <v>4917</v>
      </c>
      <c r="P1258" s="12" t="str">
        <f>HYPERLINK("https://ceds.ed.gov/cedselementdetails.aspx?termid=9593")</f>
        <v>https://ceds.ed.gov/cedselementdetails.aspx?termid=9593</v>
      </c>
      <c r="Q1258" s="12" t="str">
        <f>HYPERLINK("https://ceds.ed.gov/elementComment.aspx?elementName=Present Attendance Category &amp;elementID=9593", "Click here to submit comment")</f>
        <v>Click here to submit comment</v>
      </c>
    </row>
    <row r="1259" spans="1:17" ht="120" x14ac:dyDescent="0.25">
      <c r="A1259" s="12" t="s">
        <v>7242</v>
      </c>
      <c r="B1259" s="12" t="s">
        <v>7256</v>
      </c>
      <c r="C1259" s="12" t="s">
        <v>7262</v>
      </c>
      <c r="D1259" s="12" t="s">
        <v>7172</v>
      </c>
      <c r="E1259" s="12" t="s">
        <v>5963</v>
      </c>
      <c r="F1259" s="12" t="s">
        <v>5964</v>
      </c>
      <c r="G1259" s="12" t="s">
        <v>12</v>
      </c>
      <c r="H1259" s="12" t="s">
        <v>222</v>
      </c>
      <c r="I1259" s="12"/>
      <c r="J1259" s="12" t="s">
        <v>5965</v>
      </c>
      <c r="K1259" s="12"/>
      <c r="L1259" s="12"/>
      <c r="M1259" s="12" t="s">
        <v>5966</v>
      </c>
      <c r="N1259" s="12"/>
      <c r="O1259" s="12" t="s">
        <v>5967</v>
      </c>
      <c r="P1259" s="12" t="str">
        <f>HYPERLINK("https://ceds.ed.gov/cedselementdetails.aspx?termid=9271")</f>
        <v>https://ceds.ed.gov/cedselementdetails.aspx?termid=9271</v>
      </c>
      <c r="Q1259" s="12" t="str">
        <f>HYPERLINK("https://ceds.ed.gov/elementComment.aspx?elementName=Student Attendance Rate &amp;elementID=9271", "Click here to submit comment")</f>
        <v>Click here to submit comment</v>
      </c>
    </row>
    <row r="1260" spans="1:17" ht="60" x14ac:dyDescent="0.25">
      <c r="A1260" s="12" t="s">
        <v>7242</v>
      </c>
      <c r="B1260" s="12" t="s">
        <v>7256</v>
      </c>
      <c r="C1260" s="12" t="s">
        <v>7263</v>
      </c>
      <c r="D1260" s="12" t="s">
        <v>7172</v>
      </c>
      <c r="E1260" s="12" t="s">
        <v>5164</v>
      </c>
      <c r="F1260" s="12" t="s">
        <v>5165</v>
      </c>
      <c r="G1260" s="12" t="s">
        <v>12</v>
      </c>
      <c r="H1260" s="12" t="s">
        <v>6646</v>
      </c>
      <c r="I1260" s="12"/>
      <c r="J1260" s="12" t="s">
        <v>73</v>
      </c>
      <c r="K1260" s="12"/>
      <c r="L1260" s="12"/>
      <c r="M1260" s="12" t="s">
        <v>5166</v>
      </c>
      <c r="N1260" s="12"/>
      <c r="O1260" s="12" t="s">
        <v>5167</v>
      </c>
      <c r="P1260" s="12" t="str">
        <f>HYPERLINK("https://ceds.ed.gov/cedselementdetails.aspx?termid=9583")</f>
        <v>https://ceds.ed.gov/cedselementdetails.aspx?termid=9583</v>
      </c>
      <c r="Q1260" s="12" t="str">
        <f>HYPERLINK("https://ceds.ed.gov/elementComment.aspx?elementName=Program Participation Start Date &amp;elementID=9583", "Click here to submit comment")</f>
        <v>Click here to submit comment</v>
      </c>
    </row>
    <row r="1261" spans="1:17" ht="45" x14ac:dyDescent="0.25">
      <c r="A1261" s="12" t="s">
        <v>7242</v>
      </c>
      <c r="B1261" s="12" t="s">
        <v>7256</v>
      </c>
      <c r="C1261" s="12" t="s">
        <v>7263</v>
      </c>
      <c r="D1261" s="12" t="s">
        <v>7172</v>
      </c>
      <c r="E1261" s="12" t="s">
        <v>5161</v>
      </c>
      <c r="F1261" s="12" t="s">
        <v>1684</v>
      </c>
      <c r="G1261" s="12" t="s">
        <v>12</v>
      </c>
      <c r="H1261" s="12" t="s">
        <v>6645</v>
      </c>
      <c r="I1261" s="12"/>
      <c r="J1261" s="12" t="s">
        <v>73</v>
      </c>
      <c r="K1261" s="12"/>
      <c r="L1261" s="12"/>
      <c r="M1261" s="12" t="s">
        <v>5162</v>
      </c>
      <c r="N1261" s="12"/>
      <c r="O1261" s="12" t="s">
        <v>5163</v>
      </c>
      <c r="P1261" s="12" t="str">
        <f>HYPERLINK("https://ceds.ed.gov/cedselementdetails.aspx?termid=9584")</f>
        <v>https://ceds.ed.gov/cedselementdetails.aspx?termid=9584</v>
      </c>
      <c r="Q1261" s="12" t="str">
        <f>HYPERLINK("https://ceds.ed.gov/elementComment.aspx?elementName=Program Participation Exit Date &amp;elementID=9584", "Click here to submit comment")</f>
        <v>Click here to submit comment</v>
      </c>
    </row>
    <row r="1262" spans="1:17" ht="45" x14ac:dyDescent="0.25">
      <c r="A1262" s="12" t="s">
        <v>7242</v>
      </c>
      <c r="B1262" s="12" t="s">
        <v>7256</v>
      </c>
      <c r="C1262" s="12" t="s">
        <v>7263</v>
      </c>
      <c r="D1262" s="12" t="s">
        <v>7172</v>
      </c>
      <c r="E1262" s="12" t="s">
        <v>5136</v>
      </c>
      <c r="F1262" s="12" t="s">
        <v>5137</v>
      </c>
      <c r="G1262" s="12" t="s">
        <v>6364</v>
      </c>
      <c r="H1262" s="12" t="s">
        <v>64</v>
      </c>
      <c r="I1262" s="12"/>
      <c r="J1262" s="12"/>
      <c r="K1262" s="12"/>
      <c r="L1262" s="12"/>
      <c r="M1262" s="12" t="s">
        <v>5139</v>
      </c>
      <c r="N1262" s="12"/>
      <c r="O1262" s="12" t="s">
        <v>5140</v>
      </c>
      <c r="P1262" s="12" t="str">
        <f>HYPERLINK("https://ceds.ed.gov/cedselementdetails.aspx?termid=9851")</f>
        <v>https://ceds.ed.gov/cedselementdetails.aspx?termid=9851</v>
      </c>
      <c r="Q1262" s="12" t="str">
        <f>HYPERLINK("https://ceds.ed.gov/elementComment.aspx?elementName=Program Heath Safety Checklist Use Status &amp;elementID=9851", "Click here to submit comment")</f>
        <v>Click here to submit comment</v>
      </c>
    </row>
    <row r="1263" spans="1:17" ht="105" x14ac:dyDescent="0.25">
      <c r="A1263" s="12" t="s">
        <v>7242</v>
      </c>
      <c r="B1263" s="12" t="s">
        <v>7256</v>
      </c>
      <c r="C1263" s="12" t="s">
        <v>7263</v>
      </c>
      <c r="D1263" s="12" t="s">
        <v>7172</v>
      </c>
      <c r="E1263" s="12" t="s">
        <v>1644</v>
      </c>
      <c r="F1263" s="12" t="s">
        <v>1645</v>
      </c>
      <c r="G1263" s="12" t="s">
        <v>6364</v>
      </c>
      <c r="H1263" s="12" t="s">
        <v>6438</v>
      </c>
      <c r="I1263" s="12"/>
      <c r="J1263" s="12"/>
      <c r="K1263" s="12"/>
      <c r="L1263" s="12"/>
      <c r="M1263" s="12" t="s">
        <v>1646</v>
      </c>
      <c r="N1263" s="12" t="s">
        <v>1647</v>
      </c>
      <c r="O1263" s="12" t="s">
        <v>1648</v>
      </c>
      <c r="P1263" s="12" t="str">
        <f>HYPERLINK("https://ceds.ed.gov/cedselementdetails.aspx?termid=9037")</f>
        <v>https://ceds.ed.gov/cedselementdetails.aspx?termid=9037</v>
      </c>
      <c r="Q1263" s="12" t="str">
        <f>HYPERLINK("https://ceds.ed.gov/elementComment.aspx?elementName=Career and Technical Education Concentrator &amp;elementID=9037", "Click here to submit comment")</f>
        <v>Click here to submit comment</v>
      </c>
    </row>
    <row r="1264" spans="1:17" ht="75" x14ac:dyDescent="0.25">
      <c r="A1264" s="12" t="s">
        <v>7242</v>
      </c>
      <c r="B1264" s="12" t="s">
        <v>7256</v>
      </c>
      <c r="C1264" s="12" t="s">
        <v>7263</v>
      </c>
      <c r="D1264" s="12" t="s">
        <v>7172</v>
      </c>
      <c r="E1264" s="12" t="s">
        <v>1665</v>
      </c>
      <c r="F1264" s="12" t="s">
        <v>1666</v>
      </c>
      <c r="G1264" s="12" t="s">
        <v>6364</v>
      </c>
      <c r="H1264" s="12" t="s">
        <v>222</v>
      </c>
      <c r="I1264" s="12"/>
      <c r="J1264" s="12"/>
      <c r="K1264" s="12"/>
      <c r="L1264" s="12"/>
      <c r="M1264" s="12" t="s">
        <v>1667</v>
      </c>
      <c r="N1264" s="12" t="s">
        <v>1668</v>
      </c>
      <c r="O1264" s="12" t="s">
        <v>1669</v>
      </c>
      <c r="P1264" s="12" t="str">
        <f>HYPERLINK("https://ceds.ed.gov/cedselementdetails.aspx?termid=9585")</f>
        <v>https://ceds.ed.gov/cedselementdetails.aspx?termid=9585</v>
      </c>
      <c r="Q1264" s="12" t="str">
        <f>HYPERLINK("https://ceds.ed.gov/elementComment.aspx?elementName=Career and Technical Education Participant &amp;elementID=9585", "Click here to submit comment")</f>
        <v>Click here to submit comment</v>
      </c>
    </row>
    <row r="1265" spans="1:17" ht="270" x14ac:dyDescent="0.25">
      <c r="A1265" s="12" t="s">
        <v>7242</v>
      </c>
      <c r="B1265" s="12" t="s">
        <v>7256</v>
      </c>
      <c r="C1265" s="12" t="s">
        <v>7263</v>
      </c>
      <c r="D1265" s="12" t="s">
        <v>7172</v>
      </c>
      <c r="E1265" s="12" t="s">
        <v>1701</v>
      </c>
      <c r="F1265" s="12" t="s">
        <v>1702</v>
      </c>
      <c r="G1265" s="12" t="s">
        <v>6364</v>
      </c>
      <c r="H1265" s="12" t="s">
        <v>222</v>
      </c>
      <c r="I1265" s="12"/>
      <c r="J1265" s="12"/>
      <c r="K1265" s="12"/>
      <c r="L1265" s="12"/>
      <c r="M1265" s="12" t="s">
        <v>1703</v>
      </c>
      <c r="N1265" s="12" t="s">
        <v>1704</v>
      </c>
      <c r="O1265" s="12" t="s">
        <v>1705</v>
      </c>
      <c r="P1265" s="12" t="str">
        <f>HYPERLINK("https://ceds.ed.gov/cedselementdetails.aspx?termid=9084")</f>
        <v>https://ceds.ed.gov/cedselementdetails.aspx?termid=9084</v>
      </c>
      <c r="Q1265" s="12" t="str">
        <f>HYPERLINK("https://ceds.ed.gov/elementComment.aspx?elementName=Career-Technical-Adult Education Displaced Homemaker Indicator &amp;elementID=9084", "Click here to submit comment")</f>
        <v>Click here to submit comment</v>
      </c>
    </row>
    <row r="1266" spans="1:17" ht="105" x14ac:dyDescent="0.25">
      <c r="A1266" s="12" t="s">
        <v>7242</v>
      </c>
      <c r="B1266" s="12" t="s">
        <v>7256</v>
      </c>
      <c r="C1266" s="12" t="s">
        <v>7263</v>
      </c>
      <c r="D1266" s="12" t="s">
        <v>7172</v>
      </c>
      <c r="E1266" s="12" t="s">
        <v>5728</v>
      </c>
      <c r="F1266" s="12" t="s">
        <v>5729</v>
      </c>
      <c r="G1266" s="12" t="s">
        <v>6364</v>
      </c>
      <c r="H1266" s="12" t="s">
        <v>6460</v>
      </c>
      <c r="I1266" s="12"/>
      <c r="J1266" s="12"/>
      <c r="K1266" s="12"/>
      <c r="L1266" s="12"/>
      <c r="M1266" s="12" t="s">
        <v>5730</v>
      </c>
      <c r="N1266" s="12"/>
      <c r="O1266" s="12" t="s">
        <v>5731</v>
      </c>
      <c r="P1266" s="12" t="str">
        <f>HYPERLINK("https://ceds.ed.gov/cedselementdetails.aspx?termid=9573")</f>
        <v>https://ceds.ed.gov/cedselementdetails.aspx?termid=9573</v>
      </c>
      <c r="Q1266" s="12" t="str">
        <f>HYPERLINK("https://ceds.ed.gov/elementComment.aspx?elementName=Single Parent Or Single Pregnant Woman Status &amp;elementID=9573", "Click here to submit comment")</f>
        <v>Click here to submit comment</v>
      </c>
    </row>
    <row r="1267" spans="1:17" ht="90" x14ac:dyDescent="0.25">
      <c r="A1267" s="12" t="s">
        <v>7242</v>
      </c>
      <c r="B1267" s="12" t="s">
        <v>7256</v>
      </c>
      <c r="C1267" s="12" t="s">
        <v>7263</v>
      </c>
      <c r="D1267" s="12" t="s">
        <v>7176</v>
      </c>
      <c r="E1267" s="12" t="s">
        <v>1696</v>
      </c>
      <c r="F1267" s="12" t="s">
        <v>1697</v>
      </c>
      <c r="G1267" s="13" t="s">
        <v>6809</v>
      </c>
      <c r="H1267" s="12" t="s">
        <v>222</v>
      </c>
      <c r="I1267" s="12"/>
      <c r="J1267" s="12"/>
      <c r="K1267" s="12"/>
      <c r="L1267" s="12"/>
      <c r="M1267" s="12" t="s">
        <v>1698</v>
      </c>
      <c r="N1267" s="12" t="s">
        <v>1699</v>
      </c>
      <c r="O1267" s="12" t="s">
        <v>1700</v>
      </c>
      <c r="P1267" s="12" t="str">
        <f>HYPERLINK("https://ceds.ed.gov/cedselementdetails.aspx?termid=9581")</f>
        <v>https://ceds.ed.gov/cedselementdetails.aspx?termid=9581</v>
      </c>
      <c r="Q1267" s="12" t="str">
        <f>HYPERLINK("https://ceds.ed.gov/elementComment.aspx?elementName=Career Technical Education Nontraditional Gender Status &amp;elementID=9581", "Click here to submit comment")</f>
        <v>Click here to submit comment</v>
      </c>
    </row>
    <row r="1268" spans="1:17" ht="90" x14ac:dyDescent="0.25">
      <c r="A1268" s="12" t="s">
        <v>7242</v>
      </c>
      <c r="B1268" s="12" t="s">
        <v>7256</v>
      </c>
      <c r="C1268" s="12" t="s">
        <v>7263</v>
      </c>
      <c r="D1268" s="12" t="s">
        <v>7172</v>
      </c>
      <c r="E1268" s="12" t="s">
        <v>1660</v>
      </c>
      <c r="F1268" s="12" t="s">
        <v>1661</v>
      </c>
      <c r="G1268" s="12" t="s">
        <v>6364</v>
      </c>
      <c r="H1268" s="12" t="s">
        <v>222</v>
      </c>
      <c r="I1268" s="12"/>
      <c r="J1268" s="12"/>
      <c r="K1268" s="12"/>
      <c r="L1268" s="12"/>
      <c r="M1268" s="12" t="s">
        <v>1662</v>
      </c>
      <c r="N1268" s="12" t="s">
        <v>1663</v>
      </c>
      <c r="O1268" s="12" t="s">
        <v>1664</v>
      </c>
      <c r="P1268" s="12" t="str">
        <f>HYPERLINK("https://ceds.ed.gov/cedselementdetails.aspx?termid=9586")</f>
        <v>https://ceds.ed.gov/cedselementdetails.aspx?termid=9586</v>
      </c>
      <c r="Q1268" s="12" t="str">
        <f>HYPERLINK("https://ceds.ed.gov/elementComment.aspx?elementName=Career and Technical Education Nontraditional Completion &amp;elementID=9586", "Click here to submit comment")</f>
        <v>Click here to submit comment</v>
      </c>
    </row>
    <row r="1269" spans="1:17" ht="90" x14ac:dyDescent="0.25">
      <c r="A1269" s="12" t="s">
        <v>7242</v>
      </c>
      <c r="B1269" s="12" t="s">
        <v>7256</v>
      </c>
      <c r="C1269" s="12" t="s">
        <v>7263</v>
      </c>
      <c r="D1269" s="12" t="s">
        <v>7172</v>
      </c>
      <c r="E1269" s="12" t="s">
        <v>1639</v>
      </c>
      <c r="F1269" s="12" t="s">
        <v>1640</v>
      </c>
      <c r="G1269" s="12" t="s">
        <v>6364</v>
      </c>
      <c r="H1269" s="12" t="s">
        <v>6369</v>
      </c>
      <c r="I1269" s="12" t="s">
        <v>98</v>
      </c>
      <c r="J1269" s="12"/>
      <c r="K1269" s="12"/>
      <c r="L1269" s="12"/>
      <c r="M1269" s="12" t="s">
        <v>1641</v>
      </c>
      <c r="N1269" s="12" t="s">
        <v>1642</v>
      </c>
      <c r="O1269" s="12" t="s">
        <v>1643</v>
      </c>
      <c r="P1269" s="12" t="str">
        <f>HYPERLINK("https://ceds.ed.gov/cedselementdetails.aspx?termid=9036")</f>
        <v>https://ceds.ed.gov/cedselementdetails.aspx?termid=9036</v>
      </c>
      <c r="Q1269" s="12" t="str">
        <f>HYPERLINK("https://ceds.ed.gov/elementComment.aspx?elementName=Career and Technical Education Completer &amp;elementID=9036", "Click here to submit comment")</f>
        <v>Click here to submit comment</v>
      </c>
    </row>
    <row r="1270" spans="1:17" ht="45" x14ac:dyDescent="0.25">
      <c r="A1270" s="12" t="s">
        <v>7242</v>
      </c>
      <c r="B1270" s="12" t="s">
        <v>7256</v>
      </c>
      <c r="C1270" s="12" t="s">
        <v>7263</v>
      </c>
      <c r="D1270" s="12" t="s">
        <v>7172</v>
      </c>
      <c r="E1270" s="12" t="s">
        <v>1675</v>
      </c>
      <c r="F1270" s="12" t="s">
        <v>1676</v>
      </c>
      <c r="G1270" s="12" t="s">
        <v>12</v>
      </c>
      <c r="H1270" s="12"/>
      <c r="I1270" s="12"/>
      <c r="J1270" s="12" t="s">
        <v>73</v>
      </c>
      <c r="K1270" s="12"/>
      <c r="L1270" s="12"/>
      <c r="M1270" s="12" t="s">
        <v>1677</v>
      </c>
      <c r="N1270" s="12"/>
      <c r="O1270" s="12" t="s">
        <v>1678</v>
      </c>
      <c r="P1270" s="12" t="str">
        <f>HYPERLINK("https://ceds.ed.gov/cedselementdetails.aspx?termid=10255")</f>
        <v>https://ceds.ed.gov/cedselementdetails.aspx?termid=10255</v>
      </c>
      <c r="Q1270" s="12" t="str">
        <f>HYPERLINK("https://ceds.ed.gov/elementComment.aspx?elementName=Career Education Plan Date &amp;elementID=10255", "Click here to submit comment")</f>
        <v>Click here to submit comment</v>
      </c>
    </row>
    <row r="1271" spans="1:17" ht="75" x14ac:dyDescent="0.25">
      <c r="A1271" s="12" t="s">
        <v>7242</v>
      </c>
      <c r="B1271" s="12" t="s">
        <v>7256</v>
      </c>
      <c r="C1271" s="12" t="s">
        <v>7263</v>
      </c>
      <c r="D1271" s="12" t="s">
        <v>7172</v>
      </c>
      <c r="E1271" s="12" t="s">
        <v>1679</v>
      </c>
      <c r="F1271" s="12" t="s">
        <v>1680</v>
      </c>
      <c r="G1271" s="13" t="s">
        <v>6808</v>
      </c>
      <c r="H1271" s="12"/>
      <c r="I1271" s="12"/>
      <c r="J1271" s="12"/>
      <c r="K1271" s="12"/>
      <c r="L1271" s="12"/>
      <c r="M1271" s="12" t="s">
        <v>1681</v>
      </c>
      <c r="N1271" s="12"/>
      <c r="O1271" s="12" t="s">
        <v>1682</v>
      </c>
      <c r="P1271" s="12" t="str">
        <f>HYPERLINK("https://ceds.ed.gov/cedselementdetails.aspx?termid=10256")</f>
        <v>https://ceds.ed.gov/cedselementdetails.aspx?termid=10256</v>
      </c>
      <c r="Q1271" s="12" t="str">
        <f>HYPERLINK("https://ceds.ed.gov/elementComment.aspx?elementName=Career Education Plan Type &amp;elementID=10256", "Click here to submit comment")</f>
        <v>Click here to submit comment</v>
      </c>
    </row>
    <row r="1272" spans="1:17" ht="45" x14ac:dyDescent="0.25">
      <c r="A1272" s="12" t="s">
        <v>7242</v>
      </c>
      <c r="B1272" s="12" t="s">
        <v>7256</v>
      </c>
      <c r="C1272" s="12" t="s">
        <v>7263</v>
      </c>
      <c r="D1272" s="12" t="s">
        <v>7172</v>
      </c>
      <c r="E1272" s="12" t="s">
        <v>1683</v>
      </c>
      <c r="F1272" s="12" t="s">
        <v>1684</v>
      </c>
      <c r="G1272" s="12" t="s">
        <v>12</v>
      </c>
      <c r="H1272" s="12"/>
      <c r="I1272" s="12"/>
      <c r="J1272" s="12" t="s">
        <v>73</v>
      </c>
      <c r="K1272" s="12"/>
      <c r="L1272" s="12"/>
      <c r="M1272" s="12" t="s">
        <v>1685</v>
      </c>
      <c r="N1272" s="12"/>
      <c r="O1272" s="12" t="s">
        <v>1686</v>
      </c>
      <c r="P1272" s="12" t="str">
        <f>HYPERLINK("https://ceds.ed.gov/cedselementdetails.aspx?termid=10562")</f>
        <v>https://ceds.ed.gov/cedselementdetails.aspx?termid=10562</v>
      </c>
      <c r="Q1272" s="12" t="str">
        <f>HYPERLINK("https://ceds.ed.gov/elementComment.aspx?elementName=Career Pathways Program Participation Exit Date &amp;elementID=10562", "Click here to submit comment")</f>
        <v>Click here to submit comment</v>
      </c>
    </row>
    <row r="1273" spans="1:17" ht="75" x14ac:dyDescent="0.25">
      <c r="A1273" s="12" t="s">
        <v>7242</v>
      </c>
      <c r="B1273" s="12" t="s">
        <v>7256</v>
      </c>
      <c r="C1273" s="12" t="s">
        <v>7263</v>
      </c>
      <c r="D1273" s="12" t="s">
        <v>7172</v>
      </c>
      <c r="E1273" s="12" t="s">
        <v>1687</v>
      </c>
      <c r="F1273" s="12" t="s">
        <v>1688</v>
      </c>
      <c r="G1273" s="12" t="s">
        <v>6364</v>
      </c>
      <c r="H1273" s="12"/>
      <c r="I1273" s="12"/>
      <c r="J1273" s="12"/>
      <c r="K1273" s="12"/>
      <c r="L1273" s="12"/>
      <c r="M1273" s="12" t="s">
        <v>1689</v>
      </c>
      <c r="N1273" s="12"/>
      <c r="O1273" s="12" t="s">
        <v>1690</v>
      </c>
      <c r="P1273" s="12" t="str">
        <f>HYPERLINK("https://ceds.ed.gov/cedselementdetails.aspx?termid=10257")</f>
        <v>https://ceds.ed.gov/cedselementdetails.aspx?termid=10257</v>
      </c>
      <c r="Q1273" s="12" t="str">
        <f>HYPERLINK("https://ceds.ed.gov/elementComment.aspx?elementName=Career Pathways Program Participation Indicator &amp;elementID=10257", "Click here to submit comment")</f>
        <v>Click here to submit comment</v>
      </c>
    </row>
    <row r="1274" spans="1:17" ht="45" x14ac:dyDescent="0.25">
      <c r="A1274" s="12" t="s">
        <v>7242</v>
      </c>
      <c r="B1274" s="12" t="s">
        <v>7256</v>
      </c>
      <c r="C1274" s="12" t="s">
        <v>7263</v>
      </c>
      <c r="D1274" s="12" t="s">
        <v>7172</v>
      </c>
      <c r="E1274" s="12" t="s">
        <v>1691</v>
      </c>
      <c r="F1274" s="12" t="s">
        <v>1692</v>
      </c>
      <c r="G1274" s="12" t="s">
        <v>12</v>
      </c>
      <c r="H1274" s="12"/>
      <c r="I1274" s="12"/>
      <c r="J1274" s="12" t="s">
        <v>1693</v>
      </c>
      <c r="K1274" s="12"/>
      <c r="L1274" s="12"/>
      <c r="M1274" s="12" t="s">
        <v>1694</v>
      </c>
      <c r="N1274" s="12"/>
      <c r="O1274" s="12" t="s">
        <v>1695</v>
      </c>
      <c r="P1274" s="12" t="str">
        <f>HYPERLINK("https://ceds.ed.gov/cedselementdetails.aspx?termid=10563")</f>
        <v>https://ceds.ed.gov/cedselementdetails.aspx?termid=10563</v>
      </c>
      <c r="Q1274" s="12" t="str">
        <f>HYPERLINK("https://ceds.ed.gov/elementComment.aspx?elementName=Career Pathways Program Participation Start Date &amp;elementID=10563", "Click here to submit comment")</f>
        <v>Click here to submit comment</v>
      </c>
    </row>
    <row r="1275" spans="1:17" ht="285" x14ac:dyDescent="0.25">
      <c r="A1275" s="12" t="s">
        <v>7242</v>
      </c>
      <c r="B1275" s="12" t="s">
        <v>7256</v>
      </c>
      <c r="C1275" s="12" t="s">
        <v>7201</v>
      </c>
      <c r="D1275" s="12" t="s">
        <v>7172</v>
      </c>
      <c r="E1275" s="12" t="s">
        <v>3281</v>
      </c>
      <c r="F1275" s="12" t="s">
        <v>3282</v>
      </c>
      <c r="G1275" s="12" t="s">
        <v>6364</v>
      </c>
      <c r="H1275" s="12" t="s">
        <v>6568</v>
      </c>
      <c r="I1275" s="12"/>
      <c r="J1275" s="12"/>
      <c r="K1275" s="12"/>
      <c r="L1275" s="12"/>
      <c r="M1275" s="12" t="s">
        <v>3283</v>
      </c>
      <c r="N1275" s="12"/>
      <c r="O1275" s="12" t="s">
        <v>3284</v>
      </c>
      <c r="P1275" s="12" t="str">
        <f>HYPERLINK("https://ceds.ed.gov/cedselementdetails.aspx?termid=9151")</f>
        <v>https://ceds.ed.gov/cedselementdetails.aspx?termid=9151</v>
      </c>
      <c r="Q1275" s="12" t="str">
        <f>HYPERLINK("https://ceds.ed.gov/elementComment.aspx?elementName=IDEA Indicator &amp;elementID=9151", "Click here to submit comment")</f>
        <v>Click here to submit comment</v>
      </c>
    </row>
    <row r="1276" spans="1:17" ht="45" x14ac:dyDescent="0.25">
      <c r="A1276" s="12" t="s">
        <v>7242</v>
      </c>
      <c r="B1276" s="12" t="s">
        <v>7256</v>
      </c>
      <c r="C1276" s="12" t="s">
        <v>7201</v>
      </c>
      <c r="D1276" s="12" t="s">
        <v>7172</v>
      </c>
      <c r="E1276" s="12" t="s">
        <v>2349</v>
      </c>
      <c r="F1276" s="12" t="s">
        <v>2350</v>
      </c>
      <c r="G1276" s="12" t="s">
        <v>6364</v>
      </c>
      <c r="H1276" s="12" t="s">
        <v>222</v>
      </c>
      <c r="I1276" s="12"/>
      <c r="J1276" s="12"/>
      <c r="K1276" s="12"/>
      <c r="L1276" s="12"/>
      <c r="M1276" s="12" t="s">
        <v>2351</v>
      </c>
      <c r="N1276" s="12"/>
      <c r="O1276" s="12" t="s">
        <v>2352</v>
      </c>
      <c r="P1276" s="12" t="str">
        <f>HYPERLINK("https://ceds.ed.gov/cedselementdetails.aspx?termid=9569")</f>
        <v>https://ceds.ed.gov/cedselementdetails.aspx?termid=9569</v>
      </c>
      <c r="Q1276" s="12" t="str">
        <f>HYPERLINK("https://ceds.ed.gov/elementComment.aspx?elementName=Disability Status &amp;elementID=9569", "Click here to submit comment")</f>
        <v>Click here to submit comment</v>
      </c>
    </row>
    <row r="1277" spans="1:17" ht="90" x14ac:dyDescent="0.25">
      <c r="A1277" s="12" t="s">
        <v>7242</v>
      </c>
      <c r="B1277" s="12" t="s">
        <v>7256</v>
      </c>
      <c r="C1277" s="12" t="s">
        <v>7201</v>
      </c>
      <c r="D1277" s="12" t="s">
        <v>7172</v>
      </c>
      <c r="E1277" s="12" t="s">
        <v>5635</v>
      </c>
      <c r="F1277" s="12" t="s">
        <v>5636</v>
      </c>
      <c r="G1277" s="12" t="s">
        <v>6364</v>
      </c>
      <c r="H1277" s="12" t="s">
        <v>6568</v>
      </c>
      <c r="I1277" s="12"/>
      <c r="J1277" s="12"/>
      <c r="K1277" s="12"/>
      <c r="L1277" s="12"/>
      <c r="M1277" s="12" t="s">
        <v>5637</v>
      </c>
      <c r="N1277" s="12"/>
      <c r="O1277" s="12" t="s">
        <v>5638</v>
      </c>
      <c r="P1277" s="12" t="str">
        <f>HYPERLINK("https://ceds.ed.gov/cedselementdetails.aspx?termid=9249")</f>
        <v>https://ceds.ed.gov/cedselementdetails.aspx?termid=9249</v>
      </c>
      <c r="Q1277" s="12" t="str">
        <f>HYPERLINK("https://ceds.ed.gov/elementComment.aspx?elementName=Section 504 Status &amp;elementID=9249", "Click here to submit comment")</f>
        <v>Click here to submit comment</v>
      </c>
    </row>
    <row r="1278" spans="1:17" ht="210" x14ac:dyDescent="0.25">
      <c r="A1278" s="12" t="s">
        <v>7242</v>
      </c>
      <c r="B1278" s="12" t="s">
        <v>7256</v>
      </c>
      <c r="C1278" s="12" t="s">
        <v>7201</v>
      </c>
      <c r="D1278" s="12" t="s">
        <v>7172</v>
      </c>
      <c r="E1278" s="12" t="s">
        <v>4930</v>
      </c>
      <c r="F1278" s="12" t="s">
        <v>4931</v>
      </c>
      <c r="G1278" s="13" t="s">
        <v>7064</v>
      </c>
      <c r="H1278" s="12" t="s">
        <v>6633</v>
      </c>
      <c r="I1278" s="12"/>
      <c r="J1278" s="12"/>
      <c r="K1278" s="12"/>
      <c r="L1278" s="12"/>
      <c r="M1278" s="12" t="s">
        <v>4932</v>
      </c>
      <c r="N1278" s="12"/>
      <c r="O1278" s="12" t="s">
        <v>4933</v>
      </c>
      <c r="P1278" s="12" t="str">
        <f>HYPERLINK("https://ceds.ed.gov/cedselementdetails.aspx?termid=9218")</f>
        <v>https://ceds.ed.gov/cedselementdetails.aspx?termid=9218</v>
      </c>
      <c r="Q1278" s="12" t="str">
        <f>HYPERLINK("https://ceds.ed.gov/elementComment.aspx?elementName=Primary Disability Type &amp;elementID=9218", "Click here to submit comment")</f>
        <v>Click here to submit comment</v>
      </c>
    </row>
    <row r="1279" spans="1:17" ht="60" x14ac:dyDescent="0.25">
      <c r="A1279" s="12" t="s">
        <v>7242</v>
      </c>
      <c r="B1279" s="12" t="s">
        <v>7256</v>
      </c>
      <c r="C1279" s="12" t="s">
        <v>7201</v>
      </c>
      <c r="D1279" s="12" t="s">
        <v>7172</v>
      </c>
      <c r="E1279" s="12" t="s">
        <v>1557</v>
      </c>
      <c r="F1279" s="12" t="s">
        <v>1558</v>
      </c>
      <c r="G1279" s="12" t="s">
        <v>6364</v>
      </c>
      <c r="H1279" s="12" t="s">
        <v>4</v>
      </c>
      <c r="I1279" s="12"/>
      <c r="J1279" s="12"/>
      <c r="K1279" s="12"/>
      <c r="L1279" s="12"/>
      <c r="M1279" s="12" t="s">
        <v>1559</v>
      </c>
      <c r="N1279" s="12"/>
      <c r="O1279" s="12" t="s">
        <v>1560</v>
      </c>
      <c r="P1279" s="12" t="str">
        <f>HYPERLINK("https://ceds.ed.gov/cedselementdetails.aspx?termid=9031")</f>
        <v>https://ceds.ed.gov/cedselementdetails.aspx?termid=9031</v>
      </c>
      <c r="Q1279" s="12" t="str">
        <f>HYPERLINK("https://ceds.ed.gov/elementComment.aspx?elementName=Awaiting Initial IDEA Evaluation Status &amp;elementID=9031", "Click here to submit comment")</f>
        <v>Click here to submit comment</v>
      </c>
    </row>
    <row r="1280" spans="1:17" ht="195" x14ac:dyDescent="0.25">
      <c r="A1280" s="12" t="s">
        <v>7242</v>
      </c>
      <c r="B1280" s="12" t="s">
        <v>7256</v>
      </c>
      <c r="C1280" s="12" t="s">
        <v>7201</v>
      </c>
      <c r="D1280" s="12" t="s">
        <v>7172</v>
      </c>
      <c r="E1280" s="12" t="s">
        <v>3272</v>
      </c>
      <c r="F1280" s="12" t="s">
        <v>3273</v>
      </c>
      <c r="G1280" s="13" t="s">
        <v>6953</v>
      </c>
      <c r="H1280" s="12" t="s">
        <v>222</v>
      </c>
      <c r="I1280" s="12"/>
      <c r="J1280" s="12"/>
      <c r="K1280" s="12"/>
      <c r="L1280" s="12"/>
      <c r="M1280" s="12" t="s">
        <v>3274</v>
      </c>
      <c r="N1280" s="12"/>
      <c r="O1280" s="12" t="s">
        <v>3275</v>
      </c>
      <c r="P1280" s="12" t="str">
        <f>HYPERLINK("https://ceds.ed.gov/cedselementdetails.aspx?termid=9526")</f>
        <v>https://ceds.ed.gov/cedselementdetails.aspx?termid=9526</v>
      </c>
      <c r="Q1280" s="12" t="str">
        <f>HYPERLINK("https://ceds.ed.gov/elementComment.aspx?elementName=IDEA Educational Environment for School Age &amp;elementID=9526", "Click here to submit comment")</f>
        <v>Click here to submit comment</v>
      </c>
    </row>
    <row r="1281" spans="1:17" ht="255" x14ac:dyDescent="0.25">
      <c r="A1281" s="12" t="s">
        <v>7242</v>
      </c>
      <c r="B1281" s="12" t="s">
        <v>7256</v>
      </c>
      <c r="C1281" s="12" t="s">
        <v>7201</v>
      </c>
      <c r="D1281" s="12" t="s">
        <v>7172</v>
      </c>
      <c r="E1281" s="12" t="s">
        <v>2340</v>
      </c>
      <c r="F1281" s="12" t="s">
        <v>2341</v>
      </c>
      <c r="G1281" s="13" t="s">
        <v>6863</v>
      </c>
      <c r="H1281" s="12"/>
      <c r="I1281" s="12"/>
      <c r="J1281" s="12"/>
      <c r="K1281" s="12"/>
      <c r="L1281" s="12" t="s">
        <v>2342</v>
      </c>
      <c r="M1281" s="12" t="s">
        <v>2343</v>
      </c>
      <c r="N1281" s="12"/>
      <c r="O1281" s="12" t="s">
        <v>2344</v>
      </c>
      <c r="P1281" s="12" t="str">
        <f>HYPERLINK("https://ceds.ed.gov/cedselementdetails.aspx?termid=10286")</f>
        <v>https://ceds.ed.gov/cedselementdetails.aspx?termid=10286</v>
      </c>
      <c r="Q1281" s="12" t="str">
        <f>HYPERLINK("https://ceds.ed.gov/elementComment.aspx?elementName=Disability Condition Type &amp;elementID=10286", "Click here to submit comment")</f>
        <v>Click here to submit comment</v>
      </c>
    </row>
    <row r="1282" spans="1:17" ht="180" x14ac:dyDescent="0.25">
      <c r="A1282" s="12" t="s">
        <v>7242</v>
      </c>
      <c r="B1282" s="12" t="s">
        <v>7256</v>
      </c>
      <c r="C1282" s="12" t="s">
        <v>7201</v>
      </c>
      <c r="D1282" s="12" t="s">
        <v>7172</v>
      </c>
      <c r="E1282" s="12" t="s">
        <v>2345</v>
      </c>
      <c r="F1282" s="12" t="s">
        <v>2346</v>
      </c>
      <c r="G1282" s="13" t="s">
        <v>6864</v>
      </c>
      <c r="H1282" s="12"/>
      <c r="I1282" s="12"/>
      <c r="J1282" s="12"/>
      <c r="K1282" s="12"/>
      <c r="L1282" s="12" t="s">
        <v>2342</v>
      </c>
      <c r="M1282" s="12" t="s">
        <v>2347</v>
      </c>
      <c r="N1282" s="12"/>
      <c r="O1282" s="12" t="s">
        <v>2348</v>
      </c>
      <c r="P1282" s="12" t="str">
        <f>HYPERLINK("https://ceds.ed.gov/cedselementdetails.aspx?termid=10287")</f>
        <v>https://ceds.ed.gov/cedselementdetails.aspx?termid=10287</v>
      </c>
      <c r="Q1282" s="12" t="str">
        <f>HYPERLINK("https://ceds.ed.gov/elementComment.aspx?elementName=Disability Determination Source Type &amp;elementID=10287", "Click here to submit comment")</f>
        <v>Click here to submit comment</v>
      </c>
    </row>
    <row r="1283" spans="1:17" ht="409.5" x14ac:dyDescent="0.25">
      <c r="A1283" s="12" t="s">
        <v>7242</v>
      </c>
      <c r="B1283" s="12" t="s">
        <v>7256</v>
      </c>
      <c r="C1283" s="12" t="s">
        <v>7264</v>
      </c>
      <c r="D1283" s="12" t="s">
        <v>7172</v>
      </c>
      <c r="E1283" s="12" t="s">
        <v>2366</v>
      </c>
      <c r="F1283" s="12" t="s">
        <v>2367</v>
      </c>
      <c r="G1283" s="13" t="s">
        <v>6865</v>
      </c>
      <c r="H1283" s="12" t="s">
        <v>4</v>
      </c>
      <c r="I1283" s="12"/>
      <c r="J1283" s="12"/>
      <c r="K1283" s="12"/>
      <c r="L1283" s="12"/>
      <c r="M1283" s="12" t="s">
        <v>2368</v>
      </c>
      <c r="N1283" s="12"/>
      <c r="O1283" s="12" t="s">
        <v>2369</v>
      </c>
      <c r="P1283" s="12" t="str">
        <f>HYPERLINK("https://ceds.ed.gov/cedselementdetails.aspx?termid=9479")</f>
        <v>https://ceds.ed.gov/cedselementdetails.aspx?termid=9479</v>
      </c>
      <c r="Q1283" s="12" t="str">
        <f>HYPERLINK("https://ceds.ed.gov/elementComment.aspx?elementName=Disciplinary Action Taken &amp;elementID=9479", "Click here to submit comment")</f>
        <v>Click here to submit comment</v>
      </c>
    </row>
    <row r="1284" spans="1:17" ht="180" x14ac:dyDescent="0.25">
      <c r="A1284" s="12" t="s">
        <v>7242</v>
      </c>
      <c r="B1284" s="12" t="s">
        <v>7256</v>
      </c>
      <c r="C1284" s="12" t="s">
        <v>7264</v>
      </c>
      <c r="D1284" s="12" t="s">
        <v>7172</v>
      </c>
      <c r="E1284" s="12" t="s">
        <v>2383</v>
      </c>
      <c r="F1284" s="12" t="s">
        <v>2384</v>
      </c>
      <c r="G1284" s="13" t="s">
        <v>6869</v>
      </c>
      <c r="H1284" s="12" t="s">
        <v>222</v>
      </c>
      <c r="I1284" s="12"/>
      <c r="J1284" s="12"/>
      <c r="K1284" s="12"/>
      <c r="L1284" s="12"/>
      <c r="M1284" s="12" t="s">
        <v>2385</v>
      </c>
      <c r="N1284" s="12"/>
      <c r="O1284" s="12" t="s">
        <v>2386</v>
      </c>
      <c r="P1284" s="12" t="str">
        <f>HYPERLINK("https://ceds.ed.gov/cedselementdetails.aspx?termid=9536")</f>
        <v>https://ceds.ed.gov/cedselementdetails.aspx?termid=9536</v>
      </c>
      <c r="Q1284" s="12" t="str">
        <f>HYPERLINK("https://ceds.ed.gov/elementComment.aspx?elementName=Discipline Reason &amp;elementID=9536", "Click here to submit comment")</f>
        <v>Click here to submit comment</v>
      </c>
    </row>
    <row r="1285" spans="1:17" ht="30" x14ac:dyDescent="0.25">
      <c r="A1285" s="12" t="s">
        <v>7242</v>
      </c>
      <c r="B1285" s="12" t="s">
        <v>7256</v>
      </c>
      <c r="C1285" s="12" t="s">
        <v>7264</v>
      </c>
      <c r="D1285" s="12" t="s">
        <v>7172</v>
      </c>
      <c r="E1285" s="12" t="s">
        <v>2362</v>
      </c>
      <c r="F1285" s="12" t="s">
        <v>2363</v>
      </c>
      <c r="G1285" s="12" t="s">
        <v>12</v>
      </c>
      <c r="H1285" s="12" t="s">
        <v>4</v>
      </c>
      <c r="I1285" s="12"/>
      <c r="J1285" s="12" t="s">
        <v>73</v>
      </c>
      <c r="K1285" s="12"/>
      <c r="L1285" s="12"/>
      <c r="M1285" s="12" t="s">
        <v>2364</v>
      </c>
      <c r="N1285" s="12"/>
      <c r="O1285" s="12" t="s">
        <v>2365</v>
      </c>
      <c r="P1285" s="12" t="str">
        <f>HYPERLINK("https://ceds.ed.gov/cedselementdetails.aspx?termid=9083")</f>
        <v>https://ceds.ed.gov/cedselementdetails.aspx?termid=9083</v>
      </c>
      <c r="Q1285" s="12" t="str">
        <f>HYPERLINK("https://ceds.ed.gov/elementComment.aspx?elementName=Disciplinary Action Start Date &amp;elementID=9083", "Click here to submit comment")</f>
        <v>Click here to submit comment</v>
      </c>
    </row>
    <row r="1286" spans="1:17" ht="30" x14ac:dyDescent="0.25">
      <c r="A1286" s="12" t="s">
        <v>7242</v>
      </c>
      <c r="B1286" s="12" t="s">
        <v>7256</v>
      </c>
      <c r="C1286" s="12" t="s">
        <v>7264</v>
      </c>
      <c r="D1286" s="12" t="s">
        <v>7172</v>
      </c>
      <c r="E1286" s="12" t="s">
        <v>2353</v>
      </c>
      <c r="F1286" s="12" t="s">
        <v>2354</v>
      </c>
      <c r="G1286" s="12" t="s">
        <v>12</v>
      </c>
      <c r="H1286" s="12" t="s">
        <v>4</v>
      </c>
      <c r="I1286" s="12"/>
      <c r="J1286" s="12" t="s">
        <v>73</v>
      </c>
      <c r="K1286" s="12"/>
      <c r="L1286" s="12"/>
      <c r="M1286" s="12" t="s">
        <v>2355</v>
      </c>
      <c r="N1286" s="12"/>
      <c r="O1286" s="12" t="s">
        <v>2356</v>
      </c>
      <c r="P1286" s="12" t="str">
        <f>HYPERLINK("https://ceds.ed.gov/cedselementdetails.aspx?termid=9082")</f>
        <v>https://ceds.ed.gov/cedselementdetails.aspx?termid=9082</v>
      </c>
      <c r="Q1286" s="12" t="str">
        <f>HYPERLINK("https://ceds.ed.gov/elementComment.aspx?elementName=Disciplinary Action End Date &amp;elementID=9082", "Click here to submit comment")</f>
        <v>Click here to submit comment</v>
      </c>
    </row>
    <row r="1287" spans="1:17" ht="30" x14ac:dyDescent="0.25">
      <c r="A1287" s="12" t="s">
        <v>7242</v>
      </c>
      <c r="B1287" s="12" t="s">
        <v>7256</v>
      </c>
      <c r="C1287" s="12" t="s">
        <v>7264</v>
      </c>
      <c r="D1287" s="12" t="s">
        <v>7172</v>
      </c>
      <c r="E1287" s="12" t="s">
        <v>2434</v>
      </c>
      <c r="F1287" s="12" t="s">
        <v>2435</v>
      </c>
      <c r="G1287" s="12" t="s">
        <v>12</v>
      </c>
      <c r="H1287" s="12"/>
      <c r="I1287" s="12"/>
      <c r="J1287" s="12" t="s">
        <v>1554</v>
      </c>
      <c r="K1287" s="12"/>
      <c r="L1287" s="12"/>
      <c r="M1287" s="12" t="s">
        <v>2436</v>
      </c>
      <c r="N1287" s="12"/>
      <c r="O1287" s="12" t="s">
        <v>2437</v>
      </c>
      <c r="P1287" s="12" t="str">
        <f>HYPERLINK("https://ceds.ed.gov/cedselementdetails.aspx?termid=9502")</f>
        <v>https://ceds.ed.gov/cedselementdetails.aspx?termid=9502</v>
      </c>
      <c r="Q1287" s="12" t="str">
        <f>HYPERLINK("https://ceds.ed.gov/elementComment.aspx?elementName=Duration of Disciplinary Action &amp;elementID=9502", "Click here to submit comment")</f>
        <v>Click here to submit comment</v>
      </c>
    </row>
    <row r="1288" spans="1:17" ht="60" x14ac:dyDescent="0.25">
      <c r="A1288" s="12" t="s">
        <v>7242</v>
      </c>
      <c r="B1288" s="12" t="s">
        <v>7256</v>
      </c>
      <c r="C1288" s="12" t="s">
        <v>7264</v>
      </c>
      <c r="D1288" s="12" t="s">
        <v>7172</v>
      </c>
      <c r="E1288" s="12" t="s">
        <v>5724</v>
      </c>
      <c r="F1288" s="12" t="s">
        <v>5725</v>
      </c>
      <c r="G1288" s="12" t="s">
        <v>6364</v>
      </c>
      <c r="H1288" s="12"/>
      <c r="I1288" s="12"/>
      <c r="J1288" s="12"/>
      <c r="K1288" s="12"/>
      <c r="L1288" s="12"/>
      <c r="M1288" s="12" t="s">
        <v>5726</v>
      </c>
      <c r="N1288" s="12"/>
      <c r="O1288" s="12" t="s">
        <v>5727</v>
      </c>
      <c r="P1288" s="12" t="str">
        <f>HYPERLINK("https://ceds.ed.gov/cedselementdetails.aspx?termid=9505")</f>
        <v>https://ceds.ed.gov/cedselementdetails.aspx?termid=9505</v>
      </c>
      <c r="Q1288" s="12" t="str">
        <f>HYPERLINK("https://ceds.ed.gov/elementComment.aspx?elementName=Shortened Expulsion &amp;elementID=9505", "Click here to submit comment")</f>
        <v>Click here to submit comment</v>
      </c>
    </row>
    <row r="1289" spans="1:17" ht="300" x14ac:dyDescent="0.25">
      <c r="A1289" s="12" t="s">
        <v>7242</v>
      </c>
      <c r="B1289" s="12" t="s">
        <v>7256</v>
      </c>
      <c r="C1289" s="12" t="s">
        <v>7264</v>
      </c>
      <c r="D1289" s="12" t="s">
        <v>7172</v>
      </c>
      <c r="E1289" s="12" t="s">
        <v>2370</v>
      </c>
      <c r="F1289" s="12" t="s">
        <v>2371</v>
      </c>
      <c r="G1289" s="13" t="s">
        <v>6866</v>
      </c>
      <c r="H1289" s="12"/>
      <c r="I1289" s="12"/>
      <c r="J1289" s="12"/>
      <c r="K1289" s="12"/>
      <c r="L1289" s="12"/>
      <c r="M1289" s="12" t="s">
        <v>2372</v>
      </c>
      <c r="N1289" s="12"/>
      <c r="O1289" s="12" t="s">
        <v>2373</v>
      </c>
      <c r="P1289" s="12" t="str">
        <f>HYPERLINK("https://ceds.ed.gov/cedselementdetails.aspx?termid=9602")</f>
        <v>https://ceds.ed.gov/cedselementdetails.aspx?termid=9602</v>
      </c>
      <c r="Q1289" s="12" t="str">
        <f>HYPERLINK("https://ceds.ed.gov/elementComment.aspx?elementName=Discipline Action Length Difference Reason &amp;elementID=9602", "Click here to submit comment")</f>
        <v>Click here to submit comment</v>
      </c>
    </row>
    <row r="1290" spans="1:17" ht="75" x14ac:dyDescent="0.25">
      <c r="A1290" s="12" t="s">
        <v>7242</v>
      </c>
      <c r="B1290" s="12" t="s">
        <v>7256</v>
      </c>
      <c r="C1290" s="12" t="s">
        <v>7264</v>
      </c>
      <c r="D1290" s="12" t="s">
        <v>7172</v>
      </c>
      <c r="E1290" s="12" t="s">
        <v>2643</v>
      </c>
      <c r="F1290" s="12" t="s">
        <v>2644</v>
      </c>
      <c r="G1290" s="12" t="s">
        <v>6364</v>
      </c>
      <c r="H1290" s="12"/>
      <c r="I1290" s="12"/>
      <c r="J1290" s="12"/>
      <c r="K1290" s="12"/>
      <c r="L1290" s="12"/>
      <c r="M1290" s="12" t="s">
        <v>2645</v>
      </c>
      <c r="N1290" s="12"/>
      <c r="O1290" s="12" t="s">
        <v>2646</v>
      </c>
      <c r="P1290" s="12" t="str">
        <f>HYPERLINK("https://ceds.ed.gov/cedselementdetails.aspx?termid=9570")</f>
        <v>https://ceds.ed.gov/cedselementdetails.aspx?termid=9570</v>
      </c>
      <c r="Q1290" s="12" t="str">
        <f>HYPERLINK("https://ceds.ed.gov/elementComment.aspx?elementName=Educational Services After Removal &amp;elementID=9570", "Click here to submit comment")</f>
        <v>Click here to submit comment</v>
      </c>
    </row>
    <row r="1291" spans="1:17" ht="45" x14ac:dyDescent="0.25">
      <c r="A1291" s="12" t="s">
        <v>7242</v>
      </c>
      <c r="B1291" s="12" t="s">
        <v>7256</v>
      </c>
      <c r="C1291" s="12" t="s">
        <v>7264</v>
      </c>
      <c r="D1291" s="12" t="s">
        <v>7172</v>
      </c>
      <c r="E1291" s="12" t="s">
        <v>3055</v>
      </c>
      <c r="F1291" s="12" t="s">
        <v>3056</v>
      </c>
      <c r="G1291" s="12" t="s">
        <v>6364</v>
      </c>
      <c r="H1291" s="12"/>
      <c r="I1291" s="12"/>
      <c r="J1291" s="12"/>
      <c r="K1291" s="12"/>
      <c r="L1291" s="12"/>
      <c r="M1291" s="12" t="s">
        <v>3057</v>
      </c>
      <c r="N1291" s="12"/>
      <c r="O1291" s="12" t="s">
        <v>3058</v>
      </c>
      <c r="P1291" s="12" t="str">
        <f>HYPERLINK("https://ceds.ed.gov/cedselementdetails.aspx?termid=9504")</f>
        <v>https://ceds.ed.gov/cedselementdetails.aspx?termid=9504</v>
      </c>
      <c r="Q1291" s="12" t="str">
        <f>HYPERLINK("https://ceds.ed.gov/elementComment.aspx?elementName=Full Year Expulsion &amp;elementID=9504", "Click here to submit comment")</f>
        <v>Click here to submit comment</v>
      </c>
    </row>
    <row r="1292" spans="1:17" ht="75" x14ac:dyDescent="0.25">
      <c r="A1292" s="12" t="s">
        <v>7242</v>
      </c>
      <c r="B1292" s="12" t="s">
        <v>7256</v>
      </c>
      <c r="C1292" s="12" t="s">
        <v>7264</v>
      </c>
      <c r="D1292" s="12" t="s">
        <v>7172</v>
      </c>
      <c r="E1292" s="12" t="s">
        <v>5366</v>
      </c>
      <c r="F1292" s="12" t="s">
        <v>5367</v>
      </c>
      <c r="G1292" s="12" t="s">
        <v>6364</v>
      </c>
      <c r="H1292" s="12"/>
      <c r="I1292" s="12"/>
      <c r="J1292" s="12"/>
      <c r="K1292" s="12"/>
      <c r="L1292" s="12"/>
      <c r="M1292" s="12" t="s">
        <v>5368</v>
      </c>
      <c r="N1292" s="12"/>
      <c r="O1292" s="12" t="s">
        <v>5369</v>
      </c>
      <c r="P1292" s="12" t="str">
        <f>HYPERLINK("https://ceds.ed.gov/cedselementdetails.aspx?termid=9503")</f>
        <v>https://ceds.ed.gov/cedselementdetails.aspx?termid=9503</v>
      </c>
      <c r="Q1292" s="12" t="str">
        <f>HYPERLINK("https://ceds.ed.gov/elementComment.aspx?elementName=Related to Zero Tolerance Policy &amp;elementID=9503", "Click here to submit comment")</f>
        <v>Click here to submit comment</v>
      </c>
    </row>
    <row r="1293" spans="1:17" ht="75" x14ac:dyDescent="0.25">
      <c r="A1293" s="12" t="s">
        <v>7242</v>
      </c>
      <c r="B1293" s="12" t="s">
        <v>7256</v>
      </c>
      <c r="C1293" s="12" t="s">
        <v>7264</v>
      </c>
      <c r="D1293" s="12" t="s">
        <v>7172</v>
      </c>
      <c r="E1293" s="12" t="s">
        <v>3285</v>
      </c>
      <c r="F1293" s="12" t="s">
        <v>3286</v>
      </c>
      <c r="G1293" s="13" t="s">
        <v>6955</v>
      </c>
      <c r="H1293" s="12" t="s">
        <v>222</v>
      </c>
      <c r="I1293" s="12"/>
      <c r="J1293" s="12"/>
      <c r="K1293" s="12"/>
      <c r="L1293" s="12"/>
      <c r="M1293" s="12" t="s">
        <v>3287</v>
      </c>
      <c r="N1293" s="12"/>
      <c r="O1293" s="12" t="s">
        <v>3288</v>
      </c>
      <c r="P1293" s="12" t="str">
        <f>HYPERLINK("https://ceds.ed.gov/cedselementdetails.aspx?termid=9532")</f>
        <v>https://ceds.ed.gov/cedselementdetails.aspx?termid=9532</v>
      </c>
      <c r="Q1293" s="12" t="str">
        <f>HYPERLINK("https://ceds.ed.gov/elementComment.aspx?elementName=IDEA Interim Removal &amp;elementID=9532", "Click here to submit comment")</f>
        <v>Click here to submit comment</v>
      </c>
    </row>
    <row r="1294" spans="1:17" ht="75" x14ac:dyDescent="0.25">
      <c r="A1294" s="12" t="s">
        <v>7242</v>
      </c>
      <c r="B1294" s="12" t="s">
        <v>7256</v>
      </c>
      <c r="C1294" s="12" t="s">
        <v>7264</v>
      </c>
      <c r="D1294" s="12" t="s">
        <v>7172</v>
      </c>
      <c r="E1294" s="12" t="s">
        <v>3289</v>
      </c>
      <c r="F1294" s="12" t="s">
        <v>3290</v>
      </c>
      <c r="G1294" s="13" t="s">
        <v>6956</v>
      </c>
      <c r="H1294" s="12" t="s">
        <v>222</v>
      </c>
      <c r="I1294" s="12"/>
      <c r="J1294" s="12"/>
      <c r="K1294" s="12"/>
      <c r="L1294" s="12"/>
      <c r="M1294" s="12" t="s">
        <v>3291</v>
      </c>
      <c r="N1294" s="12"/>
      <c r="O1294" s="12" t="s">
        <v>3292</v>
      </c>
      <c r="P1294" s="12" t="str">
        <f>HYPERLINK("https://ceds.ed.gov/cedselementdetails.aspx?termid=9530")</f>
        <v>https://ceds.ed.gov/cedselementdetails.aspx?termid=9530</v>
      </c>
      <c r="Q1294" s="12" t="str">
        <f>HYPERLINK("https://ceds.ed.gov/elementComment.aspx?elementName=IDEA Interim Removal Reason &amp;elementID=9530", "Click here to submit comment")</f>
        <v>Click here to submit comment</v>
      </c>
    </row>
    <row r="1295" spans="1:17" ht="255" x14ac:dyDescent="0.25">
      <c r="A1295" s="12" t="s">
        <v>7242</v>
      </c>
      <c r="B1295" s="12" t="s">
        <v>7256</v>
      </c>
      <c r="C1295" s="12" t="s">
        <v>7264</v>
      </c>
      <c r="D1295" s="12" t="s">
        <v>7176</v>
      </c>
      <c r="E1295" s="12" t="s">
        <v>2374</v>
      </c>
      <c r="F1295" s="12" t="s">
        <v>2375</v>
      </c>
      <c r="G1295" s="13" t="s">
        <v>6867</v>
      </c>
      <c r="H1295" s="12" t="s">
        <v>222</v>
      </c>
      <c r="I1295" s="12"/>
      <c r="J1295" s="12"/>
      <c r="K1295" s="12"/>
      <c r="L1295" s="12"/>
      <c r="M1295" s="12" t="s">
        <v>2377</v>
      </c>
      <c r="N1295" s="12"/>
      <c r="O1295" s="12" t="s">
        <v>2378</v>
      </c>
      <c r="P1295" s="12" t="str">
        <f>HYPERLINK("https://ceds.ed.gov/cedselementdetails.aspx?termid=9546")</f>
        <v>https://ceds.ed.gov/cedselementdetails.aspx?termid=9546</v>
      </c>
      <c r="Q1295" s="12" t="str">
        <f>HYPERLINK("https://ceds.ed.gov/elementComment.aspx?elementName=Discipline Method for Firearms Incidents &amp;elementID=9546", "Click here to submit comment")</f>
        <v>Click here to submit comment</v>
      </c>
    </row>
    <row r="1296" spans="1:17" ht="60" x14ac:dyDescent="0.25">
      <c r="A1296" s="12" t="s">
        <v>7242</v>
      </c>
      <c r="B1296" s="12" t="s">
        <v>7256</v>
      </c>
      <c r="C1296" s="12" t="s">
        <v>7264</v>
      </c>
      <c r="D1296" s="12" t="s">
        <v>7176</v>
      </c>
      <c r="E1296" s="12" t="s">
        <v>2379</v>
      </c>
      <c r="F1296" s="12" t="s">
        <v>2380</v>
      </c>
      <c r="G1296" s="13" t="s">
        <v>6868</v>
      </c>
      <c r="H1296" s="12" t="s">
        <v>222</v>
      </c>
      <c r="I1296" s="12"/>
      <c r="J1296" s="12"/>
      <c r="K1296" s="12"/>
      <c r="L1296" s="12"/>
      <c r="M1296" s="12" t="s">
        <v>2381</v>
      </c>
      <c r="N1296" s="12"/>
      <c r="O1296" s="12" t="s">
        <v>2382</v>
      </c>
      <c r="P1296" s="12" t="str">
        <f>HYPERLINK("https://ceds.ed.gov/cedselementdetails.aspx?termid=9529")</f>
        <v>https://ceds.ed.gov/cedselementdetails.aspx?termid=9529</v>
      </c>
      <c r="Q1296" s="12" t="str">
        <f>HYPERLINK("https://ceds.ed.gov/elementComment.aspx?elementName=Discipline Method of Children with Disabilities &amp;elementID=9529", "Click here to submit comment")</f>
        <v>Click here to submit comment</v>
      </c>
    </row>
    <row r="1297" spans="1:17" ht="180" x14ac:dyDescent="0.25">
      <c r="A1297" s="12" t="s">
        <v>7242</v>
      </c>
      <c r="B1297" s="12" t="s">
        <v>7256</v>
      </c>
      <c r="C1297" s="12" t="s">
        <v>7264</v>
      </c>
      <c r="D1297" s="12" t="s">
        <v>7176</v>
      </c>
      <c r="E1297" s="12" t="s">
        <v>3264</v>
      </c>
      <c r="F1297" s="12" t="s">
        <v>3265</v>
      </c>
      <c r="G1297" s="13" t="s">
        <v>6951</v>
      </c>
      <c r="H1297" s="12" t="s">
        <v>222</v>
      </c>
      <c r="I1297" s="12"/>
      <c r="J1297" s="12"/>
      <c r="K1297" s="12"/>
      <c r="L1297" s="12"/>
      <c r="M1297" s="12" t="s">
        <v>3266</v>
      </c>
      <c r="N1297" s="12"/>
      <c r="O1297" s="12" t="s">
        <v>3267</v>
      </c>
      <c r="P1297" s="12" t="str">
        <f>HYPERLINK("https://ceds.ed.gov/cedselementdetails.aspx?termid=9547")</f>
        <v>https://ceds.ed.gov/cedselementdetails.aspx?termid=9547</v>
      </c>
      <c r="Q1297" s="12" t="str">
        <f>HYPERLINK("https://ceds.ed.gov/elementComment.aspx?elementName=IDEA Discipline Method for Firearms Incidents &amp;elementID=9547", "Click here to submit comment")</f>
        <v>Click here to submit comment</v>
      </c>
    </row>
    <row r="1298" spans="1:17" ht="75" x14ac:dyDescent="0.25">
      <c r="A1298" s="12" t="s">
        <v>7242</v>
      </c>
      <c r="B1298" s="12" t="s">
        <v>7256</v>
      </c>
      <c r="C1298" s="12" t="s">
        <v>7264</v>
      </c>
      <c r="D1298" s="12" t="s">
        <v>7172</v>
      </c>
      <c r="E1298" s="12" t="s">
        <v>2357</v>
      </c>
      <c r="F1298" s="12" t="s">
        <v>2358</v>
      </c>
      <c r="G1298" s="12" t="s">
        <v>6364</v>
      </c>
      <c r="H1298" s="12"/>
      <c r="I1298" s="12"/>
      <c r="J1298" s="12"/>
      <c r="K1298" s="12"/>
      <c r="L1298" s="12"/>
      <c r="M1298" s="12" t="s">
        <v>2360</v>
      </c>
      <c r="N1298" s="12"/>
      <c r="O1298" s="12" t="s">
        <v>2361</v>
      </c>
      <c r="P1298" s="12" t="str">
        <f>HYPERLINK("https://ceds.ed.gov/cedselementdetails.aspx?termid=10288")</f>
        <v>https://ceds.ed.gov/cedselementdetails.aspx?termid=10288</v>
      </c>
      <c r="Q1298" s="12" t="str">
        <f>HYPERLINK("https://ceds.ed.gov/elementComment.aspx?elementName=Disciplinary Action IEP Placement Meeting Indicator &amp;elementID=10288", "Click here to submit comment")</f>
        <v>Click here to submit comment</v>
      </c>
    </row>
    <row r="1299" spans="1:17" ht="135" x14ac:dyDescent="0.25">
      <c r="A1299" s="12" t="s">
        <v>7242</v>
      </c>
      <c r="B1299" s="12" t="s">
        <v>7256</v>
      </c>
      <c r="C1299" s="12" t="s">
        <v>7190</v>
      </c>
      <c r="D1299" s="12" t="s">
        <v>7172</v>
      </c>
      <c r="E1299" s="12" t="s">
        <v>3676</v>
      </c>
      <c r="F1299" s="12" t="s">
        <v>3677</v>
      </c>
      <c r="G1299" s="13" t="s">
        <v>6988</v>
      </c>
      <c r="H1299" s="12" t="s">
        <v>6577</v>
      </c>
      <c r="I1299" s="12"/>
      <c r="J1299" s="12"/>
      <c r="K1299" s="12"/>
      <c r="L1299" s="12"/>
      <c r="M1299" s="12" t="s">
        <v>3678</v>
      </c>
      <c r="N1299" s="12"/>
      <c r="O1299" s="12" t="s">
        <v>3679</v>
      </c>
      <c r="P1299" s="12" t="str">
        <f>HYPERLINK("https://ceds.ed.gov/cedselementdetails.aspx?termid=9316")</f>
        <v>https://ceds.ed.gov/cedselementdetails.aspx?termid=9316</v>
      </c>
      <c r="Q1299" s="12" t="str">
        <f>HYPERLINK("https://ceds.ed.gov/elementComment.aspx?elementName=Language Type &amp;elementID=9316", "Click here to submit comment")</f>
        <v>Click here to submit comment</v>
      </c>
    </row>
    <row r="1300" spans="1:17" ht="90" x14ac:dyDescent="0.25">
      <c r="A1300" s="12" t="s">
        <v>7242</v>
      </c>
      <c r="B1300" s="12" t="s">
        <v>7256</v>
      </c>
      <c r="C1300" s="12" t="s">
        <v>7190</v>
      </c>
      <c r="D1300" s="12" t="s">
        <v>7172</v>
      </c>
      <c r="E1300" s="12" t="s">
        <v>3631</v>
      </c>
      <c r="F1300" s="12" t="s">
        <v>3632</v>
      </c>
      <c r="G1300" s="14" t="s">
        <v>999</v>
      </c>
      <c r="H1300" s="12" t="s">
        <v>6577</v>
      </c>
      <c r="I1300" s="12" t="s">
        <v>98</v>
      </c>
      <c r="J1300" s="12"/>
      <c r="K1300" s="12"/>
      <c r="L1300" s="14" t="s">
        <v>1000</v>
      </c>
      <c r="M1300" s="12" t="s">
        <v>3633</v>
      </c>
      <c r="N1300" s="12"/>
      <c r="O1300" s="12" t="s">
        <v>3634</v>
      </c>
      <c r="P1300" s="12" t="str">
        <f>HYPERLINK("https://ceds.ed.gov/cedselementdetails.aspx?termid=9317")</f>
        <v>https://ceds.ed.gov/cedselementdetails.aspx?termid=9317</v>
      </c>
      <c r="Q1300" s="12" t="str">
        <f>HYPERLINK("https://ceds.ed.gov/elementComment.aspx?elementName=ISO 639-2 Language Code &amp;elementID=9317", "Click here to submit comment")</f>
        <v>Click here to submit comment</v>
      </c>
    </row>
    <row r="1301" spans="1:17" ht="105" x14ac:dyDescent="0.25">
      <c r="A1301" s="12" t="s">
        <v>7242</v>
      </c>
      <c r="B1301" s="12" t="s">
        <v>7256</v>
      </c>
      <c r="C1301" s="12" t="s">
        <v>7190</v>
      </c>
      <c r="D1301" s="12" t="s">
        <v>7172</v>
      </c>
      <c r="E1301" s="12" t="s">
        <v>3635</v>
      </c>
      <c r="F1301" s="12" t="s">
        <v>3632</v>
      </c>
      <c r="G1301" s="14" t="s">
        <v>3636</v>
      </c>
      <c r="H1301" s="12"/>
      <c r="I1301" s="12" t="s">
        <v>1498</v>
      </c>
      <c r="J1301" s="12"/>
      <c r="K1301" s="12"/>
      <c r="L1301" s="14" t="s">
        <v>3637</v>
      </c>
      <c r="M1301" s="12" t="s">
        <v>3638</v>
      </c>
      <c r="N1301" s="12"/>
      <c r="O1301" s="12" t="s">
        <v>3639</v>
      </c>
      <c r="P1301" s="12" t="str">
        <f>HYPERLINK("https://ceds.ed.gov/cedselementdetails.aspx?termid=10618")</f>
        <v>https://ceds.ed.gov/cedselementdetails.aspx?termid=10618</v>
      </c>
      <c r="Q1301" s="12" t="str">
        <f>HYPERLINK("https://ceds.ed.gov/elementComment.aspx?elementName=ISO 639-3 Language Code &amp;elementID=10618", "Click here to submit comment")</f>
        <v>Click here to submit comment</v>
      </c>
    </row>
    <row r="1302" spans="1:17" ht="409.5" x14ac:dyDescent="0.25">
      <c r="A1302" s="12" t="s">
        <v>7242</v>
      </c>
      <c r="B1302" s="12" t="s">
        <v>7256</v>
      </c>
      <c r="C1302" s="12" t="s">
        <v>7190</v>
      </c>
      <c r="D1302" s="12" t="s">
        <v>7172</v>
      </c>
      <c r="E1302" s="12" t="s">
        <v>3640</v>
      </c>
      <c r="F1302" s="12" t="s">
        <v>3641</v>
      </c>
      <c r="G1302" s="13" t="s">
        <v>6983</v>
      </c>
      <c r="H1302" s="12"/>
      <c r="I1302" s="12" t="s">
        <v>1498</v>
      </c>
      <c r="J1302" s="12"/>
      <c r="K1302" s="12"/>
      <c r="L1302" s="14" t="s">
        <v>3642</v>
      </c>
      <c r="M1302" s="12" t="s">
        <v>3643</v>
      </c>
      <c r="N1302" s="12"/>
      <c r="O1302" s="12" t="s">
        <v>3644</v>
      </c>
      <c r="P1302" s="12" t="str">
        <f>HYPERLINK("https://ceds.ed.gov/cedselementdetails.aspx?termid=10619")</f>
        <v>https://ceds.ed.gov/cedselementdetails.aspx?termid=10619</v>
      </c>
      <c r="Q1302" s="12" t="str">
        <f>HYPERLINK("https://ceds.ed.gov/elementComment.aspx?elementName=ISO 639-5 Language Family &amp;elementID=10619", "Click here to submit comment")</f>
        <v>Click here to submit comment</v>
      </c>
    </row>
    <row r="1303" spans="1:17" ht="90" x14ac:dyDescent="0.25">
      <c r="A1303" s="12" t="s">
        <v>7242</v>
      </c>
      <c r="B1303" s="12" t="s">
        <v>7256</v>
      </c>
      <c r="C1303" s="12" t="s">
        <v>7265</v>
      </c>
      <c r="D1303" s="12" t="s">
        <v>7172</v>
      </c>
      <c r="E1303" s="12" t="s">
        <v>2666</v>
      </c>
      <c r="F1303" s="12" t="s">
        <v>2667</v>
      </c>
      <c r="G1303" s="13" t="s">
        <v>6900</v>
      </c>
      <c r="H1303" s="12" t="s">
        <v>6369</v>
      </c>
      <c r="I1303" s="12"/>
      <c r="J1303" s="12"/>
      <c r="K1303" s="12"/>
      <c r="L1303" s="12"/>
      <c r="M1303" s="12" t="s">
        <v>2668</v>
      </c>
      <c r="N1303" s="12"/>
      <c r="O1303" s="12" t="s">
        <v>2669</v>
      </c>
      <c r="P1303" s="12" t="str">
        <f>HYPERLINK("https://ceds.ed.gov/cedselementdetails.aspx?termid=9092")</f>
        <v>https://ceds.ed.gov/cedselementdetails.aspx?termid=9092</v>
      </c>
      <c r="Q1303" s="12" t="str">
        <f>HYPERLINK("https://ceds.ed.gov/elementComment.aspx?elementName=Eligibility Status for School Food Service Programs &amp;elementID=9092", "Click here to submit comment")</f>
        <v>Click here to submit comment</v>
      </c>
    </row>
    <row r="1304" spans="1:17" ht="30" x14ac:dyDescent="0.25">
      <c r="A1304" s="12" t="s">
        <v>7242</v>
      </c>
      <c r="B1304" s="12" t="s">
        <v>7256</v>
      </c>
      <c r="C1304" s="12" t="s">
        <v>7265</v>
      </c>
      <c r="D1304" s="12" t="s">
        <v>7172</v>
      </c>
      <c r="E1304" s="12" t="s">
        <v>5959</v>
      </c>
      <c r="F1304" s="12" t="s">
        <v>5960</v>
      </c>
      <c r="G1304" s="12" t="s">
        <v>12</v>
      </c>
      <c r="H1304" s="12"/>
      <c r="I1304" s="12"/>
      <c r="J1304" s="12" t="s">
        <v>73</v>
      </c>
      <c r="K1304" s="12"/>
      <c r="L1304" s="12"/>
      <c r="M1304" s="12" t="s">
        <v>5961</v>
      </c>
      <c r="N1304" s="12"/>
      <c r="O1304" s="12" t="s">
        <v>5962</v>
      </c>
      <c r="P1304" s="12" t="str">
        <f>HYPERLINK("https://ceds.ed.gov/cedselementdetails.aspx?termid=10192")</f>
        <v>https://ceds.ed.gov/cedselementdetails.aspx?termid=10192</v>
      </c>
      <c r="Q1304" s="12" t="str">
        <f>HYPERLINK("https://ceds.ed.gov/elementComment.aspx?elementName=Status Start Date &amp;elementID=10192", "Click here to submit comment")</f>
        <v>Click here to submit comment</v>
      </c>
    </row>
    <row r="1305" spans="1:17" ht="30" x14ac:dyDescent="0.25">
      <c r="A1305" s="12" t="s">
        <v>7242</v>
      </c>
      <c r="B1305" s="12" t="s">
        <v>7256</v>
      </c>
      <c r="C1305" s="12" t="s">
        <v>7265</v>
      </c>
      <c r="D1305" s="12" t="s">
        <v>7172</v>
      </c>
      <c r="E1305" s="12" t="s">
        <v>5955</v>
      </c>
      <c r="F1305" s="12" t="s">
        <v>5956</v>
      </c>
      <c r="G1305" s="12" t="s">
        <v>12</v>
      </c>
      <c r="H1305" s="12"/>
      <c r="I1305" s="12"/>
      <c r="J1305" s="12" t="s">
        <v>73</v>
      </c>
      <c r="K1305" s="12"/>
      <c r="L1305" s="12"/>
      <c r="M1305" s="12" t="s">
        <v>5957</v>
      </c>
      <c r="N1305" s="12"/>
      <c r="O1305" s="12" t="s">
        <v>5958</v>
      </c>
      <c r="P1305" s="12" t="str">
        <f>HYPERLINK("https://ceds.ed.gov/cedselementdetails.aspx?termid=10193")</f>
        <v>https://ceds.ed.gov/cedselementdetails.aspx?termid=10193</v>
      </c>
      <c r="Q1305" s="12" t="str">
        <f>HYPERLINK("https://ceds.ed.gov/elementComment.aspx?elementName=Status End Date &amp;elementID=10193", "Click here to submit comment")</f>
        <v>Click here to submit comment</v>
      </c>
    </row>
    <row r="1306" spans="1:17" ht="105" x14ac:dyDescent="0.25">
      <c r="A1306" s="12" t="s">
        <v>7242</v>
      </c>
      <c r="B1306" s="12" t="s">
        <v>7256</v>
      </c>
      <c r="C1306" s="12" t="s">
        <v>7265</v>
      </c>
      <c r="D1306" s="12" t="s">
        <v>7172</v>
      </c>
      <c r="E1306" s="12" t="s">
        <v>2628</v>
      </c>
      <c r="F1306" s="12" t="s">
        <v>2629</v>
      </c>
      <c r="G1306" s="12" t="s">
        <v>6364</v>
      </c>
      <c r="H1306" s="12" t="s">
        <v>6438</v>
      </c>
      <c r="I1306" s="12"/>
      <c r="J1306" s="12"/>
      <c r="K1306" s="12"/>
      <c r="L1306" s="12"/>
      <c r="M1306" s="12" t="s">
        <v>2631</v>
      </c>
      <c r="N1306" s="12"/>
      <c r="O1306" s="12" t="s">
        <v>2632</v>
      </c>
      <c r="P1306" s="12" t="str">
        <f>HYPERLINK("https://ceds.ed.gov/cedselementdetails.aspx?termid=9086")</f>
        <v>https://ceds.ed.gov/cedselementdetails.aspx?termid=9086</v>
      </c>
      <c r="Q1306" s="12" t="str">
        <f>HYPERLINK("https://ceds.ed.gov/elementComment.aspx?elementName=Economic Disadvantage Status &amp;elementID=9086", "Click here to submit comment")</f>
        <v>Click here to submit comment</v>
      </c>
    </row>
    <row r="1307" spans="1:17" ht="300" x14ac:dyDescent="0.25">
      <c r="A1307" s="12" t="s">
        <v>7242</v>
      </c>
      <c r="B1307" s="12" t="s">
        <v>7256</v>
      </c>
      <c r="C1307" s="12" t="s">
        <v>7265</v>
      </c>
      <c r="D1307" s="12" t="s">
        <v>7172</v>
      </c>
      <c r="E1307" s="12" t="s">
        <v>4753</v>
      </c>
      <c r="F1307" s="12" t="s">
        <v>4754</v>
      </c>
      <c r="G1307" s="13" t="s">
        <v>7049</v>
      </c>
      <c r="H1307" s="12" t="s">
        <v>6393</v>
      </c>
      <c r="I1307" s="12"/>
      <c r="J1307" s="12"/>
      <c r="K1307" s="12"/>
      <c r="L1307" s="12"/>
      <c r="M1307" s="12" t="s">
        <v>4755</v>
      </c>
      <c r="N1307" s="12"/>
      <c r="O1307" s="12" t="s">
        <v>4756</v>
      </c>
      <c r="P1307" s="12" t="str">
        <f>HYPERLINK("https://ceds.ed.gov/cedselementdetails.aspx?termid=9325")</f>
        <v>https://ceds.ed.gov/cedselementdetails.aspx?termid=9325</v>
      </c>
      <c r="Q1307" s="12" t="str">
        <f>HYPERLINK("https://ceds.ed.gov/elementComment.aspx?elementName=Participation in School Food Service Programs &amp;elementID=9325", "Click here to submit comment")</f>
        <v>Click here to submit comment</v>
      </c>
    </row>
    <row r="1308" spans="1:17" ht="75" x14ac:dyDescent="0.25">
      <c r="A1308" s="12" t="s">
        <v>7242</v>
      </c>
      <c r="B1308" s="12" t="s">
        <v>7256</v>
      </c>
      <c r="C1308" s="12" t="s">
        <v>7265</v>
      </c>
      <c r="D1308" s="12" t="s">
        <v>7172</v>
      </c>
      <c r="E1308" s="12" t="s">
        <v>4531</v>
      </c>
      <c r="F1308" s="12" t="s">
        <v>4532</v>
      </c>
      <c r="G1308" s="12" t="s">
        <v>6364</v>
      </c>
      <c r="H1308" s="12" t="s">
        <v>222</v>
      </c>
      <c r="I1308" s="12" t="s">
        <v>1498</v>
      </c>
      <c r="J1308" s="12"/>
      <c r="K1308" s="12"/>
      <c r="L1308" s="12" t="s">
        <v>4533</v>
      </c>
      <c r="M1308" s="12" t="s">
        <v>4534</v>
      </c>
      <c r="N1308" s="12"/>
      <c r="O1308" s="12" t="s">
        <v>4535</v>
      </c>
      <c r="P1308" s="12" t="str">
        <f>HYPERLINK("https://ceds.ed.gov/cedselementdetails.aspx?termid=10635")</f>
        <v>https://ceds.ed.gov/cedselementdetails.aspx?termid=10635</v>
      </c>
      <c r="Q1308" s="12" t="str">
        <f>HYPERLINK("https://ceds.ed.gov/elementComment.aspx?elementName=National School Lunch Program Direct Certification Indicator &amp;elementID=10635", "Click here to submit comment")</f>
        <v>Click here to submit comment</v>
      </c>
    </row>
    <row r="1309" spans="1:17" ht="90" x14ac:dyDescent="0.25">
      <c r="A1309" s="12" t="s">
        <v>7242</v>
      </c>
      <c r="B1309" s="12" t="s">
        <v>7256</v>
      </c>
      <c r="C1309" s="12" t="s">
        <v>7266</v>
      </c>
      <c r="D1309" s="12" t="s">
        <v>7172</v>
      </c>
      <c r="E1309" s="12" t="s">
        <v>2186</v>
      </c>
      <c r="F1309" s="12" t="s">
        <v>2187</v>
      </c>
      <c r="G1309" s="12" t="s">
        <v>12</v>
      </c>
      <c r="H1309" s="12"/>
      <c r="I1309" s="12"/>
      <c r="J1309" s="12" t="s">
        <v>1554</v>
      </c>
      <c r="K1309" s="12"/>
      <c r="L1309" s="12" t="s">
        <v>2188</v>
      </c>
      <c r="M1309" s="12" t="s">
        <v>2189</v>
      </c>
      <c r="N1309" s="12"/>
      <c r="O1309" s="12" t="s">
        <v>2190</v>
      </c>
      <c r="P1309" s="12" t="str">
        <f>HYPERLINK("https://ceds.ed.gov/cedselementdetails.aspx?termid=10553")</f>
        <v>https://ceds.ed.gov/cedselementdetails.aspx?termid=10553</v>
      </c>
      <c r="Q1309" s="12" t="str">
        <f>HYPERLINK("https://ceds.ed.gov/elementComment.aspx?elementName=Credits Required &amp;elementID=10553", "Click here to submit comment")</f>
        <v>Click here to submit comment</v>
      </c>
    </row>
    <row r="1310" spans="1:17" ht="90" x14ac:dyDescent="0.25">
      <c r="A1310" s="12" t="s">
        <v>7242</v>
      </c>
      <c r="B1310" s="12" t="s">
        <v>7256</v>
      </c>
      <c r="C1310" s="12" t="s">
        <v>7267</v>
      </c>
      <c r="D1310" s="12" t="s">
        <v>7172</v>
      </c>
      <c r="E1310" s="12" t="s">
        <v>2186</v>
      </c>
      <c r="F1310" s="12" t="s">
        <v>2187</v>
      </c>
      <c r="G1310" s="12" t="s">
        <v>12</v>
      </c>
      <c r="H1310" s="12"/>
      <c r="I1310" s="12"/>
      <c r="J1310" s="12" t="s">
        <v>1554</v>
      </c>
      <c r="K1310" s="12"/>
      <c r="L1310" s="12" t="s">
        <v>2188</v>
      </c>
      <c r="M1310" s="12" t="s">
        <v>2189</v>
      </c>
      <c r="N1310" s="12"/>
      <c r="O1310" s="12" t="s">
        <v>2190</v>
      </c>
      <c r="P1310" s="12" t="str">
        <f>HYPERLINK("https://ceds.ed.gov/cedselementdetails.aspx?termid=10553")</f>
        <v>https://ceds.ed.gov/cedselementdetails.aspx?termid=10553</v>
      </c>
      <c r="Q1310" s="12" t="str">
        <f>HYPERLINK("https://ceds.ed.gov/elementComment.aspx?elementName=Credits Required &amp;elementID=10553", "Click here to submit comment")</f>
        <v>Click here to submit comment</v>
      </c>
    </row>
    <row r="1311" spans="1:17" ht="409.5" x14ac:dyDescent="0.25">
      <c r="A1311" s="12" t="s">
        <v>7242</v>
      </c>
      <c r="B1311" s="12" t="s">
        <v>7256</v>
      </c>
      <c r="C1311" s="12" t="s">
        <v>7267</v>
      </c>
      <c r="D1311" s="12" t="s">
        <v>7172</v>
      </c>
      <c r="E1311" s="12" t="s">
        <v>5560</v>
      </c>
      <c r="F1311" s="12" t="s">
        <v>5561</v>
      </c>
      <c r="G1311" s="13" t="s">
        <v>7102</v>
      </c>
      <c r="H1311" s="12"/>
      <c r="I1311" s="12"/>
      <c r="J1311" s="12" t="s">
        <v>5562</v>
      </c>
      <c r="K1311" s="12"/>
      <c r="L1311" s="12" t="s">
        <v>5563</v>
      </c>
      <c r="M1311" s="12" t="s">
        <v>5564</v>
      </c>
      <c r="N1311" s="12" t="s">
        <v>5565</v>
      </c>
      <c r="O1311" s="12" t="s">
        <v>5566</v>
      </c>
      <c r="P1311" s="12" t="str">
        <f>HYPERLINK("https://ceds.ed.gov/cedselementdetails.aspx?termid=10491")</f>
        <v>https://ceds.ed.gov/cedselementdetails.aspx?termid=10491</v>
      </c>
      <c r="Q1311" s="12" t="str">
        <f>HYPERLINK("https://ceds.ed.gov/elementComment.aspx?elementName=School Courses for the Exchange of Data Course Subject Area &amp;elementID=10491", "Click here to submit comment")</f>
        <v>Click here to submit comment</v>
      </c>
    </row>
    <row r="1312" spans="1:17" ht="105" x14ac:dyDescent="0.25">
      <c r="A1312" s="18" t="s">
        <v>7242</v>
      </c>
      <c r="B1312" s="18" t="s">
        <v>7256</v>
      </c>
      <c r="C1312" s="18" t="s">
        <v>7268</v>
      </c>
      <c r="D1312" s="18" t="s">
        <v>7172</v>
      </c>
      <c r="E1312" s="18" t="s">
        <v>2036</v>
      </c>
      <c r="F1312" s="18" t="s">
        <v>2037</v>
      </c>
      <c r="G1312" s="18" t="s">
        <v>12</v>
      </c>
      <c r="H1312" s="18" t="s">
        <v>6479</v>
      </c>
      <c r="I1312" s="18"/>
      <c r="J1312" s="18" t="s">
        <v>142</v>
      </c>
      <c r="K1312" s="18"/>
      <c r="L1312" s="12" t="s">
        <v>143</v>
      </c>
      <c r="M1312" s="18" t="s">
        <v>2038</v>
      </c>
      <c r="N1312" s="18"/>
      <c r="O1312" s="18" t="s">
        <v>2039</v>
      </c>
      <c r="P1312" s="18" t="str">
        <f>HYPERLINK("https://ceds.ed.gov/cedselementdetails.aspx?termid=9055")</f>
        <v>https://ceds.ed.gov/cedselementdetails.aspx?termid=9055</v>
      </c>
      <c r="Q1312" s="18" t="str">
        <f>HYPERLINK("https://ceds.ed.gov/elementComment.aspx?elementName=Course Identifier &amp;elementID=9055", "Click here to submit comment")</f>
        <v>Click here to submit comment</v>
      </c>
    </row>
    <row r="1313" spans="1:17" x14ac:dyDescent="0.25">
      <c r="A1313" s="18"/>
      <c r="B1313" s="18"/>
      <c r="C1313" s="18"/>
      <c r="D1313" s="18"/>
      <c r="E1313" s="18"/>
      <c r="F1313" s="18"/>
      <c r="G1313" s="18"/>
      <c r="H1313" s="18"/>
      <c r="I1313" s="18"/>
      <c r="J1313" s="18"/>
      <c r="K1313" s="18"/>
      <c r="L1313" s="12"/>
      <c r="M1313" s="18"/>
      <c r="N1313" s="18"/>
      <c r="O1313" s="18"/>
      <c r="P1313" s="18"/>
      <c r="Q1313" s="18"/>
    </row>
    <row r="1314" spans="1:17" ht="90" x14ac:dyDescent="0.25">
      <c r="A1314" s="18"/>
      <c r="B1314" s="18"/>
      <c r="C1314" s="18"/>
      <c r="D1314" s="18"/>
      <c r="E1314" s="18"/>
      <c r="F1314" s="18"/>
      <c r="G1314" s="18"/>
      <c r="H1314" s="18"/>
      <c r="I1314" s="18"/>
      <c r="J1314" s="18"/>
      <c r="K1314" s="18"/>
      <c r="L1314" s="12" t="s">
        <v>144</v>
      </c>
      <c r="M1314" s="18"/>
      <c r="N1314" s="18"/>
      <c r="O1314" s="18"/>
      <c r="P1314" s="18"/>
      <c r="Q1314" s="18"/>
    </row>
    <row r="1315" spans="1:17" ht="195" x14ac:dyDescent="0.25">
      <c r="A1315" s="12" t="s">
        <v>7242</v>
      </c>
      <c r="B1315" s="12" t="s">
        <v>7256</v>
      </c>
      <c r="C1315" s="12" t="s">
        <v>7268</v>
      </c>
      <c r="D1315" s="12" t="s">
        <v>7172</v>
      </c>
      <c r="E1315" s="12" t="s">
        <v>1984</v>
      </c>
      <c r="F1315" s="12" t="s">
        <v>1985</v>
      </c>
      <c r="G1315" s="13" t="s">
        <v>6832</v>
      </c>
      <c r="H1315" s="12" t="s">
        <v>6429</v>
      </c>
      <c r="I1315" s="12"/>
      <c r="J1315" s="12"/>
      <c r="K1315" s="12"/>
      <c r="L1315" s="12"/>
      <c r="M1315" s="12" t="s">
        <v>1986</v>
      </c>
      <c r="N1315" s="12"/>
      <c r="O1315" s="12" t="s">
        <v>1987</v>
      </c>
      <c r="P1315" s="12" t="str">
        <f>HYPERLINK("https://ceds.ed.gov/cedselementdetails.aspx?termid=9056")</f>
        <v>https://ceds.ed.gov/cedselementdetails.aspx?termid=9056</v>
      </c>
      <c r="Q1315" s="12" t="str">
        <f>HYPERLINK("https://ceds.ed.gov/elementComment.aspx?elementName=Course Code System &amp;elementID=9056", "Click here to submit comment")</f>
        <v>Click here to submit comment</v>
      </c>
    </row>
    <row r="1316" spans="1:17" ht="409.5" x14ac:dyDescent="0.25">
      <c r="A1316" s="12" t="s">
        <v>7242</v>
      </c>
      <c r="B1316" s="12" t="s">
        <v>7256</v>
      </c>
      <c r="C1316" s="12" t="s">
        <v>7268</v>
      </c>
      <c r="D1316" s="12" t="s">
        <v>7172</v>
      </c>
      <c r="E1316" s="12" t="s">
        <v>5560</v>
      </c>
      <c r="F1316" s="12" t="s">
        <v>5561</v>
      </c>
      <c r="G1316" s="13" t="s">
        <v>7102</v>
      </c>
      <c r="H1316" s="12"/>
      <c r="I1316" s="12"/>
      <c r="J1316" s="12" t="s">
        <v>5562</v>
      </c>
      <c r="K1316" s="12"/>
      <c r="L1316" s="12" t="s">
        <v>5563</v>
      </c>
      <c r="M1316" s="12" t="s">
        <v>5564</v>
      </c>
      <c r="N1316" s="12" t="s">
        <v>5565</v>
      </c>
      <c r="O1316" s="12" t="s">
        <v>5566</v>
      </c>
      <c r="P1316" s="12" t="str">
        <f>HYPERLINK("https://ceds.ed.gov/cedselementdetails.aspx?termid=10491")</f>
        <v>https://ceds.ed.gov/cedselementdetails.aspx?termid=10491</v>
      </c>
      <c r="Q1316" s="12" t="str">
        <f>HYPERLINK("https://ceds.ed.gov/elementComment.aspx?elementName=School Courses for the Exchange of Data Course Subject Area &amp;elementID=10491", "Click here to submit comment")</f>
        <v>Click here to submit comment</v>
      </c>
    </row>
    <row r="1317" spans="1:17" ht="120" x14ac:dyDescent="0.25">
      <c r="A1317" s="12" t="s">
        <v>7242</v>
      </c>
      <c r="B1317" s="12" t="s">
        <v>7256</v>
      </c>
      <c r="C1317" s="12" t="s">
        <v>7268</v>
      </c>
      <c r="D1317" s="12" t="s">
        <v>7172</v>
      </c>
      <c r="E1317" s="12" t="s">
        <v>5574</v>
      </c>
      <c r="F1317" s="12" t="s">
        <v>5575</v>
      </c>
      <c r="G1317" s="12" t="s">
        <v>12</v>
      </c>
      <c r="H1317" s="12" t="s">
        <v>6429</v>
      </c>
      <c r="I1317" s="12"/>
      <c r="J1317" s="12" t="s">
        <v>2143</v>
      </c>
      <c r="K1317" s="12"/>
      <c r="L1317" s="12" t="s">
        <v>5576</v>
      </c>
      <c r="M1317" s="12" t="s">
        <v>5577</v>
      </c>
      <c r="N1317" s="12" t="s">
        <v>5578</v>
      </c>
      <c r="O1317" s="12" t="s">
        <v>5579</v>
      </c>
      <c r="P1317" s="12" t="str">
        <f>HYPERLINK("https://ceds.ed.gov/cedselementdetails.aspx?termid=9250")</f>
        <v>https://ceds.ed.gov/cedselementdetails.aspx?termid=9250</v>
      </c>
      <c r="Q1317" s="12" t="str">
        <f>HYPERLINK("https://ceds.ed.gov/elementComment.aspx?elementName=School Courses for the Exchange of Data Sequence of Course &amp;elementID=9250", "Click here to submit comment")</f>
        <v>Click here to submit comment</v>
      </c>
    </row>
    <row r="1318" spans="1:17" ht="120" x14ac:dyDescent="0.25">
      <c r="A1318" s="12" t="s">
        <v>7242</v>
      </c>
      <c r="B1318" s="12" t="s">
        <v>7256</v>
      </c>
      <c r="C1318" s="12" t="s">
        <v>7268</v>
      </c>
      <c r="D1318" s="12" t="s">
        <v>7172</v>
      </c>
      <c r="E1318" s="12" t="s">
        <v>5546</v>
      </c>
      <c r="F1318" s="12" t="s">
        <v>5547</v>
      </c>
      <c r="G1318" s="14" t="s">
        <v>5548</v>
      </c>
      <c r="H1318" s="12"/>
      <c r="I1318" s="12"/>
      <c r="J1318" s="12" t="s">
        <v>5549</v>
      </c>
      <c r="K1318" s="12"/>
      <c r="L1318" s="12" t="s">
        <v>5550</v>
      </c>
      <c r="M1318" s="12" t="s">
        <v>5551</v>
      </c>
      <c r="N1318" s="12" t="s">
        <v>5552</v>
      </c>
      <c r="O1318" s="12" t="s">
        <v>5553</v>
      </c>
      <c r="P1318" s="12" t="str">
        <f>HYPERLINK("https://ceds.ed.gov/cedselementdetails.aspx?termid=10490")</f>
        <v>https://ceds.ed.gov/cedselementdetails.aspx?termid=10490</v>
      </c>
      <c r="Q1318" s="12" t="str">
        <f>HYPERLINK("https://ceds.ed.gov/elementComment.aspx?elementName=School Courses for the Exchange of Data Course Code &amp;elementID=10490", "Click here to submit comment")</f>
        <v>Click here to submit comment</v>
      </c>
    </row>
    <row r="1319" spans="1:17" ht="105" x14ac:dyDescent="0.25">
      <c r="A1319" s="12" t="s">
        <v>7242</v>
      </c>
      <c r="B1319" s="12" t="s">
        <v>7256</v>
      </c>
      <c r="C1319" s="12" t="s">
        <v>7268</v>
      </c>
      <c r="D1319" s="12" t="s">
        <v>7172</v>
      </c>
      <c r="E1319" s="12" t="s">
        <v>5554</v>
      </c>
      <c r="F1319" s="12" t="s">
        <v>5555</v>
      </c>
      <c r="G1319" s="13" t="s">
        <v>7101</v>
      </c>
      <c r="H1319" s="12"/>
      <c r="I1319" s="12"/>
      <c r="J1319" s="12" t="s">
        <v>5556</v>
      </c>
      <c r="K1319" s="12"/>
      <c r="L1319" s="12"/>
      <c r="M1319" s="12" t="s">
        <v>5557</v>
      </c>
      <c r="N1319" s="12" t="s">
        <v>5558</v>
      </c>
      <c r="O1319" s="12" t="s">
        <v>5559</v>
      </c>
      <c r="P1319" s="12" t="str">
        <f>HYPERLINK("https://ceds.ed.gov/cedselementdetails.aspx?termid=10488")</f>
        <v>https://ceds.ed.gov/cedselementdetails.aspx?termid=10488</v>
      </c>
      <c r="Q1319" s="12" t="str">
        <f>HYPERLINK("https://ceds.ed.gov/elementComment.aspx?elementName=School Courses for the Exchange of Data Course Level &amp;elementID=10488", "Click here to submit comment")</f>
        <v>Click here to submit comment</v>
      </c>
    </row>
    <row r="1320" spans="1:17" ht="105" x14ac:dyDescent="0.25">
      <c r="A1320" s="12" t="s">
        <v>7242</v>
      </c>
      <c r="B1320" s="12" t="s">
        <v>7256</v>
      </c>
      <c r="C1320" s="12" t="s">
        <v>7268</v>
      </c>
      <c r="D1320" s="12" t="s">
        <v>7172</v>
      </c>
      <c r="E1320" s="12" t="s">
        <v>5567</v>
      </c>
      <c r="F1320" s="12" t="s">
        <v>5568</v>
      </c>
      <c r="G1320" s="12" t="s">
        <v>12</v>
      </c>
      <c r="H1320" s="12"/>
      <c r="I1320" s="12"/>
      <c r="J1320" s="12" t="s">
        <v>5569</v>
      </c>
      <c r="K1320" s="12"/>
      <c r="L1320" s="12" t="s">
        <v>5570</v>
      </c>
      <c r="M1320" s="12" t="s">
        <v>5571</v>
      </c>
      <c r="N1320" s="12" t="s">
        <v>5572</v>
      </c>
      <c r="O1320" s="12" t="s">
        <v>5573</v>
      </c>
      <c r="P1320" s="12" t="str">
        <f>HYPERLINK("https://ceds.ed.gov/cedselementdetails.aspx?termid=10452")</f>
        <v>https://ceds.ed.gov/cedselementdetails.aspx?termid=10452</v>
      </c>
      <c r="Q1320" s="12" t="str">
        <f>HYPERLINK("https://ceds.ed.gov/elementComment.aspx?elementName=School Courses for the Exchange of Data Grade Span &amp;elementID=10452", "Click here to submit comment")</f>
        <v>Click here to submit comment</v>
      </c>
    </row>
    <row r="1321" spans="1:17" ht="120" x14ac:dyDescent="0.25">
      <c r="A1321" s="12" t="s">
        <v>7242</v>
      </c>
      <c r="B1321" s="12" t="s">
        <v>7256</v>
      </c>
      <c r="C1321" s="12" t="s">
        <v>7268</v>
      </c>
      <c r="D1321" s="12" t="s">
        <v>7172</v>
      </c>
      <c r="E1321" s="12" t="s">
        <v>3183</v>
      </c>
      <c r="F1321" s="12" t="s">
        <v>3184</v>
      </c>
      <c r="G1321" s="12" t="s">
        <v>6364</v>
      </c>
      <c r="H1321" s="12" t="s">
        <v>6429</v>
      </c>
      <c r="I1321" s="12"/>
      <c r="J1321" s="12"/>
      <c r="K1321" s="12"/>
      <c r="L1321" s="12"/>
      <c r="M1321" s="12" t="s">
        <v>3185</v>
      </c>
      <c r="N1321" s="12"/>
      <c r="O1321" s="12" t="s">
        <v>3186</v>
      </c>
      <c r="P1321" s="12" t="str">
        <f>HYPERLINK("https://ceds.ed.gov/cedselementdetails.aspx?termid=9137")</f>
        <v>https://ceds.ed.gov/cedselementdetails.aspx?termid=9137</v>
      </c>
      <c r="Q1321" s="12" t="str">
        <f>HYPERLINK("https://ceds.ed.gov/elementComment.aspx?elementName=High School Course Requirement &amp;elementID=9137", "Click here to submit comment")</f>
        <v>Click here to submit comment</v>
      </c>
    </row>
    <row r="1322" spans="1:17" ht="105" x14ac:dyDescent="0.25">
      <c r="A1322" s="12" t="s">
        <v>7242</v>
      </c>
      <c r="B1322" s="12" t="s">
        <v>7256</v>
      </c>
      <c r="C1322" s="12" t="s">
        <v>7268</v>
      </c>
      <c r="D1322" s="12" t="s">
        <v>7172</v>
      </c>
      <c r="E1322" s="12" t="s">
        <v>2000</v>
      </c>
      <c r="F1322" s="12" t="s">
        <v>2001</v>
      </c>
      <c r="G1322" s="12" t="s">
        <v>12</v>
      </c>
      <c r="H1322" s="12" t="s">
        <v>25</v>
      </c>
      <c r="I1322" s="12"/>
      <c r="J1322" s="12" t="s">
        <v>1554</v>
      </c>
      <c r="K1322" s="12"/>
      <c r="L1322" s="12" t="s">
        <v>2002</v>
      </c>
      <c r="M1322" s="12" t="s">
        <v>2003</v>
      </c>
      <c r="N1322" s="12"/>
      <c r="O1322" s="12" t="s">
        <v>2004</v>
      </c>
      <c r="P1322" s="12" t="str">
        <f>HYPERLINK("https://ceds.ed.gov/cedselementdetails.aspx?termid=9058")</f>
        <v>https://ceds.ed.gov/cedselementdetails.aspx?termid=9058</v>
      </c>
      <c r="Q1322" s="12" t="str">
        <f>HYPERLINK("https://ceds.ed.gov/elementComment.aspx?elementName=Course Credit Value &amp;elementID=9058", "Click here to submit comment")</f>
        <v>Click here to submit comment</v>
      </c>
    </row>
    <row r="1323" spans="1:17" ht="330" x14ac:dyDescent="0.25">
      <c r="A1323" s="12" t="s">
        <v>7242</v>
      </c>
      <c r="B1323" s="12" t="s">
        <v>7256</v>
      </c>
      <c r="C1323" s="12" t="s">
        <v>7268</v>
      </c>
      <c r="D1323" s="12" t="s">
        <v>7172</v>
      </c>
      <c r="E1323" s="12" t="s">
        <v>3094</v>
      </c>
      <c r="F1323" s="12" t="s">
        <v>3095</v>
      </c>
      <c r="G1323" s="13" t="s">
        <v>6908</v>
      </c>
      <c r="H1323" s="12" t="s">
        <v>6369</v>
      </c>
      <c r="I1323" s="12"/>
      <c r="J1323" s="12"/>
      <c r="K1323" s="12"/>
      <c r="L1323" s="12"/>
      <c r="M1323" s="12" t="s">
        <v>3096</v>
      </c>
      <c r="N1323" s="12"/>
      <c r="O1323" s="12" t="s">
        <v>3097</v>
      </c>
      <c r="P1323" s="12" t="str">
        <f>HYPERLINK("https://ceds.ed.gov/cedselementdetails.aspx?termid=9125")</f>
        <v>https://ceds.ed.gov/cedselementdetails.aspx?termid=9125</v>
      </c>
      <c r="Q1323" s="12" t="str">
        <f>HYPERLINK("https://ceds.ed.gov/elementComment.aspx?elementName=Grade Level When Course Taken &amp;elementID=9125", "Click here to submit comment")</f>
        <v>Click here to submit comment</v>
      </c>
    </row>
    <row r="1324" spans="1:17" ht="409.5" x14ac:dyDescent="0.25">
      <c r="A1324" s="12" t="s">
        <v>7242</v>
      </c>
      <c r="B1324" s="12" t="s">
        <v>7256</v>
      </c>
      <c r="C1324" s="12" t="s">
        <v>7269</v>
      </c>
      <c r="D1324" s="12" t="s">
        <v>7172</v>
      </c>
      <c r="E1324" s="12" t="s">
        <v>3244</v>
      </c>
      <c r="F1324" s="12" t="s">
        <v>3245</v>
      </c>
      <c r="G1324" s="12" t="s">
        <v>6364</v>
      </c>
      <c r="H1324" s="12" t="s">
        <v>6565</v>
      </c>
      <c r="I1324" s="12"/>
      <c r="J1324" s="12"/>
      <c r="K1324" s="12"/>
      <c r="L1324" s="12"/>
      <c r="M1324" s="12" t="s">
        <v>3246</v>
      </c>
      <c r="N1324" s="12"/>
      <c r="O1324" s="12" t="s">
        <v>3247</v>
      </c>
      <c r="P1324" s="12" t="str">
        <f>HYPERLINK("https://ceds.ed.gov/cedselementdetails.aspx?termid=9149")</f>
        <v>https://ceds.ed.gov/cedselementdetails.aspx?termid=9149</v>
      </c>
      <c r="Q1324" s="12" t="str">
        <f>HYPERLINK("https://ceds.ed.gov/elementComment.aspx?elementName=Homelessness Status &amp;elementID=9149", "Click here to submit comment")</f>
        <v>Click here to submit comment</v>
      </c>
    </row>
    <row r="1325" spans="1:17" ht="30" x14ac:dyDescent="0.25">
      <c r="A1325" s="12" t="s">
        <v>7242</v>
      </c>
      <c r="B1325" s="12" t="s">
        <v>7256</v>
      </c>
      <c r="C1325" s="12" t="s">
        <v>7269</v>
      </c>
      <c r="D1325" s="12" t="s">
        <v>7172</v>
      </c>
      <c r="E1325" s="12" t="s">
        <v>5959</v>
      </c>
      <c r="F1325" s="12" t="s">
        <v>5960</v>
      </c>
      <c r="G1325" s="12" t="s">
        <v>12</v>
      </c>
      <c r="H1325" s="12"/>
      <c r="I1325" s="12"/>
      <c r="J1325" s="12" t="s">
        <v>73</v>
      </c>
      <c r="K1325" s="12"/>
      <c r="L1325" s="12"/>
      <c r="M1325" s="12" t="s">
        <v>5961</v>
      </c>
      <c r="N1325" s="12"/>
      <c r="O1325" s="12" t="s">
        <v>5962</v>
      </c>
      <c r="P1325" s="12" t="str">
        <f>HYPERLINK("https://ceds.ed.gov/cedselementdetails.aspx?termid=10192")</f>
        <v>https://ceds.ed.gov/cedselementdetails.aspx?termid=10192</v>
      </c>
      <c r="Q1325" s="12" t="str">
        <f>HYPERLINK("https://ceds.ed.gov/elementComment.aspx?elementName=Status Start Date &amp;elementID=10192", "Click here to submit comment")</f>
        <v>Click here to submit comment</v>
      </c>
    </row>
    <row r="1326" spans="1:17" ht="30" x14ac:dyDescent="0.25">
      <c r="A1326" s="12" t="s">
        <v>7242</v>
      </c>
      <c r="B1326" s="12" t="s">
        <v>7256</v>
      </c>
      <c r="C1326" s="12" t="s">
        <v>7269</v>
      </c>
      <c r="D1326" s="12" t="s">
        <v>7172</v>
      </c>
      <c r="E1326" s="12" t="s">
        <v>5955</v>
      </c>
      <c r="F1326" s="12" t="s">
        <v>5956</v>
      </c>
      <c r="G1326" s="12" t="s">
        <v>12</v>
      </c>
      <c r="H1326" s="12"/>
      <c r="I1326" s="12"/>
      <c r="J1326" s="12" t="s">
        <v>73</v>
      </c>
      <c r="K1326" s="12"/>
      <c r="L1326" s="12"/>
      <c r="M1326" s="12" t="s">
        <v>5957</v>
      </c>
      <c r="N1326" s="12"/>
      <c r="O1326" s="12" t="s">
        <v>5958</v>
      </c>
      <c r="P1326" s="12" t="str">
        <f>HYPERLINK("https://ceds.ed.gov/cedselementdetails.aspx?termid=10193")</f>
        <v>https://ceds.ed.gov/cedselementdetails.aspx?termid=10193</v>
      </c>
      <c r="Q1326" s="12" t="str">
        <f>HYPERLINK("https://ceds.ed.gov/elementComment.aspx?elementName=Status End Date &amp;elementID=10193", "Click here to submit comment")</f>
        <v>Click here to submit comment</v>
      </c>
    </row>
    <row r="1327" spans="1:17" ht="75" x14ac:dyDescent="0.25">
      <c r="A1327" s="12" t="s">
        <v>7242</v>
      </c>
      <c r="B1327" s="12" t="s">
        <v>7256</v>
      </c>
      <c r="C1327" s="12" t="s">
        <v>7269</v>
      </c>
      <c r="D1327" s="12" t="s">
        <v>7172</v>
      </c>
      <c r="E1327" s="12" t="s">
        <v>3231</v>
      </c>
      <c r="F1327" s="12" t="s">
        <v>3232</v>
      </c>
      <c r="G1327" s="13" t="s">
        <v>6950</v>
      </c>
      <c r="H1327" s="12" t="s">
        <v>222</v>
      </c>
      <c r="I1327" s="12"/>
      <c r="J1327" s="12"/>
      <c r="K1327" s="12"/>
      <c r="L1327" s="12"/>
      <c r="M1327" s="12" t="s">
        <v>3234</v>
      </c>
      <c r="N1327" s="12"/>
      <c r="O1327" s="12" t="s">
        <v>3235</v>
      </c>
      <c r="P1327" s="12" t="str">
        <f>HYPERLINK("https://ceds.ed.gov/cedselementdetails.aspx?termid=9146")</f>
        <v>https://ceds.ed.gov/cedselementdetails.aspx?termid=9146</v>
      </c>
      <c r="Q1327" s="12" t="str">
        <f>HYPERLINK("https://ceds.ed.gov/elementComment.aspx?elementName=Homeless Primary Nighttime Residence &amp;elementID=9146", "Click here to submit comment")</f>
        <v>Click here to submit comment</v>
      </c>
    </row>
    <row r="1328" spans="1:17" ht="45" x14ac:dyDescent="0.25">
      <c r="A1328" s="12" t="s">
        <v>7242</v>
      </c>
      <c r="B1328" s="12" t="s">
        <v>7256</v>
      </c>
      <c r="C1328" s="12" t="s">
        <v>7269</v>
      </c>
      <c r="D1328" s="12" t="s">
        <v>7172</v>
      </c>
      <c r="E1328" s="12" t="s">
        <v>3236</v>
      </c>
      <c r="F1328" s="12" t="s">
        <v>3237</v>
      </c>
      <c r="G1328" s="12" t="s">
        <v>6364</v>
      </c>
      <c r="H1328" s="12"/>
      <c r="I1328" s="12"/>
      <c r="J1328" s="12"/>
      <c r="K1328" s="12"/>
      <c r="L1328" s="12"/>
      <c r="M1328" s="12" t="s">
        <v>3238</v>
      </c>
      <c r="N1328" s="12"/>
      <c r="O1328" s="12" t="s">
        <v>3239</v>
      </c>
      <c r="P1328" s="12" t="str">
        <f>HYPERLINK("https://ceds.ed.gov/cedselementdetails.aspx?termid=9147")</f>
        <v>https://ceds.ed.gov/cedselementdetails.aspx?termid=9147</v>
      </c>
      <c r="Q1328" s="12" t="str">
        <f>HYPERLINK("https://ceds.ed.gov/elementComment.aspx?elementName=Homeless Serviced Indicator &amp;elementID=9147", "Click here to submit comment")</f>
        <v>Click here to submit comment</v>
      </c>
    </row>
    <row r="1329" spans="1:17" ht="45" x14ac:dyDescent="0.25">
      <c r="A1329" s="12" t="s">
        <v>7242</v>
      </c>
      <c r="B1329" s="12" t="s">
        <v>7256</v>
      </c>
      <c r="C1329" s="12" t="s">
        <v>7269</v>
      </c>
      <c r="D1329" s="12" t="s">
        <v>7172</v>
      </c>
      <c r="E1329" s="12" t="s">
        <v>3240</v>
      </c>
      <c r="F1329" s="12" t="s">
        <v>3241</v>
      </c>
      <c r="G1329" s="12" t="s">
        <v>6364</v>
      </c>
      <c r="H1329" s="12" t="s">
        <v>222</v>
      </c>
      <c r="I1329" s="12"/>
      <c r="J1329" s="12"/>
      <c r="K1329" s="12"/>
      <c r="L1329" s="12"/>
      <c r="M1329" s="12" t="s">
        <v>3242</v>
      </c>
      <c r="N1329" s="12"/>
      <c r="O1329" s="12" t="s">
        <v>3243</v>
      </c>
      <c r="P1329" s="12" t="str">
        <f>HYPERLINK("https://ceds.ed.gov/cedselementdetails.aspx?termid=9148")</f>
        <v>https://ceds.ed.gov/cedselementdetails.aspx?termid=9148</v>
      </c>
      <c r="Q1329" s="12" t="str">
        <f>HYPERLINK("https://ceds.ed.gov/elementComment.aspx?elementName=Homeless Unaccompanied Youth Status &amp;elementID=9148", "Click here to submit comment")</f>
        <v>Click here to submit comment</v>
      </c>
    </row>
    <row r="1330" spans="1:17" ht="120" x14ac:dyDescent="0.25">
      <c r="A1330" s="12" t="s">
        <v>7242</v>
      </c>
      <c r="B1330" s="12" t="s">
        <v>7256</v>
      </c>
      <c r="C1330" s="12" t="s">
        <v>7270</v>
      </c>
      <c r="D1330" s="12" t="s">
        <v>7172</v>
      </c>
      <c r="E1330" s="12" t="s">
        <v>6183</v>
      </c>
      <c r="F1330" s="12" t="s">
        <v>6184</v>
      </c>
      <c r="G1330" s="12" t="s">
        <v>6364</v>
      </c>
      <c r="H1330" s="12" t="s">
        <v>6369</v>
      </c>
      <c r="I1330" s="12"/>
      <c r="J1330" s="12"/>
      <c r="K1330" s="12"/>
      <c r="L1330" s="12"/>
      <c r="M1330" s="12" t="s">
        <v>6185</v>
      </c>
      <c r="N1330" s="12"/>
      <c r="O1330" s="12" t="s">
        <v>6186</v>
      </c>
      <c r="P1330" s="12" t="str">
        <f>HYPERLINK("https://ceds.ed.gov/cedselementdetails.aspx?termid=9291")</f>
        <v>https://ceds.ed.gov/cedselementdetails.aspx?termid=9291</v>
      </c>
      <c r="Q1330" s="12" t="str">
        <f>HYPERLINK("https://ceds.ed.gov/elementComment.aspx?elementName=Title III Immigrant Status &amp;elementID=9291", "Click here to submit comment")</f>
        <v>Click here to submit comment</v>
      </c>
    </row>
    <row r="1331" spans="1:17" ht="90" x14ac:dyDescent="0.25">
      <c r="A1331" s="12" t="s">
        <v>7242</v>
      </c>
      <c r="B1331" s="12" t="s">
        <v>7256</v>
      </c>
      <c r="C1331" s="12" t="s">
        <v>7270</v>
      </c>
      <c r="D1331" s="12" t="s">
        <v>7172</v>
      </c>
      <c r="E1331" s="12" t="s">
        <v>6179</v>
      </c>
      <c r="F1331" s="12" t="s">
        <v>6180</v>
      </c>
      <c r="G1331" s="12" t="s">
        <v>6364</v>
      </c>
      <c r="H1331" s="12" t="s">
        <v>222</v>
      </c>
      <c r="I1331" s="12"/>
      <c r="J1331" s="12"/>
      <c r="K1331" s="12"/>
      <c r="L1331" s="12"/>
      <c r="M1331" s="12" t="s">
        <v>6181</v>
      </c>
      <c r="N1331" s="12"/>
      <c r="O1331" s="12" t="s">
        <v>6182</v>
      </c>
      <c r="P1331" s="12" t="str">
        <f>HYPERLINK("https://ceds.ed.gov/cedselementdetails.aspx?termid=9290")</f>
        <v>https://ceds.ed.gov/cedselementdetails.aspx?termid=9290</v>
      </c>
      <c r="Q1331" s="12" t="str">
        <f>HYPERLINK("https://ceds.ed.gov/elementComment.aspx?elementName=Title III Immigrant Participation Status &amp;elementID=9290", "Click here to submit comment")</f>
        <v>Click here to submit comment</v>
      </c>
    </row>
    <row r="1332" spans="1:17" ht="30" x14ac:dyDescent="0.25">
      <c r="A1332" s="12" t="s">
        <v>7242</v>
      </c>
      <c r="B1332" s="12" t="s">
        <v>7256</v>
      </c>
      <c r="C1332" s="12" t="s">
        <v>7270</v>
      </c>
      <c r="D1332" s="12" t="s">
        <v>7172</v>
      </c>
      <c r="E1332" s="12" t="s">
        <v>5959</v>
      </c>
      <c r="F1332" s="12" t="s">
        <v>5960</v>
      </c>
      <c r="G1332" s="12" t="s">
        <v>12</v>
      </c>
      <c r="H1332" s="12"/>
      <c r="I1332" s="12"/>
      <c r="J1332" s="12" t="s">
        <v>73</v>
      </c>
      <c r="K1332" s="12"/>
      <c r="L1332" s="12"/>
      <c r="M1332" s="12" t="s">
        <v>5961</v>
      </c>
      <c r="N1332" s="12"/>
      <c r="O1332" s="12" t="s">
        <v>5962</v>
      </c>
      <c r="P1332" s="12" t="str">
        <f>HYPERLINK("https://ceds.ed.gov/cedselementdetails.aspx?termid=10192")</f>
        <v>https://ceds.ed.gov/cedselementdetails.aspx?termid=10192</v>
      </c>
      <c r="Q1332" s="12" t="str">
        <f>HYPERLINK("https://ceds.ed.gov/elementComment.aspx?elementName=Status Start Date &amp;elementID=10192", "Click here to submit comment")</f>
        <v>Click here to submit comment</v>
      </c>
    </row>
    <row r="1333" spans="1:17" ht="30" x14ac:dyDescent="0.25">
      <c r="A1333" s="12" t="s">
        <v>7242</v>
      </c>
      <c r="B1333" s="12" t="s">
        <v>7256</v>
      </c>
      <c r="C1333" s="12" t="s">
        <v>7270</v>
      </c>
      <c r="D1333" s="12" t="s">
        <v>7172</v>
      </c>
      <c r="E1333" s="12" t="s">
        <v>5955</v>
      </c>
      <c r="F1333" s="12" t="s">
        <v>5956</v>
      </c>
      <c r="G1333" s="12" t="s">
        <v>12</v>
      </c>
      <c r="H1333" s="12"/>
      <c r="I1333" s="12"/>
      <c r="J1333" s="12" t="s">
        <v>73</v>
      </c>
      <c r="K1333" s="12"/>
      <c r="L1333" s="12"/>
      <c r="M1333" s="12" t="s">
        <v>5957</v>
      </c>
      <c r="N1333" s="12"/>
      <c r="O1333" s="12" t="s">
        <v>5958</v>
      </c>
      <c r="P1333" s="12" t="str">
        <f>HYPERLINK("https://ceds.ed.gov/cedselementdetails.aspx?termid=10193")</f>
        <v>https://ceds.ed.gov/cedselementdetails.aspx?termid=10193</v>
      </c>
      <c r="Q1333" s="12" t="str">
        <f>HYPERLINK("https://ceds.ed.gov/elementComment.aspx?elementName=Status End Date &amp;elementID=10193", "Click here to submit comment")</f>
        <v>Click here to submit comment</v>
      </c>
    </row>
    <row r="1334" spans="1:17" ht="45" x14ac:dyDescent="0.25">
      <c r="A1334" s="12" t="s">
        <v>7242</v>
      </c>
      <c r="B1334" s="12" t="s">
        <v>7256</v>
      </c>
      <c r="C1334" s="12" t="s">
        <v>7270</v>
      </c>
      <c r="D1334" s="12" t="s">
        <v>7172</v>
      </c>
      <c r="E1334" s="12" t="s">
        <v>3008</v>
      </c>
      <c r="F1334" s="12" t="s">
        <v>3009</v>
      </c>
      <c r="G1334" s="12" t="s">
        <v>12</v>
      </c>
      <c r="H1334" s="12"/>
      <c r="I1334" s="12"/>
      <c r="J1334" s="12" t="s">
        <v>73</v>
      </c>
      <c r="K1334" s="12"/>
      <c r="L1334" s="12"/>
      <c r="M1334" s="12" t="s">
        <v>3011</v>
      </c>
      <c r="N1334" s="12"/>
      <c r="O1334" s="12" t="s">
        <v>3012</v>
      </c>
      <c r="P1334" s="12" t="str">
        <f>HYPERLINK("https://ceds.ed.gov/cedselementdetails.aspx?termid=9520")</f>
        <v>https://ceds.ed.gov/cedselementdetails.aspx?termid=9520</v>
      </c>
      <c r="Q1334" s="12" t="str">
        <f>HYPERLINK("https://ceds.ed.gov/elementComment.aspx?elementName=First Entry Date into a US School &amp;elementID=9520", "Click here to submit comment")</f>
        <v>Click here to submit comment</v>
      </c>
    </row>
    <row r="1335" spans="1:17" ht="409.5" x14ac:dyDescent="0.25">
      <c r="A1335" s="12" t="s">
        <v>7242</v>
      </c>
      <c r="B1335" s="12" t="s">
        <v>7256</v>
      </c>
      <c r="C1335" s="12" t="s">
        <v>7271</v>
      </c>
      <c r="D1335" s="12" t="s">
        <v>7172</v>
      </c>
      <c r="E1335" s="12" t="s">
        <v>4296</v>
      </c>
      <c r="F1335" s="12" t="s">
        <v>4297</v>
      </c>
      <c r="G1335" s="12" t="s">
        <v>6364</v>
      </c>
      <c r="H1335" s="12" t="s">
        <v>6438</v>
      </c>
      <c r="I1335" s="12"/>
      <c r="J1335" s="12"/>
      <c r="K1335" s="12"/>
      <c r="L1335" s="12"/>
      <c r="M1335" s="12" t="s">
        <v>4298</v>
      </c>
      <c r="N1335" s="12" t="s">
        <v>4299</v>
      </c>
      <c r="O1335" s="12" t="s">
        <v>4300</v>
      </c>
      <c r="P1335" s="12" t="str">
        <f>HYPERLINK("https://ceds.ed.gov/cedselementdetails.aspx?termid=9180")</f>
        <v>https://ceds.ed.gov/cedselementdetails.aspx?termid=9180</v>
      </c>
      <c r="Q1335" s="12" t="str">
        <f>HYPERLINK("https://ceds.ed.gov/elementComment.aspx?elementName=Limited English Proficiency Status &amp;elementID=9180", "Click here to submit comment")</f>
        <v>Click here to submit comment</v>
      </c>
    </row>
    <row r="1336" spans="1:17" ht="60" x14ac:dyDescent="0.25">
      <c r="A1336" s="12" t="s">
        <v>7242</v>
      </c>
      <c r="B1336" s="12" t="s">
        <v>7256</v>
      </c>
      <c r="C1336" s="12" t="s">
        <v>7271</v>
      </c>
      <c r="D1336" s="12" t="s">
        <v>7172</v>
      </c>
      <c r="E1336" s="12" t="s">
        <v>5164</v>
      </c>
      <c r="F1336" s="12" t="s">
        <v>5165</v>
      </c>
      <c r="G1336" s="12" t="s">
        <v>12</v>
      </c>
      <c r="H1336" s="12" t="s">
        <v>6646</v>
      </c>
      <c r="I1336" s="12"/>
      <c r="J1336" s="12" t="s">
        <v>73</v>
      </c>
      <c r="K1336" s="12"/>
      <c r="L1336" s="12"/>
      <c r="M1336" s="12" t="s">
        <v>5166</v>
      </c>
      <c r="N1336" s="12"/>
      <c r="O1336" s="12" t="s">
        <v>5167</v>
      </c>
      <c r="P1336" s="12" t="str">
        <f>HYPERLINK("https://ceds.ed.gov/cedselementdetails.aspx?termid=9583")</f>
        <v>https://ceds.ed.gov/cedselementdetails.aspx?termid=9583</v>
      </c>
      <c r="Q1336" s="12" t="str">
        <f>HYPERLINK("https://ceds.ed.gov/elementComment.aspx?elementName=Program Participation Start Date &amp;elementID=9583", "Click here to submit comment")</f>
        <v>Click here to submit comment</v>
      </c>
    </row>
    <row r="1337" spans="1:17" ht="45" x14ac:dyDescent="0.25">
      <c r="A1337" s="12" t="s">
        <v>7242</v>
      </c>
      <c r="B1337" s="12" t="s">
        <v>7256</v>
      </c>
      <c r="C1337" s="12" t="s">
        <v>7271</v>
      </c>
      <c r="D1337" s="12" t="s">
        <v>7172</v>
      </c>
      <c r="E1337" s="12" t="s">
        <v>5161</v>
      </c>
      <c r="F1337" s="12" t="s">
        <v>1684</v>
      </c>
      <c r="G1337" s="12" t="s">
        <v>12</v>
      </c>
      <c r="H1337" s="12" t="s">
        <v>6645</v>
      </c>
      <c r="I1337" s="12"/>
      <c r="J1337" s="12" t="s">
        <v>73</v>
      </c>
      <c r="K1337" s="12"/>
      <c r="L1337" s="12"/>
      <c r="M1337" s="12" t="s">
        <v>5162</v>
      </c>
      <c r="N1337" s="12"/>
      <c r="O1337" s="12" t="s">
        <v>5163</v>
      </c>
      <c r="P1337" s="12" t="str">
        <f>HYPERLINK("https://ceds.ed.gov/cedselementdetails.aspx?termid=9584")</f>
        <v>https://ceds.ed.gov/cedselementdetails.aspx?termid=9584</v>
      </c>
      <c r="Q1337" s="12" t="str">
        <f>HYPERLINK("https://ceds.ed.gov/elementComment.aspx?elementName=Program Participation Exit Date &amp;elementID=9584", "Click here to submit comment")</f>
        <v>Click here to submit comment</v>
      </c>
    </row>
    <row r="1338" spans="1:17" ht="45" x14ac:dyDescent="0.25">
      <c r="A1338" s="12" t="s">
        <v>7242</v>
      </c>
      <c r="B1338" s="12" t="s">
        <v>7256</v>
      </c>
      <c r="C1338" s="12" t="s">
        <v>7271</v>
      </c>
      <c r="D1338" s="12" t="s">
        <v>7172</v>
      </c>
      <c r="E1338" s="12" t="s">
        <v>4291</v>
      </c>
      <c r="F1338" s="12" t="s">
        <v>4292</v>
      </c>
      <c r="G1338" s="12" t="s">
        <v>12</v>
      </c>
      <c r="H1338" s="12" t="s">
        <v>222</v>
      </c>
      <c r="I1338" s="12"/>
      <c r="J1338" s="12" t="s">
        <v>73</v>
      </c>
      <c r="K1338" s="12"/>
      <c r="L1338" s="12"/>
      <c r="M1338" s="12" t="s">
        <v>4293</v>
      </c>
      <c r="N1338" s="12" t="s">
        <v>4294</v>
      </c>
      <c r="O1338" s="12" t="s">
        <v>4295</v>
      </c>
      <c r="P1338" s="12" t="str">
        <f>HYPERLINK("https://ceds.ed.gov/cedselementdetails.aspx?termid=9562")</f>
        <v>https://ceds.ed.gov/cedselementdetails.aspx?termid=9562</v>
      </c>
      <c r="Q1338" s="12" t="str">
        <f>HYPERLINK("https://ceds.ed.gov/elementComment.aspx?elementName=Limited English Proficiency Exit Date &amp;elementID=9562", "Click here to submit comment")</f>
        <v>Click here to submit comment</v>
      </c>
    </row>
    <row r="1339" spans="1:17" ht="210" x14ac:dyDescent="0.25">
      <c r="A1339" s="12" t="s">
        <v>7242</v>
      </c>
      <c r="B1339" s="12" t="s">
        <v>7256</v>
      </c>
      <c r="C1339" s="12" t="s">
        <v>7271</v>
      </c>
      <c r="D1339" s="12" t="s">
        <v>7172</v>
      </c>
      <c r="E1339" s="12" t="s">
        <v>4789</v>
      </c>
      <c r="F1339" s="12" t="s">
        <v>4790</v>
      </c>
      <c r="G1339" s="12" t="s">
        <v>6364</v>
      </c>
      <c r="H1339" s="12" t="s">
        <v>222</v>
      </c>
      <c r="I1339" s="12"/>
      <c r="J1339" s="12"/>
      <c r="K1339" s="12"/>
      <c r="L1339" s="12"/>
      <c r="M1339" s="12" t="s">
        <v>4791</v>
      </c>
      <c r="N1339" s="12" t="s">
        <v>4792</v>
      </c>
      <c r="O1339" s="12" t="s">
        <v>4793</v>
      </c>
      <c r="P1339" s="12" t="str">
        <f>HYPERLINK("https://ceds.ed.gov/cedselementdetails.aspx?termid=9574")</f>
        <v>https://ceds.ed.gov/cedselementdetails.aspx?termid=9574</v>
      </c>
      <c r="Q1339" s="12" t="str">
        <f>HYPERLINK("https://ceds.ed.gov/elementComment.aspx?elementName=Perkins Limited English Proficiency Status &amp;elementID=9574", "Click here to submit comment")</f>
        <v>Click here to submit comment</v>
      </c>
    </row>
    <row r="1340" spans="1:17" ht="60" x14ac:dyDescent="0.25">
      <c r="A1340" s="12" t="s">
        <v>7242</v>
      </c>
      <c r="B1340" s="12" t="s">
        <v>7256</v>
      </c>
      <c r="C1340" s="12" t="s">
        <v>7271</v>
      </c>
      <c r="D1340" s="12" t="s">
        <v>7172</v>
      </c>
      <c r="E1340" s="12" t="s">
        <v>6175</v>
      </c>
      <c r="F1340" s="12" t="s">
        <v>6176</v>
      </c>
      <c r="G1340" s="13" t="s">
        <v>7142</v>
      </c>
      <c r="H1340" s="12" t="s">
        <v>222</v>
      </c>
      <c r="I1340" s="12"/>
      <c r="J1340" s="12"/>
      <c r="K1340" s="12"/>
      <c r="L1340" s="12"/>
      <c r="M1340" s="12" t="s">
        <v>6177</v>
      </c>
      <c r="N1340" s="12"/>
      <c r="O1340" s="12" t="s">
        <v>6178</v>
      </c>
      <c r="P1340" s="12" t="str">
        <f>HYPERLINK("https://ceds.ed.gov/cedselementdetails.aspx?termid=9527")</f>
        <v>https://ceds.ed.gov/cedselementdetails.aspx?termid=9527</v>
      </c>
      <c r="Q1340" s="12" t="str">
        <f>HYPERLINK("https://ceds.ed.gov/elementComment.aspx?elementName=Title III Accountability Progress Status &amp;elementID=9527", "Click here to submit comment")</f>
        <v>Click here to submit comment</v>
      </c>
    </row>
    <row r="1341" spans="1:17" ht="75" x14ac:dyDescent="0.25">
      <c r="A1341" s="12" t="s">
        <v>7242</v>
      </c>
      <c r="B1341" s="12" t="s">
        <v>7256</v>
      </c>
      <c r="C1341" s="12" t="s">
        <v>7271</v>
      </c>
      <c r="D1341" s="12" t="s">
        <v>7172</v>
      </c>
      <c r="E1341" s="12" t="s">
        <v>6191</v>
      </c>
      <c r="F1341" s="12" t="s">
        <v>6192</v>
      </c>
      <c r="G1341" s="12" t="s">
        <v>6364</v>
      </c>
      <c r="H1341" s="12" t="s">
        <v>222</v>
      </c>
      <c r="I1341" s="12"/>
      <c r="J1341" s="12"/>
      <c r="K1341" s="12"/>
      <c r="L1341" s="12"/>
      <c r="M1341" s="12" t="s">
        <v>6193</v>
      </c>
      <c r="N1341" s="12" t="s">
        <v>6194</v>
      </c>
      <c r="O1341" s="12" t="s">
        <v>6195</v>
      </c>
      <c r="P1341" s="12" t="str">
        <f>HYPERLINK("https://ceds.ed.gov/cedselementdetails.aspx?termid=9557")</f>
        <v>https://ceds.ed.gov/cedselementdetails.aspx?termid=9557</v>
      </c>
      <c r="Q1341" s="12" t="str">
        <f>HYPERLINK("https://ceds.ed.gov/elementComment.aspx?elementName=Title III Limited English Proficient Participation Status &amp;elementID=9557", "Click here to submit comment")</f>
        <v>Click here to submit comment</v>
      </c>
    </row>
    <row r="1342" spans="1:17" ht="45" x14ac:dyDescent="0.25">
      <c r="A1342" s="12" t="s">
        <v>7242</v>
      </c>
      <c r="B1342" s="12" t="s">
        <v>7256</v>
      </c>
      <c r="C1342" s="12" t="s">
        <v>7271</v>
      </c>
      <c r="D1342" s="12" t="s">
        <v>7172</v>
      </c>
      <c r="E1342" s="12" t="s">
        <v>4285</v>
      </c>
      <c r="F1342" s="12" t="s">
        <v>4286</v>
      </c>
      <c r="G1342" s="12" t="s">
        <v>12</v>
      </c>
      <c r="H1342" s="12"/>
      <c r="I1342" s="12"/>
      <c r="J1342" s="12" t="s">
        <v>73</v>
      </c>
      <c r="K1342" s="12"/>
      <c r="L1342" s="12"/>
      <c r="M1342" s="12" t="s">
        <v>4288</v>
      </c>
      <c r="N1342" s="12" t="s">
        <v>4289</v>
      </c>
      <c r="O1342" s="12" t="s">
        <v>4290</v>
      </c>
      <c r="P1342" s="12" t="str">
        <f>HYPERLINK("https://ceds.ed.gov/cedselementdetails.aspx?termid=10213")</f>
        <v>https://ceds.ed.gov/cedselementdetails.aspx?termid=10213</v>
      </c>
      <c r="Q1342" s="12" t="str">
        <f>HYPERLINK("https://ceds.ed.gov/elementComment.aspx?elementName=Limited English Proficiency Entry Date &amp;elementID=10213", "Click here to submit comment")</f>
        <v>Click here to submit comment</v>
      </c>
    </row>
    <row r="1343" spans="1:17" ht="210" x14ac:dyDescent="0.25">
      <c r="A1343" s="12" t="s">
        <v>7242</v>
      </c>
      <c r="B1343" s="12" t="s">
        <v>7256</v>
      </c>
      <c r="C1343" s="12" t="s">
        <v>7272</v>
      </c>
      <c r="D1343" s="12" t="s">
        <v>7172</v>
      </c>
      <c r="E1343" s="12" t="s">
        <v>5980</v>
      </c>
      <c r="F1343" s="12" t="s">
        <v>5981</v>
      </c>
      <c r="G1343" s="13" t="s">
        <v>7124</v>
      </c>
      <c r="H1343" s="12" t="s">
        <v>6687</v>
      </c>
      <c r="I1343" s="12"/>
      <c r="J1343" s="12"/>
      <c r="K1343" s="12"/>
      <c r="L1343" s="12"/>
      <c r="M1343" s="12" t="s">
        <v>5982</v>
      </c>
      <c r="N1343" s="12"/>
      <c r="O1343" s="12" t="s">
        <v>5983</v>
      </c>
      <c r="P1343" s="12" t="str">
        <f>HYPERLINK("https://ceds.ed.gov/cedselementdetails.aspx?termid=9163")</f>
        <v>https://ceds.ed.gov/cedselementdetails.aspx?termid=9163</v>
      </c>
      <c r="Q1343" s="12" t="str">
        <f>HYPERLINK("https://ceds.ed.gov/elementComment.aspx?elementName=Student Identification System &amp;elementID=9163", "Click here to submit comment")</f>
        <v>Click here to submit comment</v>
      </c>
    </row>
    <row r="1344" spans="1:17" ht="105" x14ac:dyDescent="0.25">
      <c r="A1344" s="18" t="s">
        <v>7242</v>
      </c>
      <c r="B1344" s="18" t="s">
        <v>7256</v>
      </c>
      <c r="C1344" s="18" t="s">
        <v>7272</v>
      </c>
      <c r="D1344" s="18" t="s">
        <v>7172</v>
      </c>
      <c r="E1344" s="18" t="s">
        <v>5984</v>
      </c>
      <c r="F1344" s="18" t="s">
        <v>5985</v>
      </c>
      <c r="G1344" s="18" t="s">
        <v>12</v>
      </c>
      <c r="H1344" s="18" t="s">
        <v>6687</v>
      </c>
      <c r="I1344" s="18"/>
      <c r="J1344" s="18" t="s">
        <v>142</v>
      </c>
      <c r="K1344" s="18"/>
      <c r="L1344" s="12" t="s">
        <v>143</v>
      </c>
      <c r="M1344" s="18" t="s">
        <v>5986</v>
      </c>
      <c r="N1344" s="18"/>
      <c r="O1344" s="18" t="s">
        <v>5987</v>
      </c>
      <c r="P1344" s="18" t="str">
        <f>HYPERLINK("https://ceds.ed.gov/cedselementdetails.aspx?termid=9157")</f>
        <v>https://ceds.ed.gov/cedselementdetails.aspx?termid=9157</v>
      </c>
      <c r="Q1344" s="18" t="str">
        <f>HYPERLINK("https://ceds.ed.gov/elementComment.aspx?elementName=Student Identifier &amp;elementID=9157", "Click here to submit comment")</f>
        <v>Click here to submit comment</v>
      </c>
    </row>
    <row r="1345" spans="1:17" x14ac:dyDescent="0.25">
      <c r="A1345" s="18"/>
      <c r="B1345" s="18"/>
      <c r="C1345" s="18"/>
      <c r="D1345" s="18"/>
      <c r="E1345" s="18"/>
      <c r="F1345" s="18"/>
      <c r="G1345" s="18"/>
      <c r="H1345" s="18"/>
      <c r="I1345" s="18"/>
      <c r="J1345" s="18"/>
      <c r="K1345" s="18"/>
      <c r="L1345" s="12"/>
      <c r="M1345" s="18"/>
      <c r="N1345" s="18"/>
      <c r="O1345" s="18"/>
      <c r="P1345" s="18"/>
      <c r="Q1345" s="18"/>
    </row>
    <row r="1346" spans="1:17" ht="90" x14ac:dyDescent="0.25">
      <c r="A1346" s="18"/>
      <c r="B1346" s="18"/>
      <c r="C1346" s="18"/>
      <c r="D1346" s="18"/>
      <c r="E1346" s="18"/>
      <c r="F1346" s="18"/>
      <c r="G1346" s="18"/>
      <c r="H1346" s="18"/>
      <c r="I1346" s="18"/>
      <c r="J1346" s="18"/>
      <c r="K1346" s="18"/>
      <c r="L1346" s="12" t="s">
        <v>144</v>
      </c>
      <c r="M1346" s="18"/>
      <c r="N1346" s="18"/>
      <c r="O1346" s="18"/>
      <c r="P1346" s="18"/>
      <c r="Q1346" s="18"/>
    </row>
    <row r="1347" spans="1:17" ht="270" x14ac:dyDescent="0.25">
      <c r="A1347" s="12" t="s">
        <v>7242</v>
      </c>
      <c r="B1347" s="12" t="s">
        <v>7256</v>
      </c>
      <c r="C1347" s="12" t="s">
        <v>7272</v>
      </c>
      <c r="D1347" s="12" t="s">
        <v>7172</v>
      </c>
      <c r="E1347" s="12" t="s">
        <v>4464</v>
      </c>
      <c r="F1347" s="12" t="s">
        <v>4465</v>
      </c>
      <c r="G1347" s="12" t="s">
        <v>6364</v>
      </c>
      <c r="H1347" s="12" t="s">
        <v>6438</v>
      </c>
      <c r="I1347" s="12"/>
      <c r="J1347" s="12"/>
      <c r="K1347" s="12"/>
      <c r="L1347" s="12"/>
      <c r="M1347" s="12" t="s">
        <v>4466</v>
      </c>
      <c r="N1347" s="12"/>
      <c r="O1347" s="12" t="s">
        <v>4467</v>
      </c>
      <c r="P1347" s="12" t="str">
        <f>HYPERLINK("https://ceds.ed.gov/cedselementdetails.aspx?termid=9189")</f>
        <v>https://ceds.ed.gov/cedselementdetails.aspx?termid=9189</v>
      </c>
      <c r="Q1347" s="12" t="str">
        <f>HYPERLINK("https://ceds.ed.gov/elementComment.aspx?elementName=Migrant Status &amp;elementID=9189", "Click here to submit comment")</f>
        <v>Click here to submit comment</v>
      </c>
    </row>
    <row r="1348" spans="1:17" ht="60" x14ac:dyDescent="0.25">
      <c r="A1348" s="12" t="s">
        <v>7242</v>
      </c>
      <c r="B1348" s="12" t="s">
        <v>7256</v>
      </c>
      <c r="C1348" s="12" t="s">
        <v>7272</v>
      </c>
      <c r="D1348" s="12" t="s">
        <v>7172</v>
      </c>
      <c r="E1348" s="12" t="s">
        <v>5164</v>
      </c>
      <c r="F1348" s="12" t="s">
        <v>5165</v>
      </c>
      <c r="G1348" s="12" t="s">
        <v>12</v>
      </c>
      <c r="H1348" s="12" t="s">
        <v>6646</v>
      </c>
      <c r="I1348" s="12"/>
      <c r="J1348" s="12" t="s">
        <v>73</v>
      </c>
      <c r="K1348" s="12"/>
      <c r="L1348" s="12"/>
      <c r="M1348" s="12" t="s">
        <v>5166</v>
      </c>
      <c r="N1348" s="12"/>
      <c r="O1348" s="12" t="s">
        <v>5167</v>
      </c>
      <c r="P1348" s="12" t="str">
        <f>HYPERLINK("https://ceds.ed.gov/cedselementdetails.aspx?termid=9583")</f>
        <v>https://ceds.ed.gov/cedselementdetails.aspx?termid=9583</v>
      </c>
      <c r="Q1348" s="12" t="str">
        <f>HYPERLINK("https://ceds.ed.gov/elementComment.aspx?elementName=Program Participation Start Date &amp;elementID=9583", "Click here to submit comment")</f>
        <v>Click here to submit comment</v>
      </c>
    </row>
    <row r="1349" spans="1:17" ht="45" x14ac:dyDescent="0.25">
      <c r="A1349" s="12" t="s">
        <v>7242</v>
      </c>
      <c r="B1349" s="12" t="s">
        <v>7256</v>
      </c>
      <c r="C1349" s="12" t="s">
        <v>7272</v>
      </c>
      <c r="D1349" s="12" t="s">
        <v>7172</v>
      </c>
      <c r="E1349" s="12" t="s">
        <v>5161</v>
      </c>
      <c r="F1349" s="12" t="s">
        <v>1684</v>
      </c>
      <c r="G1349" s="12" t="s">
        <v>12</v>
      </c>
      <c r="H1349" s="12" t="s">
        <v>6645</v>
      </c>
      <c r="I1349" s="12"/>
      <c r="J1349" s="12" t="s">
        <v>73</v>
      </c>
      <c r="K1349" s="12"/>
      <c r="L1349" s="12"/>
      <c r="M1349" s="12" t="s">
        <v>5162</v>
      </c>
      <c r="N1349" s="12"/>
      <c r="O1349" s="12" t="s">
        <v>5163</v>
      </c>
      <c r="P1349" s="12" t="str">
        <f>HYPERLINK("https://ceds.ed.gov/cedselementdetails.aspx?termid=9584")</f>
        <v>https://ceds.ed.gov/cedselementdetails.aspx?termid=9584</v>
      </c>
      <c r="Q1349" s="12" t="str">
        <f>HYPERLINK("https://ceds.ed.gov/elementComment.aspx?elementName=Program Participation Exit Date &amp;elementID=9584", "Click here to submit comment")</f>
        <v>Click here to submit comment</v>
      </c>
    </row>
    <row r="1350" spans="1:17" ht="75" x14ac:dyDescent="0.25">
      <c r="A1350" s="12" t="s">
        <v>7242</v>
      </c>
      <c r="B1350" s="12" t="s">
        <v>7256</v>
      </c>
      <c r="C1350" s="12" t="s">
        <v>7272</v>
      </c>
      <c r="D1350" s="12" t="s">
        <v>7172</v>
      </c>
      <c r="E1350" s="12" t="s">
        <v>4409</v>
      </c>
      <c r="F1350" s="12" t="s">
        <v>4410</v>
      </c>
      <c r="G1350" s="12" t="s">
        <v>6364</v>
      </c>
      <c r="H1350" s="12" t="s">
        <v>222</v>
      </c>
      <c r="I1350" s="12"/>
      <c r="J1350" s="12"/>
      <c r="K1350" s="12"/>
      <c r="L1350" s="12"/>
      <c r="M1350" s="12" t="s">
        <v>4411</v>
      </c>
      <c r="N1350" s="12" t="s">
        <v>4412</v>
      </c>
      <c r="O1350" s="12" t="s">
        <v>4413</v>
      </c>
      <c r="P1350" s="12" t="str">
        <f>HYPERLINK("https://ceds.ed.gov/cedselementdetails.aspx?termid=9555")</f>
        <v>https://ceds.ed.gov/cedselementdetails.aspx?termid=9555</v>
      </c>
      <c r="Q1350" s="12" t="str">
        <f>HYPERLINK("https://ceds.ed.gov/elementComment.aspx?elementName=Migrant Education Program Continuation of Services Status &amp;elementID=9555", "Click here to submit comment")</f>
        <v>Click here to submit comment</v>
      </c>
    </row>
    <row r="1351" spans="1:17" ht="120" x14ac:dyDescent="0.25">
      <c r="A1351" s="12" t="s">
        <v>7242</v>
      </c>
      <c r="B1351" s="12" t="s">
        <v>7256</v>
      </c>
      <c r="C1351" s="12" t="s">
        <v>7272</v>
      </c>
      <c r="D1351" s="12" t="s">
        <v>7172</v>
      </c>
      <c r="E1351" s="12" t="s">
        <v>1892</v>
      </c>
      <c r="F1351" s="12" t="s">
        <v>1893</v>
      </c>
      <c r="G1351" s="13" t="s">
        <v>6824</v>
      </c>
      <c r="H1351" s="12" t="s">
        <v>1578</v>
      </c>
      <c r="I1351" s="12"/>
      <c r="J1351" s="12"/>
      <c r="K1351" s="12"/>
      <c r="L1351" s="12"/>
      <c r="M1351" s="12" t="s">
        <v>1895</v>
      </c>
      <c r="N1351" s="12"/>
      <c r="O1351" s="12" t="s">
        <v>1896</v>
      </c>
      <c r="P1351" s="12" t="str">
        <f>HYPERLINK("https://ceds.ed.gov/cedselementdetails.aspx?termid=9419")</f>
        <v>https://ceds.ed.gov/cedselementdetails.aspx?termid=9419</v>
      </c>
      <c r="Q1351" s="12" t="str">
        <f>HYPERLINK("https://ceds.ed.gov/elementComment.aspx?elementName=Continuation of Services Reason &amp;elementID=9419", "Click here to submit comment")</f>
        <v>Click here to submit comment</v>
      </c>
    </row>
    <row r="1352" spans="1:17" ht="45" x14ac:dyDescent="0.25">
      <c r="A1352" s="12" t="s">
        <v>7242</v>
      </c>
      <c r="B1352" s="12" t="s">
        <v>7256</v>
      </c>
      <c r="C1352" s="12" t="s">
        <v>7272</v>
      </c>
      <c r="D1352" s="12" t="s">
        <v>7172</v>
      </c>
      <c r="E1352" s="12" t="s">
        <v>4424</v>
      </c>
      <c r="F1352" s="12" t="s">
        <v>4425</v>
      </c>
      <c r="G1352" s="12" t="s">
        <v>6364</v>
      </c>
      <c r="H1352" s="12" t="s">
        <v>222</v>
      </c>
      <c r="I1352" s="12"/>
      <c r="J1352" s="12"/>
      <c r="K1352" s="12"/>
      <c r="L1352" s="12"/>
      <c r="M1352" s="12" t="s">
        <v>4426</v>
      </c>
      <c r="N1352" s="12" t="s">
        <v>4427</v>
      </c>
      <c r="O1352" s="12" t="s">
        <v>4428</v>
      </c>
      <c r="P1352" s="12" t="str">
        <f>HYPERLINK("https://ceds.ed.gov/cedselementdetails.aspx?termid=9185")</f>
        <v>https://ceds.ed.gov/cedselementdetails.aspx?termid=9185</v>
      </c>
      <c r="Q1352" s="12" t="str">
        <f>HYPERLINK("https://ceds.ed.gov/elementComment.aspx?elementName=Migrant Education Program Participation Status &amp;elementID=9185", "Click here to submit comment")</f>
        <v>Click here to submit comment</v>
      </c>
    </row>
    <row r="1353" spans="1:17" ht="195" x14ac:dyDescent="0.25">
      <c r="A1353" s="12" t="s">
        <v>7242</v>
      </c>
      <c r="B1353" s="12" t="s">
        <v>7256</v>
      </c>
      <c r="C1353" s="12" t="s">
        <v>7272</v>
      </c>
      <c r="D1353" s="12" t="s">
        <v>7172</v>
      </c>
      <c r="E1353" s="12" t="s">
        <v>4444</v>
      </c>
      <c r="F1353" s="12" t="s">
        <v>4445</v>
      </c>
      <c r="G1353" s="13" t="s">
        <v>7031</v>
      </c>
      <c r="H1353" s="12" t="s">
        <v>222</v>
      </c>
      <c r="I1353" s="12"/>
      <c r="J1353" s="12"/>
      <c r="K1353" s="12"/>
      <c r="L1353" s="12"/>
      <c r="M1353" s="12" t="s">
        <v>4446</v>
      </c>
      <c r="N1353" s="12" t="s">
        <v>4447</v>
      </c>
      <c r="O1353" s="12" t="s">
        <v>4448</v>
      </c>
      <c r="P1353" s="12" t="str">
        <f>HYPERLINK("https://ceds.ed.gov/cedselementdetails.aspx?termid=9186")</f>
        <v>https://ceds.ed.gov/cedselementdetails.aspx?termid=9186</v>
      </c>
      <c r="Q1353" s="12" t="str">
        <f>HYPERLINK("https://ceds.ed.gov/elementComment.aspx?elementName=Migrant Education Program Services Type &amp;elementID=9186", "Click here to submit comment")</f>
        <v>Click here to submit comment</v>
      </c>
    </row>
    <row r="1354" spans="1:17" ht="150" x14ac:dyDescent="0.25">
      <c r="A1354" s="12" t="s">
        <v>7242</v>
      </c>
      <c r="B1354" s="12" t="s">
        <v>7256</v>
      </c>
      <c r="C1354" s="12" t="s">
        <v>7272</v>
      </c>
      <c r="D1354" s="12" t="s">
        <v>7172</v>
      </c>
      <c r="E1354" s="12" t="s">
        <v>4419</v>
      </c>
      <c r="F1354" s="12" t="s">
        <v>4420</v>
      </c>
      <c r="G1354" s="13" t="s">
        <v>7028</v>
      </c>
      <c r="H1354" s="12" t="s">
        <v>1578</v>
      </c>
      <c r="I1354" s="12"/>
      <c r="J1354" s="12"/>
      <c r="K1354" s="12"/>
      <c r="L1354" s="12"/>
      <c r="M1354" s="12" t="s">
        <v>4421</v>
      </c>
      <c r="N1354" s="12" t="s">
        <v>4422</v>
      </c>
      <c r="O1354" s="12" t="s">
        <v>4423</v>
      </c>
      <c r="P1354" s="12" t="str">
        <f>HYPERLINK("https://ceds.ed.gov/cedselementdetails.aspx?termid=9427")</f>
        <v>https://ceds.ed.gov/cedselementdetails.aspx?termid=9427</v>
      </c>
      <c r="Q1354" s="12" t="str">
        <f>HYPERLINK("https://ceds.ed.gov/elementComment.aspx?elementName=Migrant Education Program Enrollment Type &amp;elementID=9427", "Click here to submit comment")</f>
        <v>Click here to submit comment</v>
      </c>
    </row>
    <row r="1355" spans="1:17" ht="75" x14ac:dyDescent="0.25">
      <c r="A1355" s="12" t="s">
        <v>7242</v>
      </c>
      <c r="B1355" s="12" t="s">
        <v>7256</v>
      </c>
      <c r="C1355" s="12" t="s">
        <v>7272</v>
      </c>
      <c r="D1355" s="12" t="s">
        <v>7172</v>
      </c>
      <c r="E1355" s="12" t="s">
        <v>4434</v>
      </c>
      <c r="F1355" s="12" t="s">
        <v>4435</v>
      </c>
      <c r="G1355" s="13" t="s">
        <v>7029</v>
      </c>
      <c r="H1355" s="12" t="s">
        <v>1578</v>
      </c>
      <c r="I1355" s="12"/>
      <c r="J1355" s="12"/>
      <c r="K1355" s="12"/>
      <c r="L1355" s="12"/>
      <c r="M1355" s="12" t="s">
        <v>4436</v>
      </c>
      <c r="N1355" s="12" t="s">
        <v>4437</v>
      </c>
      <c r="O1355" s="12" t="s">
        <v>4438</v>
      </c>
      <c r="P1355" s="12" t="str">
        <f>HYPERLINK("https://ceds.ed.gov/cedselementdetails.aspx?termid=9430")</f>
        <v>https://ceds.ed.gov/cedselementdetails.aspx?termid=9430</v>
      </c>
      <c r="Q1355" s="12" t="str">
        <f>HYPERLINK("https://ceds.ed.gov/elementComment.aspx?elementName=Migrant Education Program Project Based &amp;elementID=9430", "Click here to submit comment")</f>
        <v>Click here to submit comment</v>
      </c>
    </row>
    <row r="1356" spans="1:17" ht="120" x14ac:dyDescent="0.25">
      <c r="A1356" s="12" t="s">
        <v>7242</v>
      </c>
      <c r="B1356" s="12" t="s">
        <v>7256</v>
      </c>
      <c r="C1356" s="12" t="s">
        <v>7272</v>
      </c>
      <c r="D1356" s="12" t="s">
        <v>7172</v>
      </c>
      <c r="E1356" s="12" t="s">
        <v>4460</v>
      </c>
      <c r="F1356" s="12" t="s">
        <v>4461</v>
      </c>
      <c r="G1356" s="12" t="s">
        <v>6364</v>
      </c>
      <c r="H1356" s="12" t="s">
        <v>222</v>
      </c>
      <c r="I1356" s="12"/>
      <c r="J1356" s="12"/>
      <c r="K1356" s="12"/>
      <c r="L1356" s="12"/>
      <c r="M1356" s="12" t="s">
        <v>4462</v>
      </c>
      <c r="N1356" s="12"/>
      <c r="O1356" s="12" t="s">
        <v>4463</v>
      </c>
      <c r="P1356" s="12" t="str">
        <f>HYPERLINK("https://ceds.ed.gov/cedselementdetails.aspx?termid=9554")</f>
        <v>https://ceds.ed.gov/cedselementdetails.aspx?termid=9554</v>
      </c>
      <c r="Q1356" s="12" t="str">
        <f>HYPERLINK("https://ceds.ed.gov/elementComment.aspx?elementName=Migrant Prioritized for Services &amp;elementID=9554", "Click here to submit comment")</f>
        <v>Click here to submit comment</v>
      </c>
    </row>
    <row r="1357" spans="1:17" ht="195" x14ac:dyDescent="0.25">
      <c r="A1357" s="12" t="s">
        <v>7242</v>
      </c>
      <c r="B1357" s="12" t="s">
        <v>7256</v>
      </c>
      <c r="C1357" s="12" t="s">
        <v>7272</v>
      </c>
      <c r="D1357" s="12" t="s">
        <v>7172</v>
      </c>
      <c r="E1357" s="12" t="s">
        <v>4468</v>
      </c>
      <c r="F1357" s="12" t="s">
        <v>4469</v>
      </c>
      <c r="G1357" s="12" t="s">
        <v>12</v>
      </c>
      <c r="H1357" s="12" t="s">
        <v>1578</v>
      </c>
      <c r="I1357" s="12"/>
      <c r="J1357" s="12" t="s">
        <v>73</v>
      </c>
      <c r="K1357" s="12"/>
      <c r="L1357" s="12"/>
      <c r="M1357" s="12" t="s">
        <v>4470</v>
      </c>
      <c r="N1357" s="12"/>
      <c r="O1357" s="12" t="s">
        <v>4471</v>
      </c>
      <c r="P1357" s="12" t="str">
        <f>HYPERLINK("https://ceds.ed.gov/cedselementdetails.aspx?termid=9422")</f>
        <v>https://ceds.ed.gov/cedselementdetails.aspx?termid=9422</v>
      </c>
      <c r="Q1357" s="12" t="str">
        <f>HYPERLINK("https://ceds.ed.gov/elementComment.aspx?elementName=Migrant Student Qualifying Arrival Date &amp;elementID=9422", "Click here to submit comment")</f>
        <v>Click here to submit comment</v>
      </c>
    </row>
    <row r="1358" spans="1:17" ht="30" x14ac:dyDescent="0.25">
      <c r="A1358" s="12" t="s">
        <v>7242</v>
      </c>
      <c r="B1358" s="12" t="s">
        <v>7256</v>
      </c>
      <c r="C1358" s="12" t="s">
        <v>7272</v>
      </c>
      <c r="D1358" s="12" t="s">
        <v>7172</v>
      </c>
      <c r="E1358" s="12" t="s">
        <v>3689</v>
      </c>
      <c r="F1358" s="12" t="s">
        <v>3690</v>
      </c>
      <c r="G1358" s="12" t="s">
        <v>12</v>
      </c>
      <c r="H1358" s="12" t="s">
        <v>222</v>
      </c>
      <c r="I1358" s="12"/>
      <c r="J1358" s="12" t="s">
        <v>73</v>
      </c>
      <c r="K1358" s="12"/>
      <c r="L1358" s="12"/>
      <c r="M1358" s="12" t="s">
        <v>3691</v>
      </c>
      <c r="N1358" s="12"/>
      <c r="O1358" s="12" t="s">
        <v>3692</v>
      </c>
      <c r="P1358" s="12" t="str">
        <f>HYPERLINK("https://ceds.ed.gov/cedselementdetails.aspx?termid=9171")</f>
        <v>https://ceds.ed.gov/cedselementdetails.aspx?termid=9171</v>
      </c>
      <c r="Q1358" s="12" t="str">
        <f>HYPERLINK("https://ceds.ed.gov/elementComment.aspx?elementName=Last Qualifying Move Date &amp;elementID=9171", "Click here to submit comment")</f>
        <v>Click here to submit comment</v>
      </c>
    </row>
    <row r="1359" spans="1:17" ht="30" x14ac:dyDescent="0.25">
      <c r="A1359" s="12" t="s">
        <v>7242</v>
      </c>
      <c r="B1359" s="12" t="s">
        <v>7256</v>
      </c>
      <c r="C1359" s="12" t="s">
        <v>7272</v>
      </c>
      <c r="D1359" s="12" t="s">
        <v>7172</v>
      </c>
      <c r="E1359" s="12" t="s">
        <v>5242</v>
      </c>
      <c r="F1359" s="12" t="s">
        <v>5243</v>
      </c>
      <c r="G1359" s="12" t="s">
        <v>12</v>
      </c>
      <c r="H1359" s="12" t="s">
        <v>1578</v>
      </c>
      <c r="I1359" s="12"/>
      <c r="J1359" s="12" t="s">
        <v>92</v>
      </c>
      <c r="K1359" s="12"/>
      <c r="L1359" s="12"/>
      <c r="M1359" s="12" t="s">
        <v>5244</v>
      </c>
      <c r="N1359" s="12"/>
      <c r="O1359" s="12" t="s">
        <v>5245</v>
      </c>
      <c r="P1359" s="12" t="str">
        <f>HYPERLINK("https://ceds.ed.gov/cedselementdetails.aspx?termid=9423")</f>
        <v>https://ceds.ed.gov/cedselementdetails.aspx?termid=9423</v>
      </c>
      <c r="Q1359" s="12" t="str">
        <f>HYPERLINK("https://ceds.ed.gov/elementComment.aspx?elementName=Qualifying Move From City &amp;elementID=9423", "Click here to submit comment")</f>
        <v>Click here to submit comment</v>
      </c>
    </row>
    <row r="1360" spans="1:17" ht="409.5" x14ac:dyDescent="0.25">
      <c r="A1360" s="12" t="s">
        <v>7242</v>
      </c>
      <c r="B1360" s="12" t="s">
        <v>7256</v>
      </c>
      <c r="C1360" s="12" t="s">
        <v>7272</v>
      </c>
      <c r="D1360" s="12" t="s">
        <v>7172</v>
      </c>
      <c r="E1360" s="12" t="s">
        <v>5246</v>
      </c>
      <c r="F1360" s="12" t="s">
        <v>5247</v>
      </c>
      <c r="G1360" s="13" t="s">
        <v>6829</v>
      </c>
      <c r="H1360" s="12" t="s">
        <v>1578</v>
      </c>
      <c r="I1360" s="12" t="s">
        <v>98</v>
      </c>
      <c r="J1360" s="12"/>
      <c r="K1360" s="12"/>
      <c r="L1360" s="14" t="s">
        <v>1936</v>
      </c>
      <c r="M1360" s="12" t="s">
        <v>5248</v>
      </c>
      <c r="N1360" s="12"/>
      <c r="O1360" s="12" t="s">
        <v>5249</v>
      </c>
      <c r="P1360" s="12" t="str">
        <f>HYPERLINK("https://ceds.ed.gov/cedselementdetails.aspx?termid=9424")</f>
        <v>https://ceds.ed.gov/cedselementdetails.aspx?termid=9424</v>
      </c>
      <c r="Q1360" s="12" t="str">
        <f>HYPERLINK("https://ceds.ed.gov/elementComment.aspx?elementName=Qualifying Move From Country &amp;elementID=9424", "Click here to submit comment")</f>
        <v>Click here to submit comment</v>
      </c>
    </row>
    <row r="1361" spans="1:17" ht="409.5" x14ac:dyDescent="0.25">
      <c r="A1361" s="12" t="s">
        <v>7242</v>
      </c>
      <c r="B1361" s="12" t="s">
        <v>7256</v>
      </c>
      <c r="C1361" s="12" t="s">
        <v>7272</v>
      </c>
      <c r="D1361" s="12" t="s">
        <v>7172</v>
      </c>
      <c r="E1361" s="12" t="s">
        <v>5250</v>
      </c>
      <c r="F1361" s="12" t="s">
        <v>5251</v>
      </c>
      <c r="G1361" s="13" t="s">
        <v>7089</v>
      </c>
      <c r="H1361" s="12" t="s">
        <v>1578</v>
      </c>
      <c r="I1361" s="12"/>
      <c r="J1361" s="12"/>
      <c r="K1361" s="12"/>
      <c r="L1361" s="12"/>
      <c r="M1361" s="12" t="s">
        <v>5252</v>
      </c>
      <c r="N1361" s="12"/>
      <c r="O1361" s="12" t="s">
        <v>5253</v>
      </c>
      <c r="P1361" s="12" t="str">
        <f>HYPERLINK("https://ceds.ed.gov/cedselementdetails.aspx?termid=9425")</f>
        <v>https://ceds.ed.gov/cedselementdetails.aspx?termid=9425</v>
      </c>
      <c r="Q1361" s="12" t="str">
        <f>HYPERLINK("https://ceds.ed.gov/elementComment.aspx?elementName=Qualifying Move From State &amp;elementID=9425", "Click here to submit comment")</f>
        <v>Click here to submit comment</v>
      </c>
    </row>
    <row r="1362" spans="1:17" ht="120" x14ac:dyDescent="0.25">
      <c r="A1362" s="12" t="s">
        <v>7242</v>
      </c>
      <c r="B1362" s="12" t="s">
        <v>7256</v>
      </c>
      <c r="C1362" s="12" t="s">
        <v>7272</v>
      </c>
      <c r="D1362" s="12" t="s">
        <v>7172</v>
      </c>
      <c r="E1362" s="12" t="s">
        <v>4414</v>
      </c>
      <c r="F1362" s="12" t="s">
        <v>4415</v>
      </c>
      <c r="G1362" s="12" t="s">
        <v>12</v>
      </c>
      <c r="H1362" s="12" t="s">
        <v>1578</v>
      </c>
      <c r="I1362" s="12"/>
      <c r="J1362" s="12" t="s">
        <v>73</v>
      </c>
      <c r="K1362" s="12"/>
      <c r="L1362" s="12"/>
      <c r="M1362" s="12" t="s">
        <v>4416</v>
      </c>
      <c r="N1362" s="12" t="s">
        <v>4417</v>
      </c>
      <c r="O1362" s="12" t="s">
        <v>4418</v>
      </c>
      <c r="P1362" s="12" t="str">
        <f>HYPERLINK("https://ceds.ed.gov/cedselementdetails.aspx?termid=9420")</f>
        <v>https://ceds.ed.gov/cedselementdetails.aspx?termid=9420</v>
      </c>
      <c r="Q1362" s="12" t="str">
        <f>HYPERLINK("https://ceds.ed.gov/elementComment.aspx?elementName=Migrant Education Program Eligibility Expiration Date &amp;elementID=9420", "Click here to submit comment")</f>
        <v>Click here to submit comment</v>
      </c>
    </row>
    <row r="1363" spans="1:17" ht="105" x14ac:dyDescent="0.25">
      <c r="A1363" s="18" t="s">
        <v>7242</v>
      </c>
      <c r="B1363" s="18" t="s">
        <v>7256</v>
      </c>
      <c r="C1363" s="18" t="s">
        <v>7272</v>
      </c>
      <c r="D1363" s="18" t="s">
        <v>7172</v>
      </c>
      <c r="E1363" s="18" t="s">
        <v>2300</v>
      </c>
      <c r="F1363" s="18" t="s">
        <v>2301</v>
      </c>
      <c r="G1363" s="18" t="s">
        <v>12</v>
      </c>
      <c r="H1363" s="18" t="s">
        <v>1578</v>
      </c>
      <c r="I1363" s="18"/>
      <c r="J1363" s="18" t="s">
        <v>142</v>
      </c>
      <c r="K1363" s="18"/>
      <c r="L1363" s="12" t="s">
        <v>143</v>
      </c>
      <c r="M1363" s="18" t="s">
        <v>2302</v>
      </c>
      <c r="N1363" s="18"/>
      <c r="O1363" s="18" t="s">
        <v>2303</v>
      </c>
      <c r="P1363" s="18" t="str">
        <f>HYPERLINK("https://ceds.ed.gov/cedselementdetails.aspx?termid=9426")</f>
        <v>https://ceds.ed.gov/cedselementdetails.aspx?termid=9426</v>
      </c>
      <c r="Q1363" s="18" t="str">
        <f>HYPERLINK("https://ceds.ed.gov/elementComment.aspx?elementName=Designated Graduation School Identifier &amp;elementID=9426", "Click here to submit comment")</f>
        <v>Click here to submit comment</v>
      </c>
    </row>
    <row r="1364" spans="1:17" x14ac:dyDescent="0.25">
      <c r="A1364" s="18"/>
      <c r="B1364" s="18"/>
      <c r="C1364" s="18"/>
      <c r="D1364" s="18"/>
      <c r="E1364" s="18"/>
      <c r="F1364" s="18"/>
      <c r="G1364" s="18"/>
      <c r="H1364" s="18"/>
      <c r="I1364" s="18"/>
      <c r="J1364" s="18"/>
      <c r="K1364" s="18"/>
      <c r="L1364" s="12"/>
      <c r="M1364" s="18"/>
      <c r="N1364" s="18"/>
      <c r="O1364" s="18"/>
      <c r="P1364" s="18"/>
      <c r="Q1364" s="18"/>
    </row>
    <row r="1365" spans="1:17" ht="90" x14ac:dyDescent="0.25">
      <c r="A1365" s="18"/>
      <c r="B1365" s="18"/>
      <c r="C1365" s="18"/>
      <c r="D1365" s="18"/>
      <c r="E1365" s="18"/>
      <c r="F1365" s="18"/>
      <c r="G1365" s="18"/>
      <c r="H1365" s="18"/>
      <c r="I1365" s="18"/>
      <c r="J1365" s="18"/>
      <c r="K1365" s="18"/>
      <c r="L1365" s="12" t="s">
        <v>144</v>
      </c>
      <c r="M1365" s="18"/>
      <c r="N1365" s="18"/>
      <c r="O1365" s="18"/>
      <c r="P1365" s="18"/>
      <c r="Q1365" s="18"/>
    </row>
    <row r="1366" spans="1:17" ht="30" x14ac:dyDescent="0.25">
      <c r="A1366" s="12" t="s">
        <v>7242</v>
      </c>
      <c r="B1366" s="12" t="s">
        <v>7256</v>
      </c>
      <c r="C1366" s="12" t="s">
        <v>7272</v>
      </c>
      <c r="D1366" s="12" t="s">
        <v>7172</v>
      </c>
      <c r="E1366" s="12" t="s">
        <v>1574</v>
      </c>
      <c r="F1366" s="12" t="s">
        <v>1575</v>
      </c>
      <c r="G1366" s="12" t="s">
        <v>12</v>
      </c>
      <c r="H1366" s="12" t="s">
        <v>1578</v>
      </c>
      <c r="I1366" s="12"/>
      <c r="J1366" s="12" t="s">
        <v>99</v>
      </c>
      <c r="K1366" s="12"/>
      <c r="L1366" s="12"/>
      <c r="M1366" s="12" t="s">
        <v>1576</v>
      </c>
      <c r="N1366" s="12"/>
      <c r="O1366" s="12" t="s">
        <v>1577</v>
      </c>
      <c r="P1366" s="12" t="str">
        <f>HYPERLINK("https://ceds.ed.gov/cedselementdetails.aspx?termid=9418")</f>
        <v>https://ceds.ed.gov/cedselementdetails.aspx?termid=9418</v>
      </c>
      <c r="Q1366" s="12" t="str">
        <f>HYPERLINK("https://ceds.ed.gov/elementComment.aspx?elementName=Birthdate Verification &amp;elementID=9418", "Click here to submit comment")</f>
        <v>Click here to submit comment</v>
      </c>
    </row>
    <row r="1367" spans="1:17" ht="45" x14ac:dyDescent="0.25">
      <c r="A1367" s="12" t="s">
        <v>7242</v>
      </c>
      <c r="B1367" s="12" t="s">
        <v>7256</v>
      </c>
      <c r="C1367" s="12" t="s">
        <v>7272</v>
      </c>
      <c r="D1367" s="12" t="s">
        <v>7172</v>
      </c>
      <c r="E1367" s="12" t="s">
        <v>3326</v>
      </c>
      <c r="F1367" s="12" t="s">
        <v>3327</v>
      </c>
      <c r="G1367" s="12" t="s">
        <v>6364</v>
      </c>
      <c r="H1367" s="12" t="s">
        <v>1578</v>
      </c>
      <c r="I1367" s="12"/>
      <c r="J1367" s="12"/>
      <c r="K1367" s="12"/>
      <c r="L1367" s="12"/>
      <c r="M1367" s="12" t="s">
        <v>3328</v>
      </c>
      <c r="N1367" s="12"/>
      <c r="O1367" s="12" t="s">
        <v>3329</v>
      </c>
      <c r="P1367" s="12" t="str">
        <f>HYPERLINK("https://ceds.ed.gov/cedselementdetails.aspx?termid=9428")</f>
        <v>https://ceds.ed.gov/cedselementdetails.aspx?termid=9428</v>
      </c>
      <c r="Q1367" s="12" t="str">
        <f>HYPERLINK("https://ceds.ed.gov/elementComment.aspx?elementName=Immunization Record Flag &amp;elementID=9428", "Click here to submit comment")</f>
        <v>Click here to submit comment</v>
      </c>
    </row>
    <row r="1368" spans="1:17" ht="45" x14ac:dyDescent="0.25">
      <c r="A1368" s="12" t="s">
        <v>7242</v>
      </c>
      <c r="B1368" s="12" t="s">
        <v>7256</v>
      </c>
      <c r="C1368" s="12" t="s">
        <v>7272</v>
      </c>
      <c r="D1368" s="12" t="s">
        <v>7172</v>
      </c>
      <c r="E1368" s="12" t="s">
        <v>4506</v>
      </c>
      <c r="F1368" s="12" t="s">
        <v>4507</v>
      </c>
      <c r="G1368" s="12" t="s">
        <v>6364</v>
      </c>
      <c r="H1368" s="12" t="s">
        <v>1578</v>
      </c>
      <c r="I1368" s="12"/>
      <c r="J1368" s="12"/>
      <c r="K1368" s="12"/>
      <c r="L1368" s="12"/>
      <c r="M1368" s="12" t="s">
        <v>4508</v>
      </c>
      <c r="N1368" s="12"/>
      <c r="O1368" s="12" t="s">
        <v>4509</v>
      </c>
      <c r="P1368" s="12" t="str">
        <f>HYPERLINK("https://ceds.ed.gov/cedselementdetails.aspx?termid=9421")</f>
        <v>https://ceds.ed.gov/cedselementdetails.aspx?termid=9421</v>
      </c>
      <c r="Q1368" s="12" t="str">
        <f>HYPERLINK("https://ceds.ed.gov/elementComment.aspx?elementName=Multiple Birth Indicator &amp;elementID=9421", "Click here to submit comment")</f>
        <v>Click here to submit comment</v>
      </c>
    </row>
    <row r="1369" spans="1:17" ht="105" x14ac:dyDescent="0.25">
      <c r="A1369" s="12" t="s">
        <v>7242</v>
      </c>
      <c r="B1369" s="12" t="s">
        <v>7256</v>
      </c>
      <c r="C1369" s="12" t="s">
        <v>7273</v>
      </c>
      <c r="D1369" s="12" t="s">
        <v>7172</v>
      </c>
      <c r="E1369" s="12" t="s">
        <v>4564</v>
      </c>
      <c r="F1369" s="12" t="s">
        <v>4565</v>
      </c>
      <c r="G1369" s="12" t="s">
        <v>6544</v>
      </c>
      <c r="H1369" s="12" t="s">
        <v>6438</v>
      </c>
      <c r="I1369" s="12"/>
      <c r="J1369" s="12"/>
      <c r="K1369" s="12"/>
      <c r="L1369" s="12"/>
      <c r="M1369" s="12" t="s">
        <v>4566</v>
      </c>
      <c r="N1369" s="12"/>
      <c r="O1369" s="12" t="s">
        <v>4567</v>
      </c>
      <c r="P1369" s="12" t="str">
        <f>HYPERLINK("https://ceds.ed.gov/cedselementdetails.aspx?termid=9193")</f>
        <v>https://ceds.ed.gov/cedselementdetails.aspx?termid=9193</v>
      </c>
      <c r="Q1369" s="12" t="str">
        <f>HYPERLINK("https://ceds.ed.gov/elementComment.aspx?elementName=Neglected or Delinquent Status &amp;elementID=9193", "Click here to submit comment")</f>
        <v>Click here to submit comment</v>
      </c>
    </row>
    <row r="1370" spans="1:17" ht="60" x14ac:dyDescent="0.25">
      <c r="A1370" s="12" t="s">
        <v>7242</v>
      </c>
      <c r="B1370" s="12" t="s">
        <v>7256</v>
      </c>
      <c r="C1370" s="12" t="s">
        <v>7273</v>
      </c>
      <c r="D1370" s="12" t="s">
        <v>7172</v>
      </c>
      <c r="E1370" s="12" t="s">
        <v>5164</v>
      </c>
      <c r="F1370" s="12" t="s">
        <v>5165</v>
      </c>
      <c r="G1370" s="12" t="s">
        <v>12</v>
      </c>
      <c r="H1370" s="12" t="s">
        <v>6646</v>
      </c>
      <c r="I1370" s="12"/>
      <c r="J1370" s="12" t="s">
        <v>73</v>
      </c>
      <c r="K1370" s="12"/>
      <c r="L1370" s="12"/>
      <c r="M1370" s="12" t="s">
        <v>5166</v>
      </c>
      <c r="N1370" s="12"/>
      <c r="O1370" s="12" t="s">
        <v>5167</v>
      </c>
      <c r="P1370" s="12" t="str">
        <f>HYPERLINK("https://ceds.ed.gov/cedselementdetails.aspx?termid=9583")</f>
        <v>https://ceds.ed.gov/cedselementdetails.aspx?termid=9583</v>
      </c>
      <c r="Q1370" s="12" t="str">
        <f>HYPERLINK("https://ceds.ed.gov/elementComment.aspx?elementName=Program Participation Start Date &amp;elementID=9583", "Click here to submit comment")</f>
        <v>Click here to submit comment</v>
      </c>
    </row>
    <row r="1371" spans="1:17" ht="45" x14ac:dyDescent="0.25">
      <c r="A1371" s="12" t="s">
        <v>7242</v>
      </c>
      <c r="B1371" s="12" t="s">
        <v>7256</v>
      </c>
      <c r="C1371" s="12" t="s">
        <v>7273</v>
      </c>
      <c r="D1371" s="12" t="s">
        <v>7172</v>
      </c>
      <c r="E1371" s="12" t="s">
        <v>5161</v>
      </c>
      <c r="F1371" s="12" t="s">
        <v>1684</v>
      </c>
      <c r="G1371" s="12" t="s">
        <v>12</v>
      </c>
      <c r="H1371" s="12" t="s">
        <v>6645</v>
      </c>
      <c r="I1371" s="12"/>
      <c r="J1371" s="12" t="s">
        <v>73</v>
      </c>
      <c r="K1371" s="12"/>
      <c r="L1371" s="12"/>
      <c r="M1371" s="12" t="s">
        <v>5162</v>
      </c>
      <c r="N1371" s="12"/>
      <c r="O1371" s="12" t="s">
        <v>5163</v>
      </c>
      <c r="P1371" s="12" t="str">
        <f>HYPERLINK("https://ceds.ed.gov/cedselementdetails.aspx?termid=9584")</f>
        <v>https://ceds.ed.gov/cedselementdetails.aspx?termid=9584</v>
      </c>
      <c r="Q1371" s="12" t="str">
        <f>HYPERLINK("https://ceds.ed.gov/elementComment.aspx?elementName=Program Participation Exit Date &amp;elementID=9584", "Click here to submit comment")</f>
        <v>Click here to submit comment</v>
      </c>
    </row>
    <row r="1372" spans="1:17" ht="90" x14ac:dyDescent="0.25">
      <c r="A1372" s="18" t="s">
        <v>7242</v>
      </c>
      <c r="B1372" s="18" t="s">
        <v>7256</v>
      </c>
      <c r="C1372" s="18" t="s">
        <v>7273</v>
      </c>
      <c r="D1372" s="18" t="s">
        <v>7172</v>
      </c>
      <c r="E1372" s="18" t="s">
        <v>4545</v>
      </c>
      <c r="F1372" s="18" t="s">
        <v>4546</v>
      </c>
      <c r="G1372" s="18" t="s">
        <v>6364</v>
      </c>
      <c r="H1372" s="18" t="s">
        <v>222</v>
      </c>
      <c r="I1372" s="18"/>
      <c r="J1372" s="18"/>
      <c r="K1372" s="18"/>
      <c r="L1372" s="12" t="s">
        <v>4548</v>
      </c>
      <c r="M1372" s="18" t="s">
        <v>4550</v>
      </c>
      <c r="N1372" s="18"/>
      <c r="O1372" s="18" t="s">
        <v>4551</v>
      </c>
      <c r="P1372" s="18" t="str">
        <f>HYPERLINK("https://ceds.ed.gov/cedselementdetails.aspx?termid=9636")</f>
        <v>https://ceds.ed.gov/cedselementdetails.aspx?termid=9636</v>
      </c>
      <c r="Q1372" s="18" t="str">
        <f>HYPERLINK("https://ceds.ed.gov/elementComment.aspx?elementName=Neglected or Delinquent Academic Achievement Indicator &amp;elementID=9636", "Click here to submit comment")</f>
        <v>Click here to submit comment</v>
      </c>
    </row>
    <row r="1373" spans="1:17" ht="105" x14ac:dyDescent="0.25">
      <c r="A1373" s="18"/>
      <c r="B1373" s="18"/>
      <c r="C1373" s="18"/>
      <c r="D1373" s="18"/>
      <c r="E1373" s="18"/>
      <c r="F1373" s="18"/>
      <c r="G1373" s="18"/>
      <c r="H1373" s="18"/>
      <c r="I1373" s="18"/>
      <c r="J1373" s="18"/>
      <c r="K1373" s="18"/>
      <c r="L1373" s="12" t="s">
        <v>4549</v>
      </c>
      <c r="M1373" s="18"/>
      <c r="N1373" s="18"/>
      <c r="O1373" s="18"/>
      <c r="P1373" s="18"/>
      <c r="Q1373" s="18"/>
    </row>
    <row r="1374" spans="1:17" ht="90" x14ac:dyDescent="0.25">
      <c r="A1374" s="18" t="s">
        <v>7242</v>
      </c>
      <c r="B1374" s="18" t="s">
        <v>7256</v>
      </c>
      <c r="C1374" s="18" t="s">
        <v>7273</v>
      </c>
      <c r="D1374" s="18" t="s">
        <v>7172</v>
      </c>
      <c r="E1374" s="18" t="s">
        <v>4552</v>
      </c>
      <c r="F1374" s="18" t="s">
        <v>4553</v>
      </c>
      <c r="G1374" s="18" t="s">
        <v>6364</v>
      </c>
      <c r="H1374" s="18" t="s">
        <v>222</v>
      </c>
      <c r="I1374" s="18"/>
      <c r="J1374" s="18"/>
      <c r="K1374" s="18"/>
      <c r="L1374" s="12" t="s">
        <v>4548</v>
      </c>
      <c r="M1374" s="18" t="s">
        <v>4554</v>
      </c>
      <c r="N1374" s="18"/>
      <c r="O1374" s="18" t="s">
        <v>4555</v>
      </c>
      <c r="P1374" s="18" t="str">
        <f>HYPERLINK("https://ceds.ed.gov/cedselementdetails.aspx?termid=9638")</f>
        <v>https://ceds.ed.gov/cedselementdetails.aspx?termid=9638</v>
      </c>
      <c r="Q1374" s="18" t="str">
        <f>HYPERLINK("https://ceds.ed.gov/elementComment.aspx?elementName=Neglected or Delinquent Academic Outcome Indicator &amp;elementID=9638", "Click here to submit comment")</f>
        <v>Click here to submit comment</v>
      </c>
    </row>
    <row r="1375" spans="1:17" ht="105" x14ac:dyDescent="0.25">
      <c r="A1375" s="18"/>
      <c r="B1375" s="18"/>
      <c r="C1375" s="18"/>
      <c r="D1375" s="18"/>
      <c r="E1375" s="18"/>
      <c r="F1375" s="18"/>
      <c r="G1375" s="18"/>
      <c r="H1375" s="18"/>
      <c r="I1375" s="18"/>
      <c r="J1375" s="18"/>
      <c r="K1375" s="18"/>
      <c r="L1375" s="12" t="s">
        <v>4549</v>
      </c>
      <c r="M1375" s="18"/>
      <c r="N1375" s="18"/>
      <c r="O1375" s="18"/>
      <c r="P1375" s="18"/>
      <c r="Q1375" s="18"/>
    </row>
    <row r="1376" spans="1:17" ht="45" x14ac:dyDescent="0.25">
      <c r="A1376" s="12" t="s">
        <v>7242</v>
      </c>
      <c r="B1376" s="12" t="s">
        <v>7256</v>
      </c>
      <c r="C1376" s="12" t="s">
        <v>7273</v>
      </c>
      <c r="D1376" s="12" t="s">
        <v>7172</v>
      </c>
      <c r="E1376" s="12" t="s">
        <v>4556</v>
      </c>
      <c r="F1376" s="12" t="s">
        <v>4557</v>
      </c>
      <c r="G1376" s="12" t="s">
        <v>6364</v>
      </c>
      <c r="H1376" s="12" t="s">
        <v>211</v>
      </c>
      <c r="I1376" s="12"/>
      <c r="J1376" s="12"/>
      <c r="K1376" s="12"/>
      <c r="L1376" s="12"/>
      <c r="M1376" s="12" t="s">
        <v>4558</v>
      </c>
      <c r="N1376" s="12"/>
      <c r="O1376" s="12" t="s">
        <v>4559</v>
      </c>
      <c r="P1376" s="12" t="str">
        <f>HYPERLINK("https://ceds.ed.gov/cedselementdetails.aspx?termid=9475")</f>
        <v>https://ceds.ed.gov/cedselementdetails.aspx?termid=9475</v>
      </c>
      <c r="Q1376" s="12" t="str">
        <f>HYPERLINK("https://ceds.ed.gov/elementComment.aspx?elementName=Neglected or Delinquent Obtained Employment &amp;elementID=9475", "Click here to submit comment")</f>
        <v>Click here to submit comment</v>
      </c>
    </row>
    <row r="1377" spans="1:17" ht="150" x14ac:dyDescent="0.25">
      <c r="A1377" s="12" t="s">
        <v>7242</v>
      </c>
      <c r="B1377" s="12" t="s">
        <v>7256</v>
      </c>
      <c r="C1377" s="12" t="s">
        <v>7273</v>
      </c>
      <c r="D1377" s="12" t="s">
        <v>7172</v>
      </c>
      <c r="E1377" s="12" t="s">
        <v>4560</v>
      </c>
      <c r="F1377" s="12" t="s">
        <v>4561</v>
      </c>
      <c r="G1377" s="13" t="s">
        <v>7040</v>
      </c>
      <c r="H1377" s="12" t="s">
        <v>222</v>
      </c>
      <c r="I1377" s="12"/>
      <c r="J1377" s="12"/>
      <c r="K1377" s="12"/>
      <c r="L1377" s="12"/>
      <c r="M1377" s="12" t="s">
        <v>4562</v>
      </c>
      <c r="N1377" s="12"/>
      <c r="O1377" s="12" t="s">
        <v>4563</v>
      </c>
      <c r="P1377" s="12" t="str">
        <f>HYPERLINK("https://ceds.ed.gov/cedselementdetails.aspx?termid=9194")</f>
        <v>https://ceds.ed.gov/cedselementdetails.aspx?termid=9194</v>
      </c>
      <c r="Q1377" s="12" t="str">
        <f>HYPERLINK("https://ceds.ed.gov/elementComment.aspx?elementName=Neglected or Delinquent Program Type &amp;elementID=9194", "Click here to submit comment")</f>
        <v>Click here to submit comment</v>
      </c>
    </row>
    <row r="1378" spans="1:17" ht="409.5" x14ac:dyDescent="0.25">
      <c r="A1378" s="12" t="s">
        <v>7242</v>
      </c>
      <c r="B1378" s="12" t="s">
        <v>7256</v>
      </c>
      <c r="C1378" s="12" t="s">
        <v>7200</v>
      </c>
      <c r="D1378" s="12" t="s">
        <v>7172</v>
      </c>
      <c r="E1378" s="12" t="s">
        <v>5197</v>
      </c>
      <c r="F1378" s="12" t="s">
        <v>5198</v>
      </c>
      <c r="G1378" s="13" t="s">
        <v>7082</v>
      </c>
      <c r="H1378" s="12" t="s">
        <v>6369</v>
      </c>
      <c r="I1378" s="12"/>
      <c r="J1378" s="12"/>
      <c r="K1378" s="12"/>
      <c r="L1378" s="12"/>
      <c r="M1378" s="12" t="s">
        <v>5199</v>
      </c>
      <c r="N1378" s="12"/>
      <c r="O1378" s="12" t="s">
        <v>5200</v>
      </c>
      <c r="P1378" s="12" t="str">
        <f>HYPERLINK("https://ceds.ed.gov/cedselementdetails.aspx?termid=9225")</f>
        <v>https://ceds.ed.gov/cedselementdetails.aspx?termid=9225</v>
      </c>
      <c r="Q1378" s="12" t="str">
        <f>HYPERLINK("https://ceds.ed.gov/elementComment.aspx?elementName=Program Type &amp;elementID=9225", "Click here to submit comment")</f>
        <v>Click here to submit comment</v>
      </c>
    </row>
    <row r="1379" spans="1:17" ht="135" x14ac:dyDescent="0.25">
      <c r="A1379" s="12" t="s">
        <v>7242</v>
      </c>
      <c r="B1379" s="12" t="s">
        <v>7256</v>
      </c>
      <c r="C1379" s="12" t="s">
        <v>7200</v>
      </c>
      <c r="D1379" s="12" t="s">
        <v>7172</v>
      </c>
      <c r="E1379" s="12" t="s">
        <v>5168</v>
      </c>
      <c r="F1379" s="12" t="s">
        <v>5169</v>
      </c>
      <c r="G1379" s="13" t="s">
        <v>7080</v>
      </c>
      <c r="H1379" s="12" t="s">
        <v>2017</v>
      </c>
      <c r="I1379" s="12"/>
      <c r="J1379" s="12"/>
      <c r="K1379" s="12"/>
      <c r="L1379" s="12"/>
      <c r="M1379" s="12" t="s">
        <v>5170</v>
      </c>
      <c r="N1379" s="12"/>
      <c r="O1379" s="12" t="s">
        <v>5171</v>
      </c>
      <c r="P1379" s="12" t="str">
        <f>HYPERLINK("https://ceds.ed.gov/cedselementdetails.aspx?termid=10209")</f>
        <v>https://ceds.ed.gov/cedselementdetails.aspx?termid=10209</v>
      </c>
      <c r="Q1379" s="12" t="str">
        <f>HYPERLINK("https://ceds.ed.gov/elementComment.aspx?elementName=Program Participation Status &amp;elementID=10209", "Click here to submit comment")</f>
        <v>Click here to submit comment</v>
      </c>
    </row>
    <row r="1380" spans="1:17" ht="60" x14ac:dyDescent="0.25">
      <c r="A1380" s="12" t="s">
        <v>7242</v>
      </c>
      <c r="B1380" s="12" t="s">
        <v>7256</v>
      </c>
      <c r="C1380" s="12" t="s">
        <v>7200</v>
      </c>
      <c r="D1380" s="12" t="s">
        <v>7172</v>
      </c>
      <c r="E1380" s="12" t="s">
        <v>5164</v>
      </c>
      <c r="F1380" s="12" t="s">
        <v>5165</v>
      </c>
      <c r="G1380" s="12" t="s">
        <v>12</v>
      </c>
      <c r="H1380" s="12" t="s">
        <v>6646</v>
      </c>
      <c r="I1380" s="12"/>
      <c r="J1380" s="12" t="s">
        <v>73</v>
      </c>
      <c r="K1380" s="12"/>
      <c r="L1380" s="12"/>
      <c r="M1380" s="12" t="s">
        <v>5166</v>
      </c>
      <c r="N1380" s="12"/>
      <c r="O1380" s="12" t="s">
        <v>5167</v>
      </c>
      <c r="P1380" s="12" t="str">
        <f>HYPERLINK("https://ceds.ed.gov/cedselementdetails.aspx?termid=9583")</f>
        <v>https://ceds.ed.gov/cedselementdetails.aspx?termid=9583</v>
      </c>
      <c r="Q1380" s="12" t="str">
        <f>HYPERLINK("https://ceds.ed.gov/elementComment.aspx?elementName=Program Participation Start Date &amp;elementID=9583", "Click here to submit comment")</f>
        <v>Click here to submit comment</v>
      </c>
    </row>
    <row r="1381" spans="1:17" ht="45" x14ac:dyDescent="0.25">
      <c r="A1381" s="12" t="s">
        <v>7242</v>
      </c>
      <c r="B1381" s="12" t="s">
        <v>7256</v>
      </c>
      <c r="C1381" s="12" t="s">
        <v>7200</v>
      </c>
      <c r="D1381" s="12" t="s">
        <v>7172</v>
      </c>
      <c r="E1381" s="12" t="s">
        <v>5161</v>
      </c>
      <c r="F1381" s="12" t="s">
        <v>1684</v>
      </c>
      <c r="G1381" s="12" t="s">
        <v>12</v>
      </c>
      <c r="H1381" s="12" t="s">
        <v>6645</v>
      </c>
      <c r="I1381" s="12"/>
      <c r="J1381" s="12" t="s">
        <v>73</v>
      </c>
      <c r="K1381" s="12"/>
      <c r="L1381" s="12"/>
      <c r="M1381" s="12" t="s">
        <v>5162</v>
      </c>
      <c r="N1381" s="12"/>
      <c r="O1381" s="12" t="s">
        <v>5163</v>
      </c>
      <c r="P1381" s="12" t="str">
        <f>HYPERLINK("https://ceds.ed.gov/cedselementdetails.aspx?termid=9584")</f>
        <v>https://ceds.ed.gov/cedselementdetails.aspx?termid=9584</v>
      </c>
      <c r="Q1381" s="12" t="str">
        <f>HYPERLINK("https://ceds.ed.gov/elementComment.aspx?elementName=Program Participation Exit Date &amp;elementID=9584", "Click here to submit comment")</f>
        <v>Click here to submit comment</v>
      </c>
    </row>
    <row r="1382" spans="1:17" ht="409.5" x14ac:dyDescent="0.25">
      <c r="A1382" s="12" t="s">
        <v>7242</v>
      </c>
      <c r="B1382" s="12" t="s">
        <v>7256</v>
      </c>
      <c r="C1382" s="12" t="s">
        <v>7200</v>
      </c>
      <c r="D1382" s="12" t="s">
        <v>7172</v>
      </c>
      <c r="E1382" s="12" t="s">
        <v>2788</v>
      </c>
      <c r="F1382" s="12" t="s">
        <v>2789</v>
      </c>
      <c r="G1382" s="13" t="s">
        <v>6912</v>
      </c>
      <c r="H1382" s="12"/>
      <c r="I1382" s="12"/>
      <c r="J1382" s="12"/>
      <c r="K1382" s="12"/>
      <c r="L1382" s="12"/>
      <c r="M1382" s="12" t="s">
        <v>2790</v>
      </c>
      <c r="N1382" s="12"/>
      <c r="O1382" s="12" t="s">
        <v>2791</v>
      </c>
      <c r="P1382" s="12" t="str">
        <f>HYPERLINK("https://ceds.ed.gov/cedselementdetails.aspx?termid=9222")</f>
        <v>https://ceds.ed.gov/cedselementdetails.aspx?termid=9222</v>
      </c>
      <c r="Q1382" s="12" t="str">
        <f>HYPERLINK("https://ceds.ed.gov/elementComment.aspx?elementName=Exit Reason &amp;elementID=9222", "Click here to submit comment")</f>
        <v>Click here to submit comment</v>
      </c>
    </row>
    <row r="1383" spans="1:17" ht="90" x14ac:dyDescent="0.25">
      <c r="A1383" s="12" t="s">
        <v>7242</v>
      </c>
      <c r="B1383" s="12" t="s">
        <v>7256</v>
      </c>
      <c r="C1383" s="12" t="s">
        <v>7200</v>
      </c>
      <c r="D1383" s="12" t="s">
        <v>7172</v>
      </c>
      <c r="E1383" s="12" t="s">
        <v>2186</v>
      </c>
      <c r="F1383" s="12" t="s">
        <v>2187</v>
      </c>
      <c r="G1383" s="12" t="s">
        <v>12</v>
      </c>
      <c r="H1383" s="12"/>
      <c r="I1383" s="12"/>
      <c r="J1383" s="12" t="s">
        <v>1554</v>
      </c>
      <c r="K1383" s="12"/>
      <c r="L1383" s="12" t="s">
        <v>2188</v>
      </c>
      <c r="M1383" s="12" t="s">
        <v>2189</v>
      </c>
      <c r="N1383" s="12"/>
      <c r="O1383" s="12" t="s">
        <v>2190</v>
      </c>
      <c r="P1383" s="12" t="str">
        <f>HYPERLINK("https://ceds.ed.gov/cedselementdetails.aspx?termid=10553")</f>
        <v>https://ceds.ed.gov/cedselementdetails.aspx?termid=10553</v>
      </c>
      <c r="Q1383" s="12" t="str">
        <f>HYPERLINK("https://ceds.ed.gov/elementComment.aspx?elementName=Credits Required &amp;elementID=10553", "Click here to submit comment")</f>
        <v>Click here to submit comment</v>
      </c>
    </row>
    <row r="1384" spans="1:17" ht="105" x14ac:dyDescent="0.25">
      <c r="A1384" s="18" t="s">
        <v>7242</v>
      </c>
      <c r="B1384" s="18" t="s">
        <v>7256</v>
      </c>
      <c r="C1384" s="18" t="s">
        <v>7200</v>
      </c>
      <c r="D1384" s="18" t="s">
        <v>7172</v>
      </c>
      <c r="E1384" s="18" t="s">
        <v>5141</v>
      </c>
      <c r="F1384" s="18" t="s">
        <v>5142</v>
      </c>
      <c r="G1384" s="18" t="s">
        <v>12</v>
      </c>
      <c r="H1384" s="18" t="s">
        <v>2017</v>
      </c>
      <c r="I1384" s="18"/>
      <c r="J1384" s="18" t="s">
        <v>142</v>
      </c>
      <c r="K1384" s="18"/>
      <c r="L1384" s="12" t="s">
        <v>143</v>
      </c>
      <c r="M1384" s="18" t="s">
        <v>5143</v>
      </c>
      <c r="N1384" s="18"/>
      <c r="O1384" s="18" t="s">
        <v>5144</v>
      </c>
      <c r="P1384" s="18" t="str">
        <f>HYPERLINK("https://ceds.ed.gov/cedselementdetails.aspx?termid=9618")</f>
        <v>https://ceds.ed.gov/cedselementdetails.aspx?termid=9618</v>
      </c>
      <c r="Q1384" s="18" t="str">
        <f>HYPERLINK("https://ceds.ed.gov/elementComment.aspx?elementName=Program Identifier &amp;elementID=9618", "Click here to submit comment")</f>
        <v>Click here to submit comment</v>
      </c>
    </row>
    <row r="1385" spans="1:17" x14ac:dyDescent="0.25">
      <c r="A1385" s="18"/>
      <c r="B1385" s="18"/>
      <c r="C1385" s="18"/>
      <c r="D1385" s="18"/>
      <c r="E1385" s="18"/>
      <c r="F1385" s="18"/>
      <c r="G1385" s="18"/>
      <c r="H1385" s="18"/>
      <c r="I1385" s="18"/>
      <c r="J1385" s="18"/>
      <c r="K1385" s="18"/>
      <c r="L1385" s="12"/>
      <c r="M1385" s="18"/>
      <c r="N1385" s="18"/>
      <c r="O1385" s="18"/>
      <c r="P1385" s="18"/>
      <c r="Q1385" s="18"/>
    </row>
    <row r="1386" spans="1:17" ht="90" x14ac:dyDescent="0.25">
      <c r="A1386" s="18"/>
      <c r="B1386" s="18"/>
      <c r="C1386" s="18"/>
      <c r="D1386" s="18"/>
      <c r="E1386" s="18"/>
      <c r="F1386" s="18"/>
      <c r="G1386" s="18"/>
      <c r="H1386" s="18"/>
      <c r="I1386" s="18"/>
      <c r="J1386" s="18"/>
      <c r="K1386" s="18"/>
      <c r="L1386" s="12" t="s">
        <v>144</v>
      </c>
      <c r="M1386" s="18"/>
      <c r="N1386" s="18"/>
      <c r="O1386" s="18"/>
      <c r="P1386" s="18"/>
      <c r="Q1386" s="18"/>
    </row>
    <row r="1387" spans="1:17" ht="60" x14ac:dyDescent="0.25">
      <c r="A1387" s="12" t="s">
        <v>7242</v>
      </c>
      <c r="B1387" s="12" t="s">
        <v>7256</v>
      </c>
      <c r="C1387" s="12" t="s">
        <v>7200</v>
      </c>
      <c r="D1387" s="12" t="s">
        <v>7172</v>
      </c>
      <c r="E1387" s="12" t="s">
        <v>5157</v>
      </c>
      <c r="F1387" s="12" t="s">
        <v>5158</v>
      </c>
      <c r="G1387" s="12" t="s">
        <v>12</v>
      </c>
      <c r="H1387" s="12" t="s">
        <v>2017</v>
      </c>
      <c r="I1387" s="12"/>
      <c r="J1387" s="12" t="s">
        <v>99</v>
      </c>
      <c r="K1387" s="12"/>
      <c r="L1387" s="12"/>
      <c r="M1387" s="12" t="s">
        <v>5159</v>
      </c>
      <c r="N1387" s="12"/>
      <c r="O1387" s="12" t="s">
        <v>5160</v>
      </c>
      <c r="P1387" s="12" t="str">
        <f>HYPERLINK("https://ceds.ed.gov/cedselementdetails.aspx?termid=9619")</f>
        <v>https://ceds.ed.gov/cedselementdetails.aspx?termid=9619</v>
      </c>
      <c r="Q1387" s="12" t="str">
        <f>HYPERLINK("https://ceds.ed.gov/elementComment.aspx?elementName=Program Name &amp;elementID=9619", "Click here to submit comment")</f>
        <v>Click here to submit comment</v>
      </c>
    </row>
    <row r="1388" spans="1:17" ht="240" x14ac:dyDescent="0.25">
      <c r="A1388" s="12" t="s">
        <v>7242</v>
      </c>
      <c r="B1388" s="12" t="s">
        <v>7256</v>
      </c>
      <c r="C1388" s="12" t="s">
        <v>7200</v>
      </c>
      <c r="D1388" s="12" t="s">
        <v>7172</v>
      </c>
      <c r="E1388" s="12" t="s">
        <v>6336</v>
      </c>
      <c r="F1388" s="12" t="s">
        <v>6337</v>
      </c>
      <c r="G1388" s="13" t="s">
        <v>7156</v>
      </c>
      <c r="H1388" s="12"/>
      <c r="I1388" s="12"/>
      <c r="J1388" s="12"/>
      <c r="K1388" s="12"/>
      <c r="L1388" s="12"/>
      <c r="M1388" s="12" t="s">
        <v>6338</v>
      </c>
      <c r="N1388" s="12"/>
      <c r="O1388" s="12" t="s">
        <v>6339</v>
      </c>
      <c r="P1388" s="12" t="str">
        <f>HYPERLINK("https://ceds.ed.gov/cedselementdetails.aspx?termid=10471")</f>
        <v>https://ceds.ed.gov/cedselementdetails.aspx?termid=10471</v>
      </c>
      <c r="Q1388" s="12" t="str">
        <f>HYPERLINK("https://ceds.ed.gov/elementComment.aspx?elementName=Work-based Learning Opportunity Type &amp;elementID=10471", "Click here to submit comment")</f>
        <v>Click here to submit comment</v>
      </c>
    </row>
    <row r="1389" spans="1:17" ht="90" x14ac:dyDescent="0.25">
      <c r="A1389" s="12" t="s">
        <v>7242</v>
      </c>
      <c r="B1389" s="12" t="s">
        <v>7256</v>
      </c>
      <c r="C1389" s="12" t="s">
        <v>7274</v>
      </c>
      <c r="D1389" s="12" t="s">
        <v>7172</v>
      </c>
      <c r="E1389" s="12" t="s">
        <v>5773</v>
      </c>
      <c r="F1389" s="12" t="s">
        <v>5774</v>
      </c>
      <c r="G1389" s="12" t="s">
        <v>12</v>
      </c>
      <c r="H1389" s="12"/>
      <c r="I1389" s="12"/>
      <c r="J1389" s="12" t="s">
        <v>5775</v>
      </c>
      <c r="K1389" s="12"/>
      <c r="L1389" s="12"/>
      <c r="M1389" s="12" t="s">
        <v>5776</v>
      </c>
      <c r="N1389" s="12" t="s">
        <v>5777</v>
      </c>
      <c r="O1389" s="12" t="s">
        <v>5778</v>
      </c>
      <c r="P1389" s="12" t="str">
        <f>HYPERLINK("https://ceds.ed.gov/cedselementdetails.aspx?termid=10208")</f>
        <v>https://ceds.ed.gov/cedselementdetails.aspx?termid=10208</v>
      </c>
      <c r="Q1389" s="12" t="str">
        <f>HYPERLINK("https://ceds.ed.gov/elementComment.aspx?elementName=Special Education Full Time Equivalency &amp;elementID=10208", "Click here to submit comment")</f>
        <v>Click here to submit comment</v>
      </c>
    </row>
    <row r="1390" spans="1:17" ht="60" x14ac:dyDescent="0.25">
      <c r="A1390" s="12" t="s">
        <v>7242</v>
      </c>
      <c r="B1390" s="12" t="s">
        <v>7256</v>
      </c>
      <c r="C1390" s="12" t="s">
        <v>7274</v>
      </c>
      <c r="D1390" s="12" t="s">
        <v>7172</v>
      </c>
      <c r="E1390" s="12" t="s">
        <v>5164</v>
      </c>
      <c r="F1390" s="12" t="s">
        <v>5165</v>
      </c>
      <c r="G1390" s="12" t="s">
        <v>12</v>
      </c>
      <c r="H1390" s="12" t="s">
        <v>6646</v>
      </c>
      <c r="I1390" s="12"/>
      <c r="J1390" s="12" t="s">
        <v>73</v>
      </c>
      <c r="K1390" s="12"/>
      <c r="L1390" s="12"/>
      <c r="M1390" s="12" t="s">
        <v>5166</v>
      </c>
      <c r="N1390" s="12"/>
      <c r="O1390" s="12" t="s">
        <v>5167</v>
      </c>
      <c r="P1390" s="12" t="str">
        <f>HYPERLINK("https://ceds.ed.gov/cedselementdetails.aspx?termid=9583")</f>
        <v>https://ceds.ed.gov/cedselementdetails.aspx?termid=9583</v>
      </c>
      <c r="Q1390" s="12" t="str">
        <f>HYPERLINK("https://ceds.ed.gov/elementComment.aspx?elementName=Program Participation Start Date &amp;elementID=9583", "Click here to submit comment")</f>
        <v>Click here to submit comment</v>
      </c>
    </row>
    <row r="1391" spans="1:17" ht="45" x14ac:dyDescent="0.25">
      <c r="A1391" s="12" t="s">
        <v>7242</v>
      </c>
      <c r="B1391" s="12" t="s">
        <v>7256</v>
      </c>
      <c r="C1391" s="12" t="s">
        <v>7274</v>
      </c>
      <c r="D1391" s="12" t="s">
        <v>7172</v>
      </c>
      <c r="E1391" s="12" t="s">
        <v>5161</v>
      </c>
      <c r="F1391" s="12" t="s">
        <v>1684</v>
      </c>
      <c r="G1391" s="12" t="s">
        <v>12</v>
      </c>
      <c r="H1391" s="12" t="s">
        <v>6645</v>
      </c>
      <c r="I1391" s="12"/>
      <c r="J1391" s="12" t="s">
        <v>73</v>
      </c>
      <c r="K1391" s="12"/>
      <c r="L1391" s="12"/>
      <c r="M1391" s="12" t="s">
        <v>5162</v>
      </c>
      <c r="N1391" s="12"/>
      <c r="O1391" s="12" t="s">
        <v>5163</v>
      </c>
      <c r="P1391" s="12" t="str">
        <f>HYPERLINK("https://ceds.ed.gov/cedselementdetails.aspx?termid=9584")</f>
        <v>https://ceds.ed.gov/cedselementdetails.aspx?termid=9584</v>
      </c>
      <c r="Q1391" s="12" t="str">
        <f>HYPERLINK("https://ceds.ed.gov/elementComment.aspx?elementName=Program Participation Exit Date &amp;elementID=9584", "Click here to submit comment")</f>
        <v>Click here to submit comment</v>
      </c>
    </row>
    <row r="1392" spans="1:17" ht="409.5" x14ac:dyDescent="0.25">
      <c r="A1392" s="12" t="s">
        <v>7242</v>
      </c>
      <c r="B1392" s="12" t="s">
        <v>7256</v>
      </c>
      <c r="C1392" s="12" t="s">
        <v>7274</v>
      </c>
      <c r="D1392" s="12" t="s">
        <v>7172</v>
      </c>
      <c r="E1392" s="12" t="s">
        <v>5769</v>
      </c>
      <c r="F1392" s="12" t="s">
        <v>5770</v>
      </c>
      <c r="G1392" s="13" t="s">
        <v>7116</v>
      </c>
      <c r="H1392" s="12" t="s">
        <v>222</v>
      </c>
      <c r="I1392" s="12"/>
      <c r="J1392" s="12"/>
      <c r="K1392" s="12"/>
      <c r="L1392" s="12"/>
      <c r="M1392" s="12" t="s">
        <v>5771</v>
      </c>
      <c r="N1392" s="12"/>
      <c r="O1392" s="12" t="s">
        <v>5772</v>
      </c>
      <c r="P1392" s="12" t="str">
        <f>HYPERLINK("https://ceds.ed.gov/cedselementdetails.aspx?termid=9260")</f>
        <v>https://ceds.ed.gov/cedselementdetails.aspx?termid=9260</v>
      </c>
      <c r="Q1392" s="12" t="str">
        <f>HYPERLINK("https://ceds.ed.gov/elementComment.aspx?elementName=Special Education Exit Reason &amp;elementID=9260", "Click here to submit comment")</f>
        <v>Click here to submit comment</v>
      </c>
    </row>
    <row r="1393" spans="1:17" ht="45" x14ac:dyDescent="0.25">
      <c r="A1393" s="12" t="s">
        <v>7242</v>
      </c>
      <c r="B1393" s="12" t="s">
        <v>7256</v>
      </c>
      <c r="C1393" s="12" t="s">
        <v>7274</v>
      </c>
      <c r="D1393" s="12" t="s">
        <v>7172</v>
      </c>
      <c r="E1393" s="12" t="s">
        <v>5787</v>
      </c>
      <c r="F1393" s="12" t="s">
        <v>5788</v>
      </c>
      <c r="G1393" s="12" t="s">
        <v>12</v>
      </c>
      <c r="H1393" s="12" t="s">
        <v>222</v>
      </c>
      <c r="I1393" s="12"/>
      <c r="J1393" s="12" t="s">
        <v>73</v>
      </c>
      <c r="K1393" s="12"/>
      <c r="L1393" s="12"/>
      <c r="M1393" s="12" t="s">
        <v>5790</v>
      </c>
      <c r="N1393" s="12"/>
      <c r="O1393" s="12" t="s">
        <v>5791</v>
      </c>
      <c r="P1393" s="12" t="str">
        <f>HYPERLINK("https://ceds.ed.gov/cedselementdetails.aspx?termid=9263")</f>
        <v>https://ceds.ed.gov/cedselementdetails.aspx?termid=9263</v>
      </c>
      <c r="Q1393" s="12" t="str">
        <f>HYPERLINK("https://ceds.ed.gov/elementComment.aspx?elementName=Special Education Services Exit Date &amp;elementID=9263", "Click here to submit comment")</f>
        <v>Click here to submit comment</v>
      </c>
    </row>
    <row r="1394" spans="1:17" ht="120" x14ac:dyDescent="0.25">
      <c r="A1394" s="12" t="s">
        <v>7242</v>
      </c>
      <c r="B1394" s="12" t="s">
        <v>7256</v>
      </c>
      <c r="C1394" s="12" t="s">
        <v>7275</v>
      </c>
      <c r="D1394" s="12" t="s">
        <v>7172</v>
      </c>
      <c r="E1394" s="12" t="s">
        <v>6127</v>
      </c>
      <c r="F1394" s="12" t="s">
        <v>6128</v>
      </c>
      <c r="G1394" s="13" t="s">
        <v>7136</v>
      </c>
      <c r="H1394" s="12" t="s">
        <v>6369</v>
      </c>
      <c r="I1394" s="12"/>
      <c r="J1394" s="12"/>
      <c r="K1394" s="12"/>
      <c r="L1394" s="12"/>
      <c r="M1394" s="12" t="s">
        <v>6129</v>
      </c>
      <c r="N1394" s="12"/>
      <c r="O1394" s="12" t="s">
        <v>6130</v>
      </c>
      <c r="P1394" s="12" t="str">
        <f>HYPERLINK("https://ceds.ed.gov/cedselementdetails.aspx?termid=9281")</f>
        <v>https://ceds.ed.gov/cedselementdetails.aspx?termid=9281</v>
      </c>
      <c r="Q1394" s="12" t="str">
        <f>HYPERLINK("https://ceds.ed.gov/elementComment.aspx?elementName=Title I Indicator &amp;elementID=9281", "Click here to submit comment")</f>
        <v>Click here to submit comment</v>
      </c>
    </row>
    <row r="1395" spans="1:17" ht="60" x14ac:dyDescent="0.25">
      <c r="A1395" s="12" t="s">
        <v>7242</v>
      </c>
      <c r="B1395" s="12" t="s">
        <v>7256</v>
      </c>
      <c r="C1395" s="12" t="s">
        <v>7275</v>
      </c>
      <c r="D1395" s="12" t="s">
        <v>7172</v>
      </c>
      <c r="E1395" s="12" t="s">
        <v>5164</v>
      </c>
      <c r="F1395" s="12" t="s">
        <v>5165</v>
      </c>
      <c r="G1395" s="12" t="s">
        <v>12</v>
      </c>
      <c r="H1395" s="12" t="s">
        <v>6646</v>
      </c>
      <c r="I1395" s="12"/>
      <c r="J1395" s="12" t="s">
        <v>73</v>
      </c>
      <c r="K1395" s="12"/>
      <c r="L1395" s="12"/>
      <c r="M1395" s="12" t="s">
        <v>5166</v>
      </c>
      <c r="N1395" s="12"/>
      <c r="O1395" s="12" t="s">
        <v>5167</v>
      </c>
      <c r="P1395" s="12" t="str">
        <f>HYPERLINK("https://ceds.ed.gov/cedselementdetails.aspx?termid=9583")</f>
        <v>https://ceds.ed.gov/cedselementdetails.aspx?termid=9583</v>
      </c>
      <c r="Q1395" s="12" t="str">
        <f>HYPERLINK("https://ceds.ed.gov/elementComment.aspx?elementName=Program Participation Start Date &amp;elementID=9583", "Click here to submit comment")</f>
        <v>Click here to submit comment</v>
      </c>
    </row>
    <row r="1396" spans="1:17" ht="45" x14ac:dyDescent="0.25">
      <c r="A1396" s="12" t="s">
        <v>7242</v>
      </c>
      <c r="B1396" s="12" t="s">
        <v>7256</v>
      </c>
      <c r="C1396" s="12" t="s">
        <v>7275</v>
      </c>
      <c r="D1396" s="12" t="s">
        <v>7172</v>
      </c>
      <c r="E1396" s="12" t="s">
        <v>5161</v>
      </c>
      <c r="F1396" s="12" t="s">
        <v>1684</v>
      </c>
      <c r="G1396" s="12" t="s">
        <v>12</v>
      </c>
      <c r="H1396" s="12" t="s">
        <v>6645</v>
      </c>
      <c r="I1396" s="12"/>
      <c r="J1396" s="12" t="s">
        <v>73</v>
      </c>
      <c r="K1396" s="12"/>
      <c r="L1396" s="12"/>
      <c r="M1396" s="12" t="s">
        <v>5162</v>
      </c>
      <c r="N1396" s="12"/>
      <c r="O1396" s="12" t="s">
        <v>5163</v>
      </c>
      <c r="P1396" s="12" t="str">
        <f>HYPERLINK("https://ceds.ed.gov/cedselementdetails.aspx?termid=9584")</f>
        <v>https://ceds.ed.gov/cedselementdetails.aspx?termid=9584</v>
      </c>
      <c r="Q1396" s="12" t="str">
        <f>HYPERLINK("https://ceds.ed.gov/elementComment.aspx?elementName=Program Participation Exit Date &amp;elementID=9584", "Click here to submit comment")</f>
        <v>Click here to submit comment</v>
      </c>
    </row>
    <row r="1397" spans="1:17" ht="105" x14ac:dyDescent="0.25">
      <c r="A1397" s="12" t="s">
        <v>7242</v>
      </c>
      <c r="B1397" s="12" t="s">
        <v>7256</v>
      </c>
      <c r="C1397" s="12" t="s">
        <v>7275</v>
      </c>
      <c r="D1397" s="12" t="s">
        <v>7172</v>
      </c>
      <c r="E1397" s="12" t="s">
        <v>5532</v>
      </c>
      <c r="F1397" s="12" t="s">
        <v>5533</v>
      </c>
      <c r="G1397" s="12" t="s">
        <v>6364</v>
      </c>
      <c r="H1397" s="12" t="s">
        <v>222</v>
      </c>
      <c r="I1397" s="12"/>
      <c r="J1397" s="12"/>
      <c r="K1397" s="12"/>
      <c r="L1397" s="12"/>
      <c r="M1397" s="12" t="s">
        <v>5535</v>
      </c>
      <c r="N1397" s="12"/>
      <c r="O1397" s="12" t="s">
        <v>5536</v>
      </c>
      <c r="P1397" s="12" t="str">
        <f>HYPERLINK("https://ceds.ed.gov/cedselementdetails.aspx?termid=9235")</f>
        <v>https://ceds.ed.gov/cedselementdetails.aspx?termid=9235</v>
      </c>
      <c r="Q1397" s="12" t="str">
        <f>HYPERLINK("https://ceds.ed.gov/elementComment.aspx?elementName=School Choice Applied for Transfer Status &amp;elementID=9235", "Click here to submit comment")</f>
        <v>Click here to submit comment</v>
      </c>
    </row>
    <row r="1398" spans="1:17" ht="165" x14ac:dyDescent="0.25">
      <c r="A1398" s="12" t="s">
        <v>7242</v>
      </c>
      <c r="B1398" s="12" t="s">
        <v>7256</v>
      </c>
      <c r="C1398" s="12" t="s">
        <v>7275</v>
      </c>
      <c r="D1398" s="12" t="s">
        <v>7172</v>
      </c>
      <c r="E1398" s="12" t="s">
        <v>5537</v>
      </c>
      <c r="F1398" s="12" t="s">
        <v>5538</v>
      </c>
      <c r="G1398" s="12" t="s">
        <v>6364</v>
      </c>
      <c r="H1398" s="12" t="s">
        <v>222</v>
      </c>
      <c r="I1398" s="12"/>
      <c r="J1398" s="12"/>
      <c r="K1398" s="12"/>
      <c r="L1398" s="12" t="s">
        <v>5539</v>
      </c>
      <c r="M1398" s="12" t="s">
        <v>5540</v>
      </c>
      <c r="N1398" s="12"/>
      <c r="O1398" s="12" t="s">
        <v>5541</v>
      </c>
      <c r="P1398" s="12" t="str">
        <f>HYPERLINK("https://ceds.ed.gov/cedselementdetails.aspx?termid=9236")</f>
        <v>https://ceds.ed.gov/cedselementdetails.aspx?termid=9236</v>
      </c>
      <c r="Q1398" s="12" t="str">
        <f>HYPERLINK("https://ceds.ed.gov/elementComment.aspx?elementName=School Choice Eligible for Transfer Status &amp;elementID=9236", "Click here to submit comment")</f>
        <v>Click here to submit comment</v>
      </c>
    </row>
    <row r="1399" spans="1:17" ht="90" x14ac:dyDescent="0.25">
      <c r="A1399" s="12" t="s">
        <v>7242</v>
      </c>
      <c r="B1399" s="12" t="s">
        <v>7256</v>
      </c>
      <c r="C1399" s="12" t="s">
        <v>7275</v>
      </c>
      <c r="D1399" s="12" t="s">
        <v>7172</v>
      </c>
      <c r="E1399" s="12" t="s">
        <v>5542</v>
      </c>
      <c r="F1399" s="12" t="s">
        <v>5543</v>
      </c>
      <c r="G1399" s="12" t="s">
        <v>6364</v>
      </c>
      <c r="H1399" s="12" t="s">
        <v>6369</v>
      </c>
      <c r="I1399" s="12"/>
      <c r="J1399" s="12"/>
      <c r="K1399" s="12"/>
      <c r="L1399" s="12"/>
      <c r="M1399" s="12" t="s">
        <v>5544</v>
      </c>
      <c r="N1399" s="12"/>
      <c r="O1399" s="12" t="s">
        <v>5545</v>
      </c>
      <c r="P1399" s="12" t="str">
        <f>HYPERLINK("https://ceds.ed.gov/cedselementdetails.aspx?termid=9237")</f>
        <v>https://ceds.ed.gov/cedselementdetails.aspx?termid=9237</v>
      </c>
      <c r="Q1399" s="12" t="str">
        <f>HYPERLINK("https://ceds.ed.gov/elementComment.aspx?elementName=School Choice Transfer Status &amp;elementID=9237", "Click here to submit comment")</f>
        <v>Click here to submit comment</v>
      </c>
    </row>
    <row r="1400" spans="1:17" ht="90" x14ac:dyDescent="0.25">
      <c r="A1400" s="12" t="s">
        <v>7242</v>
      </c>
      <c r="B1400" s="12" t="s">
        <v>7256</v>
      </c>
      <c r="C1400" s="12" t="s">
        <v>7275</v>
      </c>
      <c r="D1400" s="12" t="s">
        <v>7172</v>
      </c>
      <c r="E1400" s="12" t="s">
        <v>6147</v>
      </c>
      <c r="F1400" s="12" t="s">
        <v>6148</v>
      </c>
      <c r="G1400" s="12" t="s">
        <v>6364</v>
      </c>
      <c r="H1400" s="12" t="s">
        <v>222</v>
      </c>
      <c r="I1400" s="12"/>
      <c r="J1400" s="12"/>
      <c r="K1400" s="12"/>
      <c r="L1400" s="12"/>
      <c r="M1400" s="12" t="s">
        <v>6149</v>
      </c>
      <c r="N1400" s="12"/>
      <c r="O1400" s="12" t="s">
        <v>6150</v>
      </c>
      <c r="P1400" s="12" t="str">
        <f>HYPERLINK("https://ceds.ed.gov/cedselementdetails.aspx?termid=9286")</f>
        <v>https://ceds.ed.gov/cedselementdetails.aspx?termid=9286</v>
      </c>
      <c r="Q1400" s="12" t="str">
        <f>HYPERLINK("https://ceds.ed.gov/elementComment.aspx?elementName=Title I School Supplemental Services Applied Status &amp;elementID=9286", "Click here to submit comment")</f>
        <v>Click here to submit comment</v>
      </c>
    </row>
    <row r="1401" spans="1:17" ht="75" x14ac:dyDescent="0.25">
      <c r="A1401" s="12" t="s">
        <v>7242</v>
      </c>
      <c r="B1401" s="12" t="s">
        <v>7256</v>
      </c>
      <c r="C1401" s="12" t="s">
        <v>7275</v>
      </c>
      <c r="D1401" s="12" t="s">
        <v>7172</v>
      </c>
      <c r="E1401" s="12" t="s">
        <v>6151</v>
      </c>
      <c r="F1401" s="12" t="s">
        <v>6152</v>
      </c>
      <c r="G1401" s="12" t="s">
        <v>6364</v>
      </c>
      <c r="H1401" s="12" t="s">
        <v>222</v>
      </c>
      <c r="I1401" s="12"/>
      <c r="J1401" s="12"/>
      <c r="K1401" s="12"/>
      <c r="L1401" s="12"/>
      <c r="M1401" s="12" t="s">
        <v>6153</v>
      </c>
      <c r="N1401" s="12"/>
      <c r="O1401" s="12" t="s">
        <v>6154</v>
      </c>
      <c r="P1401" s="12" t="str">
        <f>HYPERLINK("https://ceds.ed.gov/cedselementdetails.aspx?termid=9287")</f>
        <v>https://ceds.ed.gov/cedselementdetails.aspx?termid=9287</v>
      </c>
      <c r="Q1401" s="12" t="str">
        <f>HYPERLINK("https://ceds.ed.gov/elementComment.aspx?elementName=Title I School Supplemental Services Eligible Status &amp;elementID=9287", "Click here to submit comment")</f>
        <v>Click here to submit comment</v>
      </c>
    </row>
    <row r="1402" spans="1:17" ht="75" x14ac:dyDescent="0.25">
      <c r="A1402" s="12" t="s">
        <v>7242</v>
      </c>
      <c r="B1402" s="12" t="s">
        <v>7256</v>
      </c>
      <c r="C1402" s="12" t="s">
        <v>7275</v>
      </c>
      <c r="D1402" s="12" t="s">
        <v>7172</v>
      </c>
      <c r="E1402" s="12" t="s">
        <v>6155</v>
      </c>
      <c r="F1402" s="12" t="s">
        <v>6156</v>
      </c>
      <c r="G1402" s="12" t="s">
        <v>6364</v>
      </c>
      <c r="H1402" s="12" t="s">
        <v>222</v>
      </c>
      <c r="I1402" s="12"/>
      <c r="J1402" s="12"/>
      <c r="K1402" s="12"/>
      <c r="L1402" s="12"/>
      <c r="M1402" s="12" t="s">
        <v>6157</v>
      </c>
      <c r="N1402" s="12"/>
      <c r="O1402" s="12" t="s">
        <v>6158</v>
      </c>
      <c r="P1402" s="12" t="str">
        <f>HYPERLINK("https://ceds.ed.gov/cedselementdetails.aspx?termid=9288")</f>
        <v>https://ceds.ed.gov/cedselementdetails.aspx?termid=9288</v>
      </c>
      <c r="Q1402" s="12" t="str">
        <f>HYPERLINK("https://ceds.ed.gov/elementComment.aspx?elementName=Title I School Supplemental Services Received Status &amp;elementID=9288", "Click here to submit comment")</f>
        <v>Click here to submit comment</v>
      </c>
    </row>
    <row r="1403" spans="1:17" ht="60" x14ac:dyDescent="0.25">
      <c r="A1403" s="12" t="s">
        <v>7242</v>
      </c>
      <c r="B1403" s="12" t="s">
        <v>7256</v>
      </c>
      <c r="C1403" s="12" t="s">
        <v>7275</v>
      </c>
      <c r="D1403" s="12" t="s">
        <v>7172</v>
      </c>
      <c r="E1403" s="12" t="s">
        <v>6159</v>
      </c>
      <c r="F1403" s="12" t="s">
        <v>6160</v>
      </c>
      <c r="G1403" s="12" t="s">
        <v>6364</v>
      </c>
      <c r="H1403" s="12" t="s">
        <v>222</v>
      </c>
      <c r="I1403" s="12"/>
      <c r="J1403" s="12"/>
      <c r="K1403" s="12"/>
      <c r="L1403" s="12"/>
      <c r="M1403" s="12" t="s">
        <v>6161</v>
      </c>
      <c r="N1403" s="12"/>
      <c r="O1403" s="12" t="s">
        <v>6162</v>
      </c>
      <c r="P1403" s="12" t="str">
        <f>HYPERLINK("https://ceds.ed.gov/cedselementdetails.aspx?termid=9541")</f>
        <v>https://ceds.ed.gov/cedselementdetails.aspx?termid=9541</v>
      </c>
      <c r="Q1403" s="12" t="str">
        <f>HYPERLINK("https://ceds.ed.gov/elementComment.aspx?elementName=Title I Schoolwide Program Participation &amp;elementID=9541", "Click here to submit comment")</f>
        <v>Click here to submit comment</v>
      </c>
    </row>
    <row r="1404" spans="1:17" ht="75" x14ac:dyDescent="0.25">
      <c r="A1404" s="12" t="s">
        <v>7242</v>
      </c>
      <c r="B1404" s="12" t="s">
        <v>7256</v>
      </c>
      <c r="C1404" s="12" t="s">
        <v>7275</v>
      </c>
      <c r="D1404" s="12" t="s">
        <v>7172</v>
      </c>
      <c r="E1404" s="12" t="s">
        <v>6167</v>
      </c>
      <c r="F1404" s="12" t="s">
        <v>6168</v>
      </c>
      <c r="G1404" s="12" t="s">
        <v>6364</v>
      </c>
      <c r="H1404" s="12" t="s">
        <v>222</v>
      </c>
      <c r="I1404" s="12"/>
      <c r="J1404" s="12"/>
      <c r="K1404" s="12"/>
      <c r="L1404" s="12"/>
      <c r="M1404" s="12" t="s">
        <v>6169</v>
      </c>
      <c r="N1404" s="12"/>
      <c r="O1404" s="12" t="s">
        <v>6170</v>
      </c>
      <c r="P1404" s="12" t="str">
        <f>HYPERLINK("https://ceds.ed.gov/cedselementdetails.aspx?termid=9542")</f>
        <v>https://ceds.ed.gov/cedselementdetails.aspx?termid=9542</v>
      </c>
      <c r="Q1404" s="12" t="str">
        <f>HYPERLINK("https://ceds.ed.gov/elementComment.aspx?elementName=Title I Targeted Assistance Participation &amp;elementID=9542", "Click here to submit comment")</f>
        <v>Click here to submit comment</v>
      </c>
    </row>
    <row r="1405" spans="1:17" ht="285" x14ac:dyDescent="0.25">
      <c r="A1405" s="12" t="s">
        <v>7242</v>
      </c>
      <c r="B1405" s="12" t="s">
        <v>7256</v>
      </c>
      <c r="C1405" s="12" t="s">
        <v>7196</v>
      </c>
      <c r="D1405" s="12" t="s">
        <v>7172</v>
      </c>
      <c r="E1405" s="12" t="s">
        <v>3501</v>
      </c>
      <c r="F1405" s="12" t="s">
        <v>3502</v>
      </c>
      <c r="G1405" s="13" t="s">
        <v>6974</v>
      </c>
      <c r="H1405" s="12" t="s">
        <v>6393</v>
      </c>
      <c r="I1405" s="12"/>
      <c r="J1405" s="12"/>
      <c r="K1405" s="12"/>
      <c r="L1405" s="12"/>
      <c r="M1405" s="12" t="s">
        <v>3503</v>
      </c>
      <c r="N1405" s="12"/>
      <c r="O1405" s="12" t="s">
        <v>3504</v>
      </c>
      <c r="P1405" s="12" t="str">
        <f>HYPERLINK("https://ceds.ed.gov/cedselementdetails.aspx?termid=9320")</f>
        <v>https://ceds.ed.gov/cedselementdetails.aspx?termid=9320</v>
      </c>
      <c r="Q1405" s="12" t="str">
        <f>HYPERLINK("https://ceds.ed.gov/elementComment.aspx?elementName=Individualized Program Type &amp;elementID=9320", "Click here to submit comment")</f>
        <v>Click here to submit comment</v>
      </c>
    </row>
    <row r="1406" spans="1:17" ht="120" x14ac:dyDescent="0.25">
      <c r="A1406" s="12" t="s">
        <v>7242</v>
      </c>
      <c r="B1406" s="12" t="s">
        <v>7256</v>
      </c>
      <c r="C1406" s="12" t="s">
        <v>7196</v>
      </c>
      <c r="D1406" s="12" t="s">
        <v>7172</v>
      </c>
      <c r="E1406" s="12" t="s">
        <v>3444</v>
      </c>
      <c r="F1406" s="12" t="s">
        <v>3445</v>
      </c>
      <c r="G1406" s="13" t="s">
        <v>6969</v>
      </c>
      <c r="H1406" s="12"/>
      <c r="I1406" s="12"/>
      <c r="J1406" s="12"/>
      <c r="K1406" s="12"/>
      <c r="L1406" s="12"/>
      <c r="M1406" s="12" t="s">
        <v>3446</v>
      </c>
      <c r="N1406" s="12"/>
      <c r="O1406" s="12" t="s">
        <v>3447</v>
      </c>
      <c r="P1406" s="12" t="str">
        <f>HYPERLINK("https://ceds.ed.gov/cedselementdetails.aspx?termid=10196")</f>
        <v>https://ceds.ed.gov/cedselementdetails.aspx?termid=10196</v>
      </c>
      <c r="Q1406" s="12" t="str">
        <f>HYPERLINK("https://ceds.ed.gov/elementComment.aspx?elementName=Individualized Program Date Type &amp;elementID=10196", "Click here to submit comment")</f>
        <v>Click here to submit comment</v>
      </c>
    </row>
    <row r="1407" spans="1:17" ht="45" x14ac:dyDescent="0.25">
      <c r="A1407" s="12" t="s">
        <v>7242</v>
      </c>
      <c r="B1407" s="12" t="s">
        <v>7256</v>
      </c>
      <c r="C1407" s="12" t="s">
        <v>7196</v>
      </c>
      <c r="D1407" s="12" t="s">
        <v>7172</v>
      </c>
      <c r="E1407" s="12" t="s">
        <v>3440</v>
      </c>
      <c r="F1407" s="12" t="s">
        <v>3441</v>
      </c>
      <c r="G1407" s="12" t="s">
        <v>12</v>
      </c>
      <c r="H1407" s="12"/>
      <c r="I1407" s="12"/>
      <c r="J1407" s="12" t="s">
        <v>73</v>
      </c>
      <c r="K1407" s="12"/>
      <c r="L1407" s="12"/>
      <c r="M1407" s="12" t="s">
        <v>3442</v>
      </c>
      <c r="N1407" s="12"/>
      <c r="O1407" s="12" t="s">
        <v>3443</v>
      </c>
      <c r="P1407" s="12" t="str">
        <f>HYPERLINK("https://ceds.ed.gov/cedselementdetails.aspx?termid=10197")</f>
        <v>https://ceds.ed.gov/cedselementdetails.aspx?termid=10197</v>
      </c>
      <c r="Q1407" s="12" t="str">
        <f>HYPERLINK("https://ceds.ed.gov/elementComment.aspx?elementName=Individualized Program Date &amp;elementID=10197", "Click here to submit comment")</f>
        <v>Click here to submit comment</v>
      </c>
    </row>
    <row r="1408" spans="1:17" ht="60" x14ac:dyDescent="0.25">
      <c r="A1408" s="12" t="s">
        <v>7242</v>
      </c>
      <c r="B1408" s="12" t="s">
        <v>7256</v>
      </c>
      <c r="C1408" s="12" t="s">
        <v>7196</v>
      </c>
      <c r="D1408" s="12" t="s">
        <v>7172</v>
      </c>
      <c r="E1408" s="12" t="s">
        <v>3452</v>
      </c>
      <c r="F1408" s="12" t="s">
        <v>3453</v>
      </c>
      <c r="G1408" s="12" t="s">
        <v>12</v>
      </c>
      <c r="H1408" s="12"/>
      <c r="I1408" s="12"/>
      <c r="J1408" s="12" t="s">
        <v>620</v>
      </c>
      <c r="K1408" s="12"/>
      <c r="L1408" s="12"/>
      <c r="M1408" s="12" t="s">
        <v>3454</v>
      </c>
      <c r="N1408" s="12"/>
      <c r="O1408" s="12" t="s">
        <v>3455</v>
      </c>
      <c r="P1408" s="12" t="str">
        <f>HYPERLINK("https://ceds.ed.gov/cedselementdetails.aspx?termid=10198")</f>
        <v>https://ceds.ed.gov/cedselementdetails.aspx?termid=10198</v>
      </c>
      <c r="Q1408" s="12" t="str">
        <f>HYPERLINK("https://ceds.ed.gov/elementComment.aspx?elementName=Individualized Program NonInclusion Minutes Per Week &amp;elementID=10198", "Click here to submit comment")</f>
        <v>Click here to submit comment</v>
      </c>
    </row>
    <row r="1409" spans="1:17" ht="60" x14ac:dyDescent="0.25">
      <c r="A1409" s="12" t="s">
        <v>7242</v>
      </c>
      <c r="B1409" s="12" t="s">
        <v>7256</v>
      </c>
      <c r="C1409" s="12" t="s">
        <v>7196</v>
      </c>
      <c r="D1409" s="12" t="s">
        <v>7172</v>
      </c>
      <c r="E1409" s="12" t="s">
        <v>3448</v>
      </c>
      <c r="F1409" s="12" t="s">
        <v>3449</v>
      </c>
      <c r="G1409" s="12" t="s">
        <v>12</v>
      </c>
      <c r="H1409" s="12"/>
      <c r="I1409" s="12"/>
      <c r="J1409" s="12" t="s">
        <v>620</v>
      </c>
      <c r="K1409" s="12"/>
      <c r="L1409" s="12"/>
      <c r="M1409" s="12" t="s">
        <v>3450</v>
      </c>
      <c r="N1409" s="12"/>
      <c r="O1409" s="12" t="s">
        <v>3451</v>
      </c>
      <c r="P1409" s="12" t="str">
        <f>HYPERLINK("https://ceds.ed.gov/cedselementdetails.aspx?termid=10199")</f>
        <v>https://ceds.ed.gov/cedselementdetails.aspx?termid=10199</v>
      </c>
      <c r="Q1409" s="12" t="str">
        <f>HYPERLINK("https://ceds.ed.gov/elementComment.aspx?elementName=Individualized Program Inclusion Minutes Per Week &amp;elementID=10199", "Click here to submit comment")</f>
        <v>Click here to submit comment</v>
      </c>
    </row>
    <row r="1410" spans="1:17" ht="75" x14ac:dyDescent="0.25">
      <c r="A1410" s="12" t="s">
        <v>7242</v>
      </c>
      <c r="B1410" s="12" t="s">
        <v>7256</v>
      </c>
      <c r="C1410" s="12" t="s">
        <v>7196</v>
      </c>
      <c r="D1410" s="12" t="s">
        <v>7172</v>
      </c>
      <c r="E1410" s="12" t="s">
        <v>3497</v>
      </c>
      <c r="F1410" s="12" t="s">
        <v>3498</v>
      </c>
      <c r="G1410" s="13" t="s">
        <v>6973</v>
      </c>
      <c r="H1410" s="12"/>
      <c r="I1410" s="12"/>
      <c r="J1410" s="12"/>
      <c r="K1410" s="12"/>
      <c r="L1410" s="12"/>
      <c r="M1410" s="12" t="s">
        <v>3499</v>
      </c>
      <c r="N1410" s="12"/>
      <c r="O1410" s="12" t="s">
        <v>3500</v>
      </c>
      <c r="P1410" s="12" t="str">
        <f>HYPERLINK("https://ceds.ed.gov/cedselementdetails.aspx?termid=10200")</f>
        <v>https://ceds.ed.gov/cedselementdetails.aspx?termid=10200</v>
      </c>
      <c r="Q1410" s="12" t="str">
        <f>HYPERLINK("https://ceds.ed.gov/elementComment.aspx?elementName=Individualized Program Transition Plan Type &amp;elementID=10200", "Click here to submit comment")</f>
        <v>Click here to submit comment</v>
      </c>
    </row>
    <row r="1411" spans="1:17" ht="45" x14ac:dyDescent="0.25">
      <c r="A1411" s="12" t="s">
        <v>7242</v>
      </c>
      <c r="B1411" s="12" t="s">
        <v>7256</v>
      </c>
      <c r="C1411" s="12" t="s">
        <v>7196</v>
      </c>
      <c r="D1411" s="12" t="s">
        <v>7172</v>
      </c>
      <c r="E1411" s="12" t="s">
        <v>3473</v>
      </c>
      <c r="F1411" s="12" t="s">
        <v>3474</v>
      </c>
      <c r="G1411" s="12" t="s">
        <v>12</v>
      </c>
      <c r="H1411" s="12"/>
      <c r="I1411" s="12"/>
      <c r="J1411" s="12" t="s">
        <v>73</v>
      </c>
      <c r="K1411" s="12"/>
      <c r="L1411" s="12"/>
      <c r="M1411" s="12" t="s">
        <v>3475</v>
      </c>
      <c r="N1411" s="12"/>
      <c r="O1411" s="12" t="s">
        <v>3476</v>
      </c>
      <c r="P1411" s="12" t="str">
        <f>HYPERLINK("https://ceds.ed.gov/cedselementdetails.aspx?termid=10201")</f>
        <v>https://ceds.ed.gov/cedselementdetails.aspx?termid=10201</v>
      </c>
      <c r="Q1411" s="12" t="str">
        <f>HYPERLINK("https://ceds.ed.gov/elementComment.aspx?elementName=Individualized Program Service Plan Date &amp;elementID=10201", "Click here to submit comment")</f>
        <v>Click here to submit comment</v>
      </c>
    </row>
    <row r="1412" spans="1:17" ht="255" x14ac:dyDescent="0.25">
      <c r="A1412" s="12" t="s">
        <v>7242</v>
      </c>
      <c r="B1412" s="12" t="s">
        <v>7256</v>
      </c>
      <c r="C1412" s="12" t="s">
        <v>7196</v>
      </c>
      <c r="D1412" s="12" t="s">
        <v>7172</v>
      </c>
      <c r="E1412" s="12" t="s">
        <v>3477</v>
      </c>
      <c r="F1412" s="12" t="s">
        <v>3478</v>
      </c>
      <c r="G1412" s="13" t="s">
        <v>6972</v>
      </c>
      <c r="H1412" s="12"/>
      <c r="I1412" s="12"/>
      <c r="J1412" s="12"/>
      <c r="K1412" s="12"/>
      <c r="L1412" s="12"/>
      <c r="M1412" s="12" t="s">
        <v>3479</v>
      </c>
      <c r="N1412" s="12"/>
      <c r="O1412" s="12" t="s">
        <v>3480</v>
      </c>
      <c r="P1412" s="12" t="str">
        <f>HYPERLINK("https://ceds.ed.gov/cedselementdetails.aspx?termid=10202")</f>
        <v>https://ceds.ed.gov/cedselementdetails.aspx?termid=10202</v>
      </c>
      <c r="Q1412" s="12" t="str">
        <f>HYPERLINK("https://ceds.ed.gov/elementComment.aspx?elementName=Individualized Program Service Plan Meeting Location &amp;elementID=10202", "Click here to submit comment")</f>
        <v>Click here to submit comment</v>
      </c>
    </row>
    <row r="1413" spans="1:17" ht="30" x14ac:dyDescent="0.25">
      <c r="A1413" s="12" t="s">
        <v>7242</v>
      </c>
      <c r="B1413" s="12" t="s">
        <v>7256</v>
      </c>
      <c r="C1413" s="12" t="s">
        <v>7196</v>
      </c>
      <c r="D1413" s="12" t="s">
        <v>7172</v>
      </c>
      <c r="E1413" s="12" t="s">
        <v>3481</v>
      </c>
      <c r="F1413" s="12" t="s">
        <v>3482</v>
      </c>
      <c r="G1413" s="12" t="s">
        <v>12</v>
      </c>
      <c r="H1413" s="12"/>
      <c r="I1413" s="12"/>
      <c r="J1413" s="12" t="s">
        <v>327</v>
      </c>
      <c r="K1413" s="12"/>
      <c r="L1413" s="12"/>
      <c r="M1413" s="12" t="s">
        <v>3483</v>
      </c>
      <c r="N1413" s="12"/>
      <c r="O1413" s="12" t="s">
        <v>3484</v>
      </c>
      <c r="P1413" s="12" t="str">
        <f>HYPERLINK("https://ceds.ed.gov/cedselementdetails.aspx?termid=10203")</f>
        <v>https://ceds.ed.gov/cedselementdetails.aspx?termid=10203</v>
      </c>
      <c r="Q1413" s="12" t="str">
        <f>HYPERLINK("https://ceds.ed.gov/elementComment.aspx?elementName=Individualized Program Service Plan Meeting Participants &amp;elementID=10203", "Click here to submit comment")</f>
        <v>Click here to submit comment</v>
      </c>
    </row>
    <row r="1414" spans="1:17" ht="30" x14ac:dyDescent="0.25">
      <c r="A1414" s="12" t="s">
        <v>7242</v>
      </c>
      <c r="B1414" s="12" t="s">
        <v>7256</v>
      </c>
      <c r="C1414" s="12" t="s">
        <v>7196</v>
      </c>
      <c r="D1414" s="12" t="s">
        <v>7172</v>
      </c>
      <c r="E1414" s="12" t="s">
        <v>3493</v>
      </c>
      <c r="F1414" s="12" t="s">
        <v>3494</v>
      </c>
      <c r="G1414" s="12" t="s">
        <v>12</v>
      </c>
      <c r="H1414" s="12"/>
      <c r="I1414" s="12"/>
      <c r="J1414" s="12" t="s">
        <v>327</v>
      </c>
      <c r="K1414" s="12"/>
      <c r="L1414" s="12"/>
      <c r="M1414" s="12" t="s">
        <v>3495</v>
      </c>
      <c r="N1414" s="12"/>
      <c r="O1414" s="12" t="s">
        <v>3496</v>
      </c>
      <c r="P1414" s="12" t="str">
        <f>HYPERLINK("https://ceds.ed.gov/cedselementdetails.aspx?termid=10204")</f>
        <v>https://ceds.ed.gov/cedselementdetails.aspx?termid=10204</v>
      </c>
      <c r="Q1414" s="12" t="str">
        <f>HYPERLINK("https://ceds.ed.gov/elementComment.aspx?elementName=Individualized Program Service Plan Signed By &amp;elementID=10204", "Click here to submit comment")</f>
        <v>Click here to submit comment</v>
      </c>
    </row>
    <row r="1415" spans="1:17" ht="30" x14ac:dyDescent="0.25">
      <c r="A1415" s="12" t="s">
        <v>7242</v>
      </c>
      <c r="B1415" s="12" t="s">
        <v>7256</v>
      </c>
      <c r="C1415" s="12" t="s">
        <v>7196</v>
      </c>
      <c r="D1415" s="12" t="s">
        <v>7172</v>
      </c>
      <c r="E1415" s="12" t="s">
        <v>3489</v>
      </c>
      <c r="F1415" s="12" t="s">
        <v>3490</v>
      </c>
      <c r="G1415" s="12" t="s">
        <v>12</v>
      </c>
      <c r="H1415" s="12"/>
      <c r="I1415" s="12"/>
      <c r="J1415" s="12" t="s">
        <v>73</v>
      </c>
      <c r="K1415" s="12"/>
      <c r="L1415" s="12"/>
      <c r="M1415" s="12" t="s">
        <v>3491</v>
      </c>
      <c r="N1415" s="12"/>
      <c r="O1415" s="12" t="s">
        <v>3492</v>
      </c>
      <c r="P1415" s="12" t="str">
        <f>HYPERLINK("https://ceds.ed.gov/cedselementdetails.aspx?termid=10205")</f>
        <v>https://ceds.ed.gov/cedselementdetails.aspx?termid=10205</v>
      </c>
      <c r="Q1415" s="12" t="str">
        <f>HYPERLINK("https://ceds.ed.gov/elementComment.aspx?elementName=Individualized Program Service Plan Signature Date &amp;elementID=10205", "Click here to submit comment")</f>
        <v>Click here to submit comment</v>
      </c>
    </row>
    <row r="1416" spans="1:17" ht="45" x14ac:dyDescent="0.25">
      <c r="A1416" s="12" t="s">
        <v>7242</v>
      </c>
      <c r="B1416" s="12" t="s">
        <v>7256</v>
      </c>
      <c r="C1416" s="12" t="s">
        <v>7196</v>
      </c>
      <c r="D1416" s="12" t="s">
        <v>7172</v>
      </c>
      <c r="E1416" s="12" t="s">
        <v>3485</v>
      </c>
      <c r="F1416" s="12" t="s">
        <v>3486</v>
      </c>
      <c r="G1416" s="12" t="s">
        <v>12</v>
      </c>
      <c r="H1416" s="12"/>
      <c r="I1416" s="12"/>
      <c r="J1416" s="12" t="s">
        <v>73</v>
      </c>
      <c r="K1416" s="12"/>
      <c r="L1416" s="12"/>
      <c r="M1416" s="12" t="s">
        <v>3487</v>
      </c>
      <c r="N1416" s="12"/>
      <c r="O1416" s="12" t="s">
        <v>3488</v>
      </c>
      <c r="P1416" s="12" t="str">
        <f>HYPERLINK("https://ceds.ed.gov/cedselementdetails.aspx?termid=10207")</f>
        <v>https://ceds.ed.gov/cedselementdetails.aspx?termid=10207</v>
      </c>
      <c r="Q1416" s="12" t="str">
        <f>HYPERLINK("https://ceds.ed.gov/elementComment.aspx?elementName=Individualized Program Service Plan Reevaluation Date &amp;elementID=10207", "Click here to submit comment")</f>
        <v>Click here to submit comment</v>
      </c>
    </row>
    <row r="1417" spans="1:17" ht="409.5" x14ac:dyDescent="0.25">
      <c r="A1417" s="12" t="s">
        <v>7242</v>
      </c>
      <c r="B1417" s="12" t="s">
        <v>7256</v>
      </c>
      <c r="C1417" s="12" t="s">
        <v>7196</v>
      </c>
      <c r="D1417" s="12" t="s">
        <v>7172</v>
      </c>
      <c r="E1417" s="12" t="s">
        <v>5992</v>
      </c>
      <c r="F1417" s="12" t="s">
        <v>5993</v>
      </c>
      <c r="G1417" s="13" t="s">
        <v>7126</v>
      </c>
      <c r="H1417" s="12"/>
      <c r="I1417" s="12"/>
      <c r="J1417" s="12"/>
      <c r="K1417" s="12"/>
      <c r="L1417" s="12"/>
      <c r="M1417" s="12" t="s">
        <v>5994</v>
      </c>
      <c r="N1417" s="12"/>
      <c r="O1417" s="12" t="s">
        <v>5995</v>
      </c>
      <c r="P1417" s="12" t="str">
        <f>HYPERLINK("https://ceds.ed.gov/cedselementdetails.aspx?termid=9273")</f>
        <v>https://ceds.ed.gov/cedselementdetails.aspx?termid=9273</v>
      </c>
      <c r="Q1417" s="12" t="str">
        <f>HYPERLINK("https://ceds.ed.gov/elementComment.aspx?elementName=Student Support Service Type &amp;elementID=9273", "Click here to submit comment")</f>
        <v>Click here to submit comment</v>
      </c>
    </row>
    <row r="1418" spans="1:17" ht="45" x14ac:dyDescent="0.25">
      <c r="A1418" s="12" t="s">
        <v>7242</v>
      </c>
      <c r="B1418" s="12" t="s">
        <v>7256</v>
      </c>
      <c r="C1418" s="12" t="s">
        <v>7196</v>
      </c>
      <c r="D1418" s="12" t="s">
        <v>7172</v>
      </c>
      <c r="E1418" s="12" t="s">
        <v>1675</v>
      </c>
      <c r="F1418" s="12" t="s">
        <v>1676</v>
      </c>
      <c r="G1418" s="12" t="s">
        <v>12</v>
      </c>
      <c r="H1418" s="12"/>
      <c r="I1418" s="12"/>
      <c r="J1418" s="12" t="s">
        <v>73</v>
      </c>
      <c r="K1418" s="12"/>
      <c r="L1418" s="12"/>
      <c r="M1418" s="12" t="s">
        <v>1677</v>
      </c>
      <c r="N1418" s="12"/>
      <c r="O1418" s="12" t="s">
        <v>1678</v>
      </c>
      <c r="P1418" s="12" t="str">
        <f>HYPERLINK("https://ceds.ed.gov/cedselementdetails.aspx?termid=10255")</f>
        <v>https://ceds.ed.gov/cedselementdetails.aspx?termid=10255</v>
      </c>
      <c r="Q1418" s="12" t="str">
        <f>HYPERLINK("https://ceds.ed.gov/elementComment.aspx?elementName=Career Education Plan Date &amp;elementID=10255", "Click here to submit comment")</f>
        <v>Click here to submit comment</v>
      </c>
    </row>
    <row r="1419" spans="1:17" ht="75" x14ac:dyDescent="0.25">
      <c r="A1419" s="12" t="s">
        <v>7242</v>
      </c>
      <c r="B1419" s="12" t="s">
        <v>7256</v>
      </c>
      <c r="C1419" s="12" t="s">
        <v>7196</v>
      </c>
      <c r="D1419" s="12" t="s">
        <v>7172</v>
      </c>
      <c r="E1419" s="12" t="s">
        <v>1679</v>
      </c>
      <c r="F1419" s="12" t="s">
        <v>1680</v>
      </c>
      <c r="G1419" s="13" t="s">
        <v>6808</v>
      </c>
      <c r="H1419" s="12"/>
      <c r="I1419" s="12"/>
      <c r="J1419" s="12"/>
      <c r="K1419" s="12"/>
      <c r="L1419" s="12"/>
      <c r="M1419" s="12" t="s">
        <v>1681</v>
      </c>
      <c r="N1419" s="12"/>
      <c r="O1419" s="12" t="s">
        <v>1682</v>
      </c>
      <c r="P1419" s="12" t="str">
        <f>HYPERLINK("https://ceds.ed.gov/cedselementdetails.aspx?termid=10256")</f>
        <v>https://ceds.ed.gov/cedselementdetails.aspx?termid=10256</v>
      </c>
      <c r="Q1419" s="12" t="str">
        <f>HYPERLINK("https://ceds.ed.gov/elementComment.aspx?elementName=Career Education Plan Type &amp;elementID=10256", "Click here to submit comment")</f>
        <v>Click here to submit comment</v>
      </c>
    </row>
    <row r="1420" spans="1:17" ht="45" x14ac:dyDescent="0.25">
      <c r="A1420" s="12" t="s">
        <v>7242</v>
      </c>
      <c r="B1420" s="12" t="s">
        <v>7256</v>
      </c>
      <c r="C1420" s="12" t="s">
        <v>7197</v>
      </c>
      <c r="D1420" s="12" t="s">
        <v>7172</v>
      </c>
      <c r="E1420" s="12" t="s">
        <v>3793</v>
      </c>
      <c r="F1420" s="12" t="s">
        <v>3794</v>
      </c>
      <c r="G1420" s="12" t="s">
        <v>12</v>
      </c>
      <c r="H1420" s="12"/>
      <c r="I1420" s="12"/>
      <c r="J1420" s="12" t="s">
        <v>68</v>
      </c>
      <c r="K1420" s="12"/>
      <c r="L1420" s="12"/>
      <c r="M1420" s="12" t="s">
        <v>3795</v>
      </c>
      <c r="N1420" s="12"/>
      <c r="O1420" s="12" t="s">
        <v>3796</v>
      </c>
      <c r="P1420" s="12" t="str">
        <f>HYPERLINK("https://ceds.ed.gov/cedselementdetails.aspx?termid=9903")</f>
        <v>https://ceds.ed.gov/cedselementdetails.aspx?termid=9903</v>
      </c>
      <c r="Q1420" s="12" t="str">
        <f>HYPERLINK("https://ceds.ed.gov/elementComment.aspx?elementName=Learning Goal Description &amp;elementID=9903", "Click here to submit comment")</f>
        <v>Click here to submit comment</v>
      </c>
    </row>
    <row r="1421" spans="1:17" ht="30" x14ac:dyDescent="0.25">
      <c r="A1421" s="12" t="s">
        <v>7242</v>
      </c>
      <c r="B1421" s="12" t="s">
        <v>7256</v>
      </c>
      <c r="C1421" s="12" t="s">
        <v>7197</v>
      </c>
      <c r="D1421" s="12" t="s">
        <v>7172</v>
      </c>
      <c r="E1421" s="12" t="s">
        <v>3802</v>
      </c>
      <c r="F1421" s="12" t="s">
        <v>3803</v>
      </c>
      <c r="G1421" s="12" t="s">
        <v>12</v>
      </c>
      <c r="H1421" s="12"/>
      <c r="I1421" s="12"/>
      <c r="J1421" s="12" t="s">
        <v>73</v>
      </c>
      <c r="K1421" s="12"/>
      <c r="L1421" s="12"/>
      <c r="M1421" s="12" t="s">
        <v>3804</v>
      </c>
      <c r="N1421" s="12"/>
      <c r="O1421" s="12" t="s">
        <v>3805</v>
      </c>
      <c r="P1421" s="12" t="str">
        <f>HYPERLINK("https://ceds.ed.gov/cedselementdetails.aspx?termid=10169")</f>
        <v>https://ceds.ed.gov/cedselementdetails.aspx?termid=10169</v>
      </c>
      <c r="Q1421" s="12" t="str">
        <f>HYPERLINK("https://ceds.ed.gov/elementComment.aspx?elementName=Learning Goal Start Date &amp;elementID=10169", "Click here to submit comment")</f>
        <v>Click here to submit comment</v>
      </c>
    </row>
    <row r="1422" spans="1:17" ht="135" x14ac:dyDescent="0.25">
      <c r="A1422" s="12" t="s">
        <v>7242</v>
      </c>
      <c r="B1422" s="12" t="s">
        <v>7256</v>
      </c>
      <c r="C1422" s="12" t="s">
        <v>7197</v>
      </c>
      <c r="D1422" s="12" t="s">
        <v>7172</v>
      </c>
      <c r="E1422" s="12" t="s">
        <v>3806</v>
      </c>
      <c r="F1422" s="12" t="s">
        <v>3807</v>
      </c>
      <c r="G1422" s="12" t="s">
        <v>12</v>
      </c>
      <c r="H1422" s="12"/>
      <c r="I1422" s="12"/>
      <c r="J1422" s="12" t="s">
        <v>68</v>
      </c>
      <c r="K1422" s="12"/>
      <c r="L1422" s="12"/>
      <c r="M1422" s="12" t="s">
        <v>3808</v>
      </c>
      <c r="N1422" s="12"/>
      <c r="O1422" s="12" t="s">
        <v>3809</v>
      </c>
      <c r="P1422" s="12" t="str">
        <f>HYPERLINK("https://ceds.ed.gov/cedselementdetails.aspx?termid=9902")</f>
        <v>https://ceds.ed.gov/cedselementdetails.aspx?termid=9902</v>
      </c>
      <c r="Q1422" s="12" t="str">
        <f>HYPERLINK("https://ceds.ed.gov/elementComment.aspx?elementName=Learning Goal Success Criteria &amp;elementID=9902", "Click here to submit comment")</f>
        <v>Click here to submit comment</v>
      </c>
    </row>
    <row r="1423" spans="1:17" ht="60" x14ac:dyDescent="0.25">
      <c r="A1423" s="12" t="s">
        <v>7242</v>
      </c>
      <c r="B1423" s="12" t="s">
        <v>7256</v>
      </c>
      <c r="C1423" s="12" t="s">
        <v>7180</v>
      </c>
      <c r="D1423" s="12" t="s">
        <v>7172</v>
      </c>
      <c r="E1423" s="12" t="s">
        <v>4380</v>
      </c>
      <c r="F1423" s="12" t="s">
        <v>4381</v>
      </c>
      <c r="G1423" s="13" t="s">
        <v>7026</v>
      </c>
      <c r="H1423" s="12" t="s">
        <v>1578</v>
      </c>
      <c r="I1423" s="12"/>
      <c r="J1423" s="12"/>
      <c r="K1423" s="12"/>
      <c r="L1423" s="12"/>
      <c r="M1423" s="12" t="s">
        <v>4382</v>
      </c>
      <c r="N1423" s="12"/>
      <c r="O1423" s="12" t="s">
        <v>4383</v>
      </c>
      <c r="P1423" s="12" t="str">
        <f>HYPERLINK("https://ceds.ed.gov/cedselementdetails.aspx?termid=9429")</f>
        <v>https://ceds.ed.gov/cedselementdetails.aspx?termid=9429</v>
      </c>
      <c r="Q1423" s="12" t="str">
        <f>HYPERLINK("https://ceds.ed.gov/elementComment.aspx?elementName=Medical Alert Indicator &amp;elementID=9429", "Click here to submit comment")</f>
        <v>Click here to submit comment</v>
      </c>
    </row>
    <row r="1424" spans="1:17" ht="45" x14ac:dyDescent="0.25">
      <c r="A1424" s="12" t="s">
        <v>7242</v>
      </c>
      <c r="B1424" s="12" t="s">
        <v>7256</v>
      </c>
      <c r="C1424" s="12" t="s">
        <v>7180</v>
      </c>
      <c r="D1424" s="12" t="s">
        <v>7172</v>
      </c>
      <c r="E1424" s="12" t="s">
        <v>325</v>
      </c>
      <c r="F1424" s="12" t="s">
        <v>326</v>
      </c>
      <c r="G1424" s="12" t="s">
        <v>12</v>
      </c>
      <c r="H1424" s="12"/>
      <c r="I1424" s="12"/>
      <c r="J1424" s="12" t="s">
        <v>327</v>
      </c>
      <c r="K1424" s="12"/>
      <c r="L1424" s="12"/>
      <c r="M1424" s="12" t="s">
        <v>328</v>
      </c>
      <c r="N1424" s="12"/>
      <c r="O1424" s="12" t="s">
        <v>329</v>
      </c>
      <c r="P1424" s="12" t="str">
        <f>HYPERLINK("https://ceds.ed.gov/cedselementdetails.aspx?termid=10247")</f>
        <v>https://ceds.ed.gov/cedselementdetails.aspx?termid=10247</v>
      </c>
      <c r="Q1424" s="12" t="str">
        <f>HYPERLINK("https://ceds.ed.gov/elementComment.aspx?elementName=Allergy Reaction Description &amp;elementID=10247", "Click here to submit comment")</f>
        <v>Click here to submit comment</v>
      </c>
    </row>
    <row r="1425" spans="1:17" ht="45" x14ac:dyDescent="0.25">
      <c r="A1425" s="12" t="s">
        <v>7242</v>
      </c>
      <c r="B1425" s="12" t="s">
        <v>7256</v>
      </c>
      <c r="C1425" s="12" t="s">
        <v>7180</v>
      </c>
      <c r="D1425" s="12" t="s">
        <v>7172</v>
      </c>
      <c r="E1425" s="12" t="s">
        <v>330</v>
      </c>
      <c r="F1425" s="12" t="s">
        <v>331</v>
      </c>
      <c r="G1425" s="13" t="s">
        <v>6745</v>
      </c>
      <c r="H1425" s="12"/>
      <c r="I1425" s="12"/>
      <c r="J1425" s="12"/>
      <c r="K1425" s="12"/>
      <c r="L1425" s="12"/>
      <c r="M1425" s="12" t="s">
        <v>332</v>
      </c>
      <c r="N1425" s="12"/>
      <c r="O1425" s="12" t="s">
        <v>333</v>
      </c>
      <c r="P1425" s="12" t="str">
        <f>HYPERLINK("https://ceds.ed.gov/cedselementdetails.aspx?termid=10248")</f>
        <v>https://ceds.ed.gov/cedselementdetails.aspx?termid=10248</v>
      </c>
      <c r="Q1425" s="12" t="str">
        <f>HYPERLINK("https://ceds.ed.gov/elementComment.aspx?elementName=Allergy Severity &amp;elementID=10248", "Click here to submit comment")</f>
        <v>Click here to submit comment</v>
      </c>
    </row>
    <row r="1426" spans="1:17" ht="409.5" x14ac:dyDescent="0.25">
      <c r="A1426" s="12" t="s">
        <v>7242</v>
      </c>
      <c r="B1426" s="12" t="s">
        <v>7256</v>
      </c>
      <c r="C1426" s="12" t="s">
        <v>7180</v>
      </c>
      <c r="D1426" s="12" t="s">
        <v>7172</v>
      </c>
      <c r="E1426" s="12" t="s">
        <v>334</v>
      </c>
      <c r="F1426" s="12" t="s">
        <v>335</v>
      </c>
      <c r="G1426" s="13" t="s">
        <v>6746</v>
      </c>
      <c r="H1426" s="12"/>
      <c r="I1426" s="12"/>
      <c r="J1426" s="12"/>
      <c r="K1426" s="12"/>
      <c r="L1426" s="12" t="s">
        <v>336</v>
      </c>
      <c r="M1426" s="12" t="s">
        <v>337</v>
      </c>
      <c r="N1426" s="12"/>
      <c r="O1426" s="12" t="s">
        <v>338</v>
      </c>
      <c r="P1426" s="12" t="str">
        <f>HYPERLINK("https://ceds.ed.gov/cedselementdetails.aspx?termid=10249")</f>
        <v>https://ceds.ed.gov/cedselementdetails.aspx?termid=10249</v>
      </c>
      <c r="Q1426" s="12" t="str">
        <f>HYPERLINK("https://ceds.ed.gov/elementComment.aspx?elementName=Allergy Type &amp;elementID=10249", "Click here to submit comment")</f>
        <v>Click here to submit comment</v>
      </c>
    </row>
    <row r="1427" spans="1:17" ht="45" x14ac:dyDescent="0.25">
      <c r="A1427" s="12" t="s">
        <v>7242</v>
      </c>
      <c r="B1427" s="12" t="s">
        <v>7256</v>
      </c>
      <c r="C1427" s="12" t="s">
        <v>7180</v>
      </c>
      <c r="D1427" s="12" t="s">
        <v>7176</v>
      </c>
      <c r="E1427" s="12" t="s">
        <v>3167</v>
      </c>
      <c r="F1427" s="12" t="s">
        <v>3168</v>
      </c>
      <c r="G1427" s="12" t="s">
        <v>12</v>
      </c>
      <c r="H1427" s="12"/>
      <c r="I1427" s="12"/>
      <c r="J1427" s="12" t="s">
        <v>68</v>
      </c>
      <c r="K1427" s="12"/>
      <c r="L1427" s="12"/>
      <c r="M1427" s="12" t="s">
        <v>3169</v>
      </c>
      <c r="N1427" s="12"/>
      <c r="O1427" s="12" t="s">
        <v>3170</v>
      </c>
      <c r="P1427" s="12" t="str">
        <f>HYPERLINK("https://ceds.ed.gov/cedselementdetails.aspx?termid=10325")</f>
        <v>https://ceds.ed.gov/cedselementdetails.aspx?termid=10325</v>
      </c>
      <c r="Q1427" s="12" t="str">
        <f>HYPERLINK("https://ceds.ed.gov/elementComment.aspx?elementName=Health Screening Equipment Used &amp;elementID=10325", "Click here to submit comment")</f>
        <v>Click here to submit comment</v>
      </c>
    </row>
    <row r="1428" spans="1:17" ht="45" x14ac:dyDescent="0.25">
      <c r="A1428" s="12" t="s">
        <v>7242</v>
      </c>
      <c r="B1428" s="12" t="s">
        <v>7256</v>
      </c>
      <c r="C1428" s="12" t="s">
        <v>7180</v>
      </c>
      <c r="D1428" s="12" t="s">
        <v>7176</v>
      </c>
      <c r="E1428" s="12" t="s">
        <v>3171</v>
      </c>
      <c r="F1428" s="12" t="s">
        <v>3172</v>
      </c>
      <c r="G1428" s="12" t="s">
        <v>12</v>
      </c>
      <c r="H1428" s="12"/>
      <c r="I1428" s="12"/>
      <c r="J1428" s="12" t="s">
        <v>327</v>
      </c>
      <c r="K1428" s="12"/>
      <c r="L1428" s="12"/>
      <c r="M1428" s="12" t="s">
        <v>3173</v>
      </c>
      <c r="N1428" s="12"/>
      <c r="O1428" s="12" t="s">
        <v>3174</v>
      </c>
      <c r="P1428" s="12" t="str">
        <f>HYPERLINK("https://ceds.ed.gov/cedselementdetails.aspx?termid=10326")</f>
        <v>https://ceds.ed.gov/cedselementdetails.aspx?termid=10326</v>
      </c>
      <c r="Q1428" s="12" t="str">
        <f>HYPERLINK("https://ceds.ed.gov/elementComment.aspx?elementName=Health Screening Follow-up Recommendation &amp;elementID=10326", "Click here to submit comment")</f>
        <v>Click here to submit comment</v>
      </c>
    </row>
    <row r="1429" spans="1:17" ht="30" x14ac:dyDescent="0.25">
      <c r="A1429" s="12" t="s">
        <v>7242</v>
      </c>
      <c r="B1429" s="12" t="s">
        <v>7256</v>
      </c>
      <c r="C1429" s="12" t="s">
        <v>7184</v>
      </c>
      <c r="D1429" s="12" t="s">
        <v>7176</v>
      </c>
      <c r="E1429" s="12" t="s">
        <v>2284</v>
      </c>
      <c r="F1429" s="12" t="s">
        <v>2285</v>
      </c>
      <c r="G1429" s="12" t="s">
        <v>12</v>
      </c>
      <c r="H1429" s="12"/>
      <c r="I1429" s="12"/>
      <c r="J1429" s="12" t="s">
        <v>73</v>
      </c>
      <c r="K1429" s="12"/>
      <c r="L1429" s="12"/>
      <c r="M1429" s="12" t="s">
        <v>2286</v>
      </c>
      <c r="N1429" s="12"/>
      <c r="O1429" s="12" t="s">
        <v>2287</v>
      </c>
      <c r="P1429" s="12" t="str">
        <f>HYPERLINK("https://ceds.ed.gov/cedselementdetails.aspx?termid=9682")</f>
        <v>https://ceds.ed.gov/cedselementdetails.aspx?termid=9682</v>
      </c>
      <c r="Q1429" s="12" t="str">
        <f>HYPERLINK("https://ceds.ed.gov/elementComment.aspx?elementName=Dental Screening Date &amp;elementID=9682", "Click here to submit comment")</f>
        <v>Click here to submit comment</v>
      </c>
    </row>
    <row r="1430" spans="1:17" ht="210" x14ac:dyDescent="0.25">
      <c r="A1430" s="12" t="s">
        <v>7242</v>
      </c>
      <c r="B1430" s="12" t="s">
        <v>7256</v>
      </c>
      <c r="C1430" s="12" t="s">
        <v>7185</v>
      </c>
      <c r="D1430" s="12" t="s">
        <v>7176</v>
      </c>
      <c r="E1430" s="12" t="s">
        <v>3582</v>
      </c>
      <c r="F1430" s="12" t="s">
        <v>3583</v>
      </c>
      <c r="G1430" s="13" t="s">
        <v>6855</v>
      </c>
      <c r="H1430" s="12" t="s">
        <v>2283</v>
      </c>
      <c r="I1430" s="12"/>
      <c r="J1430" s="12"/>
      <c r="K1430" s="12"/>
      <c r="L1430" s="12" t="s">
        <v>2280</v>
      </c>
      <c r="M1430" s="12" t="s">
        <v>3584</v>
      </c>
      <c r="N1430" s="12"/>
      <c r="O1430" s="12" t="s">
        <v>3585</v>
      </c>
      <c r="P1430" s="12" t="str">
        <f>HYPERLINK("https://ceds.ed.gov/cedselementdetails.aspx?termid=9334")</f>
        <v>https://ceds.ed.gov/cedselementdetails.aspx?termid=9334</v>
      </c>
      <c r="Q1430" s="12" t="str">
        <f>HYPERLINK("https://ceds.ed.gov/elementComment.aspx?elementName=Insurance Coverage &amp;elementID=9334", "Click here to submit comment")</f>
        <v>Click here to submit comment</v>
      </c>
    </row>
    <row r="1431" spans="1:17" ht="210" x14ac:dyDescent="0.25">
      <c r="A1431" s="12" t="s">
        <v>7242</v>
      </c>
      <c r="B1431" s="12" t="s">
        <v>7256</v>
      </c>
      <c r="C1431" s="12" t="s">
        <v>7185</v>
      </c>
      <c r="D1431" s="12" t="s">
        <v>7176</v>
      </c>
      <c r="E1431" s="12" t="s">
        <v>2278</v>
      </c>
      <c r="F1431" s="12" t="s">
        <v>2279</v>
      </c>
      <c r="G1431" s="13" t="s">
        <v>6855</v>
      </c>
      <c r="H1431" s="12" t="s">
        <v>2283</v>
      </c>
      <c r="I1431" s="12"/>
      <c r="J1431" s="12"/>
      <c r="K1431" s="12"/>
      <c r="L1431" s="12" t="s">
        <v>2280</v>
      </c>
      <c r="M1431" s="12" t="s">
        <v>2281</v>
      </c>
      <c r="N1431" s="12"/>
      <c r="O1431" s="12" t="s">
        <v>2282</v>
      </c>
      <c r="P1431" s="12" t="str">
        <f>HYPERLINK("https://ceds.ed.gov/cedselementdetails.aspx?termid=9335")</f>
        <v>https://ceds.ed.gov/cedselementdetails.aspx?termid=9335</v>
      </c>
      <c r="Q1431" s="12" t="str">
        <f>HYPERLINK("https://ceds.ed.gov/elementComment.aspx?elementName=Dental Insurance Coverage Type &amp;elementID=9335", "Click here to submit comment")</f>
        <v>Click here to submit comment</v>
      </c>
    </row>
    <row r="1432" spans="1:17" ht="135" x14ac:dyDescent="0.25">
      <c r="A1432" s="12" t="s">
        <v>7242</v>
      </c>
      <c r="B1432" s="12" t="s">
        <v>7256</v>
      </c>
      <c r="C1432" s="12" t="s">
        <v>7184</v>
      </c>
      <c r="D1432" s="12" t="s">
        <v>7176</v>
      </c>
      <c r="E1432" s="12" t="s">
        <v>2288</v>
      </c>
      <c r="F1432" s="12" t="s">
        <v>2289</v>
      </c>
      <c r="G1432" s="13" t="s">
        <v>6856</v>
      </c>
      <c r="H1432" s="12" t="s">
        <v>1759</v>
      </c>
      <c r="I1432" s="12"/>
      <c r="J1432" s="12"/>
      <c r="K1432" s="12"/>
      <c r="L1432" s="12"/>
      <c r="M1432" s="12" t="s">
        <v>2290</v>
      </c>
      <c r="N1432" s="12"/>
      <c r="O1432" s="12" t="s">
        <v>2291</v>
      </c>
      <c r="P1432" s="12" t="str">
        <f>HYPERLINK("https://ceds.ed.gov/cedselementdetails.aspx?termid=9310")</f>
        <v>https://ceds.ed.gov/cedselementdetails.aspx?termid=9310</v>
      </c>
      <c r="Q1432" s="12" t="str">
        <f>HYPERLINK("https://ceds.ed.gov/elementComment.aspx?elementName=Dental Screening Status &amp;elementID=9310", "Click here to submit comment")</f>
        <v>Click here to submit comment</v>
      </c>
    </row>
    <row r="1433" spans="1:17" ht="30" x14ac:dyDescent="0.25">
      <c r="A1433" s="12" t="s">
        <v>7242</v>
      </c>
      <c r="B1433" s="12" t="s">
        <v>7256</v>
      </c>
      <c r="C1433" s="12" t="s">
        <v>7183</v>
      </c>
      <c r="D1433" s="12" t="s">
        <v>7176</v>
      </c>
      <c r="E1433" s="12" t="s">
        <v>3175</v>
      </c>
      <c r="F1433" s="12" t="s">
        <v>3176</v>
      </c>
      <c r="G1433" s="12" t="s">
        <v>12</v>
      </c>
      <c r="H1433" s="12"/>
      <c r="I1433" s="12"/>
      <c r="J1433" s="12" t="s">
        <v>73</v>
      </c>
      <c r="K1433" s="12"/>
      <c r="L1433" s="12"/>
      <c r="M1433" s="12" t="s">
        <v>3177</v>
      </c>
      <c r="N1433" s="12"/>
      <c r="O1433" s="12" t="s">
        <v>3178</v>
      </c>
      <c r="P1433" s="12" t="str">
        <f>HYPERLINK("https://ceds.ed.gov/cedselementdetails.aspx?termid=9681")</f>
        <v>https://ceds.ed.gov/cedselementdetails.aspx?termid=9681</v>
      </c>
      <c r="Q1433" s="12" t="str">
        <f>HYPERLINK("https://ceds.ed.gov/elementComment.aspx?elementName=Hearing Screening Date &amp;elementID=9681", "Click here to submit comment")</f>
        <v>Click here to submit comment</v>
      </c>
    </row>
    <row r="1434" spans="1:17" ht="60" x14ac:dyDescent="0.25">
      <c r="A1434" s="12" t="s">
        <v>7242</v>
      </c>
      <c r="B1434" s="12" t="s">
        <v>7256</v>
      </c>
      <c r="C1434" s="12" t="s">
        <v>7183</v>
      </c>
      <c r="D1434" s="12" t="s">
        <v>7176</v>
      </c>
      <c r="E1434" s="12" t="s">
        <v>3179</v>
      </c>
      <c r="F1434" s="12" t="s">
        <v>3180</v>
      </c>
      <c r="G1434" s="13" t="s">
        <v>6944</v>
      </c>
      <c r="H1434" s="12" t="s">
        <v>1759</v>
      </c>
      <c r="I1434" s="12"/>
      <c r="J1434" s="12"/>
      <c r="K1434" s="12"/>
      <c r="L1434" s="12"/>
      <c r="M1434" s="12" t="s">
        <v>3181</v>
      </c>
      <c r="N1434" s="12"/>
      <c r="O1434" s="12" t="s">
        <v>3182</v>
      </c>
      <c r="P1434" s="12" t="str">
        <f>HYPERLINK("https://ceds.ed.gov/cedselementdetails.aspx?termid=9309")</f>
        <v>https://ceds.ed.gov/cedselementdetails.aspx?termid=9309</v>
      </c>
      <c r="Q1434" s="12" t="str">
        <f>HYPERLINK("https://ceds.ed.gov/elementComment.aspx?elementName=Hearing Screening Status &amp;elementID=9309", "Click here to submit comment")</f>
        <v>Click here to submit comment</v>
      </c>
    </row>
    <row r="1435" spans="1:17" ht="75" x14ac:dyDescent="0.25">
      <c r="A1435" s="12" t="s">
        <v>7242</v>
      </c>
      <c r="B1435" s="12" t="s">
        <v>7256</v>
      </c>
      <c r="C1435" s="12" t="s">
        <v>7181</v>
      </c>
      <c r="D1435" s="12" t="s">
        <v>7176</v>
      </c>
      <c r="E1435" s="12" t="s">
        <v>3318</v>
      </c>
      <c r="F1435" s="12" t="s">
        <v>3319</v>
      </c>
      <c r="G1435" s="12" t="s">
        <v>12</v>
      </c>
      <c r="H1435" s="12" t="s">
        <v>6570</v>
      </c>
      <c r="I1435" s="12"/>
      <c r="J1435" s="12" t="s">
        <v>73</v>
      </c>
      <c r="K1435" s="12"/>
      <c r="L1435" s="12"/>
      <c r="M1435" s="12" t="s">
        <v>3320</v>
      </c>
      <c r="N1435" s="12"/>
      <c r="O1435" s="12" t="s">
        <v>3321</v>
      </c>
      <c r="P1435" s="12" t="str">
        <f>HYPERLINK("https://ceds.ed.gov/cedselementdetails.aspx?termid=9306")</f>
        <v>https://ceds.ed.gov/cedselementdetails.aspx?termid=9306</v>
      </c>
      <c r="Q1435" s="12" t="str">
        <f>HYPERLINK("https://ceds.ed.gov/elementComment.aspx?elementName=Immunization Date &amp;elementID=9306", "Click here to submit comment")</f>
        <v>Click here to submit comment</v>
      </c>
    </row>
    <row r="1436" spans="1:17" ht="345" x14ac:dyDescent="0.25">
      <c r="A1436" s="12" t="s">
        <v>7242</v>
      </c>
      <c r="B1436" s="12" t="s">
        <v>7256</v>
      </c>
      <c r="C1436" s="12" t="s">
        <v>7181</v>
      </c>
      <c r="D1436" s="12" t="s">
        <v>7176</v>
      </c>
      <c r="E1436" s="12" t="s">
        <v>3330</v>
      </c>
      <c r="F1436" s="12" t="s">
        <v>3331</v>
      </c>
      <c r="G1436" s="13" t="s">
        <v>6958</v>
      </c>
      <c r="H1436" s="12"/>
      <c r="I1436" s="12"/>
      <c r="J1436" s="12"/>
      <c r="K1436" s="12"/>
      <c r="L1436" s="12"/>
      <c r="M1436" s="12" t="s">
        <v>3332</v>
      </c>
      <c r="N1436" s="12"/>
      <c r="O1436" s="12" t="s">
        <v>3333</v>
      </c>
      <c r="P1436" s="12" t="str">
        <f>HYPERLINK("https://ceds.ed.gov/cedselementdetails.aspx?termid=10214")</f>
        <v>https://ceds.ed.gov/cedselementdetails.aspx?termid=10214</v>
      </c>
      <c r="Q1436" s="12" t="str">
        <f>HYPERLINK("https://ceds.ed.gov/elementComment.aspx?elementName=Immunization Type &amp;elementID=10214", "Click here to submit comment")</f>
        <v>Click here to submit comment</v>
      </c>
    </row>
    <row r="1437" spans="1:17" ht="30" x14ac:dyDescent="0.25">
      <c r="A1437" s="12" t="s">
        <v>7242</v>
      </c>
      <c r="B1437" s="12" t="s">
        <v>7256</v>
      </c>
      <c r="C1437" s="12" t="s">
        <v>7182</v>
      </c>
      <c r="D1437" s="12" t="s">
        <v>7176</v>
      </c>
      <c r="E1437" s="12" t="s">
        <v>6288</v>
      </c>
      <c r="F1437" s="12" t="s">
        <v>6289</v>
      </c>
      <c r="G1437" s="12" t="s">
        <v>12</v>
      </c>
      <c r="H1437" s="12"/>
      <c r="I1437" s="12"/>
      <c r="J1437" s="12" t="s">
        <v>73</v>
      </c>
      <c r="K1437" s="12"/>
      <c r="L1437" s="12"/>
      <c r="M1437" s="12" t="s">
        <v>6290</v>
      </c>
      <c r="N1437" s="12"/>
      <c r="O1437" s="12" t="s">
        <v>6291</v>
      </c>
      <c r="P1437" s="12" t="str">
        <f>HYPERLINK("https://ceds.ed.gov/cedselementdetails.aspx?termid=9680")</f>
        <v>https://ceds.ed.gov/cedselementdetails.aspx?termid=9680</v>
      </c>
      <c r="Q1437" s="12" t="str">
        <f>HYPERLINK("https://ceds.ed.gov/elementComment.aspx?elementName=Vision Screening Date &amp;elementID=9680", "Click here to submit comment")</f>
        <v>Click here to submit comment</v>
      </c>
    </row>
    <row r="1438" spans="1:17" ht="60" x14ac:dyDescent="0.25">
      <c r="A1438" s="12" t="s">
        <v>7242</v>
      </c>
      <c r="B1438" s="12" t="s">
        <v>7256</v>
      </c>
      <c r="C1438" s="12" t="s">
        <v>7182</v>
      </c>
      <c r="D1438" s="12" t="s">
        <v>7176</v>
      </c>
      <c r="E1438" s="12" t="s">
        <v>6292</v>
      </c>
      <c r="F1438" s="12" t="s">
        <v>6293</v>
      </c>
      <c r="G1438" s="13" t="s">
        <v>6944</v>
      </c>
      <c r="H1438" s="12" t="s">
        <v>1759</v>
      </c>
      <c r="I1438" s="12"/>
      <c r="J1438" s="12"/>
      <c r="K1438" s="12"/>
      <c r="L1438" s="12"/>
      <c r="M1438" s="12" t="s">
        <v>6294</v>
      </c>
      <c r="N1438" s="12"/>
      <c r="O1438" s="12" t="s">
        <v>6295</v>
      </c>
      <c r="P1438" s="12" t="str">
        <f>HYPERLINK("https://ceds.ed.gov/cedselementdetails.aspx?termid=9308")</f>
        <v>https://ceds.ed.gov/cedselementdetails.aspx?termid=9308</v>
      </c>
      <c r="Q1438" s="12" t="str">
        <f>HYPERLINK("https://ceds.ed.gov/elementComment.aspx?elementName=Vision Screening Status &amp;elementID=9308", "Click here to submit comment")</f>
        <v>Click here to submit comment</v>
      </c>
    </row>
    <row r="1439" spans="1:17" ht="225" x14ac:dyDescent="0.25">
      <c r="A1439" s="12" t="s">
        <v>7242</v>
      </c>
      <c r="B1439" s="12" t="s">
        <v>7256</v>
      </c>
      <c r="C1439" s="12" t="s">
        <v>7234</v>
      </c>
      <c r="D1439" s="12" t="s">
        <v>7172</v>
      </c>
      <c r="E1439" s="12" t="s">
        <v>2686</v>
      </c>
      <c r="F1439" s="12" t="s">
        <v>2687</v>
      </c>
      <c r="G1439" s="12" t="s">
        <v>6519</v>
      </c>
      <c r="H1439" s="12" t="s">
        <v>2679</v>
      </c>
      <c r="I1439" s="12"/>
      <c r="J1439" s="12"/>
      <c r="K1439" s="12"/>
      <c r="L1439" s="12" t="s">
        <v>2688</v>
      </c>
      <c r="M1439" s="12" t="s">
        <v>2689</v>
      </c>
      <c r="N1439" s="12"/>
      <c r="O1439" s="12" t="s">
        <v>2690</v>
      </c>
      <c r="P1439" s="12" t="str">
        <f>HYPERLINK("https://ceds.ed.gov/cedselementdetails.aspx?termid=9989")</f>
        <v>https://ceds.ed.gov/cedselementdetails.aspx?termid=9989</v>
      </c>
      <c r="Q1439" s="12" t="str">
        <f>HYPERLINK("https://ceds.ed.gov/elementComment.aspx?elementName=Employed While Enrolled &amp;elementID=9989", "Click here to submit comment")</f>
        <v>Click here to submit comment</v>
      </c>
    </row>
    <row r="1440" spans="1:17" ht="270" x14ac:dyDescent="0.25">
      <c r="A1440" s="12" t="s">
        <v>7242</v>
      </c>
      <c r="B1440" s="12" t="s">
        <v>7256</v>
      </c>
      <c r="C1440" s="12" t="s">
        <v>7234</v>
      </c>
      <c r="D1440" s="12" t="s">
        <v>7172</v>
      </c>
      <c r="E1440" s="12" t="s">
        <v>2674</v>
      </c>
      <c r="F1440" s="12" t="s">
        <v>2675</v>
      </c>
      <c r="G1440" s="12" t="s">
        <v>6519</v>
      </c>
      <c r="H1440" s="12" t="s">
        <v>2679</v>
      </c>
      <c r="I1440" s="12"/>
      <c r="J1440" s="12"/>
      <c r="K1440" s="12"/>
      <c r="L1440" s="12" t="s">
        <v>2676</v>
      </c>
      <c r="M1440" s="12" t="s">
        <v>2677</v>
      </c>
      <c r="N1440" s="12"/>
      <c r="O1440" s="12" t="s">
        <v>2678</v>
      </c>
      <c r="P1440" s="12" t="str">
        <f>HYPERLINK("https://ceds.ed.gov/cedselementdetails.aspx?termid=9990")</f>
        <v>https://ceds.ed.gov/cedselementdetails.aspx?termid=9990</v>
      </c>
      <c r="Q1440" s="12" t="str">
        <f>HYPERLINK("https://ceds.ed.gov/elementComment.aspx?elementName=Employed After Exit &amp;elementID=9990", "Click here to submit comment")</f>
        <v>Click here to submit comment</v>
      </c>
    </row>
    <row r="1441" spans="1:17" ht="60" x14ac:dyDescent="0.25">
      <c r="A1441" s="12" t="s">
        <v>7242</v>
      </c>
      <c r="B1441" s="12" t="s">
        <v>7256</v>
      </c>
      <c r="C1441" s="12" t="s">
        <v>7234</v>
      </c>
      <c r="D1441" s="12" t="s">
        <v>7172</v>
      </c>
      <c r="E1441" s="12" t="s">
        <v>2700</v>
      </c>
      <c r="F1441" s="12" t="s">
        <v>2701</v>
      </c>
      <c r="G1441" s="12" t="s">
        <v>2702</v>
      </c>
      <c r="H1441" s="12"/>
      <c r="I1441" s="12"/>
      <c r="J1441" s="12" t="s">
        <v>2703</v>
      </c>
      <c r="K1441" s="12"/>
      <c r="L1441" s="12"/>
      <c r="M1441" s="12" t="s">
        <v>2704</v>
      </c>
      <c r="N1441" s="12"/>
      <c r="O1441" s="12" t="s">
        <v>2705</v>
      </c>
      <c r="P1441" s="12" t="str">
        <f>HYPERLINK("https://ceds.ed.gov/cedselementdetails.aspx?termid=10070")</f>
        <v>https://ceds.ed.gov/cedselementdetails.aspx?termid=10070</v>
      </c>
      <c r="Q1441" s="12" t="str">
        <f>HYPERLINK("https://ceds.ed.gov/elementComment.aspx?elementName=Employment NAICS Code &amp;elementID=10070", "Click here to submit comment")</f>
        <v>Click here to submit comment</v>
      </c>
    </row>
    <row r="1442" spans="1:17" ht="60" x14ac:dyDescent="0.25">
      <c r="A1442" s="12" t="s">
        <v>7242</v>
      </c>
      <c r="B1442" s="12" t="s">
        <v>7256</v>
      </c>
      <c r="C1442" s="12" t="s">
        <v>7234</v>
      </c>
      <c r="D1442" s="12" t="s">
        <v>7172</v>
      </c>
      <c r="E1442" s="12" t="s">
        <v>2691</v>
      </c>
      <c r="F1442" s="12" t="s">
        <v>2692</v>
      </c>
      <c r="G1442" s="12" t="s">
        <v>12</v>
      </c>
      <c r="H1442" s="12" t="s">
        <v>205</v>
      </c>
      <c r="I1442" s="12"/>
      <c r="J1442" s="12" t="s">
        <v>73</v>
      </c>
      <c r="K1442" s="12"/>
      <c r="L1442" s="12"/>
      <c r="M1442" s="12" t="s">
        <v>2693</v>
      </c>
      <c r="N1442" s="12"/>
      <c r="O1442" s="12" t="s">
        <v>2694</v>
      </c>
      <c r="P1442" s="12" t="str">
        <f>HYPERLINK("https://ceds.ed.gov/cedselementdetails.aspx?termid=9794")</f>
        <v>https://ceds.ed.gov/cedselementdetails.aspx?termid=9794</v>
      </c>
      <c r="Q1442" s="12" t="str">
        <f>HYPERLINK("https://ceds.ed.gov/elementComment.aspx?elementName=Employment End Date &amp;elementID=9794", "Click here to submit comment")</f>
        <v>Click here to submit comment</v>
      </c>
    </row>
    <row r="1443" spans="1:17" ht="60" x14ac:dyDescent="0.25">
      <c r="A1443" s="12" t="s">
        <v>7242</v>
      </c>
      <c r="B1443" s="12" t="s">
        <v>7256</v>
      </c>
      <c r="C1443" s="12" t="s">
        <v>7234</v>
      </c>
      <c r="D1443" s="12" t="s">
        <v>7172</v>
      </c>
      <c r="E1443" s="12" t="s">
        <v>2727</v>
      </c>
      <c r="F1443" s="12" t="s">
        <v>2728</v>
      </c>
      <c r="G1443" s="12" t="s">
        <v>12</v>
      </c>
      <c r="H1443" s="12" t="s">
        <v>6523</v>
      </c>
      <c r="I1443" s="12"/>
      <c r="J1443" s="12" t="s">
        <v>73</v>
      </c>
      <c r="K1443" s="12"/>
      <c r="L1443" s="12"/>
      <c r="M1443" s="12" t="s">
        <v>2729</v>
      </c>
      <c r="N1443" s="12"/>
      <c r="O1443" s="12" t="s">
        <v>2730</v>
      </c>
      <c r="P1443" s="12" t="str">
        <f>HYPERLINK("https://ceds.ed.gov/cedselementdetails.aspx?termid=9345")</f>
        <v>https://ceds.ed.gov/cedselementdetails.aspx?termid=9345</v>
      </c>
      <c r="Q1443" s="12" t="str">
        <f>HYPERLINK("https://ceds.ed.gov/elementComment.aspx?elementName=Employment Start Date &amp;elementID=9345", "Click here to submit comment")</f>
        <v>Click here to submit comment</v>
      </c>
    </row>
    <row r="1444" spans="1:17" ht="105" x14ac:dyDescent="0.25">
      <c r="A1444" s="18" t="s">
        <v>7242</v>
      </c>
      <c r="B1444" s="18" t="s">
        <v>7256</v>
      </c>
      <c r="C1444" s="18" t="s">
        <v>7276</v>
      </c>
      <c r="D1444" s="18" t="s">
        <v>7172</v>
      </c>
      <c r="E1444" s="18" t="s">
        <v>3696</v>
      </c>
      <c r="F1444" s="18" t="s">
        <v>3697</v>
      </c>
      <c r="G1444" s="18" t="s">
        <v>12</v>
      </c>
      <c r="H1444" s="18"/>
      <c r="I1444" s="18"/>
      <c r="J1444" s="18" t="s">
        <v>142</v>
      </c>
      <c r="K1444" s="18"/>
      <c r="L1444" s="12" t="s">
        <v>143</v>
      </c>
      <c r="M1444" s="18" t="s">
        <v>3698</v>
      </c>
      <c r="N1444" s="18"/>
      <c r="O1444" s="18" t="s">
        <v>3699</v>
      </c>
      <c r="P1444" s="18" t="str">
        <f>HYPERLINK("https://ceds.ed.gov/cedselementdetails.aspx?termid=10533")</f>
        <v>https://ceds.ed.gov/cedselementdetails.aspx?termid=10533</v>
      </c>
      <c r="Q1444" s="18" t="str">
        <f>HYPERLINK("https://ceds.ed.gov/elementComment.aspx?elementName=Learner Action Actor Identifier &amp;elementID=10533", "Click here to submit comment")</f>
        <v>Click here to submit comment</v>
      </c>
    </row>
    <row r="1445" spans="1:17" x14ac:dyDescent="0.25">
      <c r="A1445" s="18"/>
      <c r="B1445" s="18"/>
      <c r="C1445" s="18"/>
      <c r="D1445" s="18"/>
      <c r="E1445" s="18"/>
      <c r="F1445" s="18"/>
      <c r="G1445" s="18"/>
      <c r="H1445" s="18"/>
      <c r="I1445" s="18"/>
      <c r="J1445" s="18"/>
      <c r="K1445" s="18"/>
      <c r="L1445" s="12"/>
      <c r="M1445" s="18"/>
      <c r="N1445" s="18"/>
      <c r="O1445" s="18"/>
      <c r="P1445" s="18"/>
      <c r="Q1445" s="18"/>
    </row>
    <row r="1446" spans="1:17" ht="90" x14ac:dyDescent="0.25">
      <c r="A1446" s="18"/>
      <c r="B1446" s="18"/>
      <c r="C1446" s="18"/>
      <c r="D1446" s="18"/>
      <c r="E1446" s="18"/>
      <c r="F1446" s="18"/>
      <c r="G1446" s="18"/>
      <c r="H1446" s="18"/>
      <c r="I1446" s="18"/>
      <c r="J1446" s="18"/>
      <c r="K1446" s="18"/>
      <c r="L1446" s="12" t="s">
        <v>144</v>
      </c>
      <c r="M1446" s="18"/>
      <c r="N1446" s="18"/>
      <c r="O1446" s="18"/>
      <c r="P1446" s="18"/>
      <c r="Q1446" s="18"/>
    </row>
    <row r="1447" spans="1:17" ht="30" x14ac:dyDescent="0.25">
      <c r="A1447" s="12" t="s">
        <v>7242</v>
      </c>
      <c r="B1447" s="12" t="s">
        <v>7256</v>
      </c>
      <c r="C1447" s="12" t="s">
        <v>7276</v>
      </c>
      <c r="D1447" s="12" t="s">
        <v>7172</v>
      </c>
      <c r="E1447" s="12" t="s">
        <v>3700</v>
      </c>
      <c r="F1447" s="12" t="s">
        <v>3701</v>
      </c>
      <c r="G1447" s="12" t="s">
        <v>12</v>
      </c>
      <c r="H1447" s="12"/>
      <c r="I1447" s="12"/>
      <c r="J1447" s="12" t="s">
        <v>860</v>
      </c>
      <c r="K1447" s="12"/>
      <c r="L1447" s="12"/>
      <c r="M1447" s="12" t="s">
        <v>3702</v>
      </c>
      <c r="N1447" s="12"/>
      <c r="O1447" s="12" t="s">
        <v>3703</v>
      </c>
      <c r="P1447" s="12" t="str">
        <f>HYPERLINK("https://ceds.ed.gov/cedselementdetails.aspx?termid=9938")</f>
        <v>https://ceds.ed.gov/cedselementdetails.aspx?termid=9938</v>
      </c>
      <c r="Q1447" s="12" t="str">
        <f>HYPERLINK("https://ceds.ed.gov/elementComment.aspx?elementName=Learner Action Date Time &amp;elementID=9938", "Click here to submit comment")</f>
        <v>Click here to submit comment</v>
      </c>
    </row>
    <row r="1448" spans="1:17" ht="45" x14ac:dyDescent="0.25">
      <c r="A1448" s="12" t="s">
        <v>7242</v>
      </c>
      <c r="B1448" s="12" t="s">
        <v>7256</v>
      </c>
      <c r="C1448" s="12" t="s">
        <v>7276</v>
      </c>
      <c r="D1448" s="12" t="s">
        <v>7172</v>
      </c>
      <c r="E1448" s="12" t="s">
        <v>3704</v>
      </c>
      <c r="F1448" s="12" t="s">
        <v>3705</v>
      </c>
      <c r="G1448" s="12" t="s">
        <v>12</v>
      </c>
      <c r="H1448" s="12"/>
      <c r="I1448" s="12"/>
      <c r="J1448" s="12" t="s">
        <v>68</v>
      </c>
      <c r="K1448" s="12"/>
      <c r="L1448" s="12"/>
      <c r="M1448" s="12" t="s">
        <v>3706</v>
      </c>
      <c r="N1448" s="12"/>
      <c r="O1448" s="12" t="s">
        <v>3707</v>
      </c>
      <c r="P1448" s="12" t="str">
        <f>HYPERLINK("https://ceds.ed.gov/cedselementdetails.aspx?termid=10534")</f>
        <v>https://ceds.ed.gov/cedselementdetails.aspx?termid=10534</v>
      </c>
      <c r="Q1448" s="12" t="str">
        <f>HYPERLINK("https://ceds.ed.gov/elementComment.aspx?elementName=Learner Action Object Description &amp;elementID=10534", "Click here to submit comment")</f>
        <v>Click here to submit comment</v>
      </c>
    </row>
    <row r="1449" spans="1:17" ht="105" x14ac:dyDescent="0.25">
      <c r="A1449" s="18" t="s">
        <v>7242</v>
      </c>
      <c r="B1449" s="18" t="s">
        <v>7256</v>
      </c>
      <c r="C1449" s="18" t="s">
        <v>7276</v>
      </c>
      <c r="D1449" s="18" t="s">
        <v>7172</v>
      </c>
      <c r="E1449" s="18" t="s">
        <v>3708</v>
      </c>
      <c r="F1449" s="18" t="s">
        <v>3709</v>
      </c>
      <c r="G1449" s="18" t="s">
        <v>12</v>
      </c>
      <c r="H1449" s="18"/>
      <c r="I1449" s="18"/>
      <c r="J1449" s="18" t="s">
        <v>142</v>
      </c>
      <c r="K1449" s="18"/>
      <c r="L1449" s="12" t="s">
        <v>143</v>
      </c>
      <c r="M1449" s="18" t="s">
        <v>3710</v>
      </c>
      <c r="N1449" s="18"/>
      <c r="O1449" s="18" t="s">
        <v>3711</v>
      </c>
      <c r="P1449" s="18" t="str">
        <f>HYPERLINK("https://ceds.ed.gov/cedselementdetails.aspx?termid=10535")</f>
        <v>https://ceds.ed.gov/cedselementdetails.aspx?termid=10535</v>
      </c>
      <c r="Q1449" s="18" t="str">
        <f>HYPERLINK("https://ceds.ed.gov/elementComment.aspx?elementName=Learner Action Object Identifier &amp;elementID=10535", "Click here to submit comment")</f>
        <v>Click here to submit comment</v>
      </c>
    </row>
    <row r="1450" spans="1:17" x14ac:dyDescent="0.25">
      <c r="A1450" s="18"/>
      <c r="B1450" s="18"/>
      <c r="C1450" s="18"/>
      <c r="D1450" s="18"/>
      <c r="E1450" s="18"/>
      <c r="F1450" s="18"/>
      <c r="G1450" s="18"/>
      <c r="H1450" s="18"/>
      <c r="I1450" s="18"/>
      <c r="J1450" s="18"/>
      <c r="K1450" s="18"/>
      <c r="L1450" s="12"/>
      <c r="M1450" s="18"/>
      <c r="N1450" s="18"/>
      <c r="O1450" s="18"/>
      <c r="P1450" s="18"/>
      <c r="Q1450" s="18"/>
    </row>
    <row r="1451" spans="1:17" ht="90" x14ac:dyDescent="0.25">
      <c r="A1451" s="18"/>
      <c r="B1451" s="18"/>
      <c r="C1451" s="18"/>
      <c r="D1451" s="18"/>
      <c r="E1451" s="18"/>
      <c r="F1451" s="18"/>
      <c r="G1451" s="18"/>
      <c r="H1451" s="18"/>
      <c r="I1451" s="18"/>
      <c r="J1451" s="18"/>
      <c r="K1451" s="18"/>
      <c r="L1451" s="12" t="s">
        <v>144</v>
      </c>
      <c r="M1451" s="18"/>
      <c r="N1451" s="18"/>
      <c r="O1451" s="18"/>
      <c r="P1451" s="18"/>
      <c r="Q1451" s="18"/>
    </row>
    <row r="1452" spans="1:17" ht="30" x14ac:dyDescent="0.25">
      <c r="A1452" s="12" t="s">
        <v>7242</v>
      </c>
      <c r="B1452" s="12" t="s">
        <v>7256</v>
      </c>
      <c r="C1452" s="12" t="s">
        <v>7276</v>
      </c>
      <c r="D1452" s="12" t="s">
        <v>7172</v>
      </c>
      <c r="E1452" s="12" t="s">
        <v>3712</v>
      </c>
      <c r="F1452" s="12" t="s">
        <v>3713</v>
      </c>
      <c r="G1452" s="12" t="s">
        <v>12</v>
      </c>
      <c r="H1452" s="12"/>
      <c r="I1452" s="12"/>
      <c r="J1452" s="12" t="s">
        <v>99</v>
      </c>
      <c r="K1452" s="12"/>
      <c r="L1452" s="12"/>
      <c r="M1452" s="12" t="s">
        <v>3714</v>
      </c>
      <c r="N1452" s="12"/>
      <c r="O1452" s="12" t="s">
        <v>3715</v>
      </c>
      <c r="P1452" s="12" t="str">
        <f>HYPERLINK("https://ceds.ed.gov/cedselementdetails.aspx?termid=10536")</f>
        <v>https://ceds.ed.gov/cedselementdetails.aspx?termid=10536</v>
      </c>
      <c r="Q1452" s="12" t="str">
        <f>HYPERLINK("https://ceds.ed.gov/elementComment.aspx?elementName=Learner Action Object Type &amp;elementID=10536", "Click here to submit comment")</f>
        <v>Click here to submit comment</v>
      </c>
    </row>
    <row r="1453" spans="1:17" ht="409.5" x14ac:dyDescent="0.25">
      <c r="A1453" s="12" t="s">
        <v>7242</v>
      </c>
      <c r="B1453" s="12" t="s">
        <v>7256</v>
      </c>
      <c r="C1453" s="12" t="s">
        <v>7276</v>
      </c>
      <c r="D1453" s="12" t="s">
        <v>7172</v>
      </c>
      <c r="E1453" s="12" t="s">
        <v>3716</v>
      </c>
      <c r="F1453" s="12" t="s">
        <v>3717</v>
      </c>
      <c r="G1453" s="13" t="s">
        <v>6989</v>
      </c>
      <c r="H1453" s="12"/>
      <c r="I1453" s="12" t="s">
        <v>98</v>
      </c>
      <c r="J1453" s="12"/>
      <c r="K1453" s="12"/>
      <c r="L1453" s="14" t="s">
        <v>3718</v>
      </c>
      <c r="M1453" s="12" t="s">
        <v>3719</v>
      </c>
      <c r="N1453" s="12"/>
      <c r="O1453" s="12" t="s">
        <v>3720</v>
      </c>
      <c r="P1453" s="12" t="str">
        <f>HYPERLINK("https://ceds.ed.gov/cedselementdetails.aspx?termid=9935")</f>
        <v>https://ceds.ed.gov/cedselementdetails.aspx?termid=9935</v>
      </c>
      <c r="Q1453" s="12" t="str">
        <f>HYPERLINK("https://ceds.ed.gov/elementComment.aspx?elementName=Learner Action Type &amp;elementID=9935", "Click here to submit comment")</f>
        <v>Click here to submit comment</v>
      </c>
    </row>
    <row r="1454" spans="1:17" ht="75" x14ac:dyDescent="0.25">
      <c r="A1454" s="12" t="s">
        <v>7242</v>
      </c>
      <c r="B1454" s="12" t="s">
        <v>7256</v>
      </c>
      <c r="C1454" s="12" t="s">
        <v>7276</v>
      </c>
      <c r="D1454" s="12" t="s">
        <v>7172</v>
      </c>
      <c r="E1454" s="12" t="s">
        <v>3721</v>
      </c>
      <c r="F1454" s="12" t="s">
        <v>3722</v>
      </c>
      <c r="G1454" s="12" t="s">
        <v>12</v>
      </c>
      <c r="H1454" s="12"/>
      <c r="I1454" s="12"/>
      <c r="J1454" s="12" t="s">
        <v>327</v>
      </c>
      <c r="K1454" s="12"/>
      <c r="L1454" s="12"/>
      <c r="M1454" s="12" t="s">
        <v>3723</v>
      </c>
      <c r="N1454" s="12"/>
      <c r="O1454" s="12" t="s">
        <v>3724</v>
      </c>
      <c r="P1454" s="12" t="str">
        <f>HYPERLINK("https://ceds.ed.gov/cedselementdetails.aspx?termid=9936")</f>
        <v>https://ceds.ed.gov/cedselementdetails.aspx?termid=9936</v>
      </c>
      <c r="Q1454" s="12" t="str">
        <f>HYPERLINK("https://ceds.ed.gov/elementComment.aspx?elementName=Learner Action Value &amp;elementID=9936", "Click here to submit comment")</f>
        <v>Click here to submit comment</v>
      </c>
    </row>
    <row r="1455" spans="1:17" ht="195" x14ac:dyDescent="0.25">
      <c r="A1455" s="12" t="s">
        <v>7242</v>
      </c>
      <c r="B1455" s="12" t="s">
        <v>7202</v>
      </c>
      <c r="C1455" s="12" t="s">
        <v>7171</v>
      </c>
      <c r="D1455" s="12" t="s">
        <v>7172</v>
      </c>
      <c r="E1455" s="12" t="s">
        <v>3017</v>
      </c>
      <c r="F1455" s="12" t="s">
        <v>3018</v>
      </c>
      <c r="G1455" s="12" t="s">
        <v>12</v>
      </c>
      <c r="H1455" s="12" t="s">
        <v>6540</v>
      </c>
      <c r="I1455" s="12"/>
      <c r="J1455" s="12" t="s">
        <v>1349</v>
      </c>
      <c r="K1455" s="12"/>
      <c r="L1455" s="12" t="s">
        <v>3019</v>
      </c>
      <c r="M1455" s="12" t="s">
        <v>3020</v>
      </c>
      <c r="N1455" s="12"/>
      <c r="O1455" s="12" t="s">
        <v>3021</v>
      </c>
      <c r="P1455" s="12" t="str">
        <f>HYPERLINK("https://ceds.ed.gov/cedselementdetails.aspx?termid=9115")</f>
        <v>https://ceds.ed.gov/cedselementdetails.aspx?termid=9115</v>
      </c>
      <c r="Q1455" s="12" t="str">
        <f>HYPERLINK("https://ceds.ed.gov/elementComment.aspx?elementName=First Name &amp;elementID=9115", "Click here to submit comment")</f>
        <v>Click here to submit comment</v>
      </c>
    </row>
    <row r="1456" spans="1:17" x14ac:dyDescent="0.25">
      <c r="A1456" s="18" t="s">
        <v>7242</v>
      </c>
      <c r="B1456" s="18" t="s">
        <v>7202</v>
      </c>
      <c r="C1456" s="18" t="s">
        <v>7171</v>
      </c>
      <c r="D1456" s="18" t="s">
        <v>7172</v>
      </c>
      <c r="E1456" s="18" t="s">
        <v>4405</v>
      </c>
      <c r="F1456" s="18" t="s">
        <v>4406</v>
      </c>
      <c r="G1456" s="18" t="s">
        <v>12</v>
      </c>
      <c r="H1456" s="18" t="s">
        <v>6540</v>
      </c>
      <c r="I1456" s="18"/>
      <c r="J1456" s="18" t="s">
        <v>1349</v>
      </c>
      <c r="K1456" s="18"/>
      <c r="L1456" s="12" t="s">
        <v>3078</v>
      </c>
      <c r="M1456" s="18" t="s">
        <v>4407</v>
      </c>
      <c r="N1456" s="18"/>
      <c r="O1456" s="18" t="s">
        <v>4408</v>
      </c>
      <c r="P1456" s="18" t="str">
        <f>HYPERLINK("https://ceds.ed.gov/cedselementdetails.aspx?termid=9184")</f>
        <v>https://ceds.ed.gov/cedselementdetails.aspx?termid=9184</v>
      </c>
      <c r="Q1456" s="18" t="str">
        <f>HYPERLINK("https://ceds.ed.gov/elementComment.aspx?elementName=Middle Name &amp;elementID=9184", "Click here to submit comment")</f>
        <v>Click here to submit comment</v>
      </c>
    </row>
    <row r="1457" spans="1:17" ht="90" x14ac:dyDescent="0.25">
      <c r="A1457" s="18"/>
      <c r="B1457" s="18"/>
      <c r="C1457" s="18"/>
      <c r="D1457" s="18"/>
      <c r="E1457" s="18"/>
      <c r="F1457" s="18"/>
      <c r="G1457" s="18"/>
      <c r="H1457" s="18"/>
      <c r="I1457" s="18"/>
      <c r="J1457" s="18"/>
      <c r="K1457" s="18"/>
      <c r="L1457" s="12" t="s">
        <v>3079</v>
      </c>
      <c r="M1457" s="18"/>
      <c r="N1457" s="18"/>
      <c r="O1457" s="18"/>
      <c r="P1457" s="18"/>
      <c r="Q1457" s="18"/>
    </row>
    <row r="1458" spans="1:17" x14ac:dyDescent="0.25">
      <c r="A1458" s="18" t="s">
        <v>7242</v>
      </c>
      <c r="B1458" s="18" t="s">
        <v>7202</v>
      </c>
      <c r="C1458" s="18" t="s">
        <v>7171</v>
      </c>
      <c r="D1458" s="18" t="s">
        <v>7172</v>
      </c>
      <c r="E1458" s="18" t="s">
        <v>3684</v>
      </c>
      <c r="F1458" s="18" t="s">
        <v>3685</v>
      </c>
      <c r="G1458" s="18" t="s">
        <v>12</v>
      </c>
      <c r="H1458" s="18" t="s">
        <v>6540</v>
      </c>
      <c r="I1458" s="18"/>
      <c r="J1458" s="18" t="s">
        <v>1349</v>
      </c>
      <c r="K1458" s="18"/>
      <c r="L1458" s="12" t="s">
        <v>3078</v>
      </c>
      <c r="M1458" s="18" t="s">
        <v>3686</v>
      </c>
      <c r="N1458" s="18" t="s">
        <v>3687</v>
      </c>
      <c r="O1458" s="18" t="s">
        <v>3688</v>
      </c>
      <c r="P1458" s="18" t="str">
        <f>HYPERLINK("https://ceds.ed.gov/cedselementdetails.aspx?termid=9172")</f>
        <v>https://ceds.ed.gov/cedselementdetails.aspx?termid=9172</v>
      </c>
      <c r="Q1458" s="18" t="str">
        <f>HYPERLINK("https://ceds.ed.gov/elementComment.aspx?elementName=Last or Surname &amp;elementID=9172", "Click here to submit comment")</f>
        <v>Click here to submit comment</v>
      </c>
    </row>
    <row r="1459" spans="1:17" ht="90" x14ac:dyDescent="0.25">
      <c r="A1459" s="18"/>
      <c r="B1459" s="18"/>
      <c r="C1459" s="18"/>
      <c r="D1459" s="18"/>
      <c r="E1459" s="18"/>
      <c r="F1459" s="18"/>
      <c r="G1459" s="18"/>
      <c r="H1459" s="18"/>
      <c r="I1459" s="18"/>
      <c r="J1459" s="18"/>
      <c r="K1459" s="18"/>
      <c r="L1459" s="12" t="s">
        <v>3079</v>
      </c>
      <c r="M1459" s="18"/>
      <c r="N1459" s="18"/>
      <c r="O1459" s="18"/>
      <c r="P1459" s="18"/>
      <c r="Q1459" s="18"/>
    </row>
    <row r="1460" spans="1:17" x14ac:dyDescent="0.25">
      <c r="A1460" s="18" t="s">
        <v>7242</v>
      </c>
      <c r="B1460" s="18" t="s">
        <v>7202</v>
      </c>
      <c r="C1460" s="18" t="s">
        <v>7171</v>
      </c>
      <c r="D1460" s="18" t="s">
        <v>7172</v>
      </c>
      <c r="E1460" s="18" t="s">
        <v>3076</v>
      </c>
      <c r="F1460" s="18" t="s">
        <v>3077</v>
      </c>
      <c r="G1460" s="18" t="s">
        <v>12</v>
      </c>
      <c r="H1460" s="18" t="s">
        <v>6543</v>
      </c>
      <c r="I1460" s="18"/>
      <c r="J1460" s="18" t="s">
        <v>2143</v>
      </c>
      <c r="K1460" s="18"/>
      <c r="L1460" s="12" t="s">
        <v>3078</v>
      </c>
      <c r="M1460" s="18" t="s">
        <v>3080</v>
      </c>
      <c r="N1460" s="18"/>
      <c r="O1460" s="18" t="s">
        <v>3081</v>
      </c>
      <c r="P1460" s="18" t="str">
        <f>HYPERLINK("https://ceds.ed.gov/cedselementdetails.aspx?termid=9121")</f>
        <v>https://ceds.ed.gov/cedselementdetails.aspx?termid=9121</v>
      </c>
      <c r="Q1460" s="18" t="str">
        <f>HYPERLINK("https://ceds.ed.gov/elementComment.aspx?elementName=Generation Code or Suffix &amp;elementID=9121", "Click here to submit comment")</f>
        <v>Click here to submit comment</v>
      </c>
    </row>
    <row r="1461" spans="1:17" ht="90" x14ac:dyDescent="0.25">
      <c r="A1461" s="18"/>
      <c r="B1461" s="18"/>
      <c r="C1461" s="18"/>
      <c r="D1461" s="18"/>
      <c r="E1461" s="18"/>
      <c r="F1461" s="18"/>
      <c r="G1461" s="18"/>
      <c r="H1461" s="18"/>
      <c r="I1461" s="18"/>
      <c r="J1461" s="18"/>
      <c r="K1461" s="18"/>
      <c r="L1461" s="12" t="s">
        <v>3079</v>
      </c>
      <c r="M1461" s="18"/>
      <c r="N1461" s="18"/>
      <c r="O1461" s="18"/>
      <c r="P1461" s="18"/>
      <c r="Q1461" s="18"/>
    </row>
    <row r="1462" spans="1:17" ht="105" x14ac:dyDescent="0.25">
      <c r="A1462" s="12" t="s">
        <v>7242</v>
      </c>
      <c r="B1462" s="12" t="s">
        <v>7202</v>
      </c>
      <c r="C1462" s="12" t="s">
        <v>7171</v>
      </c>
      <c r="D1462" s="12" t="s">
        <v>7172</v>
      </c>
      <c r="E1462" s="12" t="s">
        <v>4835</v>
      </c>
      <c r="F1462" s="12" t="s">
        <v>4836</v>
      </c>
      <c r="G1462" s="12" t="s">
        <v>12</v>
      </c>
      <c r="H1462" s="12" t="s">
        <v>6627</v>
      </c>
      <c r="I1462" s="12"/>
      <c r="J1462" s="12" t="s">
        <v>92</v>
      </c>
      <c r="K1462" s="12"/>
      <c r="L1462" s="12"/>
      <c r="M1462" s="12" t="s">
        <v>4837</v>
      </c>
      <c r="N1462" s="12" t="s">
        <v>4838</v>
      </c>
      <c r="O1462" s="12" t="s">
        <v>4839</v>
      </c>
      <c r="P1462" s="12" t="str">
        <f>HYPERLINK("https://ceds.ed.gov/cedselementdetails.aspx?termid=9212")</f>
        <v>https://ceds.ed.gov/cedselementdetails.aspx?termid=9212</v>
      </c>
      <c r="Q1462" s="12" t="str">
        <f>HYPERLINK("https://ceds.ed.gov/elementComment.aspx?elementName=Personal Title or Prefix &amp;elementID=9212", "Click here to submit comment")</f>
        <v>Click here to submit comment</v>
      </c>
    </row>
    <row r="1463" spans="1:17" ht="30" x14ac:dyDescent="0.25">
      <c r="A1463" s="12" t="s">
        <v>7242</v>
      </c>
      <c r="B1463" s="12" t="s">
        <v>7202</v>
      </c>
      <c r="C1463" s="12" t="s">
        <v>7173</v>
      </c>
      <c r="D1463" s="12" t="s">
        <v>7172</v>
      </c>
      <c r="E1463" s="12" t="s">
        <v>4705</v>
      </c>
      <c r="F1463" s="12" t="s">
        <v>4706</v>
      </c>
      <c r="G1463" s="12" t="s">
        <v>12</v>
      </c>
      <c r="H1463" s="12"/>
      <c r="I1463" s="12"/>
      <c r="J1463" s="12" t="s">
        <v>1349</v>
      </c>
      <c r="K1463" s="12"/>
      <c r="L1463" s="12" t="s">
        <v>4707</v>
      </c>
      <c r="M1463" s="12" t="s">
        <v>4708</v>
      </c>
      <c r="N1463" s="12"/>
      <c r="O1463" s="12" t="s">
        <v>4709</v>
      </c>
      <c r="P1463" s="12" t="str">
        <f>HYPERLINK("https://ceds.ed.gov/cedselementdetails.aspx?termid=10486")</f>
        <v>https://ceds.ed.gov/cedselementdetails.aspx?termid=10486</v>
      </c>
      <c r="Q1463" s="12" t="str">
        <f>HYPERLINK("https://ceds.ed.gov/elementComment.aspx?elementName=Other First Name &amp;elementID=10486", "Click here to submit comment")</f>
        <v>Click here to submit comment</v>
      </c>
    </row>
    <row r="1464" spans="1:17" ht="30" x14ac:dyDescent="0.25">
      <c r="A1464" s="12" t="s">
        <v>7242</v>
      </c>
      <c r="B1464" s="12" t="s">
        <v>7202</v>
      </c>
      <c r="C1464" s="12" t="s">
        <v>7173</v>
      </c>
      <c r="D1464" s="12" t="s">
        <v>7172</v>
      </c>
      <c r="E1464" s="12" t="s">
        <v>4710</v>
      </c>
      <c r="F1464" s="12" t="s">
        <v>4711</v>
      </c>
      <c r="G1464" s="12" t="s">
        <v>12</v>
      </c>
      <c r="H1464" s="12"/>
      <c r="I1464" s="12"/>
      <c r="J1464" s="12" t="s">
        <v>1349</v>
      </c>
      <c r="K1464" s="12"/>
      <c r="L1464" s="12" t="s">
        <v>4712</v>
      </c>
      <c r="M1464" s="12" t="s">
        <v>4713</v>
      </c>
      <c r="N1464" s="12"/>
      <c r="O1464" s="12" t="s">
        <v>4714</v>
      </c>
      <c r="P1464" s="12" t="str">
        <f>HYPERLINK("https://ceds.ed.gov/cedselementdetails.aspx?termid=10485")</f>
        <v>https://ceds.ed.gov/cedselementdetails.aspx?termid=10485</v>
      </c>
      <c r="Q1464" s="12" t="str">
        <f>HYPERLINK("https://ceds.ed.gov/elementComment.aspx?elementName=Other Last Name &amp;elementID=10485", "Click here to submit comment")</f>
        <v>Click here to submit comment</v>
      </c>
    </row>
    <row r="1465" spans="1:17" ht="30" x14ac:dyDescent="0.25">
      <c r="A1465" s="12" t="s">
        <v>7242</v>
      </c>
      <c r="B1465" s="12" t="s">
        <v>7202</v>
      </c>
      <c r="C1465" s="12" t="s">
        <v>7173</v>
      </c>
      <c r="D1465" s="12" t="s">
        <v>7172</v>
      </c>
      <c r="E1465" s="12" t="s">
        <v>4715</v>
      </c>
      <c r="F1465" s="12" t="s">
        <v>4716</v>
      </c>
      <c r="G1465" s="12" t="s">
        <v>12</v>
      </c>
      <c r="H1465" s="12"/>
      <c r="I1465" s="12"/>
      <c r="J1465" s="12" t="s">
        <v>1349</v>
      </c>
      <c r="K1465" s="12"/>
      <c r="L1465" s="12" t="s">
        <v>4717</v>
      </c>
      <c r="M1465" s="12" t="s">
        <v>4718</v>
      </c>
      <c r="N1465" s="12"/>
      <c r="O1465" s="12" t="s">
        <v>4719</v>
      </c>
      <c r="P1465" s="12" t="str">
        <f>HYPERLINK("https://ceds.ed.gov/cedselementdetails.aspx?termid=10487")</f>
        <v>https://ceds.ed.gov/cedselementdetails.aspx?termid=10487</v>
      </c>
      <c r="Q1465" s="12" t="str">
        <f>HYPERLINK("https://ceds.ed.gov/elementComment.aspx?elementName=Other Middle Name &amp;elementID=10487", "Click here to submit comment")</f>
        <v>Click here to submit comment</v>
      </c>
    </row>
    <row r="1466" spans="1:17" ht="150" x14ac:dyDescent="0.25">
      <c r="A1466" s="12" t="s">
        <v>7242</v>
      </c>
      <c r="B1466" s="12" t="s">
        <v>7202</v>
      </c>
      <c r="C1466" s="12" t="s">
        <v>7173</v>
      </c>
      <c r="D1466" s="12" t="s">
        <v>7172</v>
      </c>
      <c r="E1466" s="12" t="s">
        <v>4720</v>
      </c>
      <c r="F1466" s="12" t="s">
        <v>4721</v>
      </c>
      <c r="G1466" s="12" t="s">
        <v>12</v>
      </c>
      <c r="H1466" s="12" t="s">
        <v>6543</v>
      </c>
      <c r="I1466" s="12"/>
      <c r="J1466" s="12" t="s">
        <v>142</v>
      </c>
      <c r="K1466" s="12"/>
      <c r="L1466" s="12"/>
      <c r="M1466" s="12" t="s">
        <v>4722</v>
      </c>
      <c r="N1466" s="12"/>
      <c r="O1466" s="12" t="s">
        <v>4723</v>
      </c>
      <c r="P1466" s="12" t="str">
        <f>HYPERLINK("https://ceds.ed.gov/cedselementdetails.aspx?termid=9206")</f>
        <v>https://ceds.ed.gov/cedselementdetails.aspx?termid=9206</v>
      </c>
      <c r="Q1466" s="12" t="str">
        <f>HYPERLINK("https://ceds.ed.gov/elementComment.aspx?elementName=Other Name &amp;elementID=9206", "Click here to submit comment")</f>
        <v>Click here to submit comment</v>
      </c>
    </row>
    <row r="1467" spans="1:17" ht="165" x14ac:dyDescent="0.25">
      <c r="A1467" s="12" t="s">
        <v>7242</v>
      </c>
      <c r="B1467" s="12" t="s">
        <v>7202</v>
      </c>
      <c r="C1467" s="12" t="s">
        <v>7173</v>
      </c>
      <c r="D1467" s="12" t="s">
        <v>7172</v>
      </c>
      <c r="E1467" s="12" t="s">
        <v>4724</v>
      </c>
      <c r="F1467" s="12" t="s">
        <v>4725</v>
      </c>
      <c r="G1467" s="13" t="s">
        <v>7046</v>
      </c>
      <c r="H1467" s="12" t="s">
        <v>6619</v>
      </c>
      <c r="I1467" s="12"/>
      <c r="J1467" s="12" t="s">
        <v>92</v>
      </c>
      <c r="K1467" s="12"/>
      <c r="L1467" s="12"/>
      <c r="M1467" s="12" t="s">
        <v>4726</v>
      </c>
      <c r="N1467" s="12"/>
      <c r="O1467" s="12" t="s">
        <v>4727</v>
      </c>
      <c r="P1467" s="12" t="str">
        <f>HYPERLINK("https://ceds.ed.gov/cedselementdetails.aspx?termid=9627")</f>
        <v>https://ceds.ed.gov/cedselementdetails.aspx?termid=9627</v>
      </c>
      <c r="Q1467" s="12" t="str">
        <f>HYPERLINK("https://ceds.ed.gov/elementComment.aspx?elementName=Other Name Type &amp;elementID=9627", "Click here to submit comment")</f>
        <v>Click here to submit comment</v>
      </c>
    </row>
    <row r="1468" spans="1:17" ht="225" x14ac:dyDescent="0.25">
      <c r="A1468" s="18" t="s">
        <v>7242</v>
      </c>
      <c r="B1468" s="18" t="s">
        <v>7202</v>
      </c>
      <c r="C1468" s="18" t="s">
        <v>7174</v>
      </c>
      <c r="D1468" s="18" t="s">
        <v>7172</v>
      </c>
      <c r="E1468" s="18" t="s">
        <v>5745</v>
      </c>
      <c r="F1468" s="18" t="s">
        <v>5746</v>
      </c>
      <c r="G1468" s="18" t="s">
        <v>12</v>
      </c>
      <c r="H1468" s="18" t="s">
        <v>6670</v>
      </c>
      <c r="I1468" s="18"/>
      <c r="J1468" s="18" t="s">
        <v>5747</v>
      </c>
      <c r="K1468" s="18"/>
      <c r="L1468" s="12" t="s">
        <v>5748</v>
      </c>
      <c r="M1468" s="18" t="s">
        <v>5750</v>
      </c>
      <c r="N1468" s="18" t="s">
        <v>5751</v>
      </c>
      <c r="O1468" s="18" t="s">
        <v>5752</v>
      </c>
      <c r="P1468" s="18" t="str">
        <f>HYPERLINK("https://ceds.ed.gov/cedselementdetails.aspx?termid=9259")</f>
        <v>https://ceds.ed.gov/cedselementdetails.aspx?termid=9259</v>
      </c>
      <c r="Q1468" s="18" t="str">
        <f>HYPERLINK("https://ceds.ed.gov/elementComment.aspx?elementName=Social Security Number &amp;elementID=9259", "Click here to submit comment")</f>
        <v>Click here to submit comment</v>
      </c>
    </row>
    <row r="1469" spans="1:17" x14ac:dyDescent="0.25">
      <c r="A1469" s="18"/>
      <c r="B1469" s="18"/>
      <c r="C1469" s="18"/>
      <c r="D1469" s="18"/>
      <c r="E1469" s="18"/>
      <c r="F1469" s="18"/>
      <c r="G1469" s="18"/>
      <c r="H1469" s="18"/>
      <c r="I1469" s="18"/>
      <c r="J1469" s="18"/>
      <c r="K1469" s="18"/>
      <c r="L1469" s="12"/>
      <c r="M1469" s="18"/>
      <c r="N1469" s="18"/>
      <c r="O1469" s="18"/>
      <c r="P1469" s="18"/>
      <c r="Q1469" s="18"/>
    </row>
    <row r="1470" spans="1:17" ht="180" x14ac:dyDescent="0.25">
      <c r="A1470" s="18"/>
      <c r="B1470" s="18"/>
      <c r="C1470" s="18"/>
      <c r="D1470" s="18"/>
      <c r="E1470" s="18"/>
      <c r="F1470" s="18"/>
      <c r="G1470" s="18"/>
      <c r="H1470" s="18"/>
      <c r="I1470" s="18"/>
      <c r="J1470" s="18"/>
      <c r="K1470" s="18"/>
      <c r="L1470" s="12" t="s">
        <v>5749</v>
      </c>
      <c r="M1470" s="18"/>
      <c r="N1470" s="18"/>
      <c r="O1470" s="18"/>
      <c r="P1470" s="18"/>
      <c r="Q1470" s="18"/>
    </row>
    <row r="1471" spans="1:17" ht="255" x14ac:dyDescent="0.25">
      <c r="A1471" s="12" t="s">
        <v>7242</v>
      </c>
      <c r="B1471" s="12" t="s">
        <v>7202</v>
      </c>
      <c r="C1471" s="12" t="s">
        <v>7174</v>
      </c>
      <c r="D1471" s="12" t="s">
        <v>7172</v>
      </c>
      <c r="E1471" s="12" t="s">
        <v>4831</v>
      </c>
      <c r="F1471" s="12" t="s">
        <v>4832</v>
      </c>
      <c r="G1471" s="13" t="s">
        <v>7053</v>
      </c>
      <c r="H1471" s="12"/>
      <c r="I1471" s="12"/>
      <c r="J1471" s="12"/>
      <c r="K1471" s="12"/>
      <c r="L1471" s="12"/>
      <c r="M1471" s="12" t="s">
        <v>4833</v>
      </c>
      <c r="N1471" s="12"/>
      <c r="O1471" s="12" t="s">
        <v>4834</v>
      </c>
      <c r="P1471" s="12" t="str">
        <f>HYPERLINK("https://ceds.ed.gov/cedselementdetails.aspx?termid=9611")</f>
        <v>https://ceds.ed.gov/cedselementdetails.aspx?termid=9611</v>
      </c>
      <c r="Q1471" s="12" t="str">
        <f>HYPERLINK("https://ceds.ed.gov/elementComment.aspx?elementName=Personal Information Verification &amp;elementID=9611", "Click here to submit comment")</f>
        <v>Click here to submit comment</v>
      </c>
    </row>
    <row r="1472" spans="1:17" ht="375" x14ac:dyDescent="0.25">
      <c r="A1472" s="12" t="s">
        <v>7242</v>
      </c>
      <c r="B1472" s="12" t="s">
        <v>7202</v>
      </c>
      <c r="C1472" s="12" t="s">
        <v>7174</v>
      </c>
      <c r="D1472" s="12" t="s">
        <v>7176</v>
      </c>
      <c r="E1472" s="12" t="s">
        <v>4807</v>
      </c>
      <c r="F1472" s="12" t="s">
        <v>4808</v>
      </c>
      <c r="G1472" s="13" t="s">
        <v>7051</v>
      </c>
      <c r="H1472" s="12"/>
      <c r="I1472" s="12"/>
      <c r="J1472" s="12"/>
      <c r="K1472" s="12"/>
      <c r="L1472" s="12"/>
      <c r="M1472" s="12" t="s">
        <v>4809</v>
      </c>
      <c r="N1472" s="12"/>
      <c r="O1472" s="12" t="s">
        <v>4810</v>
      </c>
      <c r="P1472" s="12" t="str">
        <f>HYPERLINK("https://ceds.ed.gov/cedselementdetails.aspx?termid=10550")</f>
        <v>https://ceds.ed.gov/cedselementdetails.aspx?termid=10550</v>
      </c>
      <c r="Q1472" s="12" t="str">
        <f>HYPERLINK("https://ceds.ed.gov/elementComment.aspx?elementName=Person Identification System &amp;elementID=10550", "Click here to submit comment")</f>
        <v>Click here to submit comment</v>
      </c>
    </row>
    <row r="1473" spans="1:17" ht="105" x14ac:dyDescent="0.25">
      <c r="A1473" s="18" t="s">
        <v>7242</v>
      </c>
      <c r="B1473" s="18" t="s">
        <v>7202</v>
      </c>
      <c r="C1473" s="18" t="s">
        <v>7174</v>
      </c>
      <c r="D1473" s="18" t="s">
        <v>7176</v>
      </c>
      <c r="E1473" s="18" t="s">
        <v>4811</v>
      </c>
      <c r="F1473" s="18" t="s">
        <v>4812</v>
      </c>
      <c r="G1473" s="18" t="s">
        <v>12</v>
      </c>
      <c r="H1473" s="18"/>
      <c r="I1473" s="18"/>
      <c r="J1473" s="18" t="s">
        <v>142</v>
      </c>
      <c r="K1473" s="18"/>
      <c r="L1473" s="12" t="s">
        <v>143</v>
      </c>
      <c r="M1473" s="18" t="s">
        <v>4813</v>
      </c>
      <c r="N1473" s="18"/>
      <c r="O1473" s="18" t="s">
        <v>4814</v>
      </c>
      <c r="P1473" s="18" t="str">
        <f>HYPERLINK("https://ceds.ed.gov/cedselementdetails.aspx?termid=10551")</f>
        <v>https://ceds.ed.gov/cedselementdetails.aspx?termid=10551</v>
      </c>
      <c r="Q1473" s="18" t="str">
        <f>HYPERLINK("https://ceds.ed.gov/elementComment.aspx?elementName=Person Identifier &amp;elementID=10551", "Click here to submit comment")</f>
        <v>Click here to submit comment</v>
      </c>
    </row>
    <row r="1474" spans="1:17" x14ac:dyDescent="0.25">
      <c r="A1474" s="18"/>
      <c r="B1474" s="18"/>
      <c r="C1474" s="18"/>
      <c r="D1474" s="18"/>
      <c r="E1474" s="18"/>
      <c r="F1474" s="18"/>
      <c r="G1474" s="18"/>
      <c r="H1474" s="18"/>
      <c r="I1474" s="18"/>
      <c r="J1474" s="18"/>
      <c r="K1474" s="18"/>
      <c r="L1474" s="12"/>
      <c r="M1474" s="18"/>
      <c r="N1474" s="18"/>
      <c r="O1474" s="18"/>
      <c r="P1474" s="18"/>
      <c r="Q1474" s="18"/>
    </row>
    <row r="1475" spans="1:17" ht="90" x14ac:dyDescent="0.25">
      <c r="A1475" s="18"/>
      <c r="B1475" s="18"/>
      <c r="C1475" s="18"/>
      <c r="D1475" s="18"/>
      <c r="E1475" s="18"/>
      <c r="F1475" s="18"/>
      <c r="G1475" s="18"/>
      <c r="H1475" s="18"/>
      <c r="I1475" s="18"/>
      <c r="J1475" s="18"/>
      <c r="K1475" s="18"/>
      <c r="L1475" s="12" t="s">
        <v>144</v>
      </c>
      <c r="M1475" s="18"/>
      <c r="N1475" s="18"/>
      <c r="O1475" s="18"/>
      <c r="P1475" s="18"/>
      <c r="Q1475" s="18"/>
    </row>
    <row r="1476" spans="1:17" ht="210" x14ac:dyDescent="0.25">
      <c r="A1476" s="12" t="s">
        <v>7242</v>
      </c>
      <c r="B1476" s="12" t="s">
        <v>7202</v>
      </c>
      <c r="C1476" s="12" t="s">
        <v>7175</v>
      </c>
      <c r="D1476" s="12" t="s">
        <v>7172</v>
      </c>
      <c r="E1476" s="12" t="s">
        <v>193</v>
      </c>
      <c r="F1476" s="12" t="s">
        <v>194</v>
      </c>
      <c r="G1476" s="13" t="s">
        <v>6726</v>
      </c>
      <c r="H1476" s="12" t="s">
        <v>6380</v>
      </c>
      <c r="I1476" s="12"/>
      <c r="J1476" s="12" t="s">
        <v>92</v>
      </c>
      <c r="K1476" s="12"/>
      <c r="L1476" s="12"/>
      <c r="M1476" s="12" t="s">
        <v>195</v>
      </c>
      <c r="N1476" s="12"/>
      <c r="O1476" s="12" t="s">
        <v>196</v>
      </c>
      <c r="P1476" s="12" t="str">
        <f>HYPERLINK("https://ceds.ed.gov/cedselementdetails.aspx?termid=9358")</f>
        <v>https://ceds.ed.gov/cedselementdetails.aspx?termid=9358</v>
      </c>
      <c r="Q1476" s="12" t="str">
        <f>HYPERLINK("https://ceds.ed.gov/elementComment.aspx?elementName=Address Type for Learner or Family &amp;elementID=9358", "Click here to submit comment")</f>
        <v>Click here to submit comment</v>
      </c>
    </row>
    <row r="1477" spans="1:17" ht="225" x14ac:dyDescent="0.25">
      <c r="A1477" s="12" t="s">
        <v>7242</v>
      </c>
      <c r="B1477" s="12" t="s">
        <v>7202</v>
      </c>
      <c r="C1477" s="12" t="s">
        <v>7175</v>
      </c>
      <c r="D1477" s="12" t="s">
        <v>7172</v>
      </c>
      <c r="E1477" s="12" t="s">
        <v>189</v>
      </c>
      <c r="F1477" s="12" t="s">
        <v>190</v>
      </c>
      <c r="G1477" s="12" t="s">
        <v>12</v>
      </c>
      <c r="H1477" s="12" t="s">
        <v>6377</v>
      </c>
      <c r="I1477" s="12"/>
      <c r="J1477" s="12" t="s">
        <v>142</v>
      </c>
      <c r="K1477" s="12"/>
      <c r="L1477" s="12"/>
      <c r="M1477" s="12" t="s">
        <v>191</v>
      </c>
      <c r="N1477" s="12"/>
      <c r="O1477" s="12" t="s">
        <v>192</v>
      </c>
      <c r="P1477" s="12" t="str">
        <f>HYPERLINK("https://ceds.ed.gov/cedselementdetails.aspx?termid=9269")</f>
        <v>https://ceds.ed.gov/cedselementdetails.aspx?termid=9269</v>
      </c>
      <c r="Q1477" s="12" t="str">
        <f>HYPERLINK("https://ceds.ed.gov/elementComment.aspx?elementName=Address Street Number and Name &amp;elementID=9269", "Click here to submit comment")</f>
        <v>Click here to submit comment</v>
      </c>
    </row>
    <row r="1478" spans="1:17" ht="225" x14ac:dyDescent="0.25">
      <c r="A1478" s="12" t="s">
        <v>7242</v>
      </c>
      <c r="B1478" s="12" t="s">
        <v>7202</v>
      </c>
      <c r="C1478" s="12" t="s">
        <v>7175</v>
      </c>
      <c r="D1478" s="12" t="s">
        <v>7172</v>
      </c>
      <c r="E1478" s="12" t="s">
        <v>172</v>
      </c>
      <c r="F1478" s="12" t="s">
        <v>173</v>
      </c>
      <c r="G1478" s="12" t="s">
        <v>12</v>
      </c>
      <c r="H1478" s="12" t="s">
        <v>6377</v>
      </c>
      <c r="I1478" s="12"/>
      <c r="J1478" s="12" t="s">
        <v>92</v>
      </c>
      <c r="K1478" s="12"/>
      <c r="L1478" s="12"/>
      <c r="M1478" s="12" t="s">
        <v>174</v>
      </c>
      <c r="N1478" s="12"/>
      <c r="O1478" s="12" t="s">
        <v>175</v>
      </c>
      <c r="P1478" s="12" t="str">
        <f>HYPERLINK("https://ceds.ed.gov/cedselementdetails.aspx?termid=9019")</f>
        <v>https://ceds.ed.gov/cedselementdetails.aspx?termid=9019</v>
      </c>
      <c r="Q1478" s="12" t="str">
        <f>HYPERLINK("https://ceds.ed.gov/elementComment.aspx?elementName=Address Apartment Room or Suite Number &amp;elementID=9019", "Click here to submit comment")</f>
        <v>Click here to submit comment</v>
      </c>
    </row>
    <row r="1479" spans="1:17" ht="225" x14ac:dyDescent="0.25">
      <c r="A1479" s="12" t="s">
        <v>7242</v>
      </c>
      <c r="B1479" s="12" t="s">
        <v>7202</v>
      </c>
      <c r="C1479" s="12" t="s">
        <v>7175</v>
      </c>
      <c r="D1479" s="12" t="s">
        <v>7172</v>
      </c>
      <c r="E1479" s="12" t="s">
        <v>176</v>
      </c>
      <c r="F1479" s="12" t="s">
        <v>177</v>
      </c>
      <c r="G1479" s="12" t="s">
        <v>12</v>
      </c>
      <c r="H1479" s="12" t="s">
        <v>6377</v>
      </c>
      <c r="I1479" s="12"/>
      <c r="J1479" s="12" t="s">
        <v>92</v>
      </c>
      <c r="K1479" s="12"/>
      <c r="L1479" s="12"/>
      <c r="M1479" s="12" t="s">
        <v>178</v>
      </c>
      <c r="N1479" s="12"/>
      <c r="O1479" s="12" t="s">
        <v>179</v>
      </c>
      <c r="P1479" s="12" t="str">
        <f>HYPERLINK("https://ceds.ed.gov/cedselementdetails.aspx?termid=9040")</f>
        <v>https://ceds.ed.gov/cedselementdetails.aspx?termid=9040</v>
      </c>
      <c r="Q1479" s="12" t="str">
        <f>HYPERLINK("https://ceds.ed.gov/elementComment.aspx?elementName=Address City &amp;elementID=9040", "Click here to submit comment")</f>
        <v>Click here to submit comment</v>
      </c>
    </row>
    <row r="1480" spans="1:17" ht="409.5" x14ac:dyDescent="0.25">
      <c r="A1480" s="12" t="s">
        <v>7242</v>
      </c>
      <c r="B1480" s="12" t="s">
        <v>7202</v>
      </c>
      <c r="C1480" s="12" t="s">
        <v>7175</v>
      </c>
      <c r="D1480" s="12" t="s">
        <v>7172</v>
      </c>
      <c r="E1480" s="12" t="s">
        <v>5898</v>
      </c>
      <c r="F1480" s="12" t="s">
        <v>5899</v>
      </c>
      <c r="G1480" s="13" t="s">
        <v>7120</v>
      </c>
      <c r="H1480" s="12" t="s">
        <v>6678</v>
      </c>
      <c r="I1480" s="12"/>
      <c r="J1480" s="12"/>
      <c r="K1480" s="12"/>
      <c r="L1480" s="12"/>
      <c r="M1480" s="12" t="s">
        <v>5900</v>
      </c>
      <c r="N1480" s="12"/>
      <c r="O1480" s="12" t="s">
        <v>5901</v>
      </c>
      <c r="P1480" s="12" t="str">
        <f>HYPERLINK("https://ceds.ed.gov/cedselementdetails.aspx?termid=9267")</f>
        <v>https://ceds.ed.gov/cedselementdetails.aspx?termid=9267</v>
      </c>
      <c r="Q1480" s="12" t="str">
        <f>HYPERLINK("https://ceds.ed.gov/elementComment.aspx?elementName=State Abbreviation &amp;elementID=9267", "Click here to submit comment")</f>
        <v>Click here to submit comment</v>
      </c>
    </row>
    <row r="1481" spans="1:17" ht="225" x14ac:dyDescent="0.25">
      <c r="A1481" s="12" t="s">
        <v>7242</v>
      </c>
      <c r="B1481" s="12" t="s">
        <v>7202</v>
      </c>
      <c r="C1481" s="12" t="s">
        <v>7175</v>
      </c>
      <c r="D1481" s="12" t="s">
        <v>7172</v>
      </c>
      <c r="E1481" s="12" t="s">
        <v>184</v>
      </c>
      <c r="F1481" s="12" t="s">
        <v>185</v>
      </c>
      <c r="G1481" s="12" t="s">
        <v>12</v>
      </c>
      <c r="H1481" s="12" t="s">
        <v>6377</v>
      </c>
      <c r="I1481" s="12"/>
      <c r="J1481" s="12" t="s">
        <v>186</v>
      </c>
      <c r="K1481" s="12"/>
      <c r="L1481" s="12"/>
      <c r="M1481" s="12" t="s">
        <v>187</v>
      </c>
      <c r="N1481" s="12"/>
      <c r="O1481" s="12" t="s">
        <v>188</v>
      </c>
      <c r="P1481" s="12" t="str">
        <f>HYPERLINK("https://ceds.ed.gov/cedselementdetails.aspx?termid=9214")</f>
        <v>https://ceds.ed.gov/cedselementdetails.aspx?termid=9214</v>
      </c>
      <c r="Q1481" s="12" t="str">
        <f>HYPERLINK("https://ceds.ed.gov/elementComment.aspx?elementName=Address Postal Code &amp;elementID=9214", "Click here to submit comment")</f>
        <v>Click here to submit comment</v>
      </c>
    </row>
    <row r="1482" spans="1:17" ht="225" x14ac:dyDescent="0.25">
      <c r="A1482" s="12" t="s">
        <v>7242</v>
      </c>
      <c r="B1482" s="12" t="s">
        <v>7202</v>
      </c>
      <c r="C1482" s="12" t="s">
        <v>7175</v>
      </c>
      <c r="D1482" s="12" t="s">
        <v>7172</v>
      </c>
      <c r="E1482" s="12" t="s">
        <v>180</v>
      </c>
      <c r="F1482" s="12" t="s">
        <v>181</v>
      </c>
      <c r="G1482" s="12" t="s">
        <v>12</v>
      </c>
      <c r="H1482" s="12" t="s">
        <v>6377</v>
      </c>
      <c r="I1482" s="12"/>
      <c r="J1482" s="12" t="s">
        <v>92</v>
      </c>
      <c r="K1482" s="12"/>
      <c r="L1482" s="12"/>
      <c r="M1482" s="12" t="s">
        <v>182</v>
      </c>
      <c r="N1482" s="12"/>
      <c r="O1482" s="12" t="s">
        <v>183</v>
      </c>
      <c r="P1482" s="12" t="str">
        <f>HYPERLINK("https://ceds.ed.gov/cedselementdetails.aspx?termid=9190")</f>
        <v>https://ceds.ed.gov/cedselementdetails.aspx?termid=9190</v>
      </c>
      <c r="Q1482" s="12" t="str">
        <f>HYPERLINK("https://ceds.ed.gov/elementComment.aspx?elementName=Address County Name &amp;elementID=9190", "Click here to submit comment")</f>
        <v>Click here to submit comment</v>
      </c>
    </row>
    <row r="1483" spans="1:17" ht="409.5" x14ac:dyDescent="0.25">
      <c r="A1483" s="12" t="s">
        <v>7242</v>
      </c>
      <c r="B1483" s="12" t="s">
        <v>7202</v>
      </c>
      <c r="C1483" s="12" t="s">
        <v>7175</v>
      </c>
      <c r="D1483" s="12" t="s">
        <v>7172</v>
      </c>
      <c r="E1483" s="12" t="s">
        <v>1934</v>
      </c>
      <c r="F1483" s="12" t="s">
        <v>1935</v>
      </c>
      <c r="G1483" s="13" t="s">
        <v>6829</v>
      </c>
      <c r="H1483" s="12" t="s">
        <v>6467</v>
      </c>
      <c r="I1483" s="12" t="s">
        <v>98</v>
      </c>
      <c r="J1483" s="12"/>
      <c r="K1483" s="12"/>
      <c r="L1483" s="14" t="s">
        <v>1936</v>
      </c>
      <c r="M1483" s="12" t="s">
        <v>1937</v>
      </c>
      <c r="N1483" s="12"/>
      <c r="O1483" s="12" t="s">
        <v>1938</v>
      </c>
      <c r="P1483" s="12" t="str">
        <f>HYPERLINK("https://ceds.ed.gov/cedselementdetails.aspx?termid=9050")</f>
        <v>https://ceds.ed.gov/cedselementdetails.aspx?termid=9050</v>
      </c>
      <c r="Q1483" s="12" t="str">
        <f>HYPERLINK("https://ceds.ed.gov/elementComment.aspx?elementName=Country Code &amp;elementID=9050", "Click here to submit comment")</f>
        <v>Click here to submit comment</v>
      </c>
    </row>
    <row r="1484" spans="1:17" ht="75" x14ac:dyDescent="0.25">
      <c r="A1484" s="12" t="s">
        <v>7242</v>
      </c>
      <c r="B1484" s="12" t="s">
        <v>7202</v>
      </c>
      <c r="C1484" s="12" t="s">
        <v>7175</v>
      </c>
      <c r="D1484" s="12" t="s">
        <v>7176</v>
      </c>
      <c r="E1484" s="12" t="s">
        <v>3693</v>
      </c>
      <c r="F1484" s="12" t="s">
        <v>3694</v>
      </c>
      <c r="G1484" s="12" t="s">
        <v>12</v>
      </c>
      <c r="H1484" s="12"/>
      <c r="I1484" s="12"/>
      <c r="J1484" s="12" t="s">
        <v>1201</v>
      </c>
      <c r="K1484" s="12"/>
      <c r="L1484" s="12"/>
      <c r="M1484" s="12" t="s">
        <v>3695</v>
      </c>
      <c r="N1484" s="12"/>
      <c r="O1484" s="12" t="s">
        <v>3693</v>
      </c>
      <c r="P1484" s="12" t="str">
        <f>HYPERLINK("https://ceds.ed.gov/cedselementdetails.aspx?termid=9599")</f>
        <v>https://ceds.ed.gov/cedselementdetails.aspx?termid=9599</v>
      </c>
      <c r="Q1484" s="12" t="str">
        <f>HYPERLINK("https://ceds.ed.gov/elementComment.aspx?elementName=Latitude &amp;elementID=9599", "Click here to submit comment")</f>
        <v>Click here to submit comment</v>
      </c>
    </row>
    <row r="1485" spans="1:17" ht="75" x14ac:dyDescent="0.25">
      <c r="A1485" s="12" t="s">
        <v>7242</v>
      </c>
      <c r="B1485" s="12" t="s">
        <v>7202</v>
      </c>
      <c r="C1485" s="12" t="s">
        <v>7175</v>
      </c>
      <c r="D1485" s="12" t="s">
        <v>7176</v>
      </c>
      <c r="E1485" s="12" t="s">
        <v>4361</v>
      </c>
      <c r="F1485" s="12" t="s">
        <v>4362</v>
      </c>
      <c r="G1485" s="12" t="s">
        <v>12</v>
      </c>
      <c r="H1485" s="12"/>
      <c r="I1485" s="12"/>
      <c r="J1485" s="12" t="s">
        <v>1201</v>
      </c>
      <c r="K1485" s="12"/>
      <c r="L1485" s="12"/>
      <c r="M1485" s="12" t="s">
        <v>4363</v>
      </c>
      <c r="N1485" s="12"/>
      <c r="O1485" s="12" t="s">
        <v>4361</v>
      </c>
      <c r="P1485" s="12" t="str">
        <f>HYPERLINK("https://ceds.ed.gov/cedselementdetails.aspx?termid=9600")</f>
        <v>https://ceds.ed.gov/cedselementdetails.aspx?termid=9600</v>
      </c>
      <c r="Q1485" s="12" t="str">
        <f>HYPERLINK("https://ceds.ed.gov/elementComment.aspx?elementName=Longitude &amp;elementID=9600", "Click here to submit comment")</f>
        <v>Click here to submit comment</v>
      </c>
    </row>
    <row r="1486" spans="1:17" ht="90" x14ac:dyDescent="0.25">
      <c r="A1486" s="12" t="s">
        <v>7242</v>
      </c>
      <c r="B1486" s="12" t="s">
        <v>7202</v>
      </c>
      <c r="C1486" s="12" t="s">
        <v>7177</v>
      </c>
      <c r="D1486" s="12" t="s">
        <v>7172</v>
      </c>
      <c r="E1486" s="12" t="s">
        <v>6107</v>
      </c>
      <c r="F1486" s="12" t="s">
        <v>6108</v>
      </c>
      <c r="G1486" s="13" t="s">
        <v>7135</v>
      </c>
      <c r="H1486" s="12" t="s">
        <v>6369</v>
      </c>
      <c r="I1486" s="12"/>
      <c r="J1486" s="12" t="s">
        <v>1950</v>
      </c>
      <c r="K1486" s="12"/>
      <c r="L1486" s="12"/>
      <c r="M1486" s="12" t="s">
        <v>6109</v>
      </c>
      <c r="N1486" s="12"/>
      <c r="O1486" s="12" t="s">
        <v>6110</v>
      </c>
      <c r="P1486" s="12" t="str">
        <f>HYPERLINK("https://ceds.ed.gov/cedselementdetails.aspx?termid=9280")</f>
        <v>https://ceds.ed.gov/cedselementdetails.aspx?termid=9280</v>
      </c>
      <c r="Q1486" s="12" t="str">
        <f>HYPERLINK("https://ceds.ed.gov/elementComment.aspx?elementName=Telephone Number Type &amp;elementID=9280", "Click here to submit comment")</f>
        <v>Click here to submit comment</v>
      </c>
    </row>
    <row r="1487" spans="1:17" ht="90" x14ac:dyDescent="0.25">
      <c r="A1487" s="12" t="s">
        <v>7242</v>
      </c>
      <c r="B1487" s="12" t="s">
        <v>7202</v>
      </c>
      <c r="C1487" s="12" t="s">
        <v>7177</v>
      </c>
      <c r="D1487" s="12" t="s">
        <v>7172</v>
      </c>
      <c r="E1487" s="12" t="s">
        <v>4934</v>
      </c>
      <c r="F1487" s="12" t="s">
        <v>4935</v>
      </c>
      <c r="G1487" s="12" t="s">
        <v>6364</v>
      </c>
      <c r="H1487" s="12" t="s">
        <v>6369</v>
      </c>
      <c r="I1487" s="12"/>
      <c r="J1487" s="12"/>
      <c r="K1487" s="12"/>
      <c r="L1487" s="12"/>
      <c r="M1487" s="12" t="s">
        <v>4936</v>
      </c>
      <c r="N1487" s="12"/>
      <c r="O1487" s="12" t="s">
        <v>4937</v>
      </c>
      <c r="P1487" s="12" t="str">
        <f>HYPERLINK("https://ceds.ed.gov/cedselementdetails.aspx?termid=9219")</f>
        <v>https://ceds.ed.gov/cedselementdetails.aspx?termid=9219</v>
      </c>
      <c r="Q1487" s="12" t="str">
        <f>HYPERLINK("https://ceds.ed.gov/elementComment.aspx?elementName=Primary Telephone Number Indicator &amp;elementID=9219", "Click here to submit comment")</f>
        <v>Click here to submit comment</v>
      </c>
    </row>
    <row r="1488" spans="1:17" ht="90" x14ac:dyDescent="0.25">
      <c r="A1488" s="12" t="s">
        <v>7242</v>
      </c>
      <c r="B1488" s="12" t="s">
        <v>7202</v>
      </c>
      <c r="C1488" s="12" t="s">
        <v>7177</v>
      </c>
      <c r="D1488" s="12" t="s">
        <v>7172</v>
      </c>
      <c r="E1488" s="12" t="s">
        <v>6102</v>
      </c>
      <c r="F1488" s="12" t="s">
        <v>6103</v>
      </c>
      <c r="G1488" s="12" t="s">
        <v>12</v>
      </c>
      <c r="H1488" s="12" t="s">
        <v>6369</v>
      </c>
      <c r="I1488" s="12"/>
      <c r="J1488" s="12" t="s">
        <v>6104</v>
      </c>
      <c r="K1488" s="12"/>
      <c r="L1488" s="12"/>
      <c r="M1488" s="12" t="s">
        <v>6105</v>
      </c>
      <c r="N1488" s="12"/>
      <c r="O1488" s="12" t="s">
        <v>6106</v>
      </c>
      <c r="P1488" s="12" t="str">
        <f>HYPERLINK("https://ceds.ed.gov/cedselementdetails.aspx?termid=9279")</f>
        <v>https://ceds.ed.gov/cedselementdetails.aspx?termid=9279</v>
      </c>
      <c r="Q1488" s="12" t="str">
        <f>HYPERLINK("https://ceds.ed.gov/elementComment.aspx?elementName=Telephone Number &amp;elementID=9279", "Click here to submit comment")</f>
        <v>Click here to submit comment</v>
      </c>
    </row>
    <row r="1489" spans="1:17" ht="90" x14ac:dyDescent="0.25">
      <c r="A1489" s="12" t="s">
        <v>7242</v>
      </c>
      <c r="B1489" s="12" t="s">
        <v>7202</v>
      </c>
      <c r="C1489" s="12" t="s">
        <v>7204</v>
      </c>
      <c r="D1489" s="12" t="s">
        <v>7172</v>
      </c>
      <c r="E1489" s="12" t="s">
        <v>2653</v>
      </c>
      <c r="F1489" s="12" t="s">
        <v>2654</v>
      </c>
      <c r="G1489" s="13" t="s">
        <v>6898</v>
      </c>
      <c r="H1489" s="12" t="s">
        <v>6369</v>
      </c>
      <c r="I1489" s="12"/>
      <c r="J1489" s="12"/>
      <c r="K1489" s="12"/>
      <c r="L1489" s="12"/>
      <c r="M1489" s="12" t="s">
        <v>2655</v>
      </c>
      <c r="N1489" s="12" t="s">
        <v>2656</v>
      </c>
      <c r="O1489" s="12" t="s">
        <v>2657</v>
      </c>
      <c r="P1489" s="12" t="str">
        <f>HYPERLINK("https://ceds.ed.gov/cedselementdetails.aspx?termid=9089")</f>
        <v>https://ceds.ed.gov/cedselementdetails.aspx?termid=9089</v>
      </c>
      <c r="Q1489" s="12" t="str">
        <f>HYPERLINK("https://ceds.ed.gov/elementComment.aspx?elementName=Electronic Mail Address Type &amp;elementID=9089", "Click here to submit comment")</f>
        <v>Click here to submit comment</v>
      </c>
    </row>
    <row r="1490" spans="1:17" ht="90" x14ac:dyDescent="0.25">
      <c r="A1490" s="12" t="s">
        <v>7242</v>
      </c>
      <c r="B1490" s="12" t="s">
        <v>7202</v>
      </c>
      <c r="C1490" s="12" t="s">
        <v>7204</v>
      </c>
      <c r="D1490" s="12" t="s">
        <v>7172</v>
      </c>
      <c r="E1490" s="12" t="s">
        <v>2647</v>
      </c>
      <c r="F1490" s="12" t="s">
        <v>2648</v>
      </c>
      <c r="G1490" s="12" t="s">
        <v>12</v>
      </c>
      <c r="H1490" s="12" t="s">
        <v>6369</v>
      </c>
      <c r="I1490" s="12"/>
      <c r="J1490" s="12" t="s">
        <v>2649</v>
      </c>
      <c r="K1490" s="12"/>
      <c r="L1490" s="12"/>
      <c r="M1490" s="12" t="s">
        <v>2650</v>
      </c>
      <c r="N1490" s="12" t="s">
        <v>2651</v>
      </c>
      <c r="O1490" s="12" t="s">
        <v>2652</v>
      </c>
      <c r="P1490" s="12" t="str">
        <f>HYPERLINK("https://ceds.ed.gov/cedselementdetails.aspx?termid=9088")</f>
        <v>https://ceds.ed.gov/cedselementdetails.aspx?termid=9088</v>
      </c>
      <c r="Q1490" s="12" t="str">
        <f>HYPERLINK("https://ceds.ed.gov/elementComment.aspx?elementName=Electronic Mail Address &amp;elementID=9088", "Click here to submit comment")</f>
        <v>Click here to submit comment</v>
      </c>
    </row>
    <row r="1491" spans="1:17" ht="240" x14ac:dyDescent="0.25">
      <c r="A1491" s="12" t="s">
        <v>7242</v>
      </c>
      <c r="B1491" s="12" t="s">
        <v>7202</v>
      </c>
      <c r="C1491" s="12" t="s">
        <v>7178</v>
      </c>
      <c r="D1491" s="12" t="s">
        <v>7176</v>
      </c>
      <c r="E1491" s="12" t="s">
        <v>1571</v>
      </c>
      <c r="F1491" s="12" t="s">
        <v>1572</v>
      </c>
      <c r="G1491" s="12" t="s">
        <v>12</v>
      </c>
      <c r="H1491" s="12" t="s">
        <v>6432</v>
      </c>
      <c r="I1491" s="12"/>
      <c r="J1491" s="12" t="s">
        <v>73</v>
      </c>
      <c r="K1491" s="12"/>
      <c r="L1491" s="12"/>
      <c r="M1491" s="12" t="s">
        <v>1573</v>
      </c>
      <c r="N1491" s="12"/>
      <c r="O1491" s="12" t="s">
        <v>1571</v>
      </c>
      <c r="P1491" s="12" t="str">
        <f>HYPERLINK("https://ceds.ed.gov/cedselementdetails.aspx?termid=9033")</f>
        <v>https://ceds.ed.gov/cedselementdetails.aspx?termid=9033</v>
      </c>
      <c r="Q1491" s="12" t="str">
        <f>HYPERLINK("https://ceds.ed.gov/elementComment.aspx?elementName=Birthdate &amp;elementID=9033", "Click here to submit comment")</f>
        <v>Click here to submit comment</v>
      </c>
    </row>
    <row r="1492" spans="1:17" ht="255" x14ac:dyDescent="0.25">
      <c r="A1492" s="12" t="s">
        <v>7242</v>
      </c>
      <c r="B1492" s="12" t="s">
        <v>7202</v>
      </c>
      <c r="C1492" s="12" t="s">
        <v>7178</v>
      </c>
      <c r="D1492" s="12" t="s">
        <v>7172</v>
      </c>
      <c r="E1492" s="12" t="s">
        <v>5711</v>
      </c>
      <c r="F1492" s="12" t="s">
        <v>5712</v>
      </c>
      <c r="G1492" s="13" t="s">
        <v>7112</v>
      </c>
      <c r="H1492" s="12" t="s">
        <v>6666</v>
      </c>
      <c r="I1492" s="12"/>
      <c r="J1492" s="12"/>
      <c r="K1492" s="12"/>
      <c r="L1492" s="12" t="s">
        <v>5713</v>
      </c>
      <c r="M1492" s="12" t="s">
        <v>5714</v>
      </c>
      <c r="N1492" s="12"/>
      <c r="O1492" s="12" t="s">
        <v>5711</v>
      </c>
      <c r="P1492" s="12" t="str">
        <f>HYPERLINK("https://ceds.ed.gov/cedselementdetails.aspx?termid=9255")</f>
        <v>https://ceds.ed.gov/cedselementdetails.aspx?termid=9255</v>
      </c>
      <c r="Q1492" s="12" t="str">
        <f>HYPERLINK("https://ceds.ed.gov/elementComment.aspx?elementName=Sex &amp;elementID=9255", "Click here to submit comment")</f>
        <v>Click here to submit comment</v>
      </c>
    </row>
    <row r="1493" spans="1:17" ht="120" x14ac:dyDescent="0.25">
      <c r="A1493" s="12" t="s">
        <v>7242</v>
      </c>
      <c r="B1493" s="12" t="s">
        <v>7202</v>
      </c>
      <c r="C1493" s="12" t="s">
        <v>7178</v>
      </c>
      <c r="D1493" s="12" t="s">
        <v>7172</v>
      </c>
      <c r="E1493" s="12" t="s">
        <v>5884</v>
      </c>
      <c r="F1493" s="12" t="s">
        <v>5885</v>
      </c>
      <c r="G1493" s="12" t="s">
        <v>12</v>
      </c>
      <c r="H1493" s="12" t="s">
        <v>37</v>
      </c>
      <c r="I1493" s="12"/>
      <c r="J1493" s="12" t="s">
        <v>5886</v>
      </c>
      <c r="K1493" s="12"/>
      <c r="L1493" s="12"/>
      <c r="M1493" s="12" t="s">
        <v>5887</v>
      </c>
      <c r="N1493" s="12"/>
      <c r="O1493" s="12" t="s">
        <v>5888</v>
      </c>
      <c r="P1493" s="12" t="str">
        <f>HYPERLINK("https://ceds.ed.gov/cedselementdetails.aspx?termid=9707")</f>
        <v>https://ceds.ed.gov/cedselementdetails.aspx?termid=9707</v>
      </c>
      <c r="Q1493" s="12" t="str">
        <f>HYPERLINK("https://ceds.ed.gov/elementComment.aspx?elementName=Standard Occupational Classification &amp;elementID=9707", "Click here to submit comment")</f>
        <v>Click here to submit comment</v>
      </c>
    </row>
    <row r="1494" spans="1:17" ht="105" x14ac:dyDescent="0.25">
      <c r="A1494" s="18" t="s">
        <v>7242</v>
      </c>
      <c r="B1494" s="18" t="s">
        <v>7202</v>
      </c>
      <c r="C1494" s="18" t="s">
        <v>7203</v>
      </c>
      <c r="D1494" s="18" t="s">
        <v>7172</v>
      </c>
      <c r="E1494" s="18" t="s">
        <v>5984</v>
      </c>
      <c r="F1494" s="18" t="s">
        <v>5985</v>
      </c>
      <c r="G1494" s="18" t="s">
        <v>12</v>
      </c>
      <c r="H1494" s="18" t="s">
        <v>6687</v>
      </c>
      <c r="I1494" s="18"/>
      <c r="J1494" s="18" t="s">
        <v>142</v>
      </c>
      <c r="K1494" s="18"/>
      <c r="L1494" s="12" t="s">
        <v>143</v>
      </c>
      <c r="M1494" s="18" t="s">
        <v>5986</v>
      </c>
      <c r="N1494" s="18"/>
      <c r="O1494" s="18" t="s">
        <v>5987</v>
      </c>
      <c r="P1494" s="18" t="str">
        <f>HYPERLINK("https://ceds.ed.gov/cedselementdetails.aspx?termid=9157")</f>
        <v>https://ceds.ed.gov/cedselementdetails.aspx?termid=9157</v>
      </c>
      <c r="Q1494" s="18" t="str">
        <f>HYPERLINK("https://ceds.ed.gov/elementComment.aspx?elementName=Student Identifier &amp;elementID=9157", "Click here to submit comment")</f>
        <v>Click here to submit comment</v>
      </c>
    </row>
    <row r="1495" spans="1:17" x14ac:dyDescent="0.25">
      <c r="A1495" s="18"/>
      <c r="B1495" s="18"/>
      <c r="C1495" s="18"/>
      <c r="D1495" s="18"/>
      <c r="E1495" s="18"/>
      <c r="F1495" s="18"/>
      <c r="G1495" s="18"/>
      <c r="H1495" s="18"/>
      <c r="I1495" s="18"/>
      <c r="J1495" s="18"/>
      <c r="K1495" s="18"/>
      <c r="L1495" s="12"/>
      <c r="M1495" s="18"/>
      <c r="N1495" s="18"/>
      <c r="O1495" s="18"/>
      <c r="P1495" s="18"/>
      <c r="Q1495" s="18"/>
    </row>
    <row r="1496" spans="1:17" ht="90" x14ac:dyDescent="0.25">
      <c r="A1496" s="18"/>
      <c r="B1496" s="18"/>
      <c r="C1496" s="18"/>
      <c r="D1496" s="18"/>
      <c r="E1496" s="18"/>
      <c r="F1496" s="18"/>
      <c r="G1496" s="18"/>
      <c r="H1496" s="18"/>
      <c r="I1496" s="18"/>
      <c r="J1496" s="18"/>
      <c r="K1496" s="18"/>
      <c r="L1496" s="12" t="s">
        <v>144</v>
      </c>
      <c r="M1496" s="18"/>
      <c r="N1496" s="18"/>
      <c r="O1496" s="18"/>
      <c r="P1496" s="18"/>
      <c r="Q1496" s="18"/>
    </row>
    <row r="1497" spans="1:17" ht="409.5" x14ac:dyDescent="0.25">
      <c r="A1497" s="12" t="s">
        <v>7242</v>
      </c>
      <c r="B1497" s="12" t="s">
        <v>7202</v>
      </c>
      <c r="C1497" s="12" t="s">
        <v>7203</v>
      </c>
      <c r="D1497" s="12" t="s">
        <v>7172</v>
      </c>
      <c r="E1497" s="12" t="s">
        <v>4827</v>
      </c>
      <c r="F1497" s="12" t="s">
        <v>4828</v>
      </c>
      <c r="G1497" s="13" t="s">
        <v>7052</v>
      </c>
      <c r="H1497" s="12" t="s">
        <v>1578</v>
      </c>
      <c r="I1497" s="12"/>
      <c r="J1497" s="12"/>
      <c r="K1497" s="12"/>
      <c r="L1497" s="12"/>
      <c r="M1497" s="12" t="s">
        <v>4829</v>
      </c>
      <c r="N1497" s="12"/>
      <c r="O1497" s="12" t="s">
        <v>4830</v>
      </c>
      <c r="P1497" s="12" t="str">
        <f>HYPERLINK("https://ceds.ed.gov/cedselementdetails.aspx?termid=9415")</f>
        <v>https://ceds.ed.gov/cedselementdetails.aspx?termid=9415</v>
      </c>
      <c r="Q1497" s="12" t="str">
        <f>HYPERLINK("https://ceds.ed.gov/elementComment.aspx?elementName=Person Relationship to Learner Type &amp;elementID=9415", "Click here to submit comment")</f>
        <v>Click here to submit comment</v>
      </c>
    </row>
    <row r="1498" spans="1:17" ht="210" x14ac:dyDescent="0.25">
      <c r="A1498" s="12" t="s">
        <v>7242</v>
      </c>
      <c r="B1498" s="12" t="s">
        <v>7202</v>
      </c>
      <c r="C1498" s="12" t="s">
        <v>7203</v>
      </c>
      <c r="D1498" s="12" t="s">
        <v>7172</v>
      </c>
      <c r="E1498" s="12" t="s">
        <v>5980</v>
      </c>
      <c r="F1498" s="12" t="s">
        <v>5981</v>
      </c>
      <c r="G1498" s="13" t="s">
        <v>7124</v>
      </c>
      <c r="H1498" s="12" t="s">
        <v>6687</v>
      </c>
      <c r="I1498" s="12"/>
      <c r="J1498" s="12"/>
      <c r="K1498" s="12"/>
      <c r="L1498" s="12"/>
      <c r="M1498" s="12" t="s">
        <v>5982</v>
      </c>
      <c r="N1498" s="12"/>
      <c r="O1498" s="12" t="s">
        <v>5983</v>
      </c>
      <c r="P1498" s="12" t="str">
        <f>HYPERLINK("https://ceds.ed.gov/cedselementdetails.aspx?termid=9163")</f>
        <v>https://ceds.ed.gov/cedselementdetails.aspx?termid=9163</v>
      </c>
      <c r="Q1498" s="12" t="str">
        <f>HYPERLINK("https://ceds.ed.gov/elementComment.aspx?elementName=Student Identification System &amp;elementID=9163", "Click here to submit comment")</f>
        <v>Click here to submit comment</v>
      </c>
    </row>
    <row r="1499" spans="1:17" ht="105" x14ac:dyDescent="0.25">
      <c r="A1499" s="18" t="s">
        <v>7242</v>
      </c>
      <c r="B1499" s="18" t="s">
        <v>7202</v>
      </c>
      <c r="C1499" s="18" t="s">
        <v>7203</v>
      </c>
      <c r="D1499" s="18" t="s">
        <v>7172</v>
      </c>
      <c r="E1499" s="18" t="s">
        <v>1764</v>
      </c>
      <c r="F1499" s="18" t="s">
        <v>1765</v>
      </c>
      <c r="G1499" s="18" t="s">
        <v>12</v>
      </c>
      <c r="H1499" s="18" t="s">
        <v>6450</v>
      </c>
      <c r="I1499" s="18"/>
      <c r="J1499" s="18" t="s">
        <v>142</v>
      </c>
      <c r="K1499" s="18"/>
      <c r="L1499" s="12" t="s">
        <v>143</v>
      </c>
      <c r="M1499" s="18" t="s">
        <v>1766</v>
      </c>
      <c r="N1499" s="18"/>
      <c r="O1499" s="18" t="s">
        <v>1767</v>
      </c>
      <c r="P1499" s="18" t="str">
        <f>HYPERLINK("https://ceds.ed.gov/cedselementdetails.aspx?termid=9781")</f>
        <v>https://ceds.ed.gov/cedselementdetails.aspx?termid=9781</v>
      </c>
      <c r="Q1499" s="18" t="str">
        <f>HYPERLINK("https://ceds.ed.gov/elementComment.aspx?elementName=Child Identifier &amp;elementID=9781", "Click here to submit comment")</f>
        <v>Click here to submit comment</v>
      </c>
    </row>
    <row r="1500" spans="1:17" x14ac:dyDescent="0.25">
      <c r="A1500" s="18"/>
      <c r="B1500" s="18"/>
      <c r="C1500" s="18"/>
      <c r="D1500" s="18"/>
      <c r="E1500" s="18"/>
      <c r="F1500" s="18"/>
      <c r="G1500" s="18"/>
      <c r="H1500" s="18"/>
      <c r="I1500" s="18"/>
      <c r="J1500" s="18"/>
      <c r="K1500" s="18"/>
      <c r="L1500" s="12"/>
      <c r="M1500" s="18"/>
      <c r="N1500" s="18"/>
      <c r="O1500" s="18"/>
      <c r="P1500" s="18"/>
      <c r="Q1500" s="18"/>
    </row>
    <row r="1501" spans="1:17" ht="90" x14ac:dyDescent="0.25">
      <c r="A1501" s="18"/>
      <c r="B1501" s="18"/>
      <c r="C1501" s="18"/>
      <c r="D1501" s="18"/>
      <c r="E1501" s="18"/>
      <c r="F1501" s="18"/>
      <c r="G1501" s="18"/>
      <c r="H1501" s="18"/>
      <c r="I1501" s="18"/>
      <c r="J1501" s="18"/>
      <c r="K1501" s="18"/>
      <c r="L1501" s="12" t="s">
        <v>144</v>
      </c>
      <c r="M1501" s="18"/>
      <c r="N1501" s="18"/>
      <c r="O1501" s="18"/>
      <c r="P1501" s="18"/>
      <c r="Q1501" s="18"/>
    </row>
    <row r="1502" spans="1:17" ht="45" x14ac:dyDescent="0.25">
      <c r="A1502" s="12" t="s">
        <v>7242</v>
      </c>
      <c r="B1502" s="12" t="s">
        <v>7202</v>
      </c>
      <c r="C1502" s="12" t="s">
        <v>7203</v>
      </c>
      <c r="D1502" s="12" t="s">
        <v>7172</v>
      </c>
      <c r="E1502" s="12" t="s">
        <v>2670</v>
      </c>
      <c r="F1502" s="12" t="s">
        <v>2671</v>
      </c>
      <c r="G1502" s="12" t="s">
        <v>6364</v>
      </c>
      <c r="H1502" s="12"/>
      <c r="I1502" s="12"/>
      <c r="J1502" s="12"/>
      <c r="K1502" s="12"/>
      <c r="L1502" s="12"/>
      <c r="M1502" s="12" t="s">
        <v>2672</v>
      </c>
      <c r="N1502" s="12"/>
      <c r="O1502" s="12" t="s">
        <v>2673</v>
      </c>
      <c r="P1502" s="12" t="str">
        <f>HYPERLINK("https://ceds.ed.gov/cedselementdetails.aspx?termid=10308")</f>
        <v>https://ceds.ed.gov/cedselementdetails.aspx?termid=10308</v>
      </c>
      <c r="Q1502" s="12" t="str">
        <f>HYPERLINK("https://ceds.ed.gov/elementComment.aspx?elementName=Emergency Contact Indicator &amp;elementID=10308", "Click here to submit comment")</f>
        <v>Click here to submit comment</v>
      </c>
    </row>
    <row r="1503" spans="1:17" ht="375" x14ac:dyDescent="0.25">
      <c r="A1503" s="12" t="s">
        <v>7242</v>
      </c>
      <c r="B1503" s="12" t="s">
        <v>7202</v>
      </c>
      <c r="C1503" s="12" t="s">
        <v>7203</v>
      </c>
      <c r="D1503" s="12" t="s">
        <v>7172</v>
      </c>
      <c r="E1503" s="12" t="s">
        <v>4807</v>
      </c>
      <c r="F1503" s="12" t="s">
        <v>4808</v>
      </c>
      <c r="G1503" s="13" t="s">
        <v>7051</v>
      </c>
      <c r="H1503" s="12"/>
      <c r="I1503" s="12"/>
      <c r="J1503" s="12"/>
      <c r="K1503" s="12"/>
      <c r="L1503" s="12"/>
      <c r="M1503" s="12" t="s">
        <v>4809</v>
      </c>
      <c r="N1503" s="12"/>
      <c r="O1503" s="12" t="s">
        <v>4810</v>
      </c>
      <c r="P1503" s="12" t="str">
        <f>HYPERLINK("https://ceds.ed.gov/cedselementdetails.aspx?termid=10550")</f>
        <v>https://ceds.ed.gov/cedselementdetails.aspx?termid=10550</v>
      </c>
      <c r="Q1503" s="12" t="str">
        <f>HYPERLINK("https://ceds.ed.gov/elementComment.aspx?elementName=Person Identification System &amp;elementID=10550", "Click here to submit comment")</f>
        <v>Click here to submit comment</v>
      </c>
    </row>
    <row r="1504" spans="1:17" ht="105" x14ac:dyDescent="0.25">
      <c r="A1504" s="18" t="s">
        <v>7242</v>
      </c>
      <c r="B1504" s="18" t="s">
        <v>7202</v>
      </c>
      <c r="C1504" s="18" t="s">
        <v>7203</v>
      </c>
      <c r="D1504" s="18" t="s">
        <v>7172</v>
      </c>
      <c r="E1504" s="18" t="s">
        <v>4811</v>
      </c>
      <c r="F1504" s="18" t="s">
        <v>4812</v>
      </c>
      <c r="G1504" s="18" t="s">
        <v>12</v>
      </c>
      <c r="H1504" s="18"/>
      <c r="I1504" s="18"/>
      <c r="J1504" s="18" t="s">
        <v>142</v>
      </c>
      <c r="K1504" s="18"/>
      <c r="L1504" s="12" t="s">
        <v>143</v>
      </c>
      <c r="M1504" s="18" t="s">
        <v>4813</v>
      </c>
      <c r="N1504" s="18"/>
      <c r="O1504" s="18" t="s">
        <v>4814</v>
      </c>
      <c r="P1504" s="18" t="str">
        <f>HYPERLINK("https://ceds.ed.gov/cedselementdetails.aspx?termid=10551")</f>
        <v>https://ceds.ed.gov/cedselementdetails.aspx?termid=10551</v>
      </c>
      <c r="Q1504" s="18" t="str">
        <f>HYPERLINK("https://ceds.ed.gov/elementComment.aspx?elementName=Person Identifier &amp;elementID=10551", "Click here to submit comment")</f>
        <v>Click here to submit comment</v>
      </c>
    </row>
    <row r="1505" spans="1:17" x14ac:dyDescent="0.25">
      <c r="A1505" s="18"/>
      <c r="B1505" s="18"/>
      <c r="C1505" s="18"/>
      <c r="D1505" s="18"/>
      <c r="E1505" s="18"/>
      <c r="F1505" s="18"/>
      <c r="G1505" s="18"/>
      <c r="H1505" s="18"/>
      <c r="I1505" s="18"/>
      <c r="J1505" s="18"/>
      <c r="K1505" s="18"/>
      <c r="L1505" s="12"/>
      <c r="M1505" s="18"/>
      <c r="N1505" s="18"/>
      <c r="O1505" s="18"/>
      <c r="P1505" s="18"/>
      <c r="Q1505" s="18"/>
    </row>
    <row r="1506" spans="1:17" ht="90" x14ac:dyDescent="0.25">
      <c r="A1506" s="18"/>
      <c r="B1506" s="18"/>
      <c r="C1506" s="18"/>
      <c r="D1506" s="18"/>
      <c r="E1506" s="18"/>
      <c r="F1506" s="18"/>
      <c r="G1506" s="18"/>
      <c r="H1506" s="18"/>
      <c r="I1506" s="18"/>
      <c r="J1506" s="18"/>
      <c r="K1506" s="18"/>
      <c r="L1506" s="12" t="s">
        <v>144</v>
      </c>
      <c r="M1506" s="18"/>
      <c r="N1506" s="18"/>
      <c r="O1506" s="18"/>
      <c r="P1506" s="18"/>
      <c r="Q1506" s="18"/>
    </row>
    <row r="1507" spans="1:17" ht="45" x14ac:dyDescent="0.25">
      <c r="A1507" s="12" t="s">
        <v>7242</v>
      </c>
      <c r="B1507" s="12" t="s">
        <v>7202</v>
      </c>
      <c r="C1507" s="12" t="s">
        <v>7203</v>
      </c>
      <c r="D1507" s="12" t="s">
        <v>7172</v>
      </c>
      <c r="E1507" s="12" t="s">
        <v>4815</v>
      </c>
      <c r="F1507" s="12" t="s">
        <v>4816</v>
      </c>
      <c r="G1507" s="12" t="s">
        <v>12</v>
      </c>
      <c r="H1507" s="12"/>
      <c r="I1507" s="12"/>
      <c r="J1507" s="12" t="s">
        <v>620</v>
      </c>
      <c r="K1507" s="12"/>
      <c r="L1507" s="12"/>
      <c r="M1507" s="12" t="s">
        <v>4817</v>
      </c>
      <c r="N1507" s="12"/>
      <c r="O1507" s="12" t="s">
        <v>4818</v>
      </c>
      <c r="P1507" s="12" t="str">
        <f>HYPERLINK("https://ceds.ed.gov/cedselementdetails.aspx?termid=10392")</f>
        <v>https://ceds.ed.gov/cedselementdetails.aspx?termid=10392</v>
      </c>
      <c r="Q1507" s="12" t="str">
        <f>HYPERLINK("https://ceds.ed.gov/elementComment.aspx?elementName=Person Relationship to Learner Contact Priority Number &amp;elementID=10392", "Click here to submit comment")</f>
        <v>Click here to submit comment</v>
      </c>
    </row>
    <row r="1508" spans="1:17" ht="60" x14ac:dyDescent="0.25">
      <c r="A1508" s="12" t="s">
        <v>7242</v>
      </c>
      <c r="B1508" s="12" t="s">
        <v>7202</v>
      </c>
      <c r="C1508" s="12" t="s">
        <v>7203</v>
      </c>
      <c r="D1508" s="12" t="s">
        <v>7172</v>
      </c>
      <c r="E1508" s="12" t="s">
        <v>4819</v>
      </c>
      <c r="F1508" s="12" t="s">
        <v>4820</v>
      </c>
      <c r="G1508" s="12" t="s">
        <v>12</v>
      </c>
      <c r="H1508" s="12"/>
      <c r="I1508" s="12"/>
      <c r="J1508" s="12" t="s">
        <v>327</v>
      </c>
      <c r="K1508" s="12"/>
      <c r="L1508" s="12"/>
      <c r="M1508" s="12" t="s">
        <v>4821</v>
      </c>
      <c r="N1508" s="12"/>
      <c r="O1508" s="12" t="s">
        <v>4822</v>
      </c>
      <c r="P1508" s="12" t="str">
        <f>HYPERLINK("https://ceds.ed.gov/cedselementdetails.aspx?termid=10393")</f>
        <v>https://ceds.ed.gov/cedselementdetails.aspx?termid=10393</v>
      </c>
      <c r="Q1508" s="12" t="str">
        <f>HYPERLINK("https://ceds.ed.gov/elementComment.aspx?elementName=Person Relationship to Learner Contact Restrictions Description &amp;elementID=10393", "Click here to submit comment")</f>
        <v>Click here to submit comment</v>
      </c>
    </row>
    <row r="1509" spans="1:17" ht="45" x14ac:dyDescent="0.25">
      <c r="A1509" s="12" t="s">
        <v>7242</v>
      </c>
      <c r="B1509" s="12" t="s">
        <v>7202</v>
      </c>
      <c r="C1509" s="12" t="s">
        <v>7203</v>
      </c>
      <c r="D1509" s="12" t="s">
        <v>7172</v>
      </c>
      <c r="E1509" s="12" t="s">
        <v>4823</v>
      </c>
      <c r="F1509" s="12" t="s">
        <v>4824</v>
      </c>
      <c r="G1509" s="12" t="s">
        <v>6364</v>
      </c>
      <c r="H1509" s="12"/>
      <c r="I1509" s="12"/>
      <c r="J1509" s="12"/>
      <c r="K1509" s="12"/>
      <c r="L1509" s="12"/>
      <c r="M1509" s="12" t="s">
        <v>4825</v>
      </c>
      <c r="N1509" s="12"/>
      <c r="O1509" s="12" t="s">
        <v>4826</v>
      </c>
      <c r="P1509" s="12" t="str">
        <f>HYPERLINK("https://ceds.ed.gov/cedselementdetails.aspx?termid=10394")</f>
        <v>https://ceds.ed.gov/cedselementdetails.aspx?termid=10394</v>
      </c>
      <c r="Q1509" s="12" t="str">
        <f>HYPERLINK("https://ceds.ed.gov/elementComment.aspx?elementName=Person Relationship to Learner Lives With Indicator &amp;elementID=10394", "Click here to submit comment")</f>
        <v>Click here to submit comment</v>
      </c>
    </row>
    <row r="1510" spans="1:17" ht="90" x14ac:dyDescent="0.25">
      <c r="A1510" s="12" t="s">
        <v>7242</v>
      </c>
      <c r="B1510" s="12" t="s">
        <v>7202</v>
      </c>
      <c r="C1510" s="12" t="s">
        <v>7203</v>
      </c>
      <c r="D1510" s="12" t="s">
        <v>7172</v>
      </c>
      <c r="E1510" s="12" t="s">
        <v>4926</v>
      </c>
      <c r="F1510" s="12" t="s">
        <v>4927</v>
      </c>
      <c r="G1510" s="12" t="s">
        <v>6364</v>
      </c>
      <c r="H1510" s="12"/>
      <c r="I1510" s="12"/>
      <c r="J1510" s="12"/>
      <c r="K1510" s="12"/>
      <c r="L1510" s="12"/>
      <c r="M1510" s="12" t="s">
        <v>4928</v>
      </c>
      <c r="N1510" s="12"/>
      <c r="O1510" s="12" t="s">
        <v>4929</v>
      </c>
      <c r="P1510" s="12" t="str">
        <f>HYPERLINK("https://ceds.ed.gov/cedselementdetails.aspx?termid=10397")</f>
        <v>https://ceds.ed.gov/cedselementdetails.aspx?termid=10397</v>
      </c>
      <c r="Q1510" s="12" t="str">
        <f>HYPERLINK("https://ceds.ed.gov/elementComment.aspx?elementName=Primary Contact Indicator &amp;elementID=10397", "Click here to submit comment")</f>
        <v>Click here to submit comment</v>
      </c>
    </row>
    <row r="1511" spans="1:17" ht="195" x14ac:dyDescent="0.25">
      <c r="A1511" s="12" t="s">
        <v>7242</v>
      </c>
      <c r="B1511" s="12" t="s">
        <v>7277</v>
      </c>
      <c r="C1511" s="12" t="s">
        <v>7171</v>
      </c>
      <c r="D1511" s="12" t="s">
        <v>7172</v>
      </c>
      <c r="E1511" s="12" t="s">
        <v>3017</v>
      </c>
      <c r="F1511" s="12" t="s">
        <v>3018</v>
      </c>
      <c r="G1511" s="12" t="s">
        <v>12</v>
      </c>
      <c r="H1511" s="12" t="s">
        <v>6540</v>
      </c>
      <c r="I1511" s="12"/>
      <c r="J1511" s="12" t="s">
        <v>1349</v>
      </c>
      <c r="K1511" s="12"/>
      <c r="L1511" s="12" t="s">
        <v>3019</v>
      </c>
      <c r="M1511" s="12" t="s">
        <v>3020</v>
      </c>
      <c r="N1511" s="12"/>
      <c r="O1511" s="12" t="s">
        <v>3021</v>
      </c>
      <c r="P1511" s="12" t="str">
        <f>HYPERLINK("https://ceds.ed.gov/cedselementdetails.aspx?termid=9115")</f>
        <v>https://ceds.ed.gov/cedselementdetails.aspx?termid=9115</v>
      </c>
      <c r="Q1511" s="12" t="str">
        <f>HYPERLINK("https://ceds.ed.gov/elementComment.aspx?elementName=First Name &amp;elementID=9115", "Click here to submit comment")</f>
        <v>Click here to submit comment</v>
      </c>
    </row>
    <row r="1512" spans="1:17" x14ac:dyDescent="0.25">
      <c r="A1512" s="18" t="s">
        <v>7242</v>
      </c>
      <c r="B1512" s="18" t="s">
        <v>7277</v>
      </c>
      <c r="C1512" s="18" t="s">
        <v>7171</v>
      </c>
      <c r="D1512" s="18" t="s">
        <v>7172</v>
      </c>
      <c r="E1512" s="18" t="s">
        <v>4405</v>
      </c>
      <c r="F1512" s="18" t="s">
        <v>4406</v>
      </c>
      <c r="G1512" s="18" t="s">
        <v>12</v>
      </c>
      <c r="H1512" s="18" t="s">
        <v>6540</v>
      </c>
      <c r="I1512" s="18"/>
      <c r="J1512" s="18" t="s">
        <v>1349</v>
      </c>
      <c r="K1512" s="18"/>
      <c r="L1512" s="12" t="s">
        <v>3078</v>
      </c>
      <c r="M1512" s="18" t="s">
        <v>4407</v>
      </c>
      <c r="N1512" s="18"/>
      <c r="O1512" s="18" t="s">
        <v>4408</v>
      </c>
      <c r="P1512" s="18" t="str">
        <f>HYPERLINK("https://ceds.ed.gov/cedselementdetails.aspx?termid=9184")</f>
        <v>https://ceds.ed.gov/cedselementdetails.aspx?termid=9184</v>
      </c>
      <c r="Q1512" s="18" t="str">
        <f>HYPERLINK("https://ceds.ed.gov/elementComment.aspx?elementName=Middle Name &amp;elementID=9184", "Click here to submit comment")</f>
        <v>Click here to submit comment</v>
      </c>
    </row>
    <row r="1513" spans="1:17" ht="90" x14ac:dyDescent="0.25">
      <c r="A1513" s="18"/>
      <c r="B1513" s="18"/>
      <c r="C1513" s="18"/>
      <c r="D1513" s="18"/>
      <c r="E1513" s="18"/>
      <c r="F1513" s="18"/>
      <c r="G1513" s="18"/>
      <c r="H1513" s="18"/>
      <c r="I1513" s="18"/>
      <c r="J1513" s="18"/>
      <c r="K1513" s="18"/>
      <c r="L1513" s="12" t="s">
        <v>3079</v>
      </c>
      <c r="M1513" s="18"/>
      <c r="N1513" s="18"/>
      <c r="O1513" s="18"/>
      <c r="P1513" s="18"/>
      <c r="Q1513" s="18"/>
    </row>
    <row r="1514" spans="1:17" x14ac:dyDescent="0.25">
      <c r="A1514" s="18" t="s">
        <v>7242</v>
      </c>
      <c r="B1514" s="18" t="s">
        <v>7277</v>
      </c>
      <c r="C1514" s="18" t="s">
        <v>7171</v>
      </c>
      <c r="D1514" s="18" t="s">
        <v>7172</v>
      </c>
      <c r="E1514" s="18" t="s">
        <v>3684</v>
      </c>
      <c r="F1514" s="18" t="s">
        <v>3685</v>
      </c>
      <c r="G1514" s="18" t="s">
        <v>12</v>
      </c>
      <c r="H1514" s="18" t="s">
        <v>6540</v>
      </c>
      <c r="I1514" s="18"/>
      <c r="J1514" s="18" t="s">
        <v>1349</v>
      </c>
      <c r="K1514" s="18"/>
      <c r="L1514" s="12" t="s">
        <v>3078</v>
      </c>
      <c r="M1514" s="18" t="s">
        <v>3686</v>
      </c>
      <c r="N1514" s="18" t="s">
        <v>3687</v>
      </c>
      <c r="O1514" s="18" t="s">
        <v>3688</v>
      </c>
      <c r="P1514" s="18" t="str">
        <f>HYPERLINK("https://ceds.ed.gov/cedselementdetails.aspx?termid=9172")</f>
        <v>https://ceds.ed.gov/cedselementdetails.aspx?termid=9172</v>
      </c>
      <c r="Q1514" s="18" t="str">
        <f>HYPERLINK("https://ceds.ed.gov/elementComment.aspx?elementName=Last or Surname &amp;elementID=9172", "Click here to submit comment")</f>
        <v>Click here to submit comment</v>
      </c>
    </row>
    <row r="1515" spans="1:17" ht="90" x14ac:dyDescent="0.25">
      <c r="A1515" s="18"/>
      <c r="B1515" s="18"/>
      <c r="C1515" s="18"/>
      <c r="D1515" s="18"/>
      <c r="E1515" s="18"/>
      <c r="F1515" s="18"/>
      <c r="G1515" s="18"/>
      <c r="H1515" s="18"/>
      <c r="I1515" s="18"/>
      <c r="J1515" s="18"/>
      <c r="K1515" s="18"/>
      <c r="L1515" s="12" t="s">
        <v>3079</v>
      </c>
      <c r="M1515" s="18"/>
      <c r="N1515" s="18"/>
      <c r="O1515" s="18"/>
      <c r="P1515" s="18"/>
      <c r="Q1515" s="18"/>
    </row>
    <row r="1516" spans="1:17" x14ac:dyDescent="0.25">
      <c r="A1516" s="18" t="s">
        <v>7242</v>
      </c>
      <c r="B1516" s="18" t="s">
        <v>7277</v>
      </c>
      <c r="C1516" s="18" t="s">
        <v>7171</v>
      </c>
      <c r="D1516" s="18" t="s">
        <v>7172</v>
      </c>
      <c r="E1516" s="18" t="s">
        <v>3076</v>
      </c>
      <c r="F1516" s="18" t="s">
        <v>3077</v>
      </c>
      <c r="G1516" s="18" t="s">
        <v>12</v>
      </c>
      <c r="H1516" s="18" t="s">
        <v>6543</v>
      </c>
      <c r="I1516" s="18"/>
      <c r="J1516" s="18" t="s">
        <v>2143</v>
      </c>
      <c r="K1516" s="18"/>
      <c r="L1516" s="12" t="s">
        <v>3078</v>
      </c>
      <c r="M1516" s="18" t="s">
        <v>3080</v>
      </c>
      <c r="N1516" s="18"/>
      <c r="O1516" s="18" t="s">
        <v>3081</v>
      </c>
      <c r="P1516" s="18" t="str">
        <f>HYPERLINK("https://ceds.ed.gov/cedselementdetails.aspx?termid=9121")</f>
        <v>https://ceds.ed.gov/cedselementdetails.aspx?termid=9121</v>
      </c>
      <c r="Q1516" s="18" t="str">
        <f>HYPERLINK("https://ceds.ed.gov/elementComment.aspx?elementName=Generation Code or Suffix &amp;elementID=9121", "Click here to submit comment")</f>
        <v>Click here to submit comment</v>
      </c>
    </row>
    <row r="1517" spans="1:17" ht="90" x14ac:dyDescent="0.25">
      <c r="A1517" s="18"/>
      <c r="B1517" s="18"/>
      <c r="C1517" s="18"/>
      <c r="D1517" s="18"/>
      <c r="E1517" s="18"/>
      <c r="F1517" s="18"/>
      <c r="G1517" s="18"/>
      <c r="H1517" s="18"/>
      <c r="I1517" s="18"/>
      <c r="J1517" s="18"/>
      <c r="K1517" s="18"/>
      <c r="L1517" s="12" t="s">
        <v>3079</v>
      </c>
      <c r="M1517" s="18"/>
      <c r="N1517" s="18"/>
      <c r="O1517" s="18"/>
      <c r="P1517" s="18"/>
      <c r="Q1517" s="18"/>
    </row>
    <row r="1518" spans="1:17" ht="105" x14ac:dyDescent="0.25">
      <c r="A1518" s="12" t="s">
        <v>7242</v>
      </c>
      <c r="B1518" s="12" t="s">
        <v>7277</v>
      </c>
      <c r="C1518" s="12" t="s">
        <v>7171</v>
      </c>
      <c r="D1518" s="12" t="s">
        <v>7172</v>
      </c>
      <c r="E1518" s="12" t="s">
        <v>4835</v>
      </c>
      <c r="F1518" s="12" t="s">
        <v>4836</v>
      </c>
      <c r="G1518" s="12" t="s">
        <v>12</v>
      </c>
      <c r="H1518" s="12" t="s">
        <v>6627</v>
      </c>
      <c r="I1518" s="12"/>
      <c r="J1518" s="12" t="s">
        <v>92</v>
      </c>
      <c r="K1518" s="12"/>
      <c r="L1518" s="12"/>
      <c r="M1518" s="12" t="s">
        <v>4837</v>
      </c>
      <c r="N1518" s="12" t="s">
        <v>4838</v>
      </c>
      <c r="O1518" s="12" t="s">
        <v>4839</v>
      </c>
      <c r="P1518" s="12" t="str">
        <f>HYPERLINK("https://ceds.ed.gov/cedselementdetails.aspx?termid=9212")</f>
        <v>https://ceds.ed.gov/cedselementdetails.aspx?termid=9212</v>
      </c>
      <c r="Q1518" s="12" t="str">
        <f>HYPERLINK("https://ceds.ed.gov/elementComment.aspx?elementName=Personal Title or Prefix &amp;elementID=9212", "Click here to submit comment")</f>
        <v>Click here to submit comment</v>
      </c>
    </row>
    <row r="1519" spans="1:17" ht="30" x14ac:dyDescent="0.25">
      <c r="A1519" s="12" t="s">
        <v>7242</v>
      </c>
      <c r="B1519" s="12" t="s">
        <v>7277</v>
      </c>
      <c r="C1519" s="12" t="s">
        <v>7173</v>
      </c>
      <c r="D1519" s="12" t="s">
        <v>7172</v>
      </c>
      <c r="E1519" s="12" t="s">
        <v>4705</v>
      </c>
      <c r="F1519" s="12" t="s">
        <v>4706</v>
      </c>
      <c r="G1519" s="12" t="s">
        <v>12</v>
      </c>
      <c r="H1519" s="12"/>
      <c r="I1519" s="12"/>
      <c r="J1519" s="12" t="s">
        <v>1349</v>
      </c>
      <c r="K1519" s="12"/>
      <c r="L1519" s="12" t="s">
        <v>4707</v>
      </c>
      <c r="M1519" s="12" t="s">
        <v>4708</v>
      </c>
      <c r="N1519" s="12"/>
      <c r="O1519" s="12" t="s">
        <v>4709</v>
      </c>
      <c r="P1519" s="12" t="str">
        <f>HYPERLINK("https://ceds.ed.gov/cedselementdetails.aspx?termid=10486")</f>
        <v>https://ceds.ed.gov/cedselementdetails.aspx?termid=10486</v>
      </c>
      <c r="Q1519" s="12" t="str">
        <f>HYPERLINK("https://ceds.ed.gov/elementComment.aspx?elementName=Other First Name &amp;elementID=10486", "Click here to submit comment")</f>
        <v>Click here to submit comment</v>
      </c>
    </row>
    <row r="1520" spans="1:17" ht="30" x14ac:dyDescent="0.25">
      <c r="A1520" s="12" t="s">
        <v>7242</v>
      </c>
      <c r="B1520" s="12" t="s">
        <v>7277</v>
      </c>
      <c r="C1520" s="12" t="s">
        <v>7173</v>
      </c>
      <c r="D1520" s="12" t="s">
        <v>7172</v>
      </c>
      <c r="E1520" s="12" t="s">
        <v>4710</v>
      </c>
      <c r="F1520" s="12" t="s">
        <v>4711</v>
      </c>
      <c r="G1520" s="12" t="s">
        <v>12</v>
      </c>
      <c r="H1520" s="12"/>
      <c r="I1520" s="12"/>
      <c r="J1520" s="12" t="s">
        <v>1349</v>
      </c>
      <c r="K1520" s="12"/>
      <c r="L1520" s="12" t="s">
        <v>4712</v>
      </c>
      <c r="M1520" s="12" t="s">
        <v>4713</v>
      </c>
      <c r="N1520" s="12"/>
      <c r="O1520" s="12" t="s">
        <v>4714</v>
      </c>
      <c r="P1520" s="12" t="str">
        <f>HYPERLINK("https://ceds.ed.gov/cedselementdetails.aspx?termid=10485")</f>
        <v>https://ceds.ed.gov/cedselementdetails.aspx?termid=10485</v>
      </c>
      <c r="Q1520" s="12" t="str">
        <f>HYPERLINK("https://ceds.ed.gov/elementComment.aspx?elementName=Other Last Name &amp;elementID=10485", "Click here to submit comment")</f>
        <v>Click here to submit comment</v>
      </c>
    </row>
    <row r="1521" spans="1:17" ht="30" x14ac:dyDescent="0.25">
      <c r="A1521" s="12" t="s">
        <v>7242</v>
      </c>
      <c r="B1521" s="12" t="s">
        <v>7277</v>
      </c>
      <c r="C1521" s="12" t="s">
        <v>7173</v>
      </c>
      <c r="D1521" s="12" t="s">
        <v>7172</v>
      </c>
      <c r="E1521" s="12" t="s">
        <v>4715</v>
      </c>
      <c r="F1521" s="12" t="s">
        <v>4716</v>
      </c>
      <c r="G1521" s="12" t="s">
        <v>12</v>
      </c>
      <c r="H1521" s="12"/>
      <c r="I1521" s="12"/>
      <c r="J1521" s="12" t="s">
        <v>1349</v>
      </c>
      <c r="K1521" s="12"/>
      <c r="L1521" s="12" t="s">
        <v>4717</v>
      </c>
      <c r="M1521" s="12" t="s">
        <v>4718</v>
      </c>
      <c r="N1521" s="12"/>
      <c r="O1521" s="12" t="s">
        <v>4719</v>
      </c>
      <c r="P1521" s="12" t="str">
        <f>HYPERLINK("https://ceds.ed.gov/cedselementdetails.aspx?termid=10487")</f>
        <v>https://ceds.ed.gov/cedselementdetails.aspx?termid=10487</v>
      </c>
      <c r="Q1521" s="12" t="str">
        <f>HYPERLINK("https://ceds.ed.gov/elementComment.aspx?elementName=Other Middle Name &amp;elementID=10487", "Click here to submit comment")</f>
        <v>Click here to submit comment</v>
      </c>
    </row>
    <row r="1522" spans="1:17" ht="150" x14ac:dyDescent="0.25">
      <c r="A1522" s="12" t="s">
        <v>7242</v>
      </c>
      <c r="B1522" s="12" t="s">
        <v>7277</v>
      </c>
      <c r="C1522" s="12" t="s">
        <v>7173</v>
      </c>
      <c r="D1522" s="12" t="s">
        <v>7172</v>
      </c>
      <c r="E1522" s="12" t="s">
        <v>4720</v>
      </c>
      <c r="F1522" s="12" t="s">
        <v>4721</v>
      </c>
      <c r="G1522" s="12" t="s">
        <v>12</v>
      </c>
      <c r="H1522" s="12" t="s">
        <v>6543</v>
      </c>
      <c r="I1522" s="12"/>
      <c r="J1522" s="12" t="s">
        <v>142</v>
      </c>
      <c r="K1522" s="12"/>
      <c r="L1522" s="12"/>
      <c r="M1522" s="12" t="s">
        <v>4722</v>
      </c>
      <c r="N1522" s="12"/>
      <c r="O1522" s="12" t="s">
        <v>4723</v>
      </c>
      <c r="P1522" s="12" t="str">
        <f>HYPERLINK("https://ceds.ed.gov/cedselementdetails.aspx?termid=9206")</f>
        <v>https://ceds.ed.gov/cedselementdetails.aspx?termid=9206</v>
      </c>
      <c r="Q1522" s="12" t="str">
        <f>HYPERLINK("https://ceds.ed.gov/elementComment.aspx?elementName=Other Name &amp;elementID=9206", "Click here to submit comment")</f>
        <v>Click here to submit comment</v>
      </c>
    </row>
    <row r="1523" spans="1:17" ht="165" x14ac:dyDescent="0.25">
      <c r="A1523" s="12" t="s">
        <v>7242</v>
      </c>
      <c r="B1523" s="12" t="s">
        <v>7277</v>
      </c>
      <c r="C1523" s="12" t="s">
        <v>7173</v>
      </c>
      <c r="D1523" s="12" t="s">
        <v>7172</v>
      </c>
      <c r="E1523" s="12" t="s">
        <v>4724</v>
      </c>
      <c r="F1523" s="12" t="s">
        <v>4725</v>
      </c>
      <c r="G1523" s="13" t="s">
        <v>7046</v>
      </c>
      <c r="H1523" s="12" t="s">
        <v>6619</v>
      </c>
      <c r="I1523" s="12"/>
      <c r="J1523" s="12" t="s">
        <v>92</v>
      </c>
      <c r="K1523" s="12"/>
      <c r="L1523" s="12"/>
      <c r="M1523" s="12" t="s">
        <v>4726</v>
      </c>
      <c r="N1523" s="12"/>
      <c r="O1523" s="12" t="s">
        <v>4727</v>
      </c>
      <c r="P1523" s="12" t="str">
        <f>HYPERLINK("https://ceds.ed.gov/cedselementdetails.aspx?termid=9627")</f>
        <v>https://ceds.ed.gov/cedselementdetails.aspx?termid=9627</v>
      </c>
      <c r="Q1523" s="12" t="str">
        <f>HYPERLINK("https://ceds.ed.gov/elementComment.aspx?elementName=Other Name Type &amp;elementID=9627", "Click here to submit comment")</f>
        <v>Click here to submit comment</v>
      </c>
    </row>
    <row r="1524" spans="1:17" ht="105" x14ac:dyDescent="0.25">
      <c r="A1524" s="18" t="s">
        <v>7242</v>
      </c>
      <c r="B1524" s="18" t="s">
        <v>7277</v>
      </c>
      <c r="C1524" s="18" t="s">
        <v>7174</v>
      </c>
      <c r="D1524" s="18" t="s">
        <v>7172</v>
      </c>
      <c r="E1524" s="18" t="s">
        <v>5872</v>
      </c>
      <c r="F1524" s="18" t="s">
        <v>5873</v>
      </c>
      <c r="G1524" s="18" t="s">
        <v>12</v>
      </c>
      <c r="H1524" s="18" t="s">
        <v>6676</v>
      </c>
      <c r="I1524" s="18"/>
      <c r="J1524" s="18" t="s">
        <v>142</v>
      </c>
      <c r="K1524" s="18"/>
      <c r="L1524" s="12" t="s">
        <v>143</v>
      </c>
      <c r="M1524" s="18" t="s">
        <v>5874</v>
      </c>
      <c r="N1524" s="18"/>
      <c r="O1524" s="18" t="s">
        <v>5875</v>
      </c>
      <c r="P1524" s="18" t="str">
        <f>HYPERLINK("https://ceds.ed.gov/cedselementdetails.aspx?termid=9156")</f>
        <v>https://ceds.ed.gov/cedselementdetails.aspx?termid=9156</v>
      </c>
      <c r="Q1524" s="18" t="str">
        <f>HYPERLINK("https://ceds.ed.gov/elementComment.aspx?elementName=Staff Member Identifier &amp;elementID=9156", "Click here to submit comment")</f>
        <v>Click here to submit comment</v>
      </c>
    </row>
    <row r="1525" spans="1:17" x14ac:dyDescent="0.25">
      <c r="A1525" s="18"/>
      <c r="B1525" s="18"/>
      <c r="C1525" s="18"/>
      <c r="D1525" s="18"/>
      <c r="E1525" s="18"/>
      <c r="F1525" s="18"/>
      <c r="G1525" s="18"/>
      <c r="H1525" s="18"/>
      <c r="I1525" s="18"/>
      <c r="J1525" s="18"/>
      <c r="K1525" s="18"/>
      <c r="L1525" s="12"/>
      <c r="M1525" s="18"/>
      <c r="N1525" s="18"/>
      <c r="O1525" s="18"/>
      <c r="P1525" s="18"/>
      <c r="Q1525" s="18"/>
    </row>
    <row r="1526" spans="1:17" ht="90" x14ac:dyDescent="0.25">
      <c r="A1526" s="18"/>
      <c r="B1526" s="18"/>
      <c r="C1526" s="18"/>
      <c r="D1526" s="18"/>
      <c r="E1526" s="18"/>
      <c r="F1526" s="18"/>
      <c r="G1526" s="18"/>
      <c r="H1526" s="18"/>
      <c r="I1526" s="18"/>
      <c r="J1526" s="18"/>
      <c r="K1526" s="18"/>
      <c r="L1526" s="12" t="s">
        <v>144</v>
      </c>
      <c r="M1526" s="18"/>
      <c r="N1526" s="18"/>
      <c r="O1526" s="18"/>
      <c r="P1526" s="18"/>
      <c r="Q1526" s="18"/>
    </row>
    <row r="1527" spans="1:17" ht="345" x14ac:dyDescent="0.25">
      <c r="A1527" s="12" t="s">
        <v>7242</v>
      </c>
      <c r="B1527" s="12" t="s">
        <v>7277</v>
      </c>
      <c r="C1527" s="12" t="s">
        <v>7174</v>
      </c>
      <c r="D1527" s="12" t="s">
        <v>7172</v>
      </c>
      <c r="E1527" s="12" t="s">
        <v>5868</v>
      </c>
      <c r="F1527" s="12" t="s">
        <v>5869</v>
      </c>
      <c r="G1527" s="13" t="s">
        <v>7118</v>
      </c>
      <c r="H1527" s="12" t="s">
        <v>6675</v>
      </c>
      <c r="I1527" s="12"/>
      <c r="J1527" s="12"/>
      <c r="K1527" s="12"/>
      <c r="L1527" s="12"/>
      <c r="M1527" s="12" t="s">
        <v>5870</v>
      </c>
      <c r="N1527" s="12"/>
      <c r="O1527" s="12" t="s">
        <v>5871</v>
      </c>
      <c r="P1527" s="12" t="str">
        <f>HYPERLINK("https://ceds.ed.gov/cedselementdetails.aspx?termid=9162")</f>
        <v>https://ceds.ed.gov/cedselementdetails.aspx?termid=9162</v>
      </c>
      <c r="Q1527" s="12" t="str">
        <f>HYPERLINK("https://ceds.ed.gov/elementComment.aspx?elementName=Staff Member Identification System &amp;elementID=9162", "Click here to submit comment")</f>
        <v>Click here to submit comment</v>
      </c>
    </row>
    <row r="1528" spans="1:17" ht="225" x14ac:dyDescent="0.25">
      <c r="A1528" s="18" t="s">
        <v>7242</v>
      </c>
      <c r="B1528" s="18" t="s">
        <v>7277</v>
      </c>
      <c r="C1528" s="18" t="s">
        <v>7174</v>
      </c>
      <c r="D1528" s="18" t="s">
        <v>7172</v>
      </c>
      <c r="E1528" s="18" t="s">
        <v>5745</v>
      </c>
      <c r="F1528" s="18" t="s">
        <v>5746</v>
      </c>
      <c r="G1528" s="18" t="s">
        <v>12</v>
      </c>
      <c r="H1528" s="18" t="s">
        <v>6670</v>
      </c>
      <c r="I1528" s="18"/>
      <c r="J1528" s="18" t="s">
        <v>5747</v>
      </c>
      <c r="K1528" s="18"/>
      <c r="L1528" s="12" t="s">
        <v>5748</v>
      </c>
      <c r="M1528" s="18" t="s">
        <v>5750</v>
      </c>
      <c r="N1528" s="18" t="s">
        <v>5751</v>
      </c>
      <c r="O1528" s="18" t="s">
        <v>5752</v>
      </c>
      <c r="P1528" s="18" t="str">
        <f>HYPERLINK("https://ceds.ed.gov/cedselementdetails.aspx?termid=9259")</f>
        <v>https://ceds.ed.gov/cedselementdetails.aspx?termid=9259</v>
      </c>
      <c r="Q1528" s="18" t="str">
        <f>HYPERLINK("https://ceds.ed.gov/elementComment.aspx?elementName=Social Security Number &amp;elementID=9259", "Click here to submit comment")</f>
        <v>Click here to submit comment</v>
      </c>
    </row>
    <row r="1529" spans="1:17" x14ac:dyDescent="0.25">
      <c r="A1529" s="18"/>
      <c r="B1529" s="18"/>
      <c r="C1529" s="18"/>
      <c r="D1529" s="18"/>
      <c r="E1529" s="18"/>
      <c r="F1529" s="18"/>
      <c r="G1529" s="18"/>
      <c r="H1529" s="18"/>
      <c r="I1529" s="18"/>
      <c r="J1529" s="18"/>
      <c r="K1529" s="18"/>
      <c r="L1529" s="12"/>
      <c r="M1529" s="18"/>
      <c r="N1529" s="18"/>
      <c r="O1529" s="18"/>
      <c r="P1529" s="18"/>
      <c r="Q1529" s="18"/>
    </row>
    <row r="1530" spans="1:17" ht="180" x14ac:dyDescent="0.25">
      <c r="A1530" s="18"/>
      <c r="B1530" s="18"/>
      <c r="C1530" s="18"/>
      <c r="D1530" s="18"/>
      <c r="E1530" s="18"/>
      <c r="F1530" s="18"/>
      <c r="G1530" s="18"/>
      <c r="H1530" s="18"/>
      <c r="I1530" s="18"/>
      <c r="J1530" s="18"/>
      <c r="K1530" s="18"/>
      <c r="L1530" s="12" t="s">
        <v>5749</v>
      </c>
      <c r="M1530" s="18"/>
      <c r="N1530" s="18"/>
      <c r="O1530" s="18"/>
      <c r="P1530" s="18"/>
      <c r="Q1530" s="18"/>
    </row>
    <row r="1531" spans="1:17" ht="255" x14ac:dyDescent="0.25">
      <c r="A1531" s="12" t="s">
        <v>7242</v>
      </c>
      <c r="B1531" s="12" t="s">
        <v>7277</v>
      </c>
      <c r="C1531" s="12" t="s">
        <v>7174</v>
      </c>
      <c r="D1531" s="12" t="s">
        <v>7172</v>
      </c>
      <c r="E1531" s="12" t="s">
        <v>4831</v>
      </c>
      <c r="F1531" s="12" t="s">
        <v>4832</v>
      </c>
      <c r="G1531" s="13" t="s">
        <v>7053</v>
      </c>
      <c r="H1531" s="12"/>
      <c r="I1531" s="12"/>
      <c r="J1531" s="12"/>
      <c r="K1531" s="12"/>
      <c r="L1531" s="12"/>
      <c r="M1531" s="12" t="s">
        <v>4833</v>
      </c>
      <c r="N1531" s="12"/>
      <c r="O1531" s="12" t="s">
        <v>4834</v>
      </c>
      <c r="P1531" s="12" t="str">
        <f>HYPERLINK("https://ceds.ed.gov/cedselementdetails.aspx?termid=9611")</f>
        <v>https://ceds.ed.gov/cedselementdetails.aspx?termid=9611</v>
      </c>
      <c r="Q1531" s="12" t="str">
        <f>HYPERLINK("https://ceds.ed.gov/elementComment.aspx?elementName=Personal Information Verification &amp;elementID=9611", "Click here to submit comment")</f>
        <v>Click here to submit comment</v>
      </c>
    </row>
    <row r="1532" spans="1:17" ht="105" x14ac:dyDescent="0.25">
      <c r="A1532" s="12" t="s">
        <v>7242</v>
      </c>
      <c r="B1532" s="12" t="s">
        <v>7277</v>
      </c>
      <c r="C1532" s="12" t="s">
        <v>7175</v>
      </c>
      <c r="D1532" s="12" t="s">
        <v>7172</v>
      </c>
      <c r="E1532" s="12" t="s">
        <v>201</v>
      </c>
      <c r="F1532" s="12" t="s">
        <v>202</v>
      </c>
      <c r="G1532" s="13" t="s">
        <v>6728</v>
      </c>
      <c r="H1532" s="12" t="s">
        <v>205</v>
      </c>
      <c r="I1532" s="12"/>
      <c r="J1532" s="12" t="s">
        <v>92</v>
      </c>
      <c r="K1532" s="12"/>
      <c r="L1532" s="12"/>
      <c r="M1532" s="12" t="s">
        <v>203</v>
      </c>
      <c r="N1532" s="12"/>
      <c r="O1532" s="12" t="s">
        <v>204</v>
      </c>
      <c r="P1532" s="12" t="str">
        <f>HYPERLINK("https://ceds.ed.gov/cedselementdetails.aspx?termid=9698")</f>
        <v>https://ceds.ed.gov/cedselementdetails.aspx?termid=9698</v>
      </c>
      <c r="Q1532" s="12" t="str">
        <f>HYPERLINK("https://ceds.ed.gov/elementComment.aspx?elementName=Address Type for Staff &amp;elementID=9698", "Click here to submit comment")</f>
        <v>Click here to submit comment</v>
      </c>
    </row>
    <row r="1533" spans="1:17" ht="225" x14ac:dyDescent="0.25">
      <c r="A1533" s="12" t="s">
        <v>7242</v>
      </c>
      <c r="B1533" s="12" t="s">
        <v>7277</v>
      </c>
      <c r="C1533" s="12" t="s">
        <v>7175</v>
      </c>
      <c r="D1533" s="12" t="s">
        <v>7172</v>
      </c>
      <c r="E1533" s="12" t="s">
        <v>189</v>
      </c>
      <c r="F1533" s="12" t="s">
        <v>190</v>
      </c>
      <c r="G1533" s="12" t="s">
        <v>12</v>
      </c>
      <c r="H1533" s="12" t="s">
        <v>6377</v>
      </c>
      <c r="I1533" s="12"/>
      <c r="J1533" s="12" t="s">
        <v>142</v>
      </c>
      <c r="K1533" s="12"/>
      <c r="L1533" s="12"/>
      <c r="M1533" s="12" t="s">
        <v>191</v>
      </c>
      <c r="N1533" s="12"/>
      <c r="O1533" s="12" t="s">
        <v>192</v>
      </c>
      <c r="P1533" s="12" t="str">
        <f>HYPERLINK("https://ceds.ed.gov/cedselementdetails.aspx?termid=9269")</f>
        <v>https://ceds.ed.gov/cedselementdetails.aspx?termid=9269</v>
      </c>
      <c r="Q1533" s="12" t="str">
        <f>HYPERLINK("https://ceds.ed.gov/elementComment.aspx?elementName=Address Street Number and Name &amp;elementID=9269", "Click here to submit comment")</f>
        <v>Click here to submit comment</v>
      </c>
    </row>
    <row r="1534" spans="1:17" ht="225" x14ac:dyDescent="0.25">
      <c r="A1534" s="12" t="s">
        <v>7242</v>
      </c>
      <c r="B1534" s="12" t="s">
        <v>7277</v>
      </c>
      <c r="C1534" s="12" t="s">
        <v>7175</v>
      </c>
      <c r="D1534" s="12" t="s">
        <v>7172</v>
      </c>
      <c r="E1534" s="12" t="s">
        <v>172</v>
      </c>
      <c r="F1534" s="12" t="s">
        <v>173</v>
      </c>
      <c r="G1534" s="12" t="s">
        <v>12</v>
      </c>
      <c r="H1534" s="12" t="s">
        <v>6377</v>
      </c>
      <c r="I1534" s="12"/>
      <c r="J1534" s="12" t="s">
        <v>92</v>
      </c>
      <c r="K1534" s="12"/>
      <c r="L1534" s="12"/>
      <c r="M1534" s="12" t="s">
        <v>174</v>
      </c>
      <c r="N1534" s="12"/>
      <c r="O1534" s="12" t="s">
        <v>175</v>
      </c>
      <c r="P1534" s="12" t="str">
        <f>HYPERLINK("https://ceds.ed.gov/cedselementdetails.aspx?termid=9019")</f>
        <v>https://ceds.ed.gov/cedselementdetails.aspx?termid=9019</v>
      </c>
      <c r="Q1534" s="12" t="str">
        <f>HYPERLINK("https://ceds.ed.gov/elementComment.aspx?elementName=Address Apartment Room or Suite Number &amp;elementID=9019", "Click here to submit comment")</f>
        <v>Click here to submit comment</v>
      </c>
    </row>
    <row r="1535" spans="1:17" ht="225" x14ac:dyDescent="0.25">
      <c r="A1535" s="12" t="s">
        <v>7242</v>
      </c>
      <c r="B1535" s="12" t="s">
        <v>7277</v>
      </c>
      <c r="C1535" s="12" t="s">
        <v>7175</v>
      </c>
      <c r="D1535" s="12" t="s">
        <v>7172</v>
      </c>
      <c r="E1535" s="12" t="s">
        <v>176</v>
      </c>
      <c r="F1535" s="12" t="s">
        <v>177</v>
      </c>
      <c r="G1535" s="12" t="s">
        <v>12</v>
      </c>
      <c r="H1535" s="12" t="s">
        <v>6377</v>
      </c>
      <c r="I1535" s="12"/>
      <c r="J1535" s="12" t="s">
        <v>92</v>
      </c>
      <c r="K1535" s="12"/>
      <c r="L1535" s="12"/>
      <c r="M1535" s="12" t="s">
        <v>178</v>
      </c>
      <c r="N1535" s="12"/>
      <c r="O1535" s="12" t="s">
        <v>179</v>
      </c>
      <c r="P1535" s="12" t="str">
        <f>HYPERLINK("https://ceds.ed.gov/cedselementdetails.aspx?termid=9040")</f>
        <v>https://ceds.ed.gov/cedselementdetails.aspx?termid=9040</v>
      </c>
      <c r="Q1535" s="12" t="str">
        <f>HYPERLINK("https://ceds.ed.gov/elementComment.aspx?elementName=Address City &amp;elementID=9040", "Click here to submit comment")</f>
        <v>Click here to submit comment</v>
      </c>
    </row>
    <row r="1536" spans="1:17" ht="409.5" x14ac:dyDescent="0.25">
      <c r="A1536" s="12" t="s">
        <v>7242</v>
      </c>
      <c r="B1536" s="12" t="s">
        <v>7277</v>
      </c>
      <c r="C1536" s="12" t="s">
        <v>7175</v>
      </c>
      <c r="D1536" s="12" t="s">
        <v>7172</v>
      </c>
      <c r="E1536" s="12" t="s">
        <v>5898</v>
      </c>
      <c r="F1536" s="12" t="s">
        <v>5899</v>
      </c>
      <c r="G1536" s="13" t="s">
        <v>7120</v>
      </c>
      <c r="H1536" s="12" t="s">
        <v>6678</v>
      </c>
      <c r="I1536" s="12"/>
      <c r="J1536" s="12"/>
      <c r="K1536" s="12"/>
      <c r="L1536" s="12"/>
      <c r="M1536" s="12" t="s">
        <v>5900</v>
      </c>
      <c r="N1536" s="12"/>
      <c r="O1536" s="12" t="s">
        <v>5901</v>
      </c>
      <c r="P1536" s="12" t="str">
        <f>HYPERLINK("https://ceds.ed.gov/cedselementdetails.aspx?termid=9267")</f>
        <v>https://ceds.ed.gov/cedselementdetails.aspx?termid=9267</v>
      </c>
      <c r="Q1536" s="12" t="str">
        <f>HYPERLINK("https://ceds.ed.gov/elementComment.aspx?elementName=State Abbreviation &amp;elementID=9267", "Click here to submit comment")</f>
        <v>Click here to submit comment</v>
      </c>
    </row>
    <row r="1537" spans="1:17" ht="225" x14ac:dyDescent="0.25">
      <c r="A1537" s="12" t="s">
        <v>7242</v>
      </c>
      <c r="B1537" s="12" t="s">
        <v>7277</v>
      </c>
      <c r="C1537" s="12" t="s">
        <v>7175</v>
      </c>
      <c r="D1537" s="12" t="s">
        <v>7172</v>
      </c>
      <c r="E1537" s="12" t="s">
        <v>184</v>
      </c>
      <c r="F1537" s="12" t="s">
        <v>185</v>
      </c>
      <c r="G1537" s="12" t="s">
        <v>12</v>
      </c>
      <c r="H1537" s="12" t="s">
        <v>6377</v>
      </c>
      <c r="I1537" s="12"/>
      <c r="J1537" s="12" t="s">
        <v>186</v>
      </c>
      <c r="K1537" s="12"/>
      <c r="L1537" s="12"/>
      <c r="M1537" s="12" t="s">
        <v>187</v>
      </c>
      <c r="N1537" s="12"/>
      <c r="O1537" s="12" t="s">
        <v>188</v>
      </c>
      <c r="P1537" s="12" t="str">
        <f>HYPERLINK("https://ceds.ed.gov/cedselementdetails.aspx?termid=9214")</f>
        <v>https://ceds.ed.gov/cedselementdetails.aspx?termid=9214</v>
      </c>
      <c r="Q1537" s="12" t="str">
        <f>HYPERLINK("https://ceds.ed.gov/elementComment.aspx?elementName=Address Postal Code &amp;elementID=9214", "Click here to submit comment")</f>
        <v>Click here to submit comment</v>
      </c>
    </row>
    <row r="1538" spans="1:17" ht="225" x14ac:dyDescent="0.25">
      <c r="A1538" s="12" t="s">
        <v>7242</v>
      </c>
      <c r="B1538" s="12" t="s">
        <v>7277</v>
      </c>
      <c r="C1538" s="12" t="s">
        <v>7175</v>
      </c>
      <c r="D1538" s="12" t="s">
        <v>7172</v>
      </c>
      <c r="E1538" s="12" t="s">
        <v>180</v>
      </c>
      <c r="F1538" s="12" t="s">
        <v>181</v>
      </c>
      <c r="G1538" s="12" t="s">
        <v>12</v>
      </c>
      <c r="H1538" s="12" t="s">
        <v>6377</v>
      </c>
      <c r="I1538" s="12"/>
      <c r="J1538" s="12" t="s">
        <v>92</v>
      </c>
      <c r="K1538" s="12"/>
      <c r="L1538" s="12"/>
      <c r="M1538" s="12" t="s">
        <v>182</v>
      </c>
      <c r="N1538" s="12"/>
      <c r="O1538" s="12" t="s">
        <v>183</v>
      </c>
      <c r="P1538" s="12" t="str">
        <f>HYPERLINK("https://ceds.ed.gov/cedselementdetails.aspx?termid=9190")</f>
        <v>https://ceds.ed.gov/cedselementdetails.aspx?termid=9190</v>
      </c>
      <c r="Q1538" s="12" t="str">
        <f>HYPERLINK("https://ceds.ed.gov/elementComment.aspx?elementName=Address County Name &amp;elementID=9190", "Click here to submit comment")</f>
        <v>Click here to submit comment</v>
      </c>
    </row>
    <row r="1539" spans="1:17" ht="409.5" x14ac:dyDescent="0.25">
      <c r="A1539" s="12" t="s">
        <v>7242</v>
      </c>
      <c r="B1539" s="12" t="s">
        <v>7277</v>
      </c>
      <c r="C1539" s="12" t="s">
        <v>7175</v>
      </c>
      <c r="D1539" s="12" t="s">
        <v>7172</v>
      </c>
      <c r="E1539" s="12" t="s">
        <v>1934</v>
      </c>
      <c r="F1539" s="12" t="s">
        <v>1935</v>
      </c>
      <c r="G1539" s="13" t="s">
        <v>6829</v>
      </c>
      <c r="H1539" s="12" t="s">
        <v>6467</v>
      </c>
      <c r="I1539" s="12" t="s">
        <v>98</v>
      </c>
      <c r="J1539" s="12"/>
      <c r="K1539" s="12"/>
      <c r="L1539" s="14" t="s">
        <v>1936</v>
      </c>
      <c r="M1539" s="12" t="s">
        <v>1937</v>
      </c>
      <c r="N1539" s="12"/>
      <c r="O1539" s="12" t="s">
        <v>1938</v>
      </c>
      <c r="P1539" s="12" t="str">
        <f>HYPERLINK("https://ceds.ed.gov/cedselementdetails.aspx?termid=9050")</f>
        <v>https://ceds.ed.gov/cedselementdetails.aspx?termid=9050</v>
      </c>
      <c r="Q1539" s="12" t="str">
        <f>HYPERLINK("https://ceds.ed.gov/elementComment.aspx?elementName=Country Code &amp;elementID=9050", "Click here to submit comment")</f>
        <v>Click here to submit comment</v>
      </c>
    </row>
    <row r="1540" spans="1:17" ht="75" x14ac:dyDescent="0.25">
      <c r="A1540" s="12" t="s">
        <v>7242</v>
      </c>
      <c r="B1540" s="12" t="s">
        <v>7277</v>
      </c>
      <c r="C1540" s="12" t="s">
        <v>7175</v>
      </c>
      <c r="D1540" s="12" t="s">
        <v>7176</v>
      </c>
      <c r="E1540" s="12" t="s">
        <v>3693</v>
      </c>
      <c r="F1540" s="12" t="s">
        <v>3694</v>
      </c>
      <c r="G1540" s="12" t="s">
        <v>12</v>
      </c>
      <c r="H1540" s="12"/>
      <c r="I1540" s="12"/>
      <c r="J1540" s="12" t="s">
        <v>1201</v>
      </c>
      <c r="K1540" s="12"/>
      <c r="L1540" s="12"/>
      <c r="M1540" s="12" t="s">
        <v>3695</v>
      </c>
      <c r="N1540" s="12"/>
      <c r="O1540" s="12" t="s">
        <v>3693</v>
      </c>
      <c r="P1540" s="12" t="str">
        <f>HYPERLINK("https://ceds.ed.gov/cedselementdetails.aspx?termid=9599")</f>
        <v>https://ceds.ed.gov/cedselementdetails.aspx?termid=9599</v>
      </c>
      <c r="Q1540" s="12" t="str">
        <f>HYPERLINK("https://ceds.ed.gov/elementComment.aspx?elementName=Latitude &amp;elementID=9599", "Click here to submit comment")</f>
        <v>Click here to submit comment</v>
      </c>
    </row>
    <row r="1541" spans="1:17" ht="75" x14ac:dyDescent="0.25">
      <c r="A1541" s="12" t="s">
        <v>7242</v>
      </c>
      <c r="B1541" s="12" t="s">
        <v>7277</v>
      </c>
      <c r="C1541" s="12" t="s">
        <v>7175</v>
      </c>
      <c r="D1541" s="12" t="s">
        <v>7176</v>
      </c>
      <c r="E1541" s="12" t="s">
        <v>4361</v>
      </c>
      <c r="F1541" s="12" t="s">
        <v>4362</v>
      </c>
      <c r="G1541" s="12" t="s">
        <v>12</v>
      </c>
      <c r="H1541" s="12"/>
      <c r="I1541" s="12"/>
      <c r="J1541" s="12" t="s">
        <v>1201</v>
      </c>
      <c r="K1541" s="12"/>
      <c r="L1541" s="12"/>
      <c r="M1541" s="12" t="s">
        <v>4363</v>
      </c>
      <c r="N1541" s="12"/>
      <c r="O1541" s="12" t="s">
        <v>4361</v>
      </c>
      <c r="P1541" s="12" t="str">
        <f>HYPERLINK("https://ceds.ed.gov/cedselementdetails.aspx?termid=9600")</f>
        <v>https://ceds.ed.gov/cedselementdetails.aspx?termid=9600</v>
      </c>
      <c r="Q1541" s="12" t="str">
        <f>HYPERLINK("https://ceds.ed.gov/elementComment.aspx?elementName=Longitude &amp;elementID=9600", "Click here to submit comment")</f>
        <v>Click here to submit comment</v>
      </c>
    </row>
    <row r="1542" spans="1:17" ht="90" x14ac:dyDescent="0.25">
      <c r="A1542" s="12" t="s">
        <v>7242</v>
      </c>
      <c r="B1542" s="12" t="s">
        <v>7277</v>
      </c>
      <c r="C1542" s="12" t="s">
        <v>7177</v>
      </c>
      <c r="D1542" s="12" t="s">
        <v>7172</v>
      </c>
      <c r="E1542" s="12" t="s">
        <v>6107</v>
      </c>
      <c r="F1542" s="12" t="s">
        <v>6108</v>
      </c>
      <c r="G1542" s="13" t="s">
        <v>7135</v>
      </c>
      <c r="H1542" s="12" t="s">
        <v>6369</v>
      </c>
      <c r="I1542" s="12"/>
      <c r="J1542" s="12" t="s">
        <v>1950</v>
      </c>
      <c r="K1542" s="12"/>
      <c r="L1542" s="12"/>
      <c r="M1542" s="12" t="s">
        <v>6109</v>
      </c>
      <c r="N1542" s="12"/>
      <c r="O1542" s="12" t="s">
        <v>6110</v>
      </c>
      <c r="P1542" s="12" t="str">
        <f>HYPERLINK("https://ceds.ed.gov/cedselementdetails.aspx?termid=9280")</f>
        <v>https://ceds.ed.gov/cedselementdetails.aspx?termid=9280</v>
      </c>
      <c r="Q1542" s="12" t="str">
        <f>HYPERLINK("https://ceds.ed.gov/elementComment.aspx?elementName=Telephone Number Type &amp;elementID=9280", "Click here to submit comment")</f>
        <v>Click here to submit comment</v>
      </c>
    </row>
    <row r="1543" spans="1:17" ht="90" x14ac:dyDescent="0.25">
      <c r="A1543" s="12" t="s">
        <v>7242</v>
      </c>
      <c r="B1543" s="12" t="s">
        <v>7277</v>
      </c>
      <c r="C1543" s="12" t="s">
        <v>7177</v>
      </c>
      <c r="D1543" s="12" t="s">
        <v>7172</v>
      </c>
      <c r="E1543" s="12" t="s">
        <v>4934</v>
      </c>
      <c r="F1543" s="12" t="s">
        <v>4935</v>
      </c>
      <c r="G1543" s="12" t="s">
        <v>6364</v>
      </c>
      <c r="H1543" s="12" t="s">
        <v>6369</v>
      </c>
      <c r="I1543" s="12"/>
      <c r="J1543" s="12"/>
      <c r="K1543" s="12"/>
      <c r="L1543" s="12"/>
      <c r="M1543" s="12" t="s">
        <v>4936</v>
      </c>
      <c r="N1543" s="12"/>
      <c r="O1543" s="12" t="s">
        <v>4937</v>
      </c>
      <c r="P1543" s="12" t="str">
        <f>HYPERLINK("https://ceds.ed.gov/cedselementdetails.aspx?termid=9219")</f>
        <v>https://ceds.ed.gov/cedselementdetails.aspx?termid=9219</v>
      </c>
      <c r="Q1543" s="12" t="str">
        <f>HYPERLINK("https://ceds.ed.gov/elementComment.aspx?elementName=Primary Telephone Number Indicator &amp;elementID=9219", "Click here to submit comment")</f>
        <v>Click here to submit comment</v>
      </c>
    </row>
    <row r="1544" spans="1:17" ht="90" x14ac:dyDescent="0.25">
      <c r="A1544" s="12" t="s">
        <v>7242</v>
      </c>
      <c r="B1544" s="12" t="s">
        <v>7277</v>
      </c>
      <c r="C1544" s="12" t="s">
        <v>7177</v>
      </c>
      <c r="D1544" s="12" t="s">
        <v>7172</v>
      </c>
      <c r="E1544" s="12" t="s">
        <v>6102</v>
      </c>
      <c r="F1544" s="12" t="s">
        <v>6103</v>
      </c>
      <c r="G1544" s="12" t="s">
        <v>12</v>
      </c>
      <c r="H1544" s="12" t="s">
        <v>6369</v>
      </c>
      <c r="I1544" s="12"/>
      <c r="J1544" s="12" t="s">
        <v>6104</v>
      </c>
      <c r="K1544" s="12"/>
      <c r="L1544" s="12"/>
      <c r="M1544" s="12" t="s">
        <v>6105</v>
      </c>
      <c r="N1544" s="12"/>
      <c r="O1544" s="12" t="s">
        <v>6106</v>
      </c>
      <c r="P1544" s="12" t="str">
        <f>HYPERLINK("https://ceds.ed.gov/cedselementdetails.aspx?termid=9279")</f>
        <v>https://ceds.ed.gov/cedselementdetails.aspx?termid=9279</v>
      </c>
      <c r="Q1544" s="12" t="str">
        <f>HYPERLINK("https://ceds.ed.gov/elementComment.aspx?elementName=Telephone Number &amp;elementID=9279", "Click here to submit comment")</f>
        <v>Click here to submit comment</v>
      </c>
    </row>
    <row r="1545" spans="1:17" ht="90" x14ac:dyDescent="0.25">
      <c r="A1545" s="12" t="s">
        <v>7242</v>
      </c>
      <c r="B1545" s="12" t="s">
        <v>7277</v>
      </c>
      <c r="C1545" s="12" t="s">
        <v>7204</v>
      </c>
      <c r="D1545" s="12" t="s">
        <v>7172</v>
      </c>
      <c r="E1545" s="12" t="s">
        <v>2653</v>
      </c>
      <c r="F1545" s="12" t="s">
        <v>2654</v>
      </c>
      <c r="G1545" s="13" t="s">
        <v>6898</v>
      </c>
      <c r="H1545" s="12" t="s">
        <v>6369</v>
      </c>
      <c r="I1545" s="12"/>
      <c r="J1545" s="12"/>
      <c r="K1545" s="12"/>
      <c r="L1545" s="12"/>
      <c r="M1545" s="12" t="s">
        <v>2655</v>
      </c>
      <c r="N1545" s="12" t="s">
        <v>2656</v>
      </c>
      <c r="O1545" s="12" t="s">
        <v>2657</v>
      </c>
      <c r="P1545" s="12" t="str">
        <f>HYPERLINK("https://ceds.ed.gov/cedselementdetails.aspx?termid=9089")</f>
        <v>https://ceds.ed.gov/cedselementdetails.aspx?termid=9089</v>
      </c>
      <c r="Q1545" s="12" t="str">
        <f>HYPERLINK("https://ceds.ed.gov/elementComment.aspx?elementName=Electronic Mail Address Type &amp;elementID=9089", "Click here to submit comment")</f>
        <v>Click here to submit comment</v>
      </c>
    </row>
    <row r="1546" spans="1:17" ht="90" x14ac:dyDescent="0.25">
      <c r="A1546" s="12" t="s">
        <v>7242</v>
      </c>
      <c r="B1546" s="12" t="s">
        <v>7277</v>
      </c>
      <c r="C1546" s="12" t="s">
        <v>7204</v>
      </c>
      <c r="D1546" s="12" t="s">
        <v>7172</v>
      </c>
      <c r="E1546" s="12" t="s">
        <v>2647</v>
      </c>
      <c r="F1546" s="12" t="s">
        <v>2648</v>
      </c>
      <c r="G1546" s="12" t="s">
        <v>12</v>
      </c>
      <c r="H1546" s="12" t="s">
        <v>6369</v>
      </c>
      <c r="I1546" s="12"/>
      <c r="J1546" s="12" t="s">
        <v>2649</v>
      </c>
      <c r="K1546" s="12"/>
      <c r="L1546" s="12"/>
      <c r="M1546" s="12" t="s">
        <v>2650</v>
      </c>
      <c r="N1546" s="12" t="s">
        <v>2651</v>
      </c>
      <c r="O1546" s="12" t="s">
        <v>2652</v>
      </c>
      <c r="P1546" s="12" t="str">
        <f>HYPERLINK("https://ceds.ed.gov/cedselementdetails.aspx?termid=9088")</f>
        <v>https://ceds.ed.gov/cedselementdetails.aspx?termid=9088</v>
      </c>
      <c r="Q1546" s="12" t="str">
        <f>HYPERLINK("https://ceds.ed.gov/elementComment.aspx?elementName=Electronic Mail Address &amp;elementID=9088", "Click here to submit comment")</f>
        <v>Click here to submit comment</v>
      </c>
    </row>
    <row r="1547" spans="1:17" ht="240" x14ac:dyDescent="0.25">
      <c r="A1547" s="12" t="s">
        <v>7242</v>
      </c>
      <c r="B1547" s="12" t="s">
        <v>7277</v>
      </c>
      <c r="C1547" s="12" t="s">
        <v>7178</v>
      </c>
      <c r="D1547" s="12" t="s">
        <v>7172</v>
      </c>
      <c r="E1547" s="12" t="s">
        <v>1571</v>
      </c>
      <c r="F1547" s="12" t="s">
        <v>1572</v>
      </c>
      <c r="G1547" s="12" t="s">
        <v>12</v>
      </c>
      <c r="H1547" s="12" t="s">
        <v>6432</v>
      </c>
      <c r="I1547" s="12"/>
      <c r="J1547" s="12" t="s">
        <v>73</v>
      </c>
      <c r="K1547" s="12"/>
      <c r="L1547" s="12"/>
      <c r="M1547" s="12" t="s">
        <v>1573</v>
      </c>
      <c r="N1547" s="12"/>
      <c r="O1547" s="12" t="s">
        <v>1571</v>
      </c>
      <c r="P1547" s="12" t="str">
        <f>HYPERLINK("https://ceds.ed.gov/cedselementdetails.aspx?termid=9033")</f>
        <v>https://ceds.ed.gov/cedselementdetails.aspx?termid=9033</v>
      </c>
      <c r="Q1547" s="12" t="str">
        <f>HYPERLINK("https://ceds.ed.gov/elementComment.aspx?elementName=Birthdate &amp;elementID=9033", "Click here to submit comment")</f>
        <v>Click here to submit comment</v>
      </c>
    </row>
    <row r="1548" spans="1:17" ht="255" x14ac:dyDescent="0.25">
      <c r="A1548" s="12" t="s">
        <v>7242</v>
      </c>
      <c r="B1548" s="12" t="s">
        <v>7277</v>
      </c>
      <c r="C1548" s="12" t="s">
        <v>7178</v>
      </c>
      <c r="D1548" s="12" t="s">
        <v>7172</v>
      </c>
      <c r="E1548" s="12" t="s">
        <v>5711</v>
      </c>
      <c r="F1548" s="12" t="s">
        <v>5712</v>
      </c>
      <c r="G1548" s="13" t="s">
        <v>7112</v>
      </c>
      <c r="H1548" s="12" t="s">
        <v>6666</v>
      </c>
      <c r="I1548" s="12"/>
      <c r="J1548" s="12"/>
      <c r="K1548" s="12"/>
      <c r="L1548" s="12" t="s">
        <v>5713</v>
      </c>
      <c r="M1548" s="12" t="s">
        <v>5714</v>
      </c>
      <c r="N1548" s="12"/>
      <c r="O1548" s="12" t="s">
        <v>5711</v>
      </c>
      <c r="P1548" s="12" t="str">
        <f>HYPERLINK("https://ceds.ed.gov/cedselementdetails.aspx?termid=9255")</f>
        <v>https://ceds.ed.gov/cedselementdetails.aspx?termid=9255</v>
      </c>
      <c r="Q1548" s="12" t="str">
        <f>HYPERLINK("https://ceds.ed.gov/elementComment.aspx?elementName=Sex &amp;elementID=9255", "Click here to submit comment")</f>
        <v>Click here to submit comment</v>
      </c>
    </row>
    <row r="1549" spans="1:17" ht="30" x14ac:dyDescent="0.25">
      <c r="A1549" s="18" t="s">
        <v>7242</v>
      </c>
      <c r="B1549" s="18" t="s">
        <v>7277</v>
      </c>
      <c r="C1549" s="18" t="s">
        <v>7178</v>
      </c>
      <c r="D1549" s="18" t="s">
        <v>7172</v>
      </c>
      <c r="E1549" s="18" t="s">
        <v>359</v>
      </c>
      <c r="F1549" s="18" t="s">
        <v>360</v>
      </c>
      <c r="G1549" s="20" t="s">
        <v>6749</v>
      </c>
      <c r="H1549" s="18" t="s">
        <v>6390</v>
      </c>
      <c r="I1549" s="18"/>
      <c r="J1549" s="18"/>
      <c r="K1549" s="18"/>
      <c r="L1549" s="12" t="s">
        <v>361</v>
      </c>
      <c r="M1549" s="18" t="s">
        <v>365</v>
      </c>
      <c r="N1549" s="18"/>
      <c r="O1549" s="18" t="s">
        <v>366</v>
      </c>
      <c r="P1549" s="18" t="str">
        <f>HYPERLINK("https://ceds.ed.gov/cedselementdetails.aspx?termid=9655")</f>
        <v>https://ceds.ed.gov/cedselementdetails.aspx?termid=9655</v>
      </c>
      <c r="Q1549" s="18" t="str">
        <f>HYPERLINK("https://ceds.ed.gov/elementComment.aspx?elementName=American Indian or Alaska Native &amp;elementID=9655", "Click here to submit comment")</f>
        <v>Click here to submit comment</v>
      </c>
    </row>
    <row r="1550" spans="1:17" x14ac:dyDescent="0.25">
      <c r="A1550" s="18"/>
      <c r="B1550" s="18"/>
      <c r="C1550" s="18"/>
      <c r="D1550" s="18"/>
      <c r="E1550" s="18"/>
      <c r="F1550" s="18"/>
      <c r="G1550" s="18"/>
      <c r="H1550" s="18"/>
      <c r="I1550" s="18"/>
      <c r="J1550" s="18"/>
      <c r="K1550" s="18"/>
      <c r="L1550" s="12"/>
      <c r="M1550" s="18"/>
      <c r="N1550" s="18"/>
      <c r="O1550" s="18"/>
      <c r="P1550" s="18"/>
      <c r="Q1550" s="18"/>
    </row>
    <row r="1551" spans="1:17" x14ac:dyDescent="0.25">
      <c r="A1551" s="18"/>
      <c r="B1551" s="18"/>
      <c r="C1551" s="18"/>
      <c r="D1551" s="18"/>
      <c r="E1551" s="18"/>
      <c r="F1551" s="18"/>
      <c r="G1551" s="18"/>
      <c r="H1551" s="18"/>
      <c r="I1551" s="18"/>
      <c r="J1551" s="18"/>
      <c r="K1551" s="18"/>
      <c r="L1551" s="12" t="s">
        <v>362</v>
      </c>
      <c r="M1551" s="18"/>
      <c r="N1551" s="18"/>
      <c r="O1551" s="18"/>
      <c r="P1551" s="18"/>
      <c r="Q1551" s="18"/>
    </row>
    <row r="1552" spans="1:17" ht="30" x14ac:dyDescent="0.25">
      <c r="A1552" s="18"/>
      <c r="B1552" s="18"/>
      <c r="C1552" s="18"/>
      <c r="D1552" s="18"/>
      <c r="E1552" s="18"/>
      <c r="F1552" s="18"/>
      <c r="G1552" s="18"/>
      <c r="H1552" s="18"/>
      <c r="I1552" s="18"/>
      <c r="J1552" s="18"/>
      <c r="K1552" s="18"/>
      <c r="L1552" s="12" t="s">
        <v>363</v>
      </c>
      <c r="M1552" s="18"/>
      <c r="N1552" s="18"/>
      <c r="O1552" s="18"/>
      <c r="P1552" s="18"/>
      <c r="Q1552" s="18"/>
    </row>
    <row r="1553" spans="1:17" x14ac:dyDescent="0.25">
      <c r="A1553" s="18"/>
      <c r="B1553" s="18"/>
      <c r="C1553" s="18"/>
      <c r="D1553" s="18"/>
      <c r="E1553" s="18"/>
      <c r="F1553" s="18"/>
      <c r="G1553" s="18"/>
      <c r="H1553" s="18"/>
      <c r="I1553" s="18"/>
      <c r="J1553" s="18"/>
      <c r="K1553" s="18"/>
      <c r="L1553" s="12" t="s">
        <v>364</v>
      </c>
      <c r="M1553" s="18"/>
      <c r="N1553" s="18"/>
      <c r="O1553" s="18"/>
      <c r="P1553" s="18"/>
      <c r="Q1553" s="18"/>
    </row>
    <row r="1554" spans="1:17" ht="30" x14ac:dyDescent="0.25">
      <c r="A1554" s="18" t="s">
        <v>7242</v>
      </c>
      <c r="B1554" s="18" t="s">
        <v>7277</v>
      </c>
      <c r="C1554" s="18" t="s">
        <v>7178</v>
      </c>
      <c r="D1554" s="18" t="s">
        <v>7172</v>
      </c>
      <c r="E1554" s="18" t="s">
        <v>401</v>
      </c>
      <c r="F1554" s="18" t="s">
        <v>402</v>
      </c>
      <c r="G1554" s="20" t="s">
        <v>6749</v>
      </c>
      <c r="H1554" s="18" t="s">
        <v>6390</v>
      </c>
      <c r="I1554" s="18"/>
      <c r="J1554" s="18"/>
      <c r="K1554" s="18"/>
      <c r="L1554" s="12" t="s">
        <v>361</v>
      </c>
      <c r="M1554" s="18" t="s">
        <v>403</v>
      </c>
      <c r="N1554" s="18"/>
      <c r="O1554" s="18" t="s">
        <v>401</v>
      </c>
      <c r="P1554" s="18" t="str">
        <f>HYPERLINK("https://ceds.ed.gov/cedselementdetails.aspx?termid=9656")</f>
        <v>https://ceds.ed.gov/cedselementdetails.aspx?termid=9656</v>
      </c>
      <c r="Q1554" s="18" t="str">
        <f>HYPERLINK("https://ceds.ed.gov/elementComment.aspx?elementName=Asian &amp;elementID=9656", "Click here to submit comment")</f>
        <v>Click here to submit comment</v>
      </c>
    </row>
    <row r="1555" spans="1:17" x14ac:dyDescent="0.25">
      <c r="A1555" s="18"/>
      <c r="B1555" s="18"/>
      <c r="C1555" s="18"/>
      <c r="D1555" s="18"/>
      <c r="E1555" s="18"/>
      <c r="F1555" s="18"/>
      <c r="G1555" s="18"/>
      <c r="H1555" s="18"/>
      <c r="I1555" s="18"/>
      <c r="J1555" s="18"/>
      <c r="K1555" s="18"/>
      <c r="L1555" s="12"/>
      <c r="M1555" s="18"/>
      <c r="N1555" s="18"/>
      <c r="O1555" s="18"/>
      <c r="P1555" s="18"/>
      <c r="Q1555" s="18"/>
    </row>
    <row r="1556" spans="1:17" x14ac:dyDescent="0.25">
      <c r="A1556" s="18"/>
      <c r="B1556" s="18"/>
      <c r="C1556" s="18"/>
      <c r="D1556" s="18"/>
      <c r="E1556" s="18"/>
      <c r="F1556" s="18"/>
      <c r="G1556" s="18"/>
      <c r="H1556" s="18"/>
      <c r="I1556" s="18"/>
      <c r="J1556" s="18"/>
      <c r="K1556" s="18"/>
      <c r="L1556" s="12" t="s">
        <v>362</v>
      </c>
      <c r="M1556" s="18"/>
      <c r="N1556" s="18"/>
      <c r="O1556" s="18"/>
      <c r="P1556" s="18"/>
      <c r="Q1556" s="18"/>
    </row>
    <row r="1557" spans="1:17" ht="30" x14ac:dyDescent="0.25">
      <c r="A1557" s="18"/>
      <c r="B1557" s="18"/>
      <c r="C1557" s="18"/>
      <c r="D1557" s="18"/>
      <c r="E1557" s="18"/>
      <c r="F1557" s="18"/>
      <c r="G1557" s="18"/>
      <c r="H1557" s="18"/>
      <c r="I1557" s="18"/>
      <c r="J1557" s="18"/>
      <c r="K1557" s="18"/>
      <c r="L1557" s="12" t="s">
        <v>363</v>
      </c>
      <c r="M1557" s="18"/>
      <c r="N1557" s="18"/>
      <c r="O1557" s="18"/>
      <c r="P1557" s="18"/>
      <c r="Q1557" s="18"/>
    </row>
    <row r="1558" spans="1:17" x14ac:dyDescent="0.25">
      <c r="A1558" s="18"/>
      <c r="B1558" s="18"/>
      <c r="C1558" s="18"/>
      <c r="D1558" s="18"/>
      <c r="E1558" s="18"/>
      <c r="F1558" s="18"/>
      <c r="G1558" s="18"/>
      <c r="H1558" s="18"/>
      <c r="I1558" s="18"/>
      <c r="J1558" s="18"/>
      <c r="K1558" s="18"/>
      <c r="L1558" s="12" t="s">
        <v>364</v>
      </c>
      <c r="M1558" s="18"/>
      <c r="N1558" s="18"/>
      <c r="O1558" s="18"/>
      <c r="P1558" s="18"/>
      <c r="Q1558" s="18"/>
    </row>
    <row r="1559" spans="1:17" ht="30" x14ac:dyDescent="0.25">
      <c r="A1559" s="18" t="s">
        <v>7242</v>
      </c>
      <c r="B1559" s="18" t="s">
        <v>7277</v>
      </c>
      <c r="C1559" s="18" t="s">
        <v>7178</v>
      </c>
      <c r="D1559" s="18" t="s">
        <v>7172</v>
      </c>
      <c r="E1559" s="18" t="s">
        <v>1579</v>
      </c>
      <c r="F1559" s="18" t="s">
        <v>1580</v>
      </c>
      <c r="G1559" s="20" t="s">
        <v>6749</v>
      </c>
      <c r="H1559" s="18" t="s">
        <v>6390</v>
      </c>
      <c r="I1559" s="18"/>
      <c r="J1559" s="18"/>
      <c r="K1559" s="18"/>
      <c r="L1559" s="12" t="s">
        <v>361</v>
      </c>
      <c r="M1559" s="18" t="s">
        <v>1581</v>
      </c>
      <c r="N1559" s="18"/>
      <c r="O1559" s="18" t="s">
        <v>1582</v>
      </c>
      <c r="P1559" s="18" t="str">
        <f>HYPERLINK("https://ceds.ed.gov/cedselementdetails.aspx?termid=9657")</f>
        <v>https://ceds.ed.gov/cedselementdetails.aspx?termid=9657</v>
      </c>
      <c r="Q1559" s="18" t="str">
        <f>HYPERLINK("https://ceds.ed.gov/elementComment.aspx?elementName=Black or African American &amp;elementID=9657", "Click here to submit comment")</f>
        <v>Click here to submit comment</v>
      </c>
    </row>
    <row r="1560" spans="1:17" x14ac:dyDescent="0.25">
      <c r="A1560" s="18"/>
      <c r="B1560" s="18"/>
      <c r="C1560" s="18"/>
      <c r="D1560" s="18"/>
      <c r="E1560" s="18"/>
      <c r="F1560" s="18"/>
      <c r="G1560" s="18"/>
      <c r="H1560" s="18"/>
      <c r="I1560" s="18"/>
      <c r="J1560" s="18"/>
      <c r="K1560" s="18"/>
      <c r="L1560" s="12"/>
      <c r="M1560" s="18"/>
      <c r="N1560" s="18"/>
      <c r="O1560" s="18"/>
      <c r="P1560" s="18"/>
      <c r="Q1560" s="18"/>
    </row>
    <row r="1561" spans="1:17" x14ac:dyDescent="0.25">
      <c r="A1561" s="18"/>
      <c r="B1561" s="18"/>
      <c r="C1561" s="18"/>
      <c r="D1561" s="18"/>
      <c r="E1561" s="18"/>
      <c r="F1561" s="18"/>
      <c r="G1561" s="18"/>
      <c r="H1561" s="18"/>
      <c r="I1561" s="18"/>
      <c r="J1561" s="18"/>
      <c r="K1561" s="18"/>
      <c r="L1561" s="12" t="s">
        <v>362</v>
      </c>
      <c r="M1561" s="18"/>
      <c r="N1561" s="18"/>
      <c r="O1561" s="18"/>
      <c r="P1561" s="18"/>
      <c r="Q1561" s="18"/>
    </row>
    <row r="1562" spans="1:17" ht="30" x14ac:dyDescent="0.25">
      <c r="A1562" s="18"/>
      <c r="B1562" s="18"/>
      <c r="C1562" s="18"/>
      <c r="D1562" s="18"/>
      <c r="E1562" s="18"/>
      <c r="F1562" s="18"/>
      <c r="G1562" s="18"/>
      <c r="H1562" s="18"/>
      <c r="I1562" s="18"/>
      <c r="J1562" s="18"/>
      <c r="K1562" s="18"/>
      <c r="L1562" s="12" t="s">
        <v>363</v>
      </c>
      <c r="M1562" s="18"/>
      <c r="N1562" s="18"/>
      <c r="O1562" s="18"/>
      <c r="P1562" s="18"/>
      <c r="Q1562" s="18"/>
    </row>
    <row r="1563" spans="1:17" x14ac:dyDescent="0.25">
      <c r="A1563" s="18"/>
      <c r="B1563" s="18"/>
      <c r="C1563" s="18"/>
      <c r="D1563" s="18"/>
      <c r="E1563" s="18"/>
      <c r="F1563" s="18"/>
      <c r="G1563" s="18"/>
      <c r="H1563" s="18"/>
      <c r="I1563" s="18"/>
      <c r="J1563" s="18"/>
      <c r="K1563" s="18"/>
      <c r="L1563" s="12" t="s">
        <v>364</v>
      </c>
      <c r="M1563" s="18"/>
      <c r="N1563" s="18"/>
      <c r="O1563" s="18"/>
      <c r="P1563" s="18"/>
      <c r="Q1563" s="18"/>
    </row>
    <row r="1564" spans="1:17" ht="30" x14ac:dyDescent="0.25">
      <c r="A1564" s="18" t="s">
        <v>7242</v>
      </c>
      <c r="B1564" s="18" t="s">
        <v>7277</v>
      </c>
      <c r="C1564" s="18" t="s">
        <v>7178</v>
      </c>
      <c r="D1564" s="18" t="s">
        <v>7172</v>
      </c>
      <c r="E1564" s="18" t="s">
        <v>4536</v>
      </c>
      <c r="F1564" s="18" t="s">
        <v>4537</v>
      </c>
      <c r="G1564" s="20" t="s">
        <v>6749</v>
      </c>
      <c r="H1564" s="18" t="s">
        <v>6390</v>
      </c>
      <c r="I1564" s="18"/>
      <c r="J1564" s="18"/>
      <c r="K1564" s="18"/>
      <c r="L1564" s="12" t="s">
        <v>361</v>
      </c>
      <c r="M1564" s="18" t="s">
        <v>4538</v>
      </c>
      <c r="N1564" s="18"/>
      <c r="O1564" s="18" t="s">
        <v>4539</v>
      </c>
      <c r="P1564" s="18" t="str">
        <f>HYPERLINK("https://ceds.ed.gov/cedselementdetails.aspx?termid=9658")</f>
        <v>https://ceds.ed.gov/cedselementdetails.aspx?termid=9658</v>
      </c>
      <c r="Q1564" s="18" t="str">
        <f>HYPERLINK("https://ceds.ed.gov/elementComment.aspx?elementName=Native Hawaiian or Other Pacific Islander &amp;elementID=9658", "Click here to submit comment")</f>
        <v>Click here to submit comment</v>
      </c>
    </row>
    <row r="1565" spans="1:17" x14ac:dyDescent="0.25">
      <c r="A1565" s="18"/>
      <c r="B1565" s="18"/>
      <c r="C1565" s="18"/>
      <c r="D1565" s="18"/>
      <c r="E1565" s="18"/>
      <c r="F1565" s="18"/>
      <c r="G1565" s="18"/>
      <c r="H1565" s="18"/>
      <c r="I1565" s="18"/>
      <c r="J1565" s="18"/>
      <c r="K1565" s="18"/>
      <c r="L1565" s="12"/>
      <c r="M1565" s="18"/>
      <c r="N1565" s="18"/>
      <c r="O1565" s="18"/>
      <c r="P1565" s="18"/>
      <c r="Q1565" s="18"/>
    </row>
    <row r="1566" spans="1:17" x14ac:dyDescent="0.25">
      <c r="A1566" s="18"/>
      <c r="B1566" s="18"/>
      <c r="C1566" s="18"/>
      <c r="D1566" s="18"/>
      <c r="E1566" s="18"/>
      <c r="F1566" s="18"/>
      <c r="G1566" s="18"/>
      <c r="H1566" s="18"/>
      <c r="I1566" s="18"/>
      <c r="J1566" s="18"/>
      <c r="K1566" s="18"/>
      <c r="L1566" s="12" t="s">
        <v>362</v>
      </c>
      <c r="M1566" s="18"/>
      <c r="N1566" s="18"/>
      <c r="O1566" s="18"/>
      <c r="P1566" s="18"/>
      <c r="Q1566" s="18"/>
    </row>
    <row r="1567" spans="1:17" ht="30" x14ac:dyDescent="0.25">
      <c r="A1567" s="18"/>
      <c r="B1567" s="18"/>
      <c r="C1567" s="18"/>
      <c r="D1567" s="18"/>
      <c r="E1567" s="18"/>
      <c r="F1567" s="18"/>
      <c r="G1567" s="18"/>
      <c r="H1567" s="18"/>
      <c r="I1567" s="18"/>
      <c r="J1567" s="18"/>
      <c r="K1567" s="18"/>
      <c r="L1567" s="12" t="s">
        <v>363</v>
      </c>
      <c r="M1567" s="18"/>
      <c r="N1567" s="18"/>
      <c r="O1567" s="18"/>
      <c r="P1567" s="18"/>
      <c r="Q1567" s="18"/>
    </row>
    <row r="1568" spans="1:17" x14ac:dyDescent="0.25">
      <c r="A1568" s="18"/>
      <c r="B1568" s="18"/>
      <c r="C1568" s="18"/>
      <c r="D1568" s="18"/>
      <c r="E1568" s="18"/>
      <c r="F1568" s="18"/>
      <c r="G1568" s="18"/>
      <c r="H1568" s="18"/>
      <c r="I1568" s="18"/>
      <c r="J1568" s="18"/>
      <c r="K1568" s="18"/>
      <c r="L1568" s="12" t="s">
        <v>364</v>
      </c>
      <c r="M1568" s="18"/>
      <c r="N1568" s="18"/>
      <c r="O1568" s="18"/>
      <c r="P1568" s="18"/>
      <c r="Q1568" s="18"/>
    </row>
    <row r="1569" spans="1:17" ht="30" x14ac:dyDescent="0.25">
      <c r="A1569" s="18" t="s">
        <v>7242</v>
      </c>
      <c r="B1569" s="18" t="s">
        <v>7277</v>
      </c>
      <c r="C1569" s="18" t="s">
        <v>7178</v>
      </c>
      <c r="D1569" s="18" t="s">
        <v>7172</v>
      </c>
      <c r="E1569" s="18" t="s">
        <v>6333</v>
      </c>
      <c r="F1569" s="18" t="s">
        <v>6334</v>
      </c>
      <c r="G1569" s="20" t="s">
        <v>6749</v>
      </c>
      <c r="H1569" s="18" t="s">
        <v>6390</v>
      </c>
      <c r="I1569" s="18"/>
      <c r="J1569" s="18"/>
      <c r="K1569" s="18"/>
      <c r="L1569" s="12" t="s">
        <v>361</v>
      </c>
      <c r="M1569" s="18" t="s">
        <v>6335</v>
      </c>
      <c r="N1569" s="18"/>
      <c r="O1569" s="18" t="s">
        <v>6333</v>
      </c>
      <c r="P1569" s="18" t="str">
        <f>HYPERLINK("https://ceds.ed.gov/cedselementdetails.aspx?termid=9659")</f>
        <v>https://ceds.ed.gov/cedselementdetails.aspx?termid=9659</v>
      </c>
      <c r="Q1569" s="18" t="str">
        <f>HYPERLINK("https://ceds.ed.gov/elementComment.aspx?elementName=White &amp;elementID=9659", "Click here to submit comment")</f>
        <v>Click here to submit comment</v>
      </c>
    </row>
    <row r="1570" spans="1:17" x14ac:dyDescent="0.25">
      <c r="A1570" s="18"/>
      <c r="B1570" s="18"/>
      <c r="C1570" s="18"/>
      <c r="D1570" s="18"/>
      <c r="E1570" s="18"/>
      <c r="F1570" s="18"/>
      <c r="G1570" s="18"/>
      <c r="H1570" s="18"/>
      <c r="I1570" s="18"/>
      <c r="J1570" s="18"/>
      <c r="K1570" s="18"/>
      <c r="L1570" s="12"/>
      <c r="M1570" s="18"/>
      <c r="N1570" s="18"/>
      <c r="O1570" s="18"/>
      <c r="P1570" s="18"/>
      <c r="Q1570" s="18"/>
    </row>
    <row r="1571" spans="1:17" x14ac:dyDescent="0.25">
      <c r="A1571" s="18"/>
      <c r="B1571" s="18"/>
      <c r="C1571" s="18"/>
      <c r="D1571" s="18"/>
      <c r="E1571" s="18"/>
      <c r="F1571" s="18"/>
      <c r="G1571" s="18"/>
      <c r="H1571" s="18"/>
      <c r="I1571" s="18"/>
      <c r="J1571" s="18"/>
      <c r="K1571" s="18"/>
      <c r="L1571" s="12" t="s">
        <v>362</v>
      </c>
      <c r="M1571" s="18"/>
      <c r="N1571" s="18"/>
      <c r="O1571" s="18"/>
      <c r="P1571" s="18"/>
      <c r="Q1571" s="18"/>
    </row>
    <row r="1572" spans="1:17" ht="30" x14ac:dyDescent="0.25">
      <c r="A1572" s="18"/>
      <c r="B1572" s="18"/>
      <c r="C1572" s="18"/>
      <c r="D1572" s="18"/>
      <c r="E1572" s="18"/>
      <c r="F1572" s="18"/>
      <c r="G1572" s="18"/>
      <c r="H1572" s="18"/>
      <c r="I1572" s="18"/>
      <c r="J1572" s="18"/>
      <c r="K1572" s="18"/>
      <c r="L1572" s="12" t="s">
        <v>363</v>
      </c>
      <c r="M1572" s="18"/>
      <c r="N1572" s="18"/>
      <c r="O1572" s="18"/>
      <c r="P1572" s="18"/>
      <c r="Q1572" s="18"/>
    </row>
    <row r="1573" spans="1:17" x14ac:dyDescent="0.25">
      <c r="A1573" s="18"/>
      <c r="B1573" s="18"/>
      <c r="C1573" s="18"/>
      <c r="D1573" s="18"/>
      <c r="E1573" s="18"/>
      <c r="F1573" s="18"/>
      <c r="G1573" s="18"/>
      <c r="H1573" s="18"/>
      <c r="I1573" s="18"/>
      <c r="J1573" s="18"/>
      <c r="K1573" s="18"/>
      <c r="L1573" s="12" t="s">
        <v>364</v>
      </c>
      <c r="M1573" s="18"/>
      <c r="N1573" s="18"/>
      <c r="O1573" s="18"/>
      <c r="P1573" s="18"/>
      <c r="Q1573" s="18"/>
    </row>
    <row r="1574" spans="1:17" ht="30" x14ac:dyDescent="0.25">
      <c r="A1574" s="18" t="s">
        <v>7242</v>
      </c>
      <c r="B1574" s="18" t="s">
        <v>7277</v>
      </c>
      <c r="C1574" s="18" t="s">
        <v>7178</v>
      </c>
      <c r="D1574" s="18" t="s">
        <v>7172</v>
      </c>
      <c r="E1574" s="18" t="s">
        <v>3227</v>
      </c>
      <c r="F1574" s="18" t="s">
        <v>3228</v>
      </c>
      <c r="G1574" s="20" t="s">
        <v>6749</v>
      </c>
      <c r="H1574" s="18" t="s">
        <v>6390</v>
      </c>
      <c r="I1574" s="18"/>
      <c r="J1574" s="18"/>
      <c r="K1574" s="18"/>
      <c r="L1574" s="12" t="s">
        <v>361</v>
      </c>
      <c r="M1574" s="18" t="s">
        <v>3229</v>
      </c>
      <c r="N1574" s="18"/>
      <c r="O1574" s="18" t="s">
        <v>3230</v>
      </c>
      <c r="P1574" s="18" t="str">
        <f>HYPERLINK("https://ceds.ed.gov/cedselementdetails.aspx?termid=9144")</f>
        <v>https://ceds.ed.gov/cedselementdetails.aspx?termid=9144</v>
      </c>
      <c r="Q1574" s="18" t="str">
        <f>HYPERLINK("https://ceds.ed.gov/elementComment.aspx?elementName=Hispanic or Latino Ethnicity &amp;elementID=9144", "Click here to submit comment")</f>
        <v>Click here to submit comment</v>
      </c>
    </row>
    <row r="1575" spans="1:17" x14ac:dyDescent="0.25">
      <c r="A1575" s="18"/>
      <c r="B1575" s="18"/>
      <c r="C1575" s="18"/>
      <c r="D1575" s="18"/>
      <c r="E1575" s="18"/>
      <c r="F1575" s="18"/>
      <c r="G1575" s="18"/>
      <c r="H1575" s="18"/>
      <c r="I1575" s="18"/>
      <c r="J1575" s="18"/>
      <c r="K1575" s="18"/>
      <c r="L1575" s="12"/>
      <c r="M1575" s="18"/>
      <c r="N1575" s="18"/>
      <c r="O1575" s="18"/>
      <c r="P1575" s="18"/>
      <c r="Q1575" s="18"/>
    </row>
    <row r="1576" spans="1:17" x14ac:dyDescent="0.25">
      <c r="A1576" s="18"/>
      <c r="B1576" s="18"/>
      <c r="C1576" s="18"/>
      <c r="D1576" s="18"/>
      <c r="E1576" s="18"/>
      <c r="F1576" s="18"/>
      <c r="G1576" s="18"/>
      <c r="H1576" s="18"/>
      <c r="I1576" s="18"/>
      <c r="J1576" s="18"/>
      <c r="K1576" s="18"/>
      <c r="L1576" s="12" t="s">
        <v>362</v>
      </c>
      <c r="M1576" s="18"/>
      <c r="N1576" s="18"/>
      <c r="O1576" s="18"/>
      <c r="P1576" s="18"/>
      <c r="Q1576" s="18"/>
    </row>
    <row r="1577" spans="1:17" ht="30" x14ac:dyDescent="0.25">
      <c r="A1577" s="18"/>
      <c r="B1577" s="18"/>
      <c r="C1577" s="18"/>
      <c r="D1577" s="18"/>
      <c r="E1577" s="18"/>
      <c r="F1577" s="18"/>
      <c r="G1577" s="18"/>
      <c r="H1577" s="18"/>
      <c r="I1577" s="18"/>
      <c r="J1577" s="18"/>
      <c r="K1577" s="18"/>
      <c r="L1577" s="12" t="s">
        <v>363</v>
      </c>
      <c r="M1577" s="18"/>
      <c r="N1577" s="18"/>
      <c r="O1577" s="18"/>
      <c r="P1577" s="18"/>
      <c r="Q1577" s="18"/>
    </row>
    <row r="1578" spans="1:17" x14ac:dyDescent="0.25">
      <c r="A1578" s="18"/>
      <c r="B1578" s="18"/>
      <c r="C1578" s="18"/>
      <c r="D1578" s="18"/>
      <c r="E1578" s="18"/>
      <c r="F1578" s="18"/>
      <c r="G1578" s="18"/>
      <c r="H1578" s="18"/>
      <c r="I1578" s="18"/>
      <c r="J1578" s="18"/>
      <c r="K1578" s="18"/>
      <c r="L1578" s="12" t="s">
        <v>364</v>
      </c>
      <c r="M1578" s="18"/>
      <c r="N1578" s="18"/>
      <c r="O1578" s="18"/>
      <c r="P1578" s="18"/>
      <c r="Q1578" s="18"/>
    </row>
    <row r="1579" spans="1:17" ht="105" x14ac:dyDescent="0.25">
      <c r="A1579" s="18" t="s">
        <v>7242</v>
      </c>
      <c r="B1579" s="18" t="s">
        <v>7277</v>
      </c>
      <c r="C1579" s="18" t="s">
        <v>7278</v>
      </c>
      <c r="D1579" s="18" t="s">
        <v>7172</v>
      </c>
      <c r="E1579" s="18" t="s">
        <v>4328</v>
      </c>
      <c r="F1579" s="18" t="s">
        <v>4329</v>
      </c>
      <c r="G1579" s="18" t="s">
        <v>12</v>
      </c>
      <c r="H1579" s="18" t="s">
        <v>6596</v>
      </c>
      <c r="I1579" s="18"/>
      <c r="J1579" s="18" t="s">
        <v>142</v>
      </c>
      <c r="K1579" s="18"/>
      <c r="L1579" s="12" t="s">
        <v>143</v>
      </c>
      <c r="M1579" s="18" t="s">
        <v>4330</v>
      </c>
      <c r="N1579" s="18" t="s">
        <v>4331</v>
      </c>
      <c r="O1579" s="18" t="s">
        <v>4332</v>
      </c>
      <c r="P1579" s="18" t="str">
        <f>HYPERLINK("https://ceds.ed.gov/cedselementdetails.aspx?termid=9153")</f>
        <v>https://ceds.ed.gov/cedselementdetails.aspx?termid=9153</v>
      </c>
      <c r="Q1579" s="18" t="str">
        <f>HYPERLINK("https://ceds.ed.gov/elementComment.aspx?elementName=Local Education Agency Identifier &amp;elementID=9153", "Click here to submit comment")</f>
        <v>Click here to submit comment</v>
      </c>
    </row>
    <row r="1580" spans="1:17" x14ac:dyDescent="0.25">
      <c r="A1580" s="18"/>
      <c r="B1580" s="18"/>
      <c r="C1580" s="18"/>
      <c r="D1580" s="18"/>
      <c r="E1580" s="18"/>
      <c r="F1580" s="18"/>
      <c r="G1580" s="18"/>
      <c r="H1580" s="18"/>
      <c r="I1580" s="18"/>
      <c r="J1580" s="18"/>
      <c r="K1580" s="18"/>
      <c r="L1580" s="12"/>
      <c r="M1580" s="18"/>
      <c r="N1580" s="18"/>
      <c r="O1580" s="18"/>
      <c r="P1580" s="18"/>
      <c r="Q1580" s="18"/>
    </row>
    <row r="1581" spans="1:17" ht="90" x14ac:dyDescent="0.25">
      <c r="A1581" s="18"/>
      <c r="B1581" s="18"/>
      <c r="C1581" s="18"/>
      <c r="D1581" s="18"/>
      <c r="E1581" s="18"/>
      <c r="F1581" s="18"/>
      <c r="G1581" s="18"/>
      <c r="H1581" s="18"/>
      <c r="I1581" s="18"/>
      <c r="J1581" s="18"/>
      <c r="K1581" s="18"/>
      <c r="L1581" s="12" t="s">
        <v>144</v>
      </c>
      <c r="M1581" s="18"/>
      <c r="N1581" s="18"/>
      <c r="O1581" s="18"/>
      <c r="P1581" s="18"/>
      <c r="Q1581" s="18"/>
    </row>
    <row r="1582" spans="1:17" ht="240" x14ac:dyDescent="0.25">
      <c r="A1582" s="12" t="s">
        <v>7242</v>
      </c>
      <c r="B1582" s="12" t="s">
        <v>7277</v>
      </c>
      <c r="C1582" s="12" t="s">
        <v>7278</v>
      </c>
      <c r="D1582" s="12" t="s">
        <v>7172</v>
      </c>
      <c r="E1582" s="12" t="s">
        <v>4323</v>
      </c>
      <c r="F1582" s="12" t="s">
        <v>4324</v>
      </c>
      <c r="G1582" s="13" t="s">
        <v>7020</v>
      </c>
      <c r="H1582" s="12" t="s">
        <v>6596</v>
      </c>
      <c r="I1582" s="12" t="s">
        <v>98</v>
      </c>
      <c r="J1582" s="12"/>
      <c r="K1582" s="12"/>
      <c r="L1582" s="12"/>
      <c r="M1582" s="12" t="s">
        <v>4325</v>
      </c>
      <c r="N1582" s="12" t="s">
        <v>4326</v>
      </c>
      <c r="O1582" s="12" t="s">
        <v>4327</v>
      </c>
      <c r="P1582" s="12" t="str">
        <f>HYPERLINK("https://ceds.ed.gov/cedselementdetails.aspx?termid=9159")</f>
        <v>https://ceds.ed.gov/cedselementdetails.aspx?termid=9159</v>
      </c>
      <c r="Q1582" s="12" t="str">
        <f>HYPERLINK("https://ceds.ed.gov/elementComment.aspx?elementName=Local Education Agency Identification System &amp;elementID=9159", "Click here to submit comment")</f>
        <v>Click here to submit comment</v>
      </c>
    </row>
    <row r="1583" spans="1:17" ht="105" x14ac:dyDescent="0.25">
      <c r="A1583" s="18" t="s">
        <v>7242</v>
      </c>
      <c r="B1583" s="18" t="s">
        <v>7277</v>
      </c>
      <c r="C1583" s="18" t="s">
        <v>7278</v>
      </c>
      <c r="D1583" s="18" t="s">
        <v>7172</v>
      </c>
      <c r="E1583" s="18" t="s">
        <v>5583</v>
      </c>
      <c r="F1583" s="18" t="s">
        <v>279</v>
      </c>
      <c r="G1583" s="18" t="s">
        <v>12</v>
      </c>
      <c r="H1583" s="18" t="s">
        <v>6657</v>
      </c>
      <c r="I1583" s="18"/>
      <c r="J1583" s="18" t="s">
        <v>142</v>
      </c>
      <c r="K1583" s="18"/>
      <c r="L1583" s="12" t="s">
        <v>143</v>
      </c>
      <c r="M1583" s="18" t="s">
        <v>5584</v>
      </c>
      <c r="N1583" s="18"/>
      <c r="O1583" s="18" t="s">
        <v>5585</v>
      </c>
      <c r="P1583" s="18" t="str">
        <f>HYPERLINK("https://ceds.ed.gov/cedselementdetails.aspx?termid=9155")</f>
        <v>https://ceds.ed.gov/cedselementdetails.aspx?termid=9155</v>
      </c>
      <c r="Q1583" s="18" t="str">
        <f>HYPERLINK("https://ceds.ed.gov/elementComment.aspx?elementName=School Identifier &amp;elementID=9155", "Click here to submit comment")</f>
        <v>Click here to submit comment</v>
      </c>
    </row>
    <row r="1584" spans="1:17" x14ac:dyDescent="0.25">
      <c r="A1584" s="18"/>
      <c r="B1584" s="18"/>
      <c r="C1584" s="18"/>
      <c r="D1584" s="18"/>
      <c r="E1584" s="18"/>
      <c r="F1584" s="18"/>
      <c r="G1584" s="18"/>
      <c r="H1584" s="18"/>
      <c r="I1584" s="18"/>
      <c r="J1584" s="18"/>
      <c r="K1584" s="18"/>
      <c r="L1584" s="12"/>
      <c r="M1584" s="18"/>
      <c r="N1584" s="18"/>
      <c r="O1584" s="18"/>
      <c r="P1584" s="18"/>
      <c r="Q1584" s="18"/>
    </row>
    <row r="1585" spans="1:17" ht="90" x14ac:dyDescent="0.25">
      <c r="A1585" s="18"/>
      <c r="B1585" s="18"/>
      <c r="C1585" s="18"/>
      <c r="D1585" s="18"/>
      <c r="E1585" s="18"/>
      <c r="F1585" s="18"/>
      <c r="G1585" s="18"/>
      <c r="H1585" s="18"/>
      <c r="I1585" s="18"/>
      <c r="J1585" s="18"/>
      <c r="K1585" s="18"/>
      <c r="L1585" s="12" t="s">
        <v>144</v>
      </c>
      <c r="M1585" s="18"/>
      <c r="N1585" s="18"/>
      <c r="O1585" s="18"/>
      <c r="P1585" s="18"/>
      <c r="Q1585" s="18"/>
    </row>
    <row r="1586" spans="1:17" ht="270" x14ac:dyDescent="0.25">
      <c r="A1586" s="12" t="s">
        <v>7242</v>
      </c>
      <c r="B1586" s="12" t="s">
        <v>7277</v>
      </c>
      <c r="C1586" s="12" t="s">
        <v>7278</v>
      </c>
      <c r="D1586" s="12" t="s">
        <v>7172</v>
      </c>
      <c r="E1586" s="12" t="s">
        <v>5580</v>
      </c>
      <c r="F1586" s="12" t="s">
        <v>275</v>
      </c>
      <c r="G1586" s="13" t="s">
        <v>7103</v>
      </c>
      <c r="H1586" s="12" t="s">
        <v>6657</v>
      </c>
      <c r="I1586" s="12"/>
      <c r="J1586" s="12"/>
      <c r="K1586" s="12"/>
      <c r="L1586" s="12"/>
      <c r="M1586" s="12" t="s">
        <v>5581</v>
      </c>
      <c r="N1586" s="12"/>
      <c r="O1586" s="12" t="s">
        <v>5582</v>
      </c>
      <c r="P1586" s="12" t="str">
        <f>HYPERLINK("https://ceds.ed.gov/cedselementdetails.aspx?termid=9161")</f>
        <v>https://ceds.ed.gov/cedselementdetails.aspx?termid=9161</v>
      </c>
      <c r="Q1586" s="12" t="str">
        <f>HYPERLINK("https://ceds.ed.gov/elementComment.aspx?elementName=School Identification System &amp;elementID=9161", "Click here to submit comment")</f>
        <v>Click here to submit comment</v>
      </c>
    </row>
    <row r="1587" spans="1:17" ht="30" x14ac:dyDescent="0.25">
      <c r="A1587" s="12" t="s">
        <v>7242</v>
      </c>
      <c r="B1587" s="12" t="s">
        <v>7277</v>
      </c>
      <c r="C1587" s="12" t="s">
        <v>7278</v>
      </c>
      <c r="D1587" s="12" t="s">
        <v>7172</v>
      </c>
      <c r="E1587" s="12" t="s">
        <v>6070</v>
      </c>
      <c r="F1587" s="12" t="s">
        <v>6071</v>
      </c>
      <c r="G1587" s="12" t="s">
        <v>12</v>
      </c>
      <c r="H1587" s="12" t="s">
        <v>6043</v>
      </c>
      <c r="I1587" s="12"/>
      <c r="J1587" s="12" t="s">
        <v>73</v>
      </c>
      <c r="K1587" s="12"/>
      <c r="L1587" s="12"/>
      <c r="M1587" s="12" t="s">
        <v>6072</v>
      </c>
      <c r="N1587" s="12"/>
      <c r="O1587" s="12" t="s">
        <v>6073</v>
      </c>
      <c r="P1587" s="12" t="str">
        <f>HYPERLINK("https://ceds.ed.gov/cedselementdetails.aspx?termid=9647")</f>
        <v>https://ceds.ed.gov/cedselementdetails.aspx?termid=9647</v>
      </c>
      <c r="Q1587" s="12" t="str">
        <f>HYPERLINK("https://ceds.ed.gov/elementComment.aspx?elementName=Teaching Assignment Start Date &amp;elementID=9647", "Click here to submit comment")</f>
        <v>Click here to submit comment</v>
      </c>
    </row>
    <row r="1588" spans="1:17" ht="30" x14ac:dyDescent="0.25">
      <c r="A1588" s="12" t="s">
        <v>7242</v>
      </c>
      <c r="B1588" s="12" t="s">
        <v>7277</v>
      </c>
      <c r="C1588" s="12" t="s">
        <v>7278</v>
      </c>
      <c r="D1588" s="12" t="s">
        <v>7172</v>
      </c>
      <c r="E1588" s="12" t="s">
        <v>6062</v>
      </c>
      <c r="F1588" s="12" t="s">
        <v>6063</v>
      </c>
      <c r="G1588" s="12" t="s">
        <v>12</v>
      </c>
      <c r="H1588" s="12" t="s">
        <v>6043</v>
      </c>
      <c r="I1588" s="12"/>
      <c r="J1588" s="12" t="s">
        <v>73</v>
      </c>
      <c r="K1588" s="12"/>
      <c r="L1588" s="12"/>
      <c r="M1588" s="12" t="s">
        <v>6064</v>
      </c>
      <c r="N1588" s="12"/>
      <c r="O1588" s="12" t="s">
        <v>6065</v>
      </c>
      <c r="P1588" s="12" t="str">
        <f>HYPERLINK("https://ceds.ed.gov/cedselementdetails.aspx?termid=9648")</f>
        <v>https://ceds.ed.gov/cedselementdetails.aspx?termid=9648</v>
      </c>
      <c r="Q1588" s="12" t="str">
        <f>HYPERLINK("https://ceds.ed.gov/elementComment.aspx?elementName=Teaching Assignment End Date &amp;elementID=9648", "Click here to submit comment")</f>
        <v>Click here to submit comment</v>
      </c>
    </row>
    <row r="1589" spans="1:17" ht="409.5" x14ac:dyDescent="0.25">
      <c r="A1589" s="12" t="s">
        <v>7242</v>
      </c>
      <c r="B1589" s="12" t="s">
        <v>7277</v>
      </c>
      <c r="C1589" s="12" t="s">
        <v>7278</v>
      </c>
      <c r="D1589" s="12" t="s">
        <v>7172</v>
      </c>
      <c r="E1589" s="12" t="s">
        <v>3659</v>
      </c>
      <c r="F1589" s="12" t="s">
        <v>3660</v>
      </c>
      <c r="G1589" s="13" t="s">
        <v>6985</v>
      </c>
      <c r="H1589" s="12" t="s">
        <v>6578</v>
      </c>
      <c r="I1589" s="12" t="s">
        <v>98</v>
      </c>
      <c r="J1589" s="12"/>
      <c r="K1589" s="12"/>
      <c r="L1589" s="12"/>
      <c r="M1589" s="12" t="s">
        <v>3661</v>
      </c>
      <c r="N1589" s="12"/>
      <c r="O1589" s="12" t="s">
        <v>3662</v>
      </c>
      <c r="P1589" s="12" t="str">
        <f>HYPERLINK("https://ceds.ed.gov/cedselementdetails.aspx?termid=9087")</f>
        <v>https://ceds.ed.gov/cedselementdetails.aspx?termid=9087</v>
      </c>
      <c r="Q1589" s="12" t="str">
        <f>HYPERLINK("https://ceds.ed.gov/elementComment.aspx?elementName=K12 Staff Classification &amp;elementID=9087", "Click here to submit comment")</f>
        <v>Click here to submit comment</v>
      </c>
    </row>
    <row r="1590" spans="1:17" ht="45" x14ac:dyDescent="0.25">
      <c r="A1590" s="12" t="s">
        <v>7242</v>
      </c>
      <c r="B1590" s="12" t="s">
        <v>7277</v>
      </c>
      <c r="C1590" s="12" t="s">
        <v>7278</v>
      </c>
      <c r="D1590" s="12" t="s">
        <v>7172</v>
      </c>
      <c r="E1590" s="12" t="s">
        <v>4922</v>
      </c>
      <c r="F1590" s="12" t="s">
        <v>4923</v>
      </c>
      <c r="G1590" s="12" t="s">
        <v>6364</v>
      </c>
      <c r="H1590" s="12"/>
      <c r="I1590" s="12"/>
      <c r="J1590" s="12"/>
      <c r="K1590" s="12"/>
      <c r="L1590" s="12"/>
      <c r="M1590" s="12" t="s">
        <v>4924</v>
      </c>
      <c r="N1590" s="12"/>
      <c r="O1590" s="12" t="s">
        <v>4925</v>
      </c>
      <c r="P1590" s="12" t="str">
        <f>HYPERLINK("https://ceds.ed.gov/cedselementdetails.aspx?termid=9516")</f>
        <v>https://ceds.ed.gov/cedselementdetails.aspx?termid=9516</v>
      </c>
      <c r="Q1590" s="12" t="str">
        <f>HYPERLINK("https://ceds.ed.gov/elementComment.aspx?elementName=Primary Assignment Indicator &amp;elementID=9516", "Click here to submit comment")</f>
        <v>Click here to submit comment</v>
      </c>
    </row>
    <row r="1591" spans="1:17" ht="60" x14ac:dyDescent="0.25">
      <c r="A1591" s="12" t="s">
        <v>7242</v>
      </c>
      <c r="B1591" s="12" t="s">
        <v>7277</v>
      </c>
      <c r="C1591" s="12" t="s">
        <v>7278</v>
      </c>
      <c r="D1591" s="12" t="s">
        <v>7172</v>
      </c>
      <c r="E1591" s="12" t="s">
        <v>5862</v>
      </c>
      <c r="F1591" s="12" t="s">
        <v>5863</v>
      </c>
      <c r="G1591" s="12" t="s">
        <v>12</v>
      </c>
      <c r="H1591" s="12" t="s">
        <v>6673</v>
      </c>
      <c r="I1591" s="12"/>
      <c r="J1591" s="12" t="s">
        <v>5864</v>
      </c>
      <c r="K1591" s="12"/>
      <c r="L1591" s="12"/>
      <c r="M1591" s="12" t="s">
        <v>5865</v>
      </c>
      <c r="N1591" s="12" t="s">
        <v>5866</v>
      </c>
      <c r="O1591" s="12" t="s">
        <v>5867</v>
      </c>
      <c r="P1591" s="12" t="str">
        <f>HYPERLINK("https://ceds.ed.gov/cedselementdetails.aspx?termid=9118")</f>
        <v>https://ceds.ed.gov/cedselementdetails.aspx?termid=9118</v>
      </c>
      <c r="Q1591" s="12" t="str">
        <f>HYPERLINK("https://ceds.ed.gov/elementComment.aspx?elementName=Staff Full Time Equivalency &amp;elementID=9118", "Click here to submit comment")</f>
        <v>Click here to submit comment</v>
      </c>
    </row>
    <row r="1592" spans="1:17" ht="30" x14ac:dyDescent="0.25">
      <c r="A1592" s="12" t="s">
        <v>7242</v>
      </c>
      <c r="B1592" s="12" t="s">
        <v>7277</v>
      </c>
      <c r="C1592" s="12" t="s">
        <v>7278</v>
      </c>
      <c r="D1592" s="12" t="s">
        <v>7172</v>
      </c>
      <c r="E1592" s="12" t="s">
        <v>1492</v>
      </c>
      <c r="F1592" s="12" t="s">
        <v>1493</v>
      </c>
      <c r="G1592" s="12" t="s">
        <v>12</v>
      </c>
      <c r="H1592" s="12"/>
      <c r="I1592" s="12"/>
      <c r="J1592" s="12" t="s">
        <v>73</v>
      </c>
      <c r="K1592" s="12"/>
      <c r="L1592" s="12"/>
      <c r="M1592" s="12" t="s">
        <v>1494</v>
      </c>
      <c r="N1592" s="12"/>
      <c r="O1592" s="12" t="s">
        <v>1495</v>
      </c>
      <c r="P1592" s="12" t="str">
        <f>HYPERLINK("https://ceds.ed.gov/cedselementdetails.aspx?termid=9517")</f>
        <v>https://ceds.ed.gov/cedselementdetails.aspx?termid=9517</v>
      </c>
      <c r="Q1592" s="12" t="str">
        <f>HYPERLINK("https://ceds.ed.gov/elementComment.aspx?elementName=Assignment Start Date &amp;elementID=9517", "Click here to submit comment")</f>
        <v>Click here to submit comment</v>
      </c>
    </row>
    <row r="1593" spans="1:17" ht="30" x14ac:dyDescent="0.25">
      <c r="A1593" s="12" t="s">
        <v>7242</v>
      </c>
      <c r="B1593" s="12" t="s">
        <v>7277</v>
      </c>
      <c r="C1593" s="12" t="s">
        <v>7278</v>
      </c>
      <c r="D1593" s="12" t="s">
        <v>7172</v>
      </c>
      <c r="E1593" s="12" t="s">
        <v>1488</v>
      </c>
      <c r="F1593" s="12" t="s">
        <v>1489</v>
      </c>
      <c r="G1593" s="12" t="s">
        <v>12</v>
      </c>
      <c r="H1593" s="12"/>
      <c r="I1593" s="12"/>
      <c r="J1593" s="12" t="s">
        <v>73</v>
      </c>
      <c r="K1593" s="12"/>
      <c r="L1593" s="12"/>
      <c r="M1593" s="12" t="s">
        <v>1490</v>
      </c>
      <c r="N1593" s="12"/>
      <c r="O1593" s="12" t="s">
        <v>1491</v>
      </c>
      <c r="P1593" s="12" t="str">
        <f>HYPERLINK("https://ceds.ed.gov/cedselementdetails.aspx?termid=9518")</f>
        <v>https://ceds.ed.gov/cedselementdetails.aspx?termid=9518</v>
      </c>
      <c r="Q1593" s="12" t="str">
        <f>HYPERLINK("https://ceds.ed.gov/elementComment.aspx?elementName=Assignment End Date &amp;elementID=9518", "Click here to submit comment")</f>
        <v>Click here to submit comment</v>
      </c>
    </row>
    <row r="1594" spans="1:17" ht="270" x14ac:dyDescent="0.25">
      <c r="A1594" s="12" t="s">
        <v>7242</v>
      </c>
      <c r="B1594" s="12" t="s">
        <v>7277</v>
      </c>
      <c r="C1594" s="12" t="s">
        <v>7278</v>
      </c>
      <c r="D1594" s="12" t="s">
        <v>7172</v>
      </c>
      <c r="E1594" s="12" t="s">
        <v>1846</v>
      </c>
      <c r="F1594" s="12" t="s">
        <v>1847</v>
      </c>
      <c r="G1594" s="13" t="s">
        <v>6820</v>
      </c>
      <c r="H1594" s="12"/>
      <c r="I1594" s="12"/>
      <c r="J1594" s="12"/>
      <c r="K1594" s="12"/>
      <c r="L1594" s="12"/>
      <c r="M1594" s="12" t="s">
        <v>1848</v>
      </c>
      <c r="N1594" s="12"/>
      <c r="O1594" s="12" t="s">
        <v>1849</v>
      </c>
      <c r="P1594" s="12" t="str">
        <f>HYPERLINK("https://ceds.ed.gov/cedselementdetails.aspx?termid=9615")</f>
        <v>https://ceds.ed.gov/cedselementdetails.aspx?termid=9615</v>
      </c>
      <c r="Q1594" s="12" t="str">
        <f>HYPERLINK("https://ceds.ed.gov/elementComment.aspx?elementName=Classroom Position Type &amp;elementID=9615", "Click here to submit comment")</f>
        <v>Click here to submit comment</v>
      </c>
    </row>
    <row r="1595" spans="1:17" ht="45" x14ac:dyDescent="0.25">
      <c r="A1595" s="12" t="s">
        <v>7242</v>
      </c>
      <c r="B1595" s="12" t="s">
        <v>7277</v>
      </c>
      <c r="C1595" s="12" t="s">
        <v>7278</v>
      </c>
      <c r="D1595" s="12" t="s">
        <v>7172</v>
      </c>
      <c r="E1595" s="12" t="s">
        <v>3649</v>
      </c>
      <c r="F1595" s="12" t="s">
        <v>3650</v>
      </c>
      <c r="G1595" s="12" t="s">
        <v>6364</v>
      </c>
      <c r="H1595" s="12"/>
      <c r="I1595" s="12"/>
      <c r="J1595" s="12"/>
      <c r="K1595" s="12"/>
      <c r="L1595" s="12"/>
      <c r="M1595" s="12" t="s">
        <v>3652</v>
      </c>
      <c r="N1595" s="12"/>
      <c r="O1595" s="12" t="s">
        <v>3653</v>
      </c>
      <c r="P1595" s="12" t="str">
        <f>HYPERLINK("https://ceds.ed.gov/cedselementdetails.aspx?termid=9519")</f>
        <v>https://ceds.ed.gov/cedselementdetails.aspx?termid=9519</v>
      </c>
      <c r="Q1595" s="12" t="str">
        <f>HYPERLINK("https://ceds.ed.gov/elementComment.aspx?elementName=Itinerant Teacher &amp;elementID=9519", "Click here to submit comment")</f>
        <v>Click here to submit comment</v>
      </c>
    </row>
    <row r="1596" spans="1:17" ht="120" x14ac:dyDescent="0.25">
      <c r="A1596" s="12" t="s">
        <v>7242</v>
      </c>
      <c r="B1596" s="12" t="s">
        <v>7277</v>
      </c>
      <c r="C1596" s="12" t="s">
        <v>7278</v>
      </c>
      <c r="D1596" s="12" t="s">
        <v>7172</v>
      </c>
      <c r="E1596" s="12" t="s">
        <v>4454</v>
      </c>
      <c r="F1596" s="12" t="s">
        <v>4455</v>
      </c>
      <c r="G1596" s="13" t="s">
        <v>7033</v>
      </c>
      <c r="H1596" s="12" t="s">
        <v>222</v>
      </c>
      <c r="I1596" s="12"/>
      <c r="J1596" s="12"/>
      <c r="K1596" s="12"/>
      <c r="L1596" s="12" t="s">
        <v>4456</v>
      </c>
      <c r="M1596" s="12" t="s">
        <v>4457</v>
      </c>
      <c r="N1596" s="12" t="s">
        <v>4458</v>
      </c>
      <c r="O1596" s="12" t="s">
        <v>4459</v>
      </c>
      <c r="P1596" s="12" t="str">
        <f>HYPERLINK("https://ceds.ed.gov/cedselementdetails.aspx?termid=9188")</f>
        <v>https://ceds.ed.gov/cedselementdetails.aspx?termid=9188</v>
      </c>
      <c r="Q1596" s="12" t="str">
        <f>HYPERLINK("https://ceds.ed.gov/elementComment.aspx?elementName=Migrant Education Program Staff Category &amp;elementID=9188", "Click here to submit comment")</f>
        <v>Click here to submit comment</v>
      </c>
    </row>
    <row r="1597" spans="1:17" ht="255" x14ac:dyDescent="0.25">
      <c r="A1597" s="12" t="s">
        <v>7242</v>
      </c>
      <c r="B1597" s="12" t="s">
        <v>7277</v>
      </c>
      <c r="C1597" s="12" t="s">
        <v>7278</v>
      </c>
      <c r="D1597" s="12" t="s">
        <v>7172</v>
      </c>
      <c r="E1597" s="12" t="s">
        <v>5103</v>
      </c>
      <c r="F1597" s="12" t="s">
        <v>5104</v>
      </c>
      <c r="G1597" s="13" t="s">
        <v>7075</v>
      </c>
      <c r="H1597" s="12"/>
      <c r="I1597" s="12"/>
      <c r="J1597" s="12"/>
      <c r="K1597" s="12"/>
      <c r="L1597" s="12"/>
      <c r="M1597" s="12" t="s">
        <v>5105</v>
      </c>
      <c r="N1597" s="12"/>
      <c r="O1597" s="12" t="s">
        <v>5106</v>
      </c>
      <c r="P1597" s="12" t="str">
        <f>HYPERLINK("https://ceds.ed.gov/cedselementdetails.aspx?termid=9220")</f>
        <v>https://ceds.ed.gov/cedselementdetails.aspx?termid=9220</v>
      </c>
      <c r="Q1597" s="12" t="str">
        <f>HYPERLINK("https://ceds.ed.gov/elementComment.aspx?elementName=Professional Educational Job Classification &amp;elementID=9220", "Click here to submit comment")</f>
        <v>Click here to submit comment</v>
      </c>
    </row>
    <row r="1598" spans="1:17" ht="45" x14ac:dyDescent="0.25">
      <c r="A1598" s="12" t="s">
        <v>7242</v>
      </c>
      <c r="B1598" s="12" t="s">
        <v>7277</v>
      </c>
      <c r="C1598" s="12" t="s">
        <v>7278</v>
      </c>
      <c r="D1598" s="12" t="s">
        <v>7172</v>
      </c>
      <c r="E1598" s="12" t="s">
        <v>5765</v>
      </c>
      <c r="F1598" s="12" t="s">
        <v>5766</v>
      </c>
      <c r="G1598" s="13" t="s">
        <v>7115</v>
      </c>
      <c r="H1598" s="12" t="s">
        <v>222</v>
      </c>
      <c r="I1598" s="12"/>
      <c r="J1598" s="12"/>
      <c r="K1598" s="12"/>
      <c r="L1598" s="12"/>
      <c r="M1598" s="12" t="s">
        <v>5767</v>
      </c>
      <c r="N1598" s="12"/>
      <c r="O1598" s="12" t="s">
        <v>5768</v>
      </c>
      <c r="P1598" s="12" t="str">
        <f>HYPERLINK("https://ceds.ed.gov/cedselementdetails.aspx?termid=9556")</f>
        <v>https://ceds.ed.gov/cedselementdetails.aspx?termid=9556</v>
      </c>
      <c r="Q1598" s="12" t="str">
        <f>HYPERLINK("https://ceds.ed.gov/elementComment.aspx?elementName=Special Education Age Group Taught &amp;elementID=9556", "Click here to submit comment")</f>
        <v>Click here to submit comment</v>
      </c>
    </row>
    <row r="1599" spans="1:17" ht="60" x14ac:dyDescent="0.25">
      <c r="A1599" s="12" t="s">
        <v>7242</v>
      </c>
      <c r="B1599" s="12" t="s">
        <v>7277</v>
      </c>
      <c r="C1599" s="12" t="s">
        <v>7278</v>
      </c>
      <c r="D1599" s="12" t="s">
        <v>7172</v>
      </c>
      <c r="E1599" s="12" t="s">
        <v>5779</v>
      </c>
      <c r="F1599" s="12" t="s">
        <v>5780</v>
      </c>
      <c r="G1599" s="12" t="s">
        <v>6364</v>
      </c>
      <c r="H1599" s="12" t="s">
        <v>222</v>
      </c>
      <c r="I1599" s="12"/>
      <c r="J1599" s="12"/>
      <c r="K1599" s="12"/>
      <c r="L1599" s="12"/>
      <c r="M1599" s="12" t="s">
        <v>5781</v>
      </c>
      <c r="N1599" s="12"/>
      <c r="O1599" s="12" t="s">
        <v>5782</v>
      </c>
      <c r="P1599" s="12" t="str">
        <f>HYPERLINK("https://ceds.ed.gov/cedselementdetails.aspx?termid=9261")</f>
        <v>https://ceds.ed.gov/cedselementdetails.aspx?termid=9261</v>
      </c>
      <c r="Q1599" s="12" t="str">
        <f>HYPERLINK("https://ceds.ed.gov/elementComment.aspx?elementName=Special Education Paraprofessional &amp;elementID=9261", "Click here to submit comment")</f>
        <v>Click here to submit comment</v>
      </c>
    </row>
    <row r="1600" spans="1:17" ht="60" x14ac:dyDescent="0.25">
      <c r="A1600" s="12" t="s">
        <v>7242</v>
      </c>
      <c r="B1600" s="12" t="s">
        <v>7277</v>
      </c>
      <c r="C1600" s="12" t="s">
        <v>7278</v>
      </c>
      <c r="D1600" s="12" t="s">
        <v>7172</v>
      </c>
      <c r="E1600" s="12" t="s">
        <v>5783</v>
      </c>
      <c r="F1600" s="12" t="s">
        <v>5784</v>
      </c>
      <c r="G1600" s="12" t="s">
        <v>6364</v>
      </c>
      <c r="H1600" s="12" t="s">
        <v>222</v>
      </c>
      <c r="I1600" s="12"/>
      <c r="J1600" s="12"/>
      <c r="K1600" s="12"/>
      <c r="L1600" s="12"/>
      <c r="M1600" s="12" t="s">
        <v>5785</v>
      </c>
      <c r="N1600" s="12"/>
      <c r="O1600" s="12" t="s">
        <v>5786</v>
      </c>
      <c r="P1600" s="12" t="str">
        <f>HYPERLINK("https://ceds.ed.gov/cedselementdetails.aspx?termid=9262")</f>
        <v>https://ceds.ed.gov/cedselementdetails.aspx?termid=9262</v>
      </c>
      <c r="Q1600" s="12" t="str">
        <f>HYPERLINK("https://ceds.ed.gov/elementComment.aspx?elementName=Special Education Related Services Personnel &amp;elementID=9262", "Click here to submit comment")</f>
        <v>Click here to submit comment</v>
      </c>
    </row>
    <row r="1601" spans="1:17" ht="270" x14ac:dyDescent="0.25">
      <c r="A1601" s="12" t="s">
        <v>7242</v>
      </c>
      <c r="B1601" s="12" t="s">
        <v>7277</v>
      </c>
      <c r="C1601" s="12" t="s">
        <v>7278</v>
      </c>
      <c r="D1601" s="12" t="s">
        <v>7172</v>
      </c>
      <c r="E1601" s="12" t="s">
        <v>5792</v>
      </c>
      <c r="F1601" s="12" t="s">
        <v>5793</v>
      </c>
      <c r="G1601" s="13" t="s">
        <v>7117</v>
      </c>
      <c r="H1601" s="12" t="s">
        <v>222</v>
      </c>
      <c r="I1601" s="12"/>
      <c r="J1601" s="12"/>
      <c r="K1601" s="12"/>
      <c r="L1601" s="12"/>
      <c r="M1601" s="12" t="s">
        <v>5794</v>
      </c>
      <c r="N1601" s="12"/>
      <c r="O1601" s="12" t="s">
        <v>5795</v>
      </c>
      <c r="P1601" s="12" t="str">
        <f>HYPERLINK("https://ceds.ed.gov/cedselementdetails.aspx?termid=9549")</f>
        <v>https://ceds.ed.gov/cedselementdetails.aspx?termid=9549</v>
      </c>
      <c r="Q1601" s="12" t="str">
        <f>HYPERLINK("https://ceds.ed.gov/elementComment.aspx?elementName=Special Education Staff Category &amp;elementID=9549", "Click here to submit comment")</f>
        <v>Click here to submit comment</v>
      </c>
    </row>
    <row r="1602" spans="1:17" ht="60" x14ac:dyDescent="0.25">
      <c r="A1602" s="12" t="s">
        <v>7242</v>
      </c>
      <c r="B1602" s="12" t="s">
        <v>7277</v>
      </c>
      <c r="C1602" s="12" t="s">
        <v>7278</v>
      </c>
      <c r="D1602" s="12" t="s">
        <v>7172</v>
      </c>
      <c r="E1602" s="12" t="s">
        <v>5796</v>
      </c>
      <c r="F1602" s="12" t="s">
        <v>5797</v>
      </c>
      <c r="G1602" s="12" t="s">
        <v>6364</v>
      </c>
      <c r="H1602" s="12" t="s">
        <v>222</v>
      </c>
      <c r="I1602" s="12"/>
      <c r="J1602" s="12"/>
      <c r="K1602" s="12"/>
      <c r="L1602" s="12"/>
      <c r="M1602" s="12" t="s">
        <v>5798</v>
      </c>
      <c r="N1602" s="12"/>
      <c r="O1602" s="12" t="s">
        <v>5799</v>
      </c>
      <c r="P1602" s="12" t="str">
        <f>HYPERLINK("https://ceds.ed.gov/cedselementdetails.aspx?termid=9264")</f>
        <v>https://ceds.ed.gov/cedselementdetails.aspx?termid=9264</v>
      </c>
      <c r="Q1602" s="12" t="str">
        <f>HYPERLINK("https://ceds.ed.gov/elementComment.aspx?elementName=Special Education Teacher &amp;elementID=9264", "Click here to submit comment")</f>
        <v>Click here to submit comment</v>
      </c>
    </row>
    <row r="1603" spans="1:17" ht="150" x14ac:dyDescent="0.25">
      <c r="A1603" s="12" t="s">
        <v>7242</v>
      </c>
      <c r="B1603" s="12" t="s">
        <v>7277</v>
      </c>
      <c r="C1603" s="12" t="s">
        <v>7278</v>
      </c>
      <c r="D1603" s="12" t="s">
        <v>7172</v>
      </c>
      <c r="E1603" s="12" t="s">
        <v>6135</v>
      </c>
      <c r="F1603" s="12" t="s">
        <v>6136</v>
      </c>
      <c r="G1603" s="13" t="s">
        <v>7138</v>
      </c>
      <c r="H1603" s="12" t="s">
        <v>222</v>
      </c>
      <c r="I1603" s="12"/>
      <c r="J1603" s="12"/>
      <c r="K1603" s="12"/>
      <c r="L1603" s="12"/>
      <c r="M1603" s="12" t="s">
        <v>6137</v>
      </c>
      <c r="N1603" s="12"/>
      <c r="O1603" s="12" t="s">
        <v>6138</v>
      </c>
      <c r="P1603" s="12" t="str">
        <f>HYPERLINK("https://ceds.ed.gov/cedselementdetails.aspx?termid=9283")</f>
        <v>https://ceds.ed.gov/cedselementdetails.aspx?termid=9283</v>
      </c>
      <c r="Q1603" s="12" t="str">
        <f>HYPERLINK("https://ceds.ed.gov/elementComment.aspx?elementName=Title I Program Staff Category &amp;elementID=9283", "Click here to submit comment")</f>
        <v>Click here to submit comment</v>
      </c>
    </row>
    <row r="1604" spans="1:17" ht="90" x14ac:dyDescent="0.25">
      <c r="A1604" s="12" t="s">
        <v>7242</v>
      </c>
      <c r="B1604" s="12" t="s">
        <v>7277</v>
      </c>
      <c r="C1604" s="12" t="s">
        <v>7235</v>
      </c>
      <c r="D1604" s="12" t="s">
        <v>7172</v>
      </c>
      <c r="E1604" s="12" t="s">
        <v>2166</v>
      </c>
      <c r="F1604" s="12" t="s">
        <v>2167</v>
      </c>
      <c r="G1604" s="13" t="s">
        <v>6849</v>
      </c>
      <c r="H1604" s="12"/>
      <c r="I1604" s="12"/>
      <c r="J1604" s="12"/>
      <c r="K1604" s="12"/>
      <c r="L1604" s="12"/>
      <c r="M1604" s="12" t="s">
        <v>2168</v>
      </c>
      <c r="N1604" s="12"/>
      <c r="O1604" s="12" t="s">
        <v>2169</v>
      </c>
      <c r="P1604" s="12" t="str">
        <f>HYPERLINK("https://ceds.ed.gov/cedselementdetails.aspx?termid=9071")</f>
        <v>https://ceds.ed.gov/cedselementdetails.aspx?termid=9071</v>
      </c>
      <c r="Q1604" s="12" t="str">
        <f>HYPERLINK("https://ceds.ed.gov/elementComment.aspx?elementName=Credential Type &amp;elementID=9071", "Click here to submit comment")</f>
        <v>Click here to submit comment</v>
      </c>
    </row>
    <row r="1605" spans="1:17" ht="225" x14ac:dyDescent="0.25">
      <c r="A1605" s="12" t="s">
        <v>7242</v>
      </c>
      <c r="B1605" s="12" t="s">
        <v>7277</v>
      </c>
      <c r="C1605" s="12" t="s">
        <v>7235</v>
      </c>
      <c r="D1605" s="12" t="s">
        <v>7172</v>
      </c>
      <c r="E1605" s="12" t="s">
        <v>6078</v>
      </c>
      <c r="F1605" s="12" t="s">
        <v>6079</v>
      </c>
      <c r="G1605" s="13" t="s">
        <v>7132</v>
      </c>
      <c r="H1605" s="12" t="s">
        <v>354</v>
      </c>
      <c r="I1605" s="12"/>
      <c r="J1605" s="12"/>
      <c r="K1605" s="12"/>
      <c r="L1605" s="12"/>
      <c r="M1605" s="12" t="s">
        <v>6080</v>
      </c>
      <c r="N1605" s="12"/>
      <c r="O1605" s="12" t="s">
        <v>6081</v>
      </c>
      <c r="P1605" s="12" t="str">
        <f>HYPERLINK("https://ceds.ed.gov/cedselementdetails.aspx?termid=9278")</f>
        <v>https://ceds.ed.gov/cedselementdetails.aspx?termid=9278</v>
      </c>
      <c r="Q1605" s="12" t="str">
        <f>HYPERLINK("https://ceds.ed.gov/elementComment.aspx?elementName=Teaching Credential Type &amp;elementID=9278", "Click here to submit comment")</f>
        <v>Click here to submit comment</v>
      </c>
    </row>
    <row r="1606" spans="1:17" ht="240" x14ac:dyDescent="0.25">
      <c r="A1606" s="12" t="s">
        <v>7242</v>
      </c>
      <c r="B1606" s="12" t="s">
        <v>7277</v>
      </c>
      <c r="C1606" s="12" t="s">
        <v>7235</v>
      </c>
      <c r="D1606" s="12" t="s">
        <v>7172</v>
      </c>
      <c r="E1606" s="12" t="s">
        <v>6074</v>
      </c>
      <c r="F1606" s="12" t="s">
        <v>6075</v>
      </c>
      <c r="G1606" s="13" t="s">
        <v>7131</v>
      </c>
      <c r="H1606" s="12" t="s">
        <v>354</v>
      </c>
      <c r="I1606" s="12"/>
      <c r="J1606" s="12"/>
      <c r="K1606" s="12"/>
      <c r="L1606" s="12"/>
      <c r="M1606" s="12" t="s">
        <v>6076</v>
      </c>
      <c r="N1606" s="12"/>
      <c r="O1606" s="12" t="s">
        <v>6077</v>
      </c>
      <c r="P1606" s="12" t="str">
        <f>HYPERLINK("https://ceds.ed.gov/cedselementdetails.aspx?termid=9277")</f>
        <v>https://ceds.ed.gov/cedselementdetails.aspx?termid=9277</v>
      </c>
      <c r="Q1606" s="12" t="str">
        <f>HYPERLINK("https://ceds.ed.gov/elementComment.aspx?elementName=Teaching Credential Basis &amp;elementID=9277", "Click here to submit comment")</f>
        <v>Click here to submit comment</v>
      </c>
    </row>
    <row r="1607" spans="1:17" ht="45" x14ac:dyDescent="0.25">
      <c r="A1607" s="12" t="s">
        <v>7242</v>
      </c>
      <c r="B1607" s="12" t="s">
        <v>7277</v>
      </c>
      <c r="C1607" s="12" t="s">
        <v>7235</v>
      </c>
      <c r="D1607" s="12" t="s">
        <v>7172</v>
      </c>
      <c r="E1607" s="12" t="s">
        <v>2158</v>
      </c>
      <c r="F1607" s="12" t="s">
        <v>2159</v>
      </c>
      <c r="G1607" s="12" t="s">
        <v>12</v>
      </c>
      <c r="H1607" s="12" t="s">
        <v>205</v>
      </c>
      <c r="I1607" s="12"/>
      <c r="J1607" s="12" t="s">
        <v>73</v>
      </c>
      <c r="K1607" s="12"/>
      <c r="L1607" s="12"/>
      <c r="M1607" s="12" t="s">
        <v>2160</v>
      </c>
      <c r="N1607" s="12"/>
      <c r="O1607" s="12" t="s">
        <v>2161</v>
      </c>
      <c r="P1607" s="12" t="str">
        <f>HYPERLINK("https://ceds.ed.gov/cedselementdetails.aspx?termid=9070")</f>
        <v>https://ceds.ed.gov/cedselementdetails.aspx?termid=9070</v>
      </c>
      <c r="Q1607" s="12" t="str">
        <f>HYPERLINK("https://ceds.ed.gov/elementComment.aspx?elementName=Credential Issuance Date &amp;elementID=9070", "Click here to submit comment")</f>
        <v>Click here to submit comment</v>
      </c>
    </row>
    <row r="1608" spans="1:17" ht="45" x14ac:dyDescent="0.25">
      <c r="A1608" s="12" t="s">
        <v>7242</v>
      </c>
      <c r="B1608" s="12" t="s">
        <v>7277</v>
      </c>
      <c r="C1608" s="12" t="s">
        <v>7235</v>
      </c>
      <c r="D1608" s="12" t="s">
        <v>7172</v>
      </c>
      <c r="E1608" s="12" t="s">
        <v>2154</v>
      </c>
      <c r="F1608" s="12" t="s">
        <v>2155</v>
      </c>
      <c r="G1608" s="12" t="s">
        <v>12</v>
      </c>
      <c r="H1608" s="12" t="s">
        <v>205</v>
      </c>
      <c r="I1608" s="12"/>
      <c r="J1608" s="12" t="s">
        <v>73</v>
      </c>
      <c r="K1608" s="12"/>
      <c r="L1608" s="12"/>
      <c r="M1608" s="12" t="s">
        <v>2156</v>
      </c>
      <c r="N1608" s="12"/>
      <c r="O1608" s="12" t="s">
        <v>2157</v>
      </c>
      <c r="P1608" s="12" t="str">
        <f>HYPERLINK("https://ceds.ed.gov/cedselementdetails.aspx?termid=9069")</f>
        <v>https://ceds.ed.gov/cedselementdetails.aspx?termid=9069</v>
      </c>
      <c r="Q1608" s="12" t="str">
        <f>HYPERLINK("https://ceds.ed.gov/elementComment.aspx?elementName=Credential Expiration Date &amp;elementID=9069", "Click here to submit comment")</f>
        <v>Click here to submit comment</v>
      </c>
    </row>
    <row r="1609" spans="1:17" ht="45" x14ac:dyDescent="0.25">
      <c r="A1609" s="12" t="s">
        <v>7242</v>
      </c>
      <c r="B1609" s="12" t="s">
        <v>7277</v>
      </c>
      <c r="C1609" s="12" t="s">
        <v>7235</v>
      </c>
      <c r="D1609" s="12" t="s">
        <v>7172</v>
      </c>
      <c r="E1609" s="12" t="s">
        <v>6360</v>
      </c>
      <c r="F1609" s="12" t="s">
        <v>6361</v>
      </c>
      <c r="G1609" s="12" t="s">
        <v>12</v>
      </c>
      <c r="H1609" s="12" t="s">
        <v>1907</v>
      </c>
      <c r="I1609" s="12"/>
      <c r="J1609" s="12" t="s">
        <v>1554</v>
      </c>
      <c r="K1609" s="12"/>
      <c r="L1609" s="12"/>
      <c r="M1609" s="12" t="s">
        <v>6362</v>
      </c>
      <c r="N1609" s="12"/>
      <c r="O1609" s="12" t="s">
        <v>6363</v>
      </c>
      <c r="P1609" s="12" t="str">
        <f>HYPERLINK("https://ceds.ed.gov/cedselementdetails.aspx?termid=9302")</f>
        <v>https://ceds.ed.gov/cedselementdetails.aspx?termid=9302</v>
      </c>
      <c r="Q1609" s="12" t="str">
        <f>HYPERLINK("https://ceds.ed.gov/elementComment.aspx?elementName=Years of Prior Teaching Experience &amp;elementID=9302", "Click here to submit comment")</f>
        <v>Click here to submit comment</v>
      </c>
    </row>
    <row r="1610" spans="1:17" ht="409.5" x14ac:dyDescent="0.25">
      <c r="A1610" s="12" t="s">
        <v>7242</v>
      </c>
      <c r="B1610" s="12" t="s">
        <v>7277</v>
      </c>
      <c r="C1610" s="12" t="s">
        <v>7235</v>
      </c>
      <c r="D1610" s="12" t="s">
        <v>7172</v>
      </c>
      <c r="E1610" s="12" t="s">
        <v>3213</v>
      </c>
      <c r="F1610" s="12" t="s">
        <v>3214</v>
      </c>
      <c r="G1610" s="13" t="s">
        <v>6786</v>
      </c>
      <c r="H1610" s="12" t="s">
        <v>6561</v>
      </c>
      <c r="I1610" s="12"/>
      <c r="J1610" s="12"/>
      <c r="K1610" s="12"/>
      <c r="L1610" s="12"/>
      <c r="M1610" s="12" t="s">
        <v>3215</v>
      </c>
      <c r="N1610" s="12"/>
      <c r="O1610" s="12" t="s">
        <v>3216</v>
      </c>
      <c r="P1610" s="12" t="str">
        <f>HYPERLINK("https://ceds.ed.gov/cedselementdetails.aspx?termid=9141")</f>
        <v>https://ceds.ed.gov/cedselementdetails.aspx?termid=9141</v>
      </c>
      <c r="Q1610" s="12" t="str">
        <f>HYPERLINK("https://ceds.ed.gov/elementComment.aspx?elementName=Highest Level of Education Completed &amp;elementID=9141", "Click here to submit comment")</f>
        <v>Click here to submit comment</v>
      </c>
    </row>
    <row r="1611" spans="1:17" ht="60" x14ac:dyDescent="0.25">
      <c r="A1611" s="12" t="s">
        <v>7242</v>
      </c>
      <c r="B1611" s="12" t="s">
        <v>7277</v>
      </c>
      <c r="C1611" s="12" t="s">
        <v>7235</v>
      </c>
      <c r="D1611" s="12" t="s">
        <v>7172</v>
      </c>
      <c r="E1611" s="12" t="s">
        <v>3217</v>
      </c>
      <c r="F1611" s="12" t="s">
        <v>3218</v>
      </c>
      <c r="G1611" s="13" t="s">
        <v>6949</v>
      </c>
      <c r="H1611" s="12" t="s">
        <v>222</v>
      </c>
      <c r="I1611" s="12"/>
      <c r="J1611" s="12"/>
      <c r="K1611" s="12"/>
      <c r="L1611" s="12"/>
      <c r="M1611" s="12" t="s">
        <v>3220</v>
      </c>
      <c r="N1611" s="12"/>
      <c r="O1611" s="12" t="s">
        <v>3221</v>
      </c>
      <c r="P1611" s="12" t="str">
        <f>HYPERLINK("https://ceds.ed.gov/cedselementdetails.aspx?termid=9142")</f>
        <v>https://ceds.ed.gov/cedselementdetails.aspx?termid=9142</v>
      </c>
      <c r="Q1611" s="12" t="str">
        <f>HYPERLINK("https://ceds.ed.gov/elementComment.aspx?elementName=Highly Qualified Teacher Indicator &amp;elementID=9142", "Click here to submit comment")</f>
        <v>Click here to submit comment</v>
      </c>
    </row>
    <row r="1612" spans="1:17" ht="60" x14ac:dyDescent="0.25">
      <c r="A1612" s="12" t="s">
        <v>7242</v>
      </c>
      <c r="B1612" s="12" t="s">
        <v>7277</v>
      </c>
      <c r="C1612" s="12" t="s">
        <v>7235</v>
      </c>
      <c r="D1612" s="12" t="s">
        <v>7172</v>
      </c>
      <c r="E1612" s="12" t="s">
        <v>4741</v>
      </c>
      <c r="F1612" s="12" t="s">
        <v>4742</v>
      </c>
      <c r="G1612" s="13" t="s">
        <v>7047</v>
      </c>
      <c r="H1612" s="12" t="s">
        <v>222</v>
      </c>
      <c r="I1612" s="12"/>
      <c r="J1612" s="12"/>
      <c r="K1612" s="12"/>
      <c r="L1612" s="12"/>
      <c r="M1612" s="12" t="s">
        <v>4743</v>
      </c>
      <c r="N1612" s="12"/>
      <c r="O1612" s="12" t="s">
        <v>4744</v>
      </c>
      <c r="P1612" s="12" t="str">
        <f>HYPERLINK("https://ceds.ed.gov/cedselementdetails.aspx?termid=9207")</f>
        <v>https://ceds.ed.gov/cedselementdetails.aspx?termid=9207</v>
      </c>
      <c r="Q1612" s="12" t="str">
        <f>HYPERLINK("https://ceds.ed.gov/elementComment.aspx?elementName=Paraprofessional Qualification Status &amp;elementID=9207", "Click here to submit comment")</f>
        <v>Click here to submit comment</v>
      </c>
    </row>
    <row r="1613" spans="1:17" ht="270" x14ac:dyDescent="0.25">
      <c r="A1613" s="12" t="s">
        <v>7242</v>
      </c>
      <c r="B1613" s="12" t="s">
        <v>7277</v>
      </c>
      <c r="C1613" s="12" t="s">
        <v>7235</v>
      </c>
      <c r="D1613" s="12" t="s">
        <v>7172</v>
      </c>
      <c r="E1613" s="12" t="s">
        <v>5189</v>
      </c>
      <c r="F1613" s="12" t="s">
        <v>5190</v>
      </c>
      <c r="G1613" s="13" t="s">
        <v>7081</v>
      </c>
      <c r="H1613" s="12"/>
      <c r="I1613" s="12"/>
      <c r="J1613" s="12"/>
      <c r="K1613" s="12"/>
      <c r="L1613" s="12"/>
      <c r="M1613" s="12" t="s">
        <v>5191</v>
      </c>
      <c r="N1613" s="12"/>
      <c r="O1613" s="12" t="s">
        <v>5192</v>
      </c>
      <c r="P1613" s="12" t="str">
        <f>HYPERLINK("https://ceds.ed.gov/cedselementdetails.aspx?termid=9692")</f>
        <v>https://ceds.ed.gov/cedselementdetails.aspx?termid=9692</v>
      </c>
      <c r="Q1613" s="12" t="str">
        <f>HYPERLINK("https://ceds.ed.gov/elementComment.aspx?elementName=Program Sponsor Type &amp;elementID=9692", "Click here to submit comment")</f>
        <v>Click here to submit comment</v>
      </c>
    </row>
    <row r="1614" spans="1:17" ht="75" x14ac:dyDescent="0.25">
      <c r="A1614" s="12" t="s">
        <v>7242</v>
      </c>
      <c r="B1614" s="12" t="s">
        <v>7277</v>
      </c>
      <c r="C1614" s="12" t="s">
        <v>7235</v>
      </c>
      <c r="D1614" s="12" t="s">
        <v>7172</v>
      </c>
      <c r="E1614" s="12" t="s">
        <v>1655</v>
      </c>
      <c r="F1614" s="12" t="s">
        <v>1656</v>
      </c>
      <c r="G1614" s="12" t="s">
        <v>6364</v>
      </c>
      <c r="H1614" s="12"/>
      <c r="I1614" s="12"/>
      <c r="J1614" s="12"/>
      <c r="K1614" s="12"/>
      <c r="L1614" s="12"/>
      <c r="M1614" s="12" t="s">
        <v>1657</v>
      </c>
      <c r="N1614" s="12" t="s">
        <v>1658</v>
      </c>
      <c r="O1614" s="12" t="s">
        <v>1659</v>
      </c>
      <c r="P1614" s="12" t="str">
        <f>HYPERLINK("https://ceds.ed.gov/cedselementdetails.aspx?termid=10284")</f>
        <v>https://ceds.ed.gov/cedselementdetails.aspx?termid=10284</v>
      </c>
      <c r="Q1614" s="12" t="str">
        <f>HYPERLINK("https://ceds.ed.gov/elementComment.aspx?elementName=Career and Technical Education Instructor Industry Certification &amp;elementID=10284", "Click here to submit comment")</f>
        <v>Click here to submit comment</v>
      </c>
    </row>
    <row r="1615" spans="1:17" ht="30" x14ac:dyDescent="0.25">
      <c r="A1615" s="12" t="s">
        <v>7242</v>
      </c>
      <c r="B1615" s="12" t="s">
        <v>7277</v>
      </c>
      <c r="C1615" s="12" t="s">
        <v>7235</v>
      </c>
      <c r="D1615" s="12" t="s">
        <v>7176</v>
      </c>
      <c r="E1615" s="12" t="s">
        <v>2162</v>
      </c>
      <c r="F1615" s="12" t="s">
        <v>2163</v>
      </c>
      <c r="G1615" s="12" t="s">
        <v>12</v>
      </c>
      <c r="H1615" s="12"/>
      <c r="I1615" s="12"/>
      <c r="J1615" s="12" t="s">
        <v>99</v>
      </c>
      <c r="K1615" s="12"/>
      <c r="L1615" s="12"/>
      <c r="M1615" s="12" t="s">
        <v>2164</v>
      </c>
      <c r="N1615" s="12"/>
      <c r="O1615" s="12" t="s">
        <v>2165</v>
      </c>
      <c r="P1615" s="12" t="str">
        <f>HYPERLINK("https://ceds.ed.gov/cedselementdetails.aspx?termid=10566")</f>
        <v>https://ceds.ed.gov/cedselementdetails.aspx?termid=10566</v>
      </c>
      <c r="Q1615" s="12" t="str">
        <f>HYPERLINK("https://ceds.ed.gov/elementComment.aspx?elementName=Credential or License Award Entity &amp;elementID=10566", "Click here to submit comment")</f>
        <v>Click here to submit comment</v>
      </c>
    </row>
    <row r="1616" spans="1:17" ht="30" x14ac:dyDescent="0.25">
      <c r="A1616" s="12" t="s">
        <v>7242</v>
      </c>
      <c r="B1616" s="12" t="s">
        <v>7277</v>
      </c>
      <c r="C1616" s="12" t="s">
        <v>7235</v>
      </c>
      <c r="D1616" s="12" t="s">
        <v>7176</v>
      </c>
      <c r="E1616" s="12" t="s">
        <v>4522</v>
      </c>
      <c r="F1616" s="12" t="s">
        <v>4523</v>
      </c>
      <c r="G1616" s="12" t="s">
        <v>12</v>
      </c>
      <c r="H1616" s="12" t="s">
        <v>205</v>
      </c>
      <c r="I1616" s="12"/>
      <c r="J1616" s="12" t="s">
        <v>99</v>
      </c>
      <c r="K1616" s="12"/>
      <c r="L1616" s="12"/>
      <c r="M1616" s="12" t="s">
        <v>4524</v>
      </c>
      <c r="N1616" s="12"/>
      <c r="O1616" s="12" t="s">
        <v>4525</v>
      </c>
      <c r="P1616" s="12" t="str">
        <f>HYPERLINK("https://ceds.ed.gov/cedselementdetails.aspx?termid=10064")</f>
        <v>https://ceds.ed.gov/cedselementdetails.aspx?termid=10064</v>
      </c>
      <c r="Q1616" s="12" t="str">
        <f>HYPERLINK("https://ceds.ed.gov/elementComment.aspx?elementName=Name of Professional Credential or License &amp;elementID=10064", "Click here to submit comment")</f>
        <v>Click here to submit comment</v>
      </c>
    </row>
    <row r="1617" spans="1:17" ht="409.5" x14ac:dyDescent="0.25">
      <c r="A1617" s="12" t="s">
        <v>7242</v>
      </c>
      <c r="B1617" s="12" t="s">
        <v>7277</v>
      </c>
      <c r="C1617" s="12" t="s">
        <v>7235</v>
      </c>
      <c r="D1617" s="12" t="s">
        <v>7176</v>
      </c>
      <c r="E1617" s="12" t="s">
        <v>5930</v>
      </c>
      <c r="F1617" s="12" t="s">
        <v>5931</v>
      </c>
      <c r="G1617" s="13" t="s">
        <v>7089</v>
      </c>
      <c r="H1617" s="12" t="s">
        <v>205</v>
      </c>
      <c r="I1617" s="12"/>
      <c r="J1617" s="12"/>
      <c r="K1617" s="12"/>
      <c r="L1617" s="12"/>
      <c r="M1617" s="12" t="s">
        <v>5932</v>
      </c>
      <c r="N1617" s="12"/>
      <c r="O1617" s="12" t="s">
        <v>5933</v>
      </c>
      <c r="P1617" s="12" t="str">
        <f>HYPERLINK("https://ceds.ed.gov/cedselementdetails.aspx?termid=9804")</f>
        <v>https://ceds.ed.gov/cedselementdetails.aspx?termid=9804</v>
      </c>
      <c r="Q1617" s="12" t="str">
        <f>HYPERLINK("https://ceds.ed.gov/elementComment.aspx?elementName=State Issuing Professional Credential or License &amp;elementID=9804", "Click here to submit comment")</f>
        <v>Click here to submit comment</v>
      </c>
    </row>
    <row r="1618" spans="1:17" ht="90" x14ac:dyDescent="0.25">
      <c r="A1618" s="12" t="s">
        <v>7242</v>
      </c>
      <c r="B1618" s="12" t="s">
        <v>7277</v>
      </c>
      <c r="C1618" s="12" t="s">
        <v>7234</v>
      </c>
      <c r="D1618" s="12" t="s">
        <v>7172</v>
      </c>
      <c r="E1618" s="12" t="s">
        <v>4844</v>
      </c>
      <c r="F1618" s="12" t="s">
        <v>4845</v>
      </c>
      <c r="G1618" s="12" t="s">
        <v>12</v>
      </c>
      <c r="H1618" s="12" t="s">
        <v>6369</v>
      </c>
      <c r="I1618" s="12"/>
      <c r="J1618" s="12" t="s">
        <v>1386</v>
      </c>
      <c r="K1618" s="12"/>
      <c r="L1618" s="12"/>
      <c r="M1618" s="12" t="s">
        <v>4846</v>
      </c>
      <c r="N1618" s="12"/>
      <c r="O1618" s="12" t="s">
        <v>4847</v>
      </c>
      <c r="P1618" s="12" t="str">
        <f>HYPERLINK("https://ceds.ed.gov/cedselementdetails.aspx?termid=9213")</f>
        <v>https://ceds.ed.gov/cedselementdetails.aspx?termid=9213</v>
      </c>
      <c r="Q1618" s="12" t="str">
        <f>HYPERLINK("https://ceds.ed.gov/elementComment.aspx?elementName=Position Title &amp;elementID=9213", "Click here to submit comment")</f>
        <v>Click here to submit comment</v>
      </c>
    </row>
    <row r="1619" spans="1:17" ht="210" x14ac:dyDescent="0.25">
      <c r="A1619" s="12" t="s">
        <v>7242</v>
      </c>
      <c r="B1619" s="12" t="s">
        <v>7277</v>
      </c>
      <c r="C1619" s="12" t="s">
        <v>7234</v>
      </c>
      <c r="D1619" s="12" t="s">
        <v>7172</v>
      </c>
      <c r="E1619" s="12" t="s">
        <v>3222</v>
      </c>
      <c r="F1619" s="12" t="s">
        <v>3223</v>
      </c>
      <c r="G1619" s="12" t="s">
        <v>12</v>
      </c>
      <c r="H1619" s="12" t="s">
        <v>6563</v>
      </c>
      <c r="I1619" s="12"/>
      <c r="J1619" s="12" t="s">
        <v>73</v>
      </c>
      <c r="K1619" s="12"/>
      <c r="L1619" s="12" t="s">
        <v>3224</v>
      </c>
      <c r="M1619" s="12" t="s">
        <v>3225</v>
      </c>
      <c r="N1619" s="12"/>
      <c r="O1619" s="12" t="s">
        <v>3226</v>
      </c>
      <c r="P1619" s="12" t="str">
        <f>HYPERLINK("https://ceds.ed.gov/cedselementdetails.aspx?termid=9143")</f>
        <v>https://ceds.ed.gov/cedselementdetails.aspx?termid=9143</v>
      </c>
      <c r="Q1619" s="12" t="str">
        <f>HYPERLINK("https://ceds.ed.gov/elementComment.aspx?elementName=Hire Date &amp;elementID=9143", "Click here to submit comment")</f>
        <v>Click here to submit comment</v>
      </c>
    </row>
    <row r="1620" spans="1:17" ht="60" x14ac:dyDescent="0.25">
      <c r="A1620" s="12" t="s">
        <v>7242</v>
      </c>
      <c r="B1620" s="12" t="s">
        <v>7277</v>
      </c>
      <c r="C1620" s="12" t="s">
        <v>7234</v>
      </c>
      <c r="D1620" s="12" t="s">
        <v>7172</v>
      </c>
      <c r="E1620" s="12" t="s">
        <v>1902</v>
      </c>
      <c r="F1620" s="12" t="s">
        <v>1903</v>
      </c>
      <c r="G1620" s="12" t="s">
        <v>12</v>
      </c>
      <c r="H1620" s="12" t="s">
        <v>1907</v>
      </c>
      <c r="I1620" s="12"/>
      <c r="J1620" s="12" t="s">
        <v>1554</v>
      </c>
      <c r="K1620" s="12"/>
      <c r="L1620" s="12"/>
      <c r="M1620" s="12" t="s">
        <v>1905</v>
      </c>
      <c r="N1620" s="12"/>
      <c r="O1620" s="12" t="s">
        <v>1906</v>
      </c>
      <c r="P1620" s="12" t="str">
        <f>HYPERLINK("https://ceds.ed.gov/cedselementdetails.aspx?termid=9047")</f>
        <v>https://ceds.ed.gov/cedselementdetails.aspx?termid=9047</v>
      </c>
      <c r="Q1620" s="12" t="str">
        <f>HYPERLINK("https://ceds.ed.gov/elementComment.aspx?elementName=Contract Days of Service per Year &amp;elementID=9047", "Click here to submit comment")</f>
        <v>Click here to submit comment</v>
      </c>
    </row>
    <row r="1621" spans="1:17" ht="210" x14ac:dyDescent="0.25">
      <c r="A1621" s="12" t="s">
        <v>7242</v>
      </c>
      <c r="B1621" s="12" t="s">
        <v>7277</v>
      </c>
      <c r="C1621" s="12" t="s">
        <v>7234</v>
      </c>
      <c r="D1621" s="12" t="s">
        <v>7172</v>
      </c>
      <c r="E1621" s="12" t="s">
        <v>2731</v>
      </c>
      <c r="F1621" s="12" t="s">
        <v>293</v>
      </c>
      <c r="G1621" s="13" t="s">
        <v>6904</v>
      </c>
      <c r="H1621" s="12" t="s">
        <v>6495</v>
      </c>
      <c r="I1621" s="12"/>
      <c r="J1621" s="12"/>
      <c r="K1621" s="12"/>
      <c r="L1621" s="12"/>
      <c r="M1621" s="12" t="s">
        <v>2732</v>
      </c>
      <c r="N1621" s="12"/>
      <c r="O1621" s="12" t="s">
        <v>2733</v>
      </c>
      <c r="P1621" s="12" t="str">
        <f>HYPERLINK("https://ceds.ed.gov/cedselementdetails.aspx?termid=9346")</f>
        <v>https://ceds.ed.gov/cedselementdetails.aspx?termid=9346</v>
      </c>
      <c r="Q1621" s="12" t="str">
        <f>HYPERLINK("https://ceds.ed.gov/elementComment.aspx?elementName=Employment Status &amp;elementID=9346", "Click here to submit comment")</f>
        <v>Click here to submit comment</v>
      </c>
    </row>
    <row r="1622" spans="1:17" ht="405" x14ac:dyDescent="0.25">
      <c r="A1622" s="12" t="s">
        <v>7242</v>
      </c>
      <c r="B1622" s="12" t="s">
        <v>7277</v>
      </c>
      <c r="C1622" s="12" t="s">
        <v>7234</v>
      </c>
      <c r="D1622" s="12" t="s">
        <v>7172</v>
      </c>
      <c r="E1622" s="12" t="s">
        <v>2720</v>
      </c>
      <c r="F1622" s="12" t="s">
        <v>2500</v>
      </c>
      <c r="G1622" s="13" t="s">
        <v>6881</v>
      </c>
      <c r="H1622" s="12"/>
      <c r="I1622" s="12"/>
      <c r="J1622" s="12"/>
      <c r="K1622" s="12"/>
      <c r="L1622" s="12"/>
      <c r="M1622" s="12" t="s">
        <v>2721</v>
      </c>
      <c r="N1622" s="12"/>
      <c r="O1622" s="12" t="s">
        <v>2722</v>
      </c>
      <c r="P1622" s="12" t="str">
        <f>HYPERLINK("https://ceds.ed.gov/cedselementdetails.aspx?termid=9613")</f>
        <v>https://ceds.ed.gov/cedselementdetails.aspx?termid=9613</v>
      </c>
      <c r="Q1622" s="12" t="str">
        <f>HYPERLINK("https://ceds.ed.gov/elementComment.aspx?elementName=Employment Separation Reason &amp;elementID=9613", "Click here to submit comment")</f>
        <v>Click here to submit comment</v>
      </c>
    </row>
    <row r="1623" spans="1:17" ht="75" x14ac:dyDescent="0.25">
      <c r="A1623" s="12" t="s">
        <v>7242</v>
      </c>
      <c r="B1623" s="12" t="s">
        <v>7277</v>
      </c>
      <c r="C1623" s="12" t="s">
        <v>7234</v>
      </c>
      <c r="D1623" s="12" t="s">
        <v>7172</v>
      </c>
      <c r="E1623" s="12" t="s">
        <v>2723</v>
      </c>
      <c r="F1623" s="12" t="s">
        <v>2724</v>
      </c>
      <c r="G1623" s="13" t="s">
        <v>6903</v>
      </c>
      <c r="H1623" s="12"/>
      <c r="I1623" s="12"/>
      <c r="J1623" s="12"/>
      <c r="K1623" s="12"/>
      <c r="L1623" s="12"/>
      <c r="M1623" s="12" t="s">
        <v>2725</v>
      </c>
      <c r="N1623" s="12"/>
      <c r="O1623" s="12" t="s">
        <v>2726</v>
      </c>
      <c r="P1623" s="12" t="str">
        <f>HYPERLINK("https://ceds.ed.gov/cedselementdetails.aspx?termid=9614")</f>
        <v>https://ceds.ed.gov/cedselementdetails.aspx?termid=9614</v>
      </c>
      <c r="Q1623" s="12" t="str">
        <f>HYPERLINK("https://ceds.ed.gov/elementComment.aspx?elementName=Employment Separation Type &amp;elementID=9614", "Click here to submit comment")</f>
        <v>Click here to submit comment</v>
      </c>
    </row>
    <row r="1624" spans="1:17" ht="225" x14ac:dyDescent="0.25">
      <c r="A1624" s="12" t="s">
        <v>7242</v>
      </c>
      <c r="B1624" s="12" t="s">
        <v>7277</v>
      </c>
      <c r="C1624" s="12" t="s">
        <v>7234</v>
      </c>
      <c r="D1624" s="12" t="s">
        <v>7172</v>
      </c>
      <c r="E1624" s="12" t="s">
        <v>5813</v>
      </c>
      <c r="F1624" s="12" t="s">
        <v>5814</v>
      </c>
      <c r="G1624" s="12" t="s">
        <v>12</v>
      </c>
      <c r="H1624" s="12" t="s">
        <v>1907</v>
      </c>
      <c r="I1624" s="12"/>
      <c r="J1624" s="12" t="s">
        <v>1554</v>
      </c>
      <c r="K1624" s="12"/>
      <c r="L1624" s="12" t="s">
        <v>5815</v>
      </c>
      <c r="M1624" s="12" t="s">
        <v>5816</v>
      </c>
      <c r="N1624" s="12"/>
      <c r="O1624" s="12" t="s">
        <v>5817</v>
      </c>
      <c r="P1624" s="12" t="str">
        <f>HYPERLINK("https://ceds.ed.gov/cedselementdetails.aspx?termid=9032")</f>
        <v>https://ceds.ed.gov/cedselementdetails.aspx?termid=9032</v>
      </c>
      <c r="Q1624" s="12" t="str">
        <f>HYPERLINK("https://ceds.ed.gov/elementComment.aspx?elementName=Staff Compensation Base Salary &amp;elementID=9032", "Click here to submit comment")</f>
        <v>Click here to submit comment</v>
      </c>
    </row>
    <row r="1625" spans="1:17" ht="135" x14ac:dyDescent="0.25">
      <c r="A1625" s="12" t="s">
        <v>7242</v>
      </c>
      <c r="B1625" s="12" t="s">
        <v>7277</v>
      </c>
      <c r="C1625" s="12" t="s">
        <v>7234</v>
      </c>
      <c r="D1625" s="12" t="s">
        <v>7172</v>
      </c>
      <c r="E1625" s="12" t="s">
        <v>5818</v>
      </c>
      <c r="F1625" s="12" t="s">
        <v>5819</v>
      </c>
      <c r="G1625" s="12" t="s">
        <v>12</v>
      </c>
      <c r="H1625" s="12" t="s">
        <v>1907</v>
      </c>
      <c r="I1625" s="12"/>
      <c r="J1625" s="12" t="s">
        <v>1554</v>
      </c>
      <c r="K1625" s="12"/>
      <c r="L1625" s="12"/>
      <c r="M1625" s="12" t="s">
        <v>5820</v>
      </c>
      <c r="N1625" s="12"/>
      <c r="O1625" s="12" t="s">
        <v>5821</v>
      </c>
      <c r="P1625" s="12" t="str">
        <f>HYPERLINK("https://ceds.ed.gov/cedselementdetails.aspx?termid=9136")</f>
        <v>https://ceds.ed.gov/cedselementdetails.aspx?termid=9136</v>
      </c>
      <c r="Q1625" s="12" t="str">
        <f>HYPERLINK("https://ceds.ed.gov/elementComment.aspx?elementName=Staff Compensation Health Benefits &amp;elementID=9136", "Click here to submit comment")</f>
        <v>Click here to submit comment</v>
      </c>
    </row>
    <row r="1626" spans="1:17" ht="135" x14ac:dyDescent="0.25">
      <c r="A1626" s="12" t="s">
        <v>7242</v>
      </c>
      <c r="B1626" s="12" t="s">
        <v>7277</v>
      </c>
      <c r="C1626" s="12" t="s">
        <v>7234</v>
      </c>
      <c r="D1626" s="12" t="s">
        <v>7172</v>
      </c>
      <c r="E1626" s="12" t="s">
        <v>5826</v>
      </c>
      <c r="F1626" s="12" t="s">
        <v>5827</v>
      </c>
      <c r="G1626" s="12" t="s">
        <v>12</v>
      </c>
      <c r="H1626" s="12" t="s">
        <v>1907</v>
      </c>
      <c r="I1626" s="12"/>
      <c r="J1626" s="12" t="s">
        <v>1554</v>
      </c>
      <c r="K1626" s="12"/>
      <c r="L1626" s="12"/>
      <c r="M1626" s="12" t="s">
        <v>5828</v>
      </c>
      <c r="N1626" s="12"/>
      <c r="O1626" s="12" t="s">
        <v>5829</v>
      </c>
      <c r="P1626" s="12" t="str">
        <f>HYPERLINK("https://ceds.ed.gov/cedselementdetails.aspx?termid=9233")</f>
        <v>https://ceds.ed.gov/cedselementdetails.aspx?termid=9233</v>
      </c>
      <c r="Q1626" s="12" t="str">
        <f>HYPERLINK("https://ceds.ed.gov/elementComment.aspx?elementName=Staff Compensation Retirement Benefits &amp;elementID=9233", "Click here to submit comment")</f>
        <v>Click here to submit comment</v>
      </c>
    </row>
    <row r="1627" spans="1:17" ht="150" x14ac:dyDescent="0.25">
      <c r="A1627" s="12" t="s">
        <v>7242</v>
      </c>
      <c r="B1627" s="12" t="s">
        <v>7277</v>
      </c>
      <c r="C1627" s="12" t="s">
        <v>7234</v>
      </c>
      <c r="D1627" s="12" t="s">
        <v>7172</v>
      </c>
      <c r="E1627" s="12" t="s">
        <v>5822</v>
      </c>
      <c r="F1627" s="12" t="s">
        <v>5823</v>
      </c>
      <c r="G1627" s="12" t="s">
        <v>12</v>
      </c>
      <c r="H1627" s="12" t="s">
        <v>1907</v>
      </c>
      <c r="I1627" s="12"/>
      <c r="J1627" s="12" t="s">
        <v>1554</v>
      </c>
      <c r="K1627" s="12"/>
      <c r="L1627" s="12"/>
      <c r="M1627" s="12" t="s">
        <v>5824</v>
      </c>
      <c r="N1627" s="12"/>
      <c r="O1627" s="12" t="s">
        <v>5825</v>
      </c>
      <c r="P1627" s="12" t="str">
        <f>HYPERLINK("https://ceds.ed.gov/cedselementdetails.aspx?termid=9205")</f>
        <v>https://ceds.ed.gov/cedselementdetails.aspx?termid=9205</v>
      </c>
      <c r="Q1627" s="12" t="str">
        <f>HYPERLINK("https://ceds.ed.gov/elementComment.aspx?elementName=Staff Compensation Other Benefits &amp;elementID=9205", "Click here to submit comment")</f>
        <v>Click here to submit comment</v>
      </c>
    </row>
    <row r="1628" spans="1:17" ht="45" x14ac:dyDescent="0.25">
      <c r="A1628" s="12" t="s">
        <v>7242</v>
      </c>
      <c r="B1628" s="12" t="s">
        <v>7277</v>
      </c>
      <c r="C1628" s="12" t="s">
        <v>7234</v>
      </c>
      <c r="D1628" s="12" t="s">
        <v>7172</v>
      </c>
      <c r="E1628" s="12" t="s">
        <v>5523</v>
      </c>
      <c r="F1628" s="12" t="s">
        <v>5524</v>
      </c>
      <c r="G1628" s="12" t="s">
        <v>6364</v>
      </c>
      <c r="H1628" s="12" t="s">
        <v>1907</v>
      </c>
      <c r="I1628" s="12"/>
      <c r="J1628" s="12"/>
      <c r="K1628" s="12"/>
      <c r="L1628" s="12"/>
      <c r="M1628" s="12" t="s">
        <v>5525</v>
      </c>
      <c r="N1628" s="12"/>
      <c r="O1628" s="12" t="s">
        <v>5526</v>
      </c>
      <c r="P1628" s="12" t="str">
        <f>HYPERLINK("https://ceds.ed.gov/cedselementdetails.aspx?termid=9234")</f>
        <v>https://ceds.ed.gov/cedselementdetails.aspx?termid=9234</v>
      </c>
      <c r="Q1628" s="12" t="str">
        <f>HYPERLINK("https://ceds.ed.gov/elementComment.aspx?elementName=Salary For Teaching Assignment Only Indicator &amp;elementID=9234", "Click here to submit comment")</f>
        <v>Click here to submit comment</v>
      </c>
    </row>
    <row r="1629" spans="1:17" ht="165" x14ac:dyDescent="0.25">
      <c r="A1629" s="12" t="s">
        <v>7242</v>
      </c>
      <c r="B1629" s="12" t="s">
        <v>7277</v>
      </c>
      <c r="C1629" s="12" t="s">
        <v>7234</v>
      </c>
      <c r="D1629" s="12" t="s">
        <v>7172</v>
      </c>
      <c r="E1629" s="12" t="s">
        <v>5830</v>
      </c>
      <c r="F1629" s="12" t="s">
        <v>5831</v>
      </c>
      <c r="G1629" s="12" t="s">
        <v>12</v>
      </c>
      <c r="H1629" s="12" t="s">
        <v>1907</v>
      </c>
      <c r="I1629" s="12"/>
      <c r="J1629" s="12" t="s">
        <v>1554</v>
      </c>
      <c r="K1629" s="12"/>
      <c r="L1629" s="12"/>
      <c r="M1629" s="12" t="s">
        <v>5832</v>
      </c>
      <c r="N1629" s="12"/>
      <c r="O1629" s="12" t="s">
        <v>5833</v>
      </c>
      <c r="P1629" s="12" t="str">
        <f>HYPERLINK("https://ceds.ed.gov/cedselementdetails.aspx?termid=9293")</f>
        <v>https://ceds.ed.gov/cedselementdetails.aspx?termid=9293</v>
      </c>
      <c r="Q1629" s="12" t="str">
        <f>HYPERLINK("https://ceds.ed.gov/elementComment.aspx?elementName=Staff Compensation Total Benefits &amp;elementID=9293", "Click here to submit comment")</f>
        <v>Click here to submit comment</v>
      </c>
    </row>
    <row r="1630" spans="1:17" ht="60" x14ac:dyDescent="0.25">
      <c r="A1630" s="12" t="s">
        <v>7242</v>
      </c>
      <c r="B1630" s="12" t="s">
        <v>7277</v>
      </c>
      <c r="C1630" s="12" t="s">
        <v>7234</v>
      </c>
      <c r="D1630" s="12" t="s">
        <v>7172</v>
      </c>
      <c r="E1630" s="12" t="s">
        <v>5834</v>
      </c>
      <c r="F1630" s="12" t="s">
        <v>5835</v>
      </c>
      <c r="G1630" s="12" t="s">
        <v>12</v>
      </c>
      <c r="H1630" s="12" t="s">
        <v>1907</v>
      </c>
      <c r="I1630" s="12"/>
      <c r="J1630" s="12" t="s">
        <v>1554</v>
      </c>
      <c r="K1630" s="12"/>
      <c r="L1630" s="12"/>
      <c r="M1630" s="12" t="s">
        <v>5836</v>
      </c>
      <c r="N1630" s="12"/>
      <c r="O1630" s="12" t="s">
        <v>5837</v>
      </c>
      <c r="P1630" s="12" t="str">
        <f>HYPERLINK("https://ceds.ed.gov/cedselementdetails.aspx?termid=9295")</f>
        <v>https://ceds.ed.gov/cedselementdetails.aspx?termid=9295</v>
      </c>
      <c r="Q1630" s="12" t="str">
        <f>HYPERLINK("https://ceds.ed.gov/elementComment.aspx?elementName=Staff Compensation Total Salary &amp;elementID=9295", "Click here to submit comment")</f>
        <v>Click here to submit comment</v>
      </c>
    </row>
    <row r="1631" spans="1:17" ht="60" x14ac:dyDescent="0.25">
      <c r="A1631" s="12" t="s">
        <v>7242</v>
      </c>
      <c r="B1631" s="12" t="s">
        <v>7277</v>
      </c>
      <c r="C1631" s="12" t="s">
        <v>7234</v>
      </c>
      <c r="D1631" s="12" t="s">
        <v>7172</v>
      </c>
      <c r="E1631" s="12" t="s">
        <v>4429</v>
      </c>
      <c r="F1631" s="12" t="s">
        <v>4430</v>
      </c>
      <c r="G1631" s="12" t="s">
        <v>6364</v>
      </c>
      <c r="H1631" s="12" t="s">
        <v>222</v>
      </c>
      <c r="I1631" s="12"/>
      <c r="J1631" s="12"/>
      <c r="K1631" s="12"/>
      <c r="L1631" s="12"/>
      <c r="M1631" s="12" t="s">
        <v>4431</v>
      </c>
      <c r="N1631" s="12" t="s">
        <v>4432</v>
      </c>
      <c r="O1631" s="12" t="s">
        <v>4433</v>
      </c>
      <c r="P1631" s="12" t="str">
        <f>HYPERLINK("https://ceds.ed.gov/cedselementdetails.aspx?termid=9534")</f>
        <v>https://ceds.ed.gov/cedselementdetails.aspx?termid=9534</v>
      </c>
      <c r="Q1631" s="12" t="str">
        <f>HYPERLINK("https://ceds.ed.gov/elementComment.aspx?elementName=Migrant Education Program Personnel Indicator &amp;elementID=9534", "Click here to submit comment")</f>
        <v>Click here to submit comment</v>
      </c>
    </row>
    <row r="1632" spans="1:17" ht="60" x14ac:dyDescent="0.25">
      <c r="A1632" s="12" t="s">
        <v>7242</v>
      </c>
      <c r="B1632" s="12" t="s">
        <v>7277</v>
      </c>
      <c r="C1632" s="12" t="s">
        <v>7234</v>
      </c>
      <c r="D1632" s="12" t="s">
        <v>7172</v>
      </c>
      <c r="E1632" s="12" t="s">
        <v>6171</v>
      </c>
      <c r="F1632" s="12" t="s">
        <v>6172</v>
      </c>
      <c r="G1632" s="12" t="s">
        <v>6364</v>
      </c>
      <c r="H1632" s="12"/>
      <c r="I1632" s="12"/>
      <c r="J1632" s="12"/>
      <c r="K1632" s="12"/>
      <c r="L1632" s="12"/>
      <c r="M1632" s="12" t="s">
        <v>6173</v>
      </c>
      <c r="N1632" s="12"/>
      <c r="O1632" s="12" t="s">
        <v>6174</v>
      </c>
      <c r="P1632" s="12" t="str">
        <f>HYPERLINK("https://ceds.ed.gov/cedselementdetails.aspx?termid=9543")</f>
        <v>https://ceds.ed.gov/cedselementdetails.aspx?termid=9543</v>
      </c>
      <c r="Q1632" s="12" t="str">
        <f>HYPERLINK("https://ceds.ed.gov/elementComment.aspx?elementName=Title I Targeted Assistance Staff Funded &amp;elementID=9543", "Click here to submit comment")</f>
        <v>Click here to submit comment</v>
      </c>
    </row>
    <row r="1633" spans="1:17" ht="60" x14ac:dyDescent="0.25">
      <c r="A1633" s="12" t="s">
        <v>7242</v>
      </c>
      <c r="B1633" s="12" t="s">
        <v>7277</v>
      </c>
      <c r="C1633" s="12" t="s">
        <v>7234</v>
      </c>
      <c r="D1633" s="12" t="s">
        <v>7172</v>
      </c>
      <c r="E1633" s="12" t="s">
        <v>2691</v>
      </c>
      <c r="F1633" s="12" t="s">
        <v>2692</v>
      </c>
      <c r="G1633" s="12" t="s">
        <v>12</v>
      </c>
      <c r="H1633" s="12" t="s">
        <v>205</v>
      </c>
      <c r="I1633" s="12"/>
      <c r="J1633" s="12" t="s">
        <v>73</v>
      </c>
      <c r="K1633" s="12"/>
      <c r="L1633" s="12"/>
      <c r="M1633" s="12" t="s">
        <v>2693</v>
      </c>
      <c r="N1633" s="12"/>
      <c r="O1633" s="12" t="s">
        <v>2694</v>
      </c>
      <c r="P1633" s="12" t="str">
        <f>HYPERLINK("https://ceds.ed.gov/cedselementdetails.aspx?termid=9794")</f>
        <v>https://ceds.ed.gov/cedselementdetails.aspx?termid=9794</v>
      </c>
      <c r="Q1633" s="12" t="str">
        <f>HYPERLINK("https://ceds.ed.gov/elementComment.aspx?elementName=Employment End Date &amp;elementID=9794", "Click here to submit comment")</f>
        <v>Click here to submit comment</v>
      </c>
    </row>
    <row r="1634" spans="1:17" ht="60" x14ac:dyDescent="0.25">
      <c r="A1634" s="12" t="s">
        <v>7242</v>
      </c>
      <c r="B1634" s="12" t="s">
        <v>7277</v>
      </c>
      <c r="C1634" s="12" t="s">
        <v>7234</v>
      </c>
      <c r="D1634" s="12" t="s">
        <v>7172</v>
      </c>
      <c r="E1634" s="12" t="s">
        <v>2727</v>
      </c>
      <c r="F1634" s="12" t="s">
        <v>2728</v>
      </c>
      <c r="G1634" s="12" t="s">
        <v>12</v>
      </c>
      <c r="H1634" s="12" t="s">
        <v>6523</v>
      </c>
      <c r="I1634" s="12"/>
      <c r="J1634" s="12" t="s">
        <v>73</v>
      </c>
      <c r="K1634" s="12"/>
      <c r="L1634" s="12"/>
      <c r="M1634" s="12" t="s">
        <v>2729</v>
      </c>
      <c r="N1634" s="12"/>
      <c r="O1634" s="12" t="s">
        <v>2730</v>
      </c>
      <c r="P1634" s="12" t="str">
        <f>HYPERLINK("https://ceds.ed.gov/cedselementdetails.aspx?termid=9345")</f>
        <v>https://ceds.ed.gov/cedselementdetails.aspx?termid=9345</v>
      </c>
      <c r="Q1634" s="12" t="str">
        <f>HYPERLINK("https://ceds.ed.gov/elementComment.aspx?elementName=Employment Start Date &amp;elementID=9345", "Click here to submit comment")</f>
        <v>Click here to submit comment</v>
      </c>
    </row>
    <row r="1635" spans="1:17" ht="30" x14ac:dyDescent="0.25">
      <c r="A1635" s="12" t="s">
        <v>7242</v>
      </c>
      <c r="B1635" s="12" t="s">
        <v>7277</v>
      </c>
      <c r="C1635" s="12" t="s">
        <v>7229</v>
      </c>
      <c r="D1635" s="12" t="s">
        <v>7172</v>
      </c>
      <c r="E1635" s="12" t="s">
        <v>5846</v>
      </c>
      <c r="F1635" s="12" t="s">
        <v>5847</v>
      </c>
      <c r="G1635" s="12" t="s">
        <v>12</v>
      </c>
      <c r="H1635" s="12"/>
      <c r="I1635" s="12"/>
      <c r="J1635" s="12" t="s">
        <v>22</v>
      </c>
      <c r="K1635" s="12"/>
      <c r="L1635" s="12"/>
      <c r="M1635" s="12" t="s">
        <v>5848</v>
      </c>
      <c r="N1635" s="12"/>
      <c r="O1635" s="12" t="s">
        <v>5849</v>
      </c>
      <c r="P1635" s="12" t="str">
        <f>HYPERLINK("https://ceds.ed.gov/cedselementdetails.aspx?termid=9102")</f>
        <v>https://ceds.ed.gov/cedselementdetails.aspx?termid=9102</v>
      </c>
      <c r="Q1635" s="12" t="str">
        <f>HYPERLINK("https://ceds.ed.gov/elementComment.aspx?elementName=Staff Evaluation Outcome &amp;elementID=9102", "Click here to submit comment")</f>
        <v>Click here to submit comment</v>
      </c>
    </row>
    <row r="1636" spans="1:17" ht="60" x14ac:dyDescent="0.25">
      <c r="A1636" s="12" t="s">
        <v>7242</v>
      </c>
      <c r="B1636" s="12" t="s">
        <v>7277</v>
      </c>
      <c r="C1636" s="12" t="s">
        <v>7229</v>
      </c>
      <c r="D1636" s="12" t="s">
        <v>7172</v>
      </c>
      <c r="E1636" s="12" t="s">
        <v>5850</v>
      </c>
      <c r="F1636" s="12" t="s">
        <v>5851</v>
      </c>
      <c r="G1636" s="12" t="s">
        <v>12</v>
      </c>
      <c r="H1636" s="12"/>
      <c r="I1636" s="12"/>
      <c r="J1636" s="12" t="s">
        <v>22</v>
      </c>
      <c r="K1636" s="12"/>
      <c r="L1636" s="12"/>
      <c r="M1636" s="12" t="s">
        <v>5852</v>
      </c>
      <c r="N1636" s="12"/>
      <c r="O1636" s="12" t="s">
        <v>5853</v>
      </c>
      <c r="P1636" s="12" t="str">
        <f>HYPERLINK("https://ceds.ed.gov/cedselementdetails.aspx?termid=9103")</f>
        <v>https://ceds.ed.gov/cedselementdetails.aspx?termid=9103</v>
      </c>
      <c r="Q1636" s="12" t="str">
        <f>HYPERLINK("https://ceds.ed.gov/elementComment.aspx?elementName=Staff Evaluation Scale &amp;elementID=9103", "Click here to submit comment")</f>
        <v>Click here to submit comment</v>
      </c>
    </row>
    <row r="1637" spans="1:17" ht="30" x14ac:dyDescent="0.25">
      <c r="A1637" s="12" t="s">
        <v>7242</v>
      </c>
      <c r="B1637" s="12" t="s">
        <v>7277</v>
      </c>
      <c r="C1637" s="12" t="s">
        <v>7229</v>
      </c>
      <c r="D1637" s="12" t="s">
        <v>7172</v>
      </c>
      <c r="E1637" s="12" t="s">
        <v>5854</v>
      </c>
      <c r="F1637" s="12" t="s">
        <v>5855</v>
      </c>
      <c r="G1637" s="12" t="s">
        <v>12</v>
      </c>
      <c r="H1637" s="12"/>
      <c r="I1637" s="12"/>
      <c r="J1637" s="12" t="s">
        <v>99</v>
      </c>
      <c r="K1637" s="12"/>
      <c r="L1637" s="12"/>
      <c r="M1637" s="12" t="s">
        <v>5856</v>
      </c>
      <c r="N1637" s="12"/>
      <c r="O1637" s="12" t="s">
        <v>5857</v>
      </c>
      <c r="P1637" s="12" t="str">
        <f>HYPERLINK("https://ceds.ed.gov/cedselementdetails.aspx?termid=9104")</f>
        <v>https://ceds.ed.gov/cedselementdetails.aspx?termid=9104</v>
      </c>
      <c r="Q1637" s="12" t="str">
        <f>HYPERLINK("https://ceds.ed.gov/elementComment.aspx?elementName=Staff Evaluation Score or Rating &amp;elementID=9104", "Click here to submit comment")</f>
        <v>Click here to submit comment</v>
      </c>
    </row>
    <row r="1638" spans="1:17" ht="45" x14ac:dyDescent="0.25">
      <c r="A1638" s="12" t="s">
        <v>7242</v>
      </c>
      <c r="B1638" s="12" t="s">
        <v>7277</v>
      </c>
      <c r="C1638" s="12" t="s">
        <v>7229</v>
      </c>
      <c r="D1638" s="12" t="s">
        <v>7172</v>
      </c>
      <c r="E1638" s="12" t="s">
        <v>5858</v>
      </c>
      <c r="F1638" s="12" t="s">
        <v>5859</v>
      </c>
      <c r="G1638" s="12" t="s">
        <v>12</v>
      </c>
      <c r="H1638" s="12"/>
      <c r="I1638" s="12"/>
      <c r="J1638" s="12" t="s">
        <v>99</v>
      </c>
      <c r="K1638" s="12"/>
      <c r="L1638" s="12"/>
      <c r="M1638" s="12" t="s">
        <v>5860</v>
      </c>
      <c r="N1638" s="12"/>
      <c r="O1638" s="12" t="s">
        <v>5861</v>
      </c>
      <c r="P1638" s="12" t="str">
        <f>HYPERLINK("https://ceds.ed.gov/cedselementdetails.aspx?termid=9105")</f>
        <v>https://ceds.ed.gov/cedselementdetails.aspx?termid=9105</v>
      </c>
      <c r="Q1638" s="12" t="str">
        <f>HYPERLINK("https://ceds.ed.gov/elementComment.aspx?elementName=Staff Evaluation System &amp;elementID=9105", "Click here to submit comment")</f>
        <v>Click here to submit comment</v>
      </c>
    </row>
    <row r="1639" spans="1:17" ht="120" x14ac:dyDescent="0.25">
      <c r="A1639" s="12" t="s">
        <v>7242</v>
      </c>
      <c r="B1639" s="12" t="s">
        <v>7277</v>
      </c>
      <c r="C1639" s="12" t="s">
        <v>7229</v>
      </c>
      <c r="D1639" s="12" t="s">
        <v>7172</v>
      </c>
      <c r="E1639" s="12" t="s">
        <v>2817</v>
      </c>
      <c r="F1639" s="12" t="s">
        <v>2818</v>
      </c>
      <c r="G1639" s="13" t="s">
        <v>6916</v>
      </c>
      <c r="H1639" s="12" t="s">
        <v>6413</v>
      </c>
      <c r="I1639" s="12"/>
      <c r="J1639" s="12"/>
      <c r="K1639" s="12"/>
      <c r="L1639" s="12"/>
      <c r="M1639" s="12" t="s">
        <v>2820</v>
      </c>
      <c r="N1639" s="12"/>
      <c r="O1639" s="12" t="s">
        <v>2821</v>
      </c>
      <c r="P1639" s="12" t="str">
        <f>HYPERLINK("https://ceds.ed.gov/cedselementdetails.aspx?termid=9582")</f>
        <v>https://ceds.ed.gov/cedselementdetails.aspx?termid=9582</v>
      </c>
      <c r="Q1639" s="12" t="str">
        <f>HYPERLINK("https://ceds.ed.gov/elementComment.aspx?elementName=Faculty and Administration Performance Level &amp;elementID=9582", "Click here to submit comment")</f>
        <v>Click here to submit comment</v>
      </c>
    </row>
    <row r="1640" spans="1:17" ht="60" x14ac:dyDescent="0.25">
      <c r="A1640" s="12" t="s">
        <v>7242</v>
      </c>
      <c r="B1640" s="12" t="s">
        <v>7277</v>
      </c>
      <c r="C1640" s="12" t="s">
        <v>7229</v>
      </c>
      <c r="D1640" s="12" t="s">
        <v>7172</v>
      </c>
      <c r="E1640" s="12" t="s">
        <v>6098</v>
      </c>
      <c r="F1640" s="12" t="s">
        <v>6099</v>
      </c>
      <c r="G1640" s="12" t="s">
        <v>6364</v>
      </c>
      <c r="H1640" s="12" t="s">
        <v>222</v>
      </c>
      <c r="I1640" s="12"/>
      <c r="J1640" s="12"/>
      <c r="K1640" s="12"/>
      <c r="L1640" s="12"/>
      <c r="M1640" s="12" t="s">
        <v>6100</v>
      </c>
      <c r="N1640" s="12"/>
      <c r="O1640" s="12" t="s">
        <v>6101</v>
      </c>
      <c r="P1640" s="12" t="str">
        <f>HYPERLINK("https://ceds.ed.gov/cedselementdetails.aspx?termid=9537")</f>
        <v>https://ceds.ed.gov/cedselementdetails.aspx?termid=9537</v>
      </c>
      <c r="Q1640" s="12" t="str">
        <f>HYPERLINK("https://ceds.ed.gov/elementComment.aspx?elementName=Technology Skills Standards Met &amp;elementID=9537", "Click here to submit comment")</f>
        <v>Click here to submit comment</v>
      </c>
    </row>
    <row r="1641" spans="1:17" ht="45" x14ac:dyDescent="0.25">
      <c r="A1641" s="12" t="s">
        <v>7242</v>
      </c>
      <c r="B1641" s="12" t="s">
        <v>7277</v>
      </c>
      <c r="C1641" s="12" t="s">
        <v>7229</v>
      </c>
      <c r="D1641" s="12" t="s">
        <v>7172</v>
      </c>
      <c r="E1641" s="12" t="s">
        <v>1675</v>
      </c>
      <c r="F1641" s="12" t="s">
        <v>1676</v>
      </c>
      <c r="G1641" s="12" t="s">
        <v>12</v>
      </c>
      <c r="H1641" s="12"/>
      <c r="I1641" s="12"/>
      <c r="J1641" s="12" t="s">
        <v>73</v>
      </c>
      <c r="K1641" s="12"/>
      <c r="L1641" s="12"/>
      <c r="M1641" s="12" t="s">
        <v>1677</v>
      </c>
      <c r="N1641" s="12"/>
      <c r="O1641" s="12" t="s">
        <v>1678</v>
      </c>
      <c r="P1641" s="12" t="str">
        <f>HYPERLINK("https://ceds.ed.gov/cedselementdetails.aspx?termid=10255")</f>
        <v>https://ceds.ed.gov/cedselementdetails.aspx?termid=10255</v>
      </c>
      <c r="Q1641" s="12" t="str">
        <f>HYPERLINK("https://ceds.ed.gov/elementComment.aspx?elementName=Career Education Plan Date &amp;elementID=10255", "Click here to submit comment")</f>
        <v>Click here to submit comment</v>
      </c>
    </row>
    <row r="1642" spans="1:17" ht="75" x14ac:dyDescent="0.25">
      <c r="A1642" s="12" t="s">
        <v>7242</v>
      </c>
      <c r="B1642" s="12" t="s">
        <v>7277</v>
      </c>
      <c r="C1642" s="12" t="s">
        <v>7229</v>
      </c>
      <c r="D1642" s="12" t="s">
        <v>7172</v>
      </c>
      <c r="E1642" s="12" t="s">
        <v>1679</v>
      </c>
      <c r="F1642" s="12" t="s">
        <v>1680</v>
      </c>
      <c r="G1642" s="13" t="s">
        <v>6808</v>
      </c>
      <c r="H1642" s="12"/>
      <c r="I1642" s="12"/>
      <c r="J1642" s="12"/>
      <c r="K1642" s="12"/>
      <c r="L1642" s="12"/>
      <c r="M1642" s="12" t="s">
        <v>1681</v>
      </c>
      <c r="N1642" s="12"/>
      <c r="O1642" s="12" t="s">
        <v>1682</v>
      </c>
      <c r="P1642" s="12" t="str">
        <f>HYPERLINK("https://ceds.ed.gov/cedselementdetails.aspx?termid=10256")</f>
        <v>https://ceds.ed.gov/cedselementdetails.aspx?termid=10256</v>
      </c>
      <c r="Q1642" s="12" t="str">
        <f>HYPERLINK("https://ceds.ed.gov/elementComment.aspx?elementName=Career Education Plan Type &amp;elementID=10256", "Click here to submit comment")</f>
        <v>Click here to submit comment</v>
      </c>
    </row>
    <row r="1643" spans="1:17" ht="60" x14ac:dyDescent="0.25">
      <c r="A1643" s="12" t="s">
        <v>7242</v>
      </c>
      <c r="B1643" s="12" t="s">
        <v>7277</v>
      </c>
      <c r="C1643" s="12" t="s">
        <v>7229</v>
      </c>
      <c r="D1643" s="12" t="s">
        <v>7172</v>
      </c>
      <c r="E1643" s="12" t="s">
        <v>6246</v>
      </c>
      <c r="F1643" s="12" t="s">
        <v>6247</v>
      </c>
      <c r="G1643" s="12" t="s">
        <v>6364</v>
      </c>
      <c r="H1643" s="12"/>
      <c r="I1643" s="12"/>
      <c r="J1643" s="12"/>
      <c r="K1643" s="12"/>
      <c r="L1643" s="12" t="s">
        <v>6248</v>
      </c>
      <c r="M1643" s="12" t="s">
        <v>6249</v>
      </c>
      <c r="N1643" s="12"/>
      <c r="O1643" s="12" t="s">
        <v>6250</v>
      </c>
      <c r="P1643" s="12" t="str">
        <f>HYPERLINK("https://ceds.ed.gov/cedselementdetails.aspx?termid=10554")</f>
        <v>https://ceds.ed.gov/cedselementdetails.aspx?termid=10554</v>
      </c>
      <c r="Q1643" s="12" t="str">
        <f>HYPERLINK("https://ceds.ed.gov/elementComment.aspx?elementName=Tuition Funded &amp;elementID=10554", "Click here to submit comment")</f>
        <v>Click here to submit comment</v>
      </c>
    </row>
    <row r="1644" spans="1:17" ht="105" x14ac:dyDescent="0.25">
      <c r="A1644" s="18" t="s">
        <v>7242</v>
      </c>
      <c r="B1644" s="18" t="s">
        <v>7277</v>
      </c>
      <c r="C1644" s="18" t="s">
        <v>7236</v>
      </c>
      <c r="D1644" s="18" t="s">
        <v>7176</v>
      </c>
      <c r="E1644" s="18" t="s">
        <v>5872</v>
      </c>
      <c r="F1644" s="18" t="s">
        <v>5873</v>
      </c>
      <c r="G1644" s="18" t="s">
        <v>12</v>
      </c>
      <c r="H1644" s="18" t="s">
        <v>6676</v>
      </c>
      <c r="I1644" s="18"/>
      <c r="J1644" s="18" t="s">
        <v>142</v>
      </c>
      <c r="K1644" s="18"/>
      <c r="L1644" s="12" t="s">
        <v>143</v>
      </c>
      <c r="M1644" s="18" t="s">
        <v>5874</v>
      </c>
      <c r="N1644" s="18"/>
      <c r="O1644" s="18" t="s">
        <v>5875</v>
      </c>
      <c r="P1644" s="18" t="str">
        <f>HYPERLINK("https://ceds.ed.gov/cedselementdetails.aspx?termid=9156")</f>
        <v>https://ceds.ed.gov/cedselementdetails.aspx?termid=9156</v>
      </c>
      <c r="Q1644" s="18" t="str">
        <f>HYPERLINK("https://ceds.ed.gov/elementComment.aspx?elementName=Staff Member Identifier &amp;elementID=9156", "Click here to submit comment")</f>
        <v>Click here to submit comment</v>
      </c>
    </row>
    <row r="1645" spans="1:17" x14ac:dyDescent="0.25">
      <c r="A1645" s="18"/>
      <c r="B1645" s="18"/>
      <c r="C1645" s="18"/>
      <c r="D1645" s="18"/>
      <c r="E1645" s="18"/>
      <c r="F1645" s="18"/>
      <c r="G1645" s="18"/>
      <c r="H1645" s="18"/>
      <c r="I1645" s="18"/>
      <c r="J1645" s="18"/>
      <c r="K1645" s="18"/>
      <c r="L1645" s="12"/>
      <c r="M1645" s="18"/>
      <c r="N1645" s="18"/>
      <c r="O1645" s="18"/>
      <c r="P1645" s="18"/>
      <c r="Q1645" s="18"/>
    </row>
    <row r="1646" spans="1:17" ht="90" x14ac:dyDescent="0.25">
      <c r="A1646" s="18"/>
      <c r="B1646" s="18"/>
      <c r="C1646" s="18"/>
      <c r="D1646" s="18"/>
      <c r="E1646" s="18"/>
      <c r="F1646" s="18"/>
      <c r="G1646" s="18"/>
      <c r="H1646" s="18"/>
      <c r="I1646" s="18"/>
      <c r="J1646" s="18"/>
      <c r="K1646" s="18"/>
      <c r="L1646" s="12" t="s">
        <v>144</v>
      </c>
      <c r="M1646" s="18"/>
      <c r="N1646" s="18"/>
      <c r="O1646" s="18"/>
      <c r="P1646" s="18"/>
      <c r="Q1646" s="18"/>
    </row>
    <row r="1647" spans="1:17" ht="345" x14ac:dyDescent="0.25">
      <c r="A1647" s="12" t="s">
        <v>7242</v>
      </c>
      <c r="B1647" s="12" t="s">
        <v>7277</v>
      </c>
      <c r="C1647" s="12" t="s">
        <v>7236</v>
      </c>
      <c r="D1647" s="12" t="s">
        <v>7176</v>
      </c>
      <c r="E1647" s="12" t="s">
        <v>5868</v>
      </c>
      <c r="F1647" s="12" t="s">
        <v>5869</v>
      </c>
      <c r="G1647" s="13" t="s">
        <v>7118</v>
      </c>
      <c r="H1647" s="12" t="s">
        <v>6675</v>
      </c>
      <c r="I1647" s="12"/>
      <c r="J1647" s="12"/>
      <c r="K1647" s="12"/>
      <c r="L1647" s="12"/>
      <c r="M1647" s="12" t="s">
        <v>5870</v>
      </c>
      <c r="N1647" s="12"/>
      <c r="O1647" s="12" t="s">
        <v>5871</v>
      </c>
      <c r="P1647" s="12" t="str">
        <f>HYPERLINK("https://ceds.ed.gov/cedselementdetails.aspx?termid=9162")</f>
        <v>https://ceds.ed.gov/cedselementdetails.aspx?termid=9162</v>
      </c>
      <c r="Q1647" s="12" t="str">
        <f>HYPERLINK("https://ceds.ed.gov/elementComment.aspx?elementName=Staff Member Identification System &amp;elementID=9162", "Click here to submit comment")</f>
        <v>Click here to submit comment</v>
      </c>
    </row>
    <row r="1648" spans="1:17" ht="225" x14ac:dyDescent="0.25">
      <c r="A1648" s="12" t="s">
        <v>7242</v>
      </c>
      <c r="B1648" s="12" t="s">
        <v>7277</v>
      </c>
      <c r="C1648" s="12" t="s">
        <v>7236</v>
      </c>
      <c r="D1648" s="12" t="s">
        <v>7176</v>
      </c>
      <c r="E1648" s="12" t="s">
        <v>172</v>
      </c>
      <c r="F1648" s="12" t="s">
        <v>173</v>
      </c>
      <c r="G1648" s="12" t="s">
        <v>12</v>
      </c>
      <c r="H1648" s="12" t="s">
        <v>6377</v>
      </c>
      <c r="I1648" s="12"/>
      <c r="J1648" s="12" t="s">
        <v>92</v>
      </c>
      <c r="K1648" s="12"/>
      <c r="L1648" s="12"/>
      <c r="M1648" s="12" t="s">
        <v>174</v>
      </c>
      <c r="N1648" s="12"/>
      <c r="O1648" s="12" t="s">
        <v>175</v>
      </c>
      <c r="P1648" s="12" t="str">
        <f>HYPERLINK("https://ceds.ed.gov/cedselementdetails.aspx?termid=9019")</f>
        <v>https://ceds.ed.gov/cedselementdetails.aspx?termid=9019</v>
      </c>
      <c r="Q1648" s="12" t="str">
        <f>HYPERLINK("https://ceds.ed.gov/elementComment.aspx?elementName=Address Apartment Room or Suite Number &amp;elementID=9019", "Click here to submit comment")</f>
        <v>Click here to submit comment</v>
      </c>
    </row>
    <row r="1649" spans="1:17" ht="225" x14ac:dyDescent="0.25">
      <c r="A1649" s="12" t="s">
        <v>7242</v>
      </c>
      <c r="B1649" s="12" t="s">
        <v>7277</v>
      </c>
      <c r="C1649" s="12" t="s">
        <v>7236</v>
      </c>
      <c r="D1649" s="12" t="s">
        <v>7176</v>
      </c>
      <c r="E1649" s="12" t="s">
        <v>176</v>
      </c>
      <c r="F1649" s="12" t="s">
        <v>177</v>
      </c>
      <c r="G1649" s="12" t="s">
        <v>12</v>
      </c>
      <c r="H1649" s="12" t="s">
        <v>6377</v>
      </c>
      <c r="I1649" s="12"/>
      <c r="J1649" s="12" t="s">
        <v>92</v>
      </c>
      <c r="K1649" s="12"/>
      <c r="L1649" s="12"/>
      <c r="M1649" s="12" t="s">
        <v>178</v>
      </c>
      <c r="N1649" s="12"/>
      <c r="O1649" s="12" t="s">
        <v>179</v>
      </c>
      <c r="P1649" s="12" t="str">
        <f>HYPERLINK("https://ceds.ed.gov/cedselementdetails.aspx?termid=9040")</f>
        <v>https://ceds.ed.gov/cedselementdetails.aspx?termid=9040</v>
      </c>
      <c r="Q1649" s="12" t="str">
        <f>HYPERLINK("https://ceds.ed.gov/elementComment.aspx?elementName=Address City &amp;elementID=9040", "Click here to submit comment")</f>
        <v>Click here to submit comment</v>
      </c>
    </row>
    <row r="1650" spans="1:17" ht="225" x14ac:dyDescent="0.25">
      <c r="A1650" s="12" t="s">
        <v>7242</v>
      </c>
      <c r="B1650" s="12" t="s">
        <v>7277</v>
      </c>
      <c r="C1650" s="12" t="s">
        <v>7236</v>
      </c>
      <c r="D1650" s="12" t="s">
        <v>7176</v>
      </c>
      <c r="E1650" s="12" t="s">
        <v>184</v>
      </c>
      <c r="F1650" s="12" t="s">
        <v>185</v>
      </c>
      <c r="G1650" s="12" t="s">
        <v>12</v>
      </c>
      <c r="H1650" s="12" t="s">
        <v>6377</v>
      </c>
      <c r="I1650" s="12"/>
      <c r="J1650" s="12" t="s">
        <v>186</v>
      </c>
      <c r="K1650" s="12"/>
      <c r="L1650" s="12"/>
      <c r="M1650" s="12" t="s">
        <v>187</v>
      </c>
      <c r="N1650" s="12"/>
      <c r="O1650" s="12" t="s">
        <v>188</v>
      </c>
      <c r="P1650" s="12" t="str">
        <f>HYPERLINK("https://ceds.ed.gov/cedselementdetails.aspx?termid=9214")</f>
        <v>https://ceds.ed.gov/cedselementdetails.aspx?termid=9214</v>
      </c>
      <c r="Q1650" s="12" t="str">
        <f>HYPERLINK("https://ceds.ed.gov/elementComment.aspx?elementName=Address Postal Code &amp;elementID=9214", "Click here to submit comment")</f>
        <v>Click here to submit comment</v>
      </c>
    </row>
    <row r="1651" spans="1:17" ht="225" x14ac:dyDescent="0.25">
      <c r="A1651" s="12" t="s">
        <v>7242</v>
      </c>
      <c r="B1651" s="12" t="s">
        <v>7277</v>
      </c>
      <c r="C1651" s="12" t="s">
        <v>7236</v>
      </c>
      <c r="D1651" s="12" t="s">
        <v>7176</v>
      </c>
      <c r="E1651" s="12" t="s">
        <v>189</v>
      </c>
      <c r="F1651" s="12" t="s">
        <v>190</v>
      </c>
      <c r="G1651" s="12" t="s">
        <v>12</v>
      </c>
      <c r="H1651" s="12" t="s">
        <v>6377</v>
      </c>
      <c r="I1651" s="12"/>
      <c r="J1651" s="12" t="s">
        <v>142</v>
      </c>
      <c r="K1651" s="12"/>
      <c r="L1651" s="12"/>
      <c r="M1651" s="12" t="s">
        <v>191</v>
      </c>
      <c r="N1651" s="12"/>
      <c r="O1651" s="12" t="s">
        <v>192</v>
      </c>
      <c r="P1651" s="12" t="str">
        <f>HYPERLINK("https://ceds.ed.gov/cedselementdetails.aspx?termid=9269")</f>
        <v>https://ceds.ed.gov/cedselementdetails.aspx?termid=9269</v>
      </c>
      <c r="Q1651" s="12" t="str">
        <f>HYPERLINK("https://ceds.ed.gov/elementComment.aspx?elementName=Address Street Number and Name &amp;elementID=9269", "Click here to submit comment")</f>
        <v>Click here to submit comment</v>
      </c>
    </row>
    <row r="1652" spans="1:17" ht="105" x14ac:dyDescent="0.25">
      <c r="A1652" s="12" t="s">
        <v>7242</v>
      </c>
      <c r="B1652" s="12" t="s">
        <v>7277</v>
      </c>
      <c r="C1652" s="12" t="s">
        <v>7236</v>
      </c>
      <c r="D1652" s="12" t="s">
        <v>7176</v>
      </c>
      <c r="E1652" s="12" t="s">
        <v>201</v>
      </c>
      <c r="F1652" s="12" t="s">
        <v>202</v>
      </c>
      <c r="G1652" s="13" t="s">
        <v>6728</v>
      </c>
      <c r="H1652" s="12" t="s">
        <v>205</v>
      </c>
      <c r="I1652" s="12"/>
      <c r="J1652" s="12" t="s">
        <v>92</v>
      </c>
      <c r="K1652" s="12"/>
      <c r="L1652" s="12"/>
      <c r="M1652" s="12" t="s">
        <v>203</v>
      </c>
      <c r="N1652" s="12"/>
      <c r="O1652" s="12" t="s">
        <v>204</v>
      </c>
      <c r="P1652" s="12" t="str">
        <f>HYPERLINK("https://ceds.ed.gov/cedselementdetails.aspx?termid=9698")</f>
        <v>https://ceds.ed.gov/cedselementdetails.aspx?termid=9698</v>
      </c>
      <c r="Q1652" s="12" t="str">
        <f>HYPERLINK("https://ceds.ed.gov/elementComment.aspx?elementName=Address Type for Staff &amp;elementID=9698", "Click here to submit comment")</f>
        <v>Click here to submit comment</v>
      </c>
    </row>
    <row r="1653" spans="1:17" ht="180" x14ac:dyDescent="0.25">
      <c r="A1653" s="12" t="s">
        <v>7242</v>
      </c>
      <c r="B1653" s="12" t="s">
        <v>7277</v>
      </c>
      <c r="C1653" s="12" t="s">
        <v>7236</v>
      </c>
      <c r="D1653" s="12" t="s">
        <v>7176</v>
      </c>
      <c r="E1653" s="12" t="s">
        <v>2620</v>
      </c>
      <c r="F1653" s="12" t="s">
        <v>2621</v>
      </c>
      <c r="G1653" s="13" t="s">
        <v>6895</v>
      </c>
      <c r="H1653" s="12"/>
      <c r="I1653" s="12"/>
      <c r="J1653" s="12"/>
      <c r="K1653" s="12"/>
      <c r="L1653" s="12"/>
      <c r="M1653" s="12" t="s">
        <v>2622</v>
      </c>
      <c r="N1653" s="12"/>
      <c r="O1653" s="12" t="s">
        <v>2623</v>
      </c>
      <c r="P1653" s="12" t="str">
        <f>HYPERLINK("https://ceds.ed.gov/cedselementdetails.aspx?termid=10585")</f>
        <v>https://ceds.ed.gov/cedselementdetails.aspx?termid=10585</v>
      </c>
      <c r="Q1653" s="12" t="str">
        <f>HYPERLINK("https://ceds.ed.gov/elementComment.aspx?elementName=Early Learning Trainer Core Knowledge Area &amp;elementID=10585", "Click here to submit comment")</f>
        <v>Click here to submit comment</v>
      </c>
    </row>
    <row r="1654" spans="1:17" ht="195" x14ac:dyDescent="0.25">
      <c r="A1654" s="12" t="s">
        <v>7242</v>
      </c>
      <c r="B1654" s="12" t="s">
        <v>7277</v>
      </c>
      <c r="C1654" s="12" t="s">
        <v>7236</v>
      </c>
      <c r="D1654" s="12" t="s">
        <v>7176</v>
      </c>
      <c r="E1654" s="12" t="s">
        <v>3017</v>
      </c>
      <c r="F1654" s="12" t="s">
        <v>3018</v>
      </c>
      <c r="G1654" s="12" t="s">
        <v>12</v>
      </c>
      <c r="H1654" s="12" t="s">
        <v>6540</v>
      </c>
      <c r="I1654" s="12"/>
      <c r="J1654" s="12" t="s">
        <v>1349</v>
      </c>
      <c r="K1654" s="12"/>
      <c r="L1654" s="12" t="s">
        <v>3019</v>
      </c>
      <c r="M1654" s="12" t="s">
        <v>3020</v>
      </c>
      <c r="N1654" s="12"/>
      <c r="O1654" s="12" t="s">
        <v>3021</v>
      </c>
      <c r="P1654" s="12" t="str">
        <f>HYPERLINK("https://ceds.ed.gov/cedselementdetails.aspx?termid=9115")</f>
        <v>https://ceds.ed.gov/cedselementdetails.aspx?termid=9115</v>
      </c>
      <c r="Q1654" s="12" t="str">
        <f>HYPERLINK("https://ceds.ed.gov/elementComment.aspx?elementName=First Name &amp;elementID=9115", "Click here to submit comment")</f>
        <v>Click here to submit comment</v>
      </c>
    </row>
    <row r="1655" spans="1:17" x14ac:dyDescent="0.25">
      <c r="A1655" s="18" t="s">
        <v>7242</v>
      </c>
      <c r="B1655" s="18" t="s">
        <v>7277</v>
      </c>
      <c r="C1655" s="18" t="s">
        <v>7236</v>
      </c>
      <c r="D1655" s="18" t="s">
        <v>7176</v>
      </c>
      <c r="E1655" s="18" t="s">
        <v>3076</v>
      </c>
      <c r="F1655" s="18" t="s">
        <v>3077</v>
      </c>
      <c r="G1655" s="18" t="s">
        <v>12</v>
      </c>
      <c r="H1655" s="18" t="s">
        <v>6543</v>
      </c>
      <c r="I1655" s="18"/>
      <c r="J1655" s="18" t="s">
        <v>2143</v>
      </c>
      <c r="K1655" s="18"/>
      <c r="L1655" s="12" t="s">
        <v>3078</v>
      </c>
      <c r="M1655" s="18" t="s">
        <v>3080</v>
      </c>
      <c r="N1655" s="18"/>
      <c r="O1655" s="18" t="s">
        <v>3081</v>
      </c>
      <c r="P1655" s="18" t="str">
        <f>HYPERLINK("https://ceds.ed.gov/cedselementdetails.aspx?termid=9121")</f>
        <v>https://ceds.ed.gov/cedselementdetails.aspx?termid=9121</v>
      </c>
      <c r="Q1655" s="18" t="str">
        <f>HYPERLINK("https://ceds.ed.gov/elementComment.aspx?elementName=Generation Code or Suffix &amp;elementID=9121", "Click here to submit comment")</f>
        <v>Click here to submit comment</v>
      </c>
    </row>
    <row r="1656" spans="1:17" ht="90" x14ac:dyDescent="0.25">
      <c r="A1656" s="18"/>
      <c r="B1656" s="18"/>
      <c r="C1656" s="18"/>
      <c r="D1656" s="18"/>
      <c r="E1656" s="18"/>
      <c r="F1656" s="18"/>
      <c r="G1656" s="18"/>
      <c r="H1656" s="18"/>
      <c r="I1656" s="18"/>
      <c r="J1656" s="18"/>
      <c r="K1656" s="18"/>
      <c r="L1656" s="12" t="s">
        <v>3079</v>
      </c>
      <c r="M1656" s="18"/>
      <c r="N1656" s="18"/>
      <c r="O1656" s="18"/>
      <c r="P1656" s="18"/>
      <c r="Q1656" s="18"/>
    </row>
    <row r="1657" spans="1:17" x14ac:dyDescent="0.25">
      <c r="A1657" s="18" t="s">
        <v>7242</v>
      </c>
      <c r="B1657" s="18" t="s">
        <v>7277</v>
      </c>
      <c r="C1657" s="18" t="s">
        <v>7236</v>
      </c>
      <c r="D1657" s="18" t="s">
        <v>7176</v>
      </c>
      <c r="E1657" s="18" t="s">
        <v>3684</v>
      </c>
      <c r="F1657" s="18" t="s">
        <v>3685</v>
      </c>
      <c r="G1657" s="18" t="s">
        <v>12</v>
      </c>
      <c r="H1657" s="18" t="s">
        <v>6540</v>
      </c>
      <c r="I1657" s="18"/>
      <c r="J1657" s="18" t="s">
        <v>1349</v>
      </c>
      <c r="K1657" s="18"/>
      <c r="L1657" s="12" t="s">
        <v>3078</v>
      </c>
      <c r="M1657" s="18" t="s">
        <v>3686</v>
      </c>
      <c r="N1657" s="18" t="s">
        <v>3687</v>
      </c>
      <c r="O1657" s="18" t="s">
        <v>3688</v>
      </c>
      <c r="P1657" s="18" t="str">
        <f>HYPERLINK("https://ceds.ed.gov/cedselementdetails.aspx?termid=9172")</f>
        <v>https://ceds.ed.gov/cedselementdetails.aspx?termid=9172</v>
      </c>
      <c r="Q1657" s="18" t="str">
        <f>HYPERLINK("https://ceds.ed.gov/elementComment.aspx?elementName=Last or Surname &amp;elementID=9172", "Click here to submit comment")</f>
        <v>Click here to submit comment</v>
      </c>
    </row>
    <row r="1658" spans="1:17" ht="90" x14ac:dyDescent="0.25">
      <c r="A1658" s="18"/>
      <c r="B1658" s="18"/>
      <c r="C1658" s="18"/>
      <c r="D1658" s="18"/>
      <c r="E1658" s="18"/>
      <c r="F1658" s="18"/>
      <c r="G1658" s="18"/>
      <c r="H1658" s="18"/>
      <c r="I1658" s="18"/>
      <c r="J1658" s="18"/>
      <c r="K1658" s="18"/>
      <c r="L1658" s="12" t="s">
        <v>3079</v>
      </c>
      <c r="M1658" s="18"/>
      <c r="N1658" s="18"/>
      <c r="O1658" s="18"/>
      <c r="P1658" s="18"/>
      <c r="Q1658" s="18"/>
    </row>
    <row r="1659" spans="1:17" x14ac:dyDescent="0.25">
      <c r="A1659" s="18" t="s">
        <v>7242</v>
      </c>
      <c r="B1659" s="18" t="s">
        <v>7277</v>
      </c>
      <c r="C1659" s="18" t="s">
        <v>7236</v>
      </c>
      <c r="D1659" s="18" t="s">
        <v>7176</v>
      </c>
      <c r="E1659" s="18" t="s">
        <v>4405</v>
      </c>
      <c r="F1659" s="18" t="s">
        <v>4406</v>
      </c>
      <c r="G1659" s="18" t="s">
        <v>12</v>
      </c>
      <c r="H1659" s="18" t="s">
        <v>6540</v>
      </c>
      <c r="I1659" s="18"/>
      <c r="J1659" s="18" t="s">
        <v>1349</v>
      </c>
      <c r="K1659" s="18"/>
      <c r="L1659" s="12" t="s">
        <v>3078</v>
      </c>
      <c r="M1659" s="18" t="s">
        <v>4407</v>
      </c>
      <c r="N1659" s="18"/>
      <c r="O1659" s="18" t="s">
        <v>4408</v>
      </c>
      <c r="P1659" s="18" t="str">
        <f>HYPERLINK("https://ceds.ed.gov/cedselementdetails.aspx?termid=9184")</f>
        <v>https://ceds.ed.gov/cedselementdetails.aspx?termid=9184</v>
      </c>
      <c r="Q1659" s="18" t="str">
        <f>HYPERLINK("https://ceds.ed.gov/elementComment.aspx?elementName=Middle Name &amp;elementID=9184", "Click here to submit comment")</f>
        <v>Click here to submit comment</v>
      </c>
    </row>
    <row r="1660" spans="1:17" ht="90" x14ac:dyDescent="0.25">
      <c r="A1660" s="18"/>
      <c r="B1660" s="18"/>
      <c r="C1660" s="18"/>
      <c r="D1660" s="18"/>
      <c r="E1660" s="18"/>
      <c r="F1660" s="18"/>
      <c r="G1660" s="18"/>
      <c r="H1660" s="18"/>
      <c r="I1660" s="18"/>
      <c r="J1660" s="18"/>
      <c r="K1660" s="18"/>
      <c r="L1660" s="12" t="s">
        <v>3079</v>
      </c>
      <c r="M1660" s="18"/>
      <c r="N1660" s="18"/>
      <c r="O1660" s="18"/>
      <c r="P1660" s="18"/>
      <c r="Q1660" s="18"/>
    </row>
    <row r="1661" spans="1:17" ht="105" x14ac:dyDescent="0.25">
      <c r="A1661" s="12" t="s">
        <v>7242</v>
      </c>
      <c r="B1661" s="12" t="s">
        <v>7277</v>
      </c>
      <c r="C1661" s="12" t="s">
        <v>7236</v>
      </c>
      <c r="D1661" s="12" t="s">
        <v>7176</v>
      </c>
      <c r="E1661" s="12" t="s">
        <v>4835</v>
      </c>
      <c r="F1661" s="12" t="s">
        <v>4836</v>
      </c>
      <c r="G1661" s="12" t="s">
        <v>12</v>
      </c>
      <c r="H1661" s="12" t="s">
        <v>6627</v>
      </c>
      <c r="I1661" s="12"/>
      <c r="J1661" s="12" t="s">
        <v>92</v>
      </c>
      <c r="K1661" s="12"/>
      <c r="L1661" s="12"/>
      <c r="M1661" s="12" t="s">
        <v>4837</v>
      </c>
      <c r="N1661" s="12" t="s">
        <v>4838</v>
      </c>
      <c r="O1661" s="12" t="s">
        <v>4839</v>
      </c>
      <c r="P1661" s="12" t="str">
        <f>HYPERLINK("https://ceds.ed.gov/cedselementdetails.aspx?termid=9212")</f>
        <v>https://ceds.ed.gov/cedselementdetails.aspx?termid=9212</v>
      </c>
      <c r="Q1661" s="12" t="str">
        <f>HYPERLINK("https://ceds.ed.gov/elementComment.aspx?elementName=Personal Title or Prefix &amp;elementID=9212", "Click here to submit comment")</f>
        <v>Click here to submit comment</v>
      </c>
    </row>
    <row r="1662" spans="1:17" ht="90" x14ac:dyDescent="0.25">
      <c r="A1662" s="12" t="s">
        <v>7242</v>
      </c>
      <c r="B1662" s="12" t="s">
        <v>7277</v>
      </c>
      <c r="C1662" s="12" t="s">
        <v>7236</v>
      </c>
      <c r="D1662" s="12" t="s">
        <v>7176</v>
      </c>
      <c r="E1662" s="12" t="s">
        <v>4844</v>
      </c>
      <c r="F1662" s="12" t="s">
        <v>4845</v>
      </c>
      <c r="G1662" s="12" t="s">
        <v>12</v>
      </c>
      <c r="H1662" s="12" t="s">
        <v>6369</v>
      </c>
      <c r="I1662" s="12"/>
      <c r="J1662" s="12" t="s">
        <v>1386</v>
      </c>
      <c r="K1662" s="12"/>
      <c r="L1662" s="12"/>
      <c r="M1662" s="12" t="s">
        <v>4846</v>
      </c>
      <c r="N1662" s="12"/>
      <c r="O1662" s="12" t="s">
        <v>4847</v>
      </c>
      <c r="P1662" s="12" t="str">
        <f>HYPERLINK("https://ceds.ed.gov/cedselementdetails.aspx?termid=9213")</f>
        <v>https://ceds.ed.gov/cedselementdetails.aspx?termid=9213</v>
      </c>
      <c r="Q1662" s="12" t="str">
        <f>HYPERLINK("https://ceds.ed.gov/elementComment.aspx?elementName=Position Title &amp;elementID=9213", "Click here to submit comment")</f>
        <v>Click here to submit comment</v>
      </c>
    </row>
    <row r="1663" spans="1:17" ht="90" x14ac:dyDescent="0.25">
      <c r="A1663" s="12" t="s">
        <v>7242</v>
      </c>
      <c r="B1663" s="12" t="s">
        <v>7277</v>
      </c>
      <c r="C1663" s="12" t="s">
        <v>7236</v>
      </c>
      <c r="D1663" s="12" t="s">
        <v>7176</v>
      </c>
      <c r="E1663" s="12" t="s">
        <v>4934</v>
      </c>
      <c r="F1663" s="12" t="s">
        <v>4935</v>
      </c>
      <c r="G1663" s="12" t="s">
        <v>6364</v>
      </c>
      <c r="H1663" s="12" t="s">
        <v>6369</v>
      </c>
      <c r="I1663" s="12"/>
      <c r="J1663" s="12"/>
      <c r="K1663" s="12"/>
      <c r="L1663" s="12"/>
      <c r="M1663" s="12" t="s">
        <v>4936</v>
      </c>
      <c r="N1663" s="12"/>
      <c r="O1663" s="12" t="s">
        <v>4937</v>
      </c>
      <c r="P1663" s="12" t="str">
        <f>HYPERLINK("https://ceds.ed.gov/cedselementdetails.aspx?termid=9219")</f>
        <v>https://ceds.ed.gov/cedselementdetails.aspx?termid=9219</v>
      </c>
      <c r="Q1663" s="12" t="str">
        <f>HYPERLINK("https://ceds.ed.gov/elementComment.aspx?elementName=Primary Telephone Number Indicator &amp;elementID=9219", "Click here to submit comment")</f>
        <v>Click here to submit comment</v>
      </c>
    </row>
    <row r="1664" spans="1:17" ht="409.5" x14ac:dyDescent="0.25">
      <c r="A1664" s="12" t="s">
        <v>7242</v>
      </c>
      <c r="B1664" s="12" t="s">
        <v>7277</v>
      </c>
      <c r="C1664" s="12" t="s">
        <v>7236</v>
      </c>
      <c r="D1664" s="12" t="s">
        <v>7176</v>
      </c>
      <c r="E1664" s="12" t="s">
        <v>5898</v>
      </c>
      <c r="F1664" s="12" t="s">
        <v>5899</v>
      </c>
      <c r="G1664" s="13" t="s">
        <v>7120</v>
      </c>
      <c r="H1664" s="12" t="s">
        <v>6678</v>
      </c>
      <c r="I1664" s="12"/>
      <c r="J1664" s="12"/>
      <c r="K1664" s="12"/>
      <c r="L1664" s="12"/>
      <c r="M1664" s="12" t="s">
        <v>5900</v>
      </c>
      <c r="N1664" s="12"/>
      <c r="O1664" s="12" t="s">
        <v>5901</v>
      </c>
      <c r="P1664" s="12" t="str">
        <f>HYPERLINK("https://ceds.ed.gov/cedselementdetails.aspx?termid=9267")</f>
        <v>https://ceds.ed.gov/cedselementdetails.aspx?termid=9267</v>
      </c>
      <c r="Q1664" s="12" t="str">
        <f>HYPERLINK("https://ceds.ed.gov/elementComment.aspx?elementName=State Abbreviation &amp;elementID=9267", "Click here to submit comment")</f>
        <v>Click here to submit comment</v>
      </c>
    </row>
    <row r="1665" spans="1:17" ht="90" x14ac:dyDescent="0.25">
      <c r="A1665" s="12" t="s">
        <v>7242</v>
      </c>
      <c r="B1665" s="12" t="s">
        <v>7277</v>
      </c>
      <c r="C1665" s="12" t="s">
        <v>7236</v>
      </c>
      <c r="D1665" s="12" t="s">
        <v>7176</v>
      </c>
      <c r="E1665" s="12" t="s">
        <v>6102</v>
      </c>
      <c r="F1665" s="12" t="s">
        <v>6103</v>
      </c>
      <c r="G1665" s="12" t="s">
        <v>12</v>
      </c>
      <c r="H1665" s="12" t="s">
        <v>6369</v>
      </c>
      <c r="I1665" s="12"/>
      <c r="J1665" s="12" t="s">
        <v>6104</v>
      </c>
      <c r="K1665" s="12"/>
      <c r="L1665" s="12"/>
      <c r="M1665" s="12" t="s">
        <v>6105</v>
      </c>
      <c r="N1665" s="12"/>
      <c r="O1665" s="12" t="s">
        <v>6106</v>
      </c>
      <c r="P1665" s="12" t="str">
        <f>HYPERLINK("https://ceds.ed.gov/cedselementdetails.aspx?termid=9279")</f>
        <v>https://ceds.ed.gov/cedselementdetails.aspx?termid=9279</v>
      </c>
      <c r="Q1665" s="12" t="str">
        <f>HYPERLINK("https://ceds.ed.gov/elementComment.aspx?elementName=Telephone Number &amp;elementID=9279", "Click here to submit comment")</f>
        <v>Click here to submit comment</v>
      </c>
    </row>
    <row r="1666" spans="1:17" ht="90" x14ac:dyDescent="0.25">
      <c r="A1666" s="12" t="s">
        <v>7242</v>
      </c>
      <c r="B1666" s="12" t="s">
        <v>7277</v>
      </c>
      <c r="C1666" s="12" t="s">
        <v>7236</v>
      </c>
      <c r="D1666" s="12" t="s">
        <v>7176</v>
      </c>
      <c r="E1666" s="12" t="s">
        <v>6107</v>
      </c>
      <c r="F1666" s="12" t="s">
        <v>6108</v>
      </c>
      <c r="G1666" s="13" t="s">
        <v>7135</v>
      </c>
      <c r="H1666" s="12" t="s">
        <v>6369</v>
      </c>
      <c r="I1666" s="12"/>
      <c r="J1666" s="12" t="s">
        <v>1950</v>
      </c>
      <c r="K1666" s="12"/>
      <c r="L1666" s="12"/>
      <c r="M1666" s="12" t="s">
        <v>6109</v>
      </c>
      <c r="N1666" s="12"/>
      <c r="O1666" s="12" t="s">
        <v>6110</v>
      </c>
      <c r="P1666" s="12" t="str">
        <f>HYPERLINK("https://ceds.ed.gov/cedselementdetails.aspx?termid=9280")</f>
        <v>https://ceds.ed.gov/cedselementdetails.aspx?termid=9280</v>
      </c>
      <c r="Q1666" s="12" t="str">
        <f>HYPERLINK("https://ceds.ed.gov/elementComment.aspx?elementName=Telephone Number Type &amp;elementID=9280", "Click here to submit comment")</f>
        <v>Click here to submit comment</v>
      </c>
    </row>
    <row r="1667" spans="1:17" ht="60" x14ac:dyDescent="0.25">
      <c r="A1667" s="12" t="s">
        <v>7242</v>
      </c>
      <c r="B1667" s="12" t="s">
        <v>7277</v>
      </c>
      <c r="C1667" s="12" t="s">
        <v>7236</v>
      </c>
      <c r="D1667" s="12" t="s">
        <v>7176</v>
      </c>
      <c r="E1667" s="12" t="s">
        <v>6208</v>
      </c>
      <c r="F1667" s="12" t="s">
        <v>6209</v>
      </c>
      <c r="G1667" s="12" t="s">
        <v>12</v>
      </c>
      <c r="H1667" s="12"/>
      <c r="I1667" s="12"/>
      <c r="J1667" s="12" t="s">
        <v>794</v>
      </c>
      <c r="K1667" s="12"/>
      <c r="L1667" s="12"/>
      <c r="M1667" s="12" t="s">
        <v>6210</v>
      </c>
      <c r="N1667" s="12"/>
      <c r="O1667" s="12" t="s">
        <v>6211</v>
      </c>
      <c r="P1667" s="12" t="str">
        <f>HYPERLINK("https://ceds.ed.gov/cedselementdetails.aspx?termid=10609")</f>
        <v>https://ceds.ed.gov/cedselementdetails.aspx?termid=10609</v>
      </c>
      <c r="Q1667" s="12" t="str">
        <f>HYPERLINK("https://ceds.ed.gov/elementComment.aspx?elementName=Training and Technical Assistance Level &amp;elementID=10609", "Click here to submit comment")</f>
        <v>Click here to submit comment</v>
      </c>
    </row>
    <row r="1668" spans="1:17" ht="45" x14ac:dyDescent="0.25">
      <c r="A1668" s="12" t="s">
        <v>7242</v>
      </c>
      <c r="B1668" s="12" t="s">
        <v>7277</v>
      </c>
      <c r="C1668" s="12" t="s">
        <v>7237</v>
      </c>
      <c r="D1668" s="12" t="s">
        <v>7172</v>
      </c>
      <c r="E1668" s="12" t="s">
        <v>4951</v>
      </c>
      <c r="F1668" s="12" t="s">
        <v>4952</v>
      </c>
      <c r="G1668" s="12" t="s">
        <v>12</v>
      </c>
      <c r="H1668" s="12"/>
      <c r="I1668" s="12"/>
      <c r="J1668" s="12" t="s">
        <v>92</v>
      </c>
      <c r="K1668" s="12"/>
      <c r="L1668" s="12"/>
      <c r="M1668" s="12" t="s">
        <v>4953</v>
      </c>
      <c r="N1668" s="12"/>
      <c r="O1668" s="12" t="s">
        <v>4954</v>
      </c>
      <c r="P1668" s="12" t="str">
        <f>HYPERLINK("https://ceds.ed.gov/cedselementdetails.aspx?termid=10402")</f>
        <v>https://ceds.ed.gov/cedselementdetails.aspx?termid=10402</v>
      </c>
      <c r="Q1668" s="12" t="str">
        <f>HYPERLINK("https://ceds.ed.gov/elementComment.aspx?elementName=Professional Development Activity Approval Code &amp;elementID=10402", "Click here to submit comment")</f>
        <v>Click here to submit comment</v>
      </c>
    </row>
    <row r="1669" spans="1:17" ht="90" x14ac:dyDescent="0.25">
      <c r="A1669" s="12" t="s">
        <v>7242</v>
      </c>
      <c r="B1669" s="12" t="s">
        <v>7277</v>
      </c>
      <c r="C1669" s="12" t="s">
        <v>7237</v>
      </c>
      <c r="D1669" s="12" t="s">
        <v>7172</v>
      </c>
      <c r="E1669" s="12" t="s">
        <v>4955</v>
      </c>
      <c r="F1669" s="12" t="s">
        <v>4956</v>
      </c>
      <c r="G1669" s="13" t="s">
        <v>7065</v>
      </c>
      <c r="H1669" s="12"/>
      <c r="I1669" s="12"/>
      <c r="J1669" s="12"/>
      <c r="K1669" s="12"/>
      <c r="L1669" s="12"/>
      <c r="M1669" s="12" t="s">
        <v>4957</v>
      </c>
      <c r="N1669" s="12"/>
      <c r="O1669" s="12" t="s">
        <v>4958</v>
      </c>
      <c r="P1669" s="12" t="str">
        <f>HYPERLINK("https://ceds.ed.gov/cedselementdetails.aspx?termid=10403")</f>
        <v>https://ceds.ed.gov/cedselementdetails.aspx?termid=10403</v>
      </c>
      <c r="Q1669" s="12" t="str">
        <f>HYPERLINK("https://ceds.ed.gov/elementComment.aspx?elementName=Professional Development Activity Approved Purpose &amp;elementID=10403", "Click here to submit comment")</f>
        <v>Click here to submit comment</v>
      </c>
    </row>
    <row r="1670" spans="1:17" ht="75" x14ac:dyDescent="0.25">
      <c r="A1670" s="12" t="s">
        <v>7242</v>
      </c>
      <c r="B1670" s="12" t="s">
        <v>7277</v>
      </c>
      <c r="C1670" s="12" t="s">
        <v>7237</v>
      </c>
      <c r="D1670" s="12" t="s">
        <v>7172</v>
      </c>
      <c r="E1670" s="12" t="s">
        <v>4959</v>
      </c>
      <c r="F1670" s="12" t="s">
        <v>4960</v>
      </c>
      <c r="G1670" s="12" t="s">
        <v>12</v>
      </c>
      <c r="H1670" s="12"/>
      <c r="I1670" s="12"/>
      <c r="J1670" s="12" t="s">
        <v>92</v>
      </c>
      <c r="K1670" s="12"/>
      <c r="L1670" s="12"/>
      <c r="M1670" s="12" t="s">
        <v>4961</v>
      </c>
      <c r="N1670" s="12"/>
      <c r="O1670" s="12" t="s">
        <v>4962</v>
      </c>
      <c r="P1670" s="12" t="str">
        <f>HYPERLINK("https://ceds.ed.gov/cedselementdetails.aspx?termid=10404")</f>
        <v>https://ceds.ed.gov/cedselementdetails.aspx?termid=10404</v>
      </c>
      <c r="Q1670" s="12" t="str">
        <f>HYPERLINK("https://ceds.ed.gov/elementComment.aspx?elementName=Professional Development Activity Code &amp;elementID=10404", "Click here to submit comment")</f>
        <v>Click here to submit comment</v>
      </c>
    </row>
    <row r="1671" spans="1:17" ht="30" x14ac:dyDescent="0.25">
      <c r="A1671" s="12" t="s">
        <v>7242</v>
      </c>
      <c r="B1671" s="12" t="s">
        <v>7277</v>
      </c>
      <c r="C1671" s="12" t="s">
        <v>7237</v>
      </c>
      <c r="D1671" s="12" t="s">
        <v>7172</v>
      </c>
      <c r="E1671" s="12" t="s">
        <v>4963</v>
      </c>
      <c r="F1671" s="12" t="s">
        <v>4964</v>
      </c>
      <c r="G1671" s="12" t="s">
        <v>12</v>
      </c>
      <c r="H1671" s="12"/>
      <c r="I1671" s="12"/>
      <c r="J1671" s="12" t="s">
        <v>1554</v>
      </c>
      <c r="K1671" s="12"/>
      <c r="L1671" s="12"/>
      <c r="M1671" s="12" t="s">
        <v>4965</v>
      </c>
      <c r="N1671" s="12"/>
      <c r="O1671" s="12" t="s">
        <v>4966</v>
      </c>
      <c r="P1671" s="12" t="str">
        <f>HYPERLINK("https://ceds.ed.gov/cedselementdetails.aspx?termid=10405")</f>
        <v>https://ceds.ed.gov/cedselementdetails.aspx?termid=10405</v>
      </c>
      <c r="Q1671" s="12" t="str">
        <f>HYPERLINK("https://ceds.ed.gov/elementComment.aspx?elementName=Professional Development Activity Cost &amp;elementID=10405", "Click here to submit comment")</f>
        <v>Click here to submit comment</v>
      </c>
    </row>
    <row r="1672" spans="1:17" ht="75" x14ac:dyDescent="0.25">
      <c r="A1672" s="12" t="s">
        <v>7242</v>
      </c>
      <c r="B1672" s="12" t="s">
        <v>7277</v>
      </c>
      <c r="C1672" s="12" t="s">
        <v>7237</v>
      </c>
      <c r="D1672" s="12" t="s">
        <v>7172</v>
      </c>
      <c r="E1672" s="12" t="s">
        <v>4967</v>
      </c>
      <c r="F1672" s="12" t="s">
        <v>4968</v>
      </c>
      <c r="G1672" s="13" t="s">
        <v>7066</v>
      </c>
      <c r="H1672" s="12"/>
      <c r="I1672" s="12"/>
      <c r="J1672" s="12"/>
      <c r="K1672" s="12"/>
      <c r="L1672" s="12"/>
      <c r="M1672" s="12" t="s">
        <v>4969</v>
      </c>
      <c r="N1672" s="12"/>
      <c r="O1672" s="12" t="s">
        <v>4970</v>
      </c>
      <c r="P1672" s="12" t="str">
        <f>HYPERLINK("https://ceds.ed.gov/cedselementdetails.aspx?termid=10406")</f>
        <v>https://ceds.ed.gov/cedselementdetails.aspx?termid=10406</v>
      </c>
      <c r="Q1672" s="12" t="str">
        <f>HYPERLINK("https://ceds.ed.gov/elementComment.aspx?elementName=Professional Development Activity Credit Type &amp;elementID=10406", "Click here to submit comment")</f>
        <v>Click here to submit comment</v>
      </c>
    </row>
    <row r="1673" spans="1:17" ht="30" x14ac:dyDescent="0.25">
      <c r="A1673" s="12" t="s">
        <v>7242</v>
      </c>
      <c r="B1673" s="12" t="s">
        <v>7277</v>
      </c>
      <c r="C1673" s="12" t="s">
        <v>7237</v>
      </c>
      <c r="D1673" s="12" t="s">
        <v>7172</v>
      </c>
      <c r="E1673" s="12" t="s">
        <v>4971</v>
      </c>
      <c r="F1673" s="12" t="s">
        <v>4972</v>
      </c>
      <c r="G1673" s="12" t="s">
        <v>12</v>
      </c>
      <c r="H1673" s="12"/>
      <c r="I1673" s="12"/>
      <c r="J1673" s="12" t="s">
        <v>1554</v>
      </c>
      <c r="K1673" s="12"/>
      <c r="L1673" s="12"/>
      <c r="M1673" s="12" t="s">
        <v>4973</v>
      </c>
      <c r="N1673" s="12"/>
      <c r="O1673" s="12" t="s">
        <v>4974</v>
      </c>
      <c r="P1673" s="12" t="str">
        <f>HYPERLINK("https://ceds.ed.gov/cedselementdetails.aspx?termid=10407")</f>
        <v>https://ceds.ed.gov/cedselementdetails.aspx?termid=10407</v>
      </c>
      <c r="Q1673" s="12" t="str">
        <f>HYPERLINK("https://ceds.ed.gov/elementComment.aspx?elementName=Professional Development Activity Credits &amp;elementID=10407", "Click here to submit comment")</f>
        <v>Click here to submit comment</v>
      </c>
    </row>
    <row r="1674" spans="1:17" ht="30" x14ac:dyDescent="0.25">
      <c r="A1674" s="12" t="s">
        <v>7242</v>
      </c>
      <c r="B1674" s="12" t="s">
        <v>7277</v>
      </c>
      <c r="C1674" s="12" t="s">
        <v>7237</v>
      </c>
      <c r="D1674" s="12" t="s">
        <v>7172</v>
      </c>
      <c r="E1674" s="12" t="s">
        <v>4975</v>
      </c>
      <c r="F1674" s="12" t="s">
        <v>4976</v>
      </c>
      <c r="G1674" s="12" t="s">
        <v>12</v>
      </c>
      <c r="H1674" s="12"/>
      <c r="I1674" s="12"/>
      <c r="J1674" s="12" t="s">
        <v>327</v>
      </c>
      <c r="K1674" s="12"/>
      <c r="L1674" s="12"/>
      <c r="M1674" s="12" t="s">
        <v>4977</v>
      </c>
      <c r="N1674" s="12"/>
      <c r="O1674" s="12" t="s">
        <v>4978</v>
      </c>
      <c r="P1674" s="12" t="str">
        <f>HYPERLINK("https://ceds.ed.gov/cedselementdetails.aspx?termid=10408")</f>
        <v>https://ceds.ed.gov/cedselementdetails.aspx?termid=10408</v>
      </c>
      <c r="Q1674" s="12" t="str">
        <f>HYPERLINK("https://ceds.ed.gov/elementComment.aspx?elementName=Professional Development Activity Description &amp;elementID=10408", "Click here to submit comment")</f>
        <v>Click here to submit comment</v>
      </c>
    </row>
    <row r="1675" spans="1:17" ht="409.5" x14ac:dyDescent="0.25">
      <c r="A1675" s="12" t="s">
        <v>7242</v>
      </c>
      <c r="B1675" s="12" t="s">
        <v>7277</v>
      </c>
      <c r="C1675" s="12" t="s">
        <v>7237</v>
      </c>
      <c r="D1675" s="12" t="s">
        <v>7172</v>
      </c>
      <c r="E1675" s="12" t="s">
        <v>4979</v>
      </c>
      <c r="F1675" s="12" t="s">
        <v>4980</v>
      </c>
      <c r="G1675" s="13" t="s">
        <v>7067</v>
      </c>
      <c r="H1675" s="12"/>
      <c r="I1675" s="12"/>
      <c r="J1675" s="12"/>
      <c r="K1675" s="12"/>
      <c r="L1675" s="12" t="s">
        <v>4981</v>
      </c>
      <c r="M1675" s="12" t="s">
        <v>4982</v>
      </c>
      <c r="N1675" s="12"/>
      <c r="O1675" s="12" t="s">
        <v>4983</v>
      </c>
      <c r="P1675" s="12" t="str">
        <f>HYPERLINK("https://ceds.ed.gov/cedselementdetails.aspx?termid=10245")</f>
        <v>https://ceds.ed.gov/cedselementdetails.aspx?termid=10245</v>
      </c>
      <c r="Q1675" s="12" t="str">
        <f>HYPERLINK("https://ceds.ed.gov/elementComment.aspx?elementName=Professional Development Activity Education Levels Addressed &amp;elementID=10245", "Click here to submit comment")</f>
        <v>Click here to submit comment</v>
      </c>
    </row>
    <row r="1676" spans="1:17" ht="60" x14ac:dyDescent="0.25">
      <c r="A1676" s="12" t="s">
        <v>7242</v>
      </c>
      <c r="B1676" s="12" t="s">
        <v>7277</v>
      </c>
      <c r="C1676" s="12" t="s">
        <v>7237</v>
      </c>
      <c r="D1676" s="12" t="s">
        <v>7172</v>
      </c>
      <c r="E1676" s="12" t="s">
        <v>4984</v>
      </c>
      <c r="F1676" s="12" t="s">
        <v>4985</v>
      </c>
      <c r="G1676" s="12" t="s">
        <v>12</v>
      </c>
      <c r="H1676" s="12"/>
      <c r="I1676" s="12"/>
      <c r="J1676" s="12" t="s">
        <v>73</v>
      </c>
      <c r="K1676" s="12"/>
      <c r="L1676" s="12"/>
      <c r="M1676" s="12" t="s">
        <v>4986</v>
      </c>
      <c r="N1676" s="12"/>
      <c r="O1676" s="12" t="s">
        <v>4987</v>
      </c>
      <c r="P1676" s="12" t="str">
        <f>HYPERLINK("https://ceds.ed.gov/cedselementdetails.aspx?termid=10421")</f>
        <v>https://ceds.ed.gov/cedselementdetails.aspx?termid=10421</v>
      </c>
      <c r="Q1676" s="12" t="str">
        <f>HYPERLINK("https://ceds.ed.gov/elementComment.aspx?elementName=Professional Development Activity Expiration Date &amp;elementID=10421", "Click here to submit comment")</f>
        <v>Click here to submit comment</v>
      </c>
    </row>
    <row r="1677" spans="1:17" ht="105" x14ac:dyDescent="0.25">
      <c r="A1677" s="12" t="s">
        <v>7242</v>
      </c>
      <c r="B1677" s="12" t="s">
        <v>7277</v>
      </c>
      <c r="C1677" s="12" t="s">
        <v>7237</v>
      </c>
      <c r="D1677" s="12" t="s">
        <v>7172</v>
      </c>
      <c r="E1677" s="12" t="s">
        <v>4988</v>
      </c>
      <c r="F1677" s="12" t="s">
        <v>4989</v>
      </c>
      <c r="G1677" s="12" t="s">
        <v>12</v>
      </c>
      <c r="H1677" s="12" t="s">
        <v>205</v>
      </c>
      <c r="I1677" s="12"/>
      <c r="J1677" s="12" t="s">
        <v>142</v>
      </c>
      <c r="K1677" s="12"/>
      <c r="L1677" s="12" t="s">
        <v>143</v>
      </c>
      <c r="M1677" s="12" t="s">
        <v>4990</v>
      </c>
      <c r="N1677" s="12"/>
      <c r="O1677" s="12" t="s">
        <v>4991</v>
      </c>
      <c r="P1677" s="12" t="str">
        <f>HYPERLINK("https://ceds.ed.gov/cedselementdetails.aspx?termid=9808")</f>
        <v>https://ceds.ed.gov/cedselementdetails.aspx?termid=9808</v>
      </c>
      <c r="Q1677" s="12" t="str">
        <f>HYPERLINK("https://ceds.ed.gov/elementComment.aspx?elementName=Professional Development Activity Identifier &amp;elementID=9808", "Click here to submit comment")</f>
        <v>Click here to submit comment</v>
      </c>
    </row>
    <row r="1678" spans="1:17" ht="60" x14ac:dyDescent="0.25">
      <c r="A1678" s="12" t="s">
        <v>7242</v>
      </c>
      <c r="B1678" s="12" t="s">
        <v>7277</v>
      </c>
      <c r="C1678" s="12" t="s">
        <v>7237</v>
      </c>
      <c r="D1678" s="12" t="s">
        <v>7172</v>
      </c>
      <c r="E1678" s="12" t="s">
        <v>4992</v>
      </c>
      <c r="F1678" s="12" t="s">
        <v>4993</v>
      </c>
      <c r="G1678" s="13" t="s">
        <v>7068</v>
      </c>
      <c r="H1678" s="12"/>
      <c r="I1678" s="12"/>
      <c r="J1678" s="12"/>
      <c r="K1678" s="12"/>
      <c r="L1678" s="12"/>
      <c r="M1678" s="12" t="s">
        <v>4994</v>
      </c>
      <c r="N1678" s="12"/>
      <c r="O1678" s="12" t="s">
        <v>4995</v>
      </c>
      <c r="P1678" s="12" t="str">
        <f>HYPERLINK("https://ceds.ed.gov/cedselementdetails.aspx?termid=10409")</f>
        <v>https://ceds.ed.gov/cedselementdetails.aspx?termid=10409</v>
      </c>
      <c r="Q1678" s="12" t="str">
        <f>HYPERLINK("https://ceds.ed.gov/elementComment.aspx?elementName=Professional Development Activity Level &amp;elementID=10409", "Click here to submit comment")</f>
        <v>Click here to submit comment</v>
      </c>
    </row>
    <row r="1679" spans="1:17" ht="30" x14ac:dyDescent="0.25">
      <c r="A1679" s="12" t="s">
        <v>7242</v>
      </c>
      <c r="B1679" s="12" t="s">
        <v>7277</v>
      </c>
      <c r="C1679" s="12" t="s">
        <v>7237</v>
      </c>
      <c r="D1679" s="12" t="s">
        <v>7172</v>
      </c>
      <c r="E1679" s="12" t="s">
        <v>4996</v>
      </c>
      <c r="F1679" s="12" t="s">
        <v>4997</v>
      </c>
      <c r="G1679" s="12" t="s">
        <v>12</v>
      </c>
      <c r="H1679" s="12"/>
      <c r="I1679" s="12"/>
      <c r="J1679" s="12" t="s">
        <v>327</v>
      </c>
      <c r="K1679" s="12"/>
      <c r="L1679" s="12"/>
      <c r="M1679" s="12" t="s">
        <v>4998</v>
      </c>
      <c r="N1679" s="12"/>
      <c r="O1679" s="12" t="s">
        <v>4999</v>
      </c>
      <c r="P1679" s="12" t="str">
        <f>HYPERLINK("https://ceds.ed.gov/cedselementdetails.aspx?termid=10410")</f>
        <v>https://ceds.ed.gov/cedselementdetails.aspx?termid=10410</v>
      </c>
      <c r="Q1679" s="12" t="str">
        <f>HYPERLINK("https://ceds.ed.gov/elementComment.aspx?elementName=Professional Development Activity Objective &amp;elementID=10410", "Click here to submit comment")</f>
        <v>Click here to submit comment</v>
      </c>
    </row>
    <row r="1680" spans="1:17" ht="409.5" x14ac:dyDescent="0.25">
      <c r="A1680" s="12" t="s">
        <v>7242</v>
      </c>
      <c r="B1680" s="12" t="s">
        <v>7277</v>
      </c>
      <c r="C1680" s="12" t="s">
        <v>7237</v>
      </c>
      <c r="D1680" s="12" t="s">
        <v>7172</v>
      </c>
      <c r="E1680" s="12" t="s">
        <v>5005</v>
      </c>
      <c r="F1680" s="12" t="s">
        <v>5006</v>
      </c>
      <c r="G1680" s="13" t="s">
        <v>7069</v>
      </c>
      <c r="H1680" s="12"/>
      <c r="I1680" s="12"/>
      <c r="J1680" s="12"/>
      <c r="K1680" s="12"/>
      <c r="L1680" s="12"/>
      <c r="M1680" s="12" t="s">
        <v>5007</v>
      </c>
      <c r="N1680" s="12"/>
      <c r="O1680" s="12" t="s">
        <v>5008</v>
      </c>
      <c r="P1680" s="12" t="str">
        <f>HYPERLINK("https://ceds.ed.gov/cedselementdetails.aspx?termid=10464")</f>
        <v>https://ceds.ed.gov/cedselementdetails.aspx?termid=10464</v>
      </c>
      <c r="Q1680" s="12" t="str">
        <f>HYPERLINK("https://ceds.ed.gov/elementComment.aspx?elementName=Professional Development Activity Target Audience &amp;elementID=10464", "Click here to submit comment")</f>
        <v>Click here to submit comment</v>
      </c>
    </row>
    <row r="1681" spans="1:17" ht="45" x14ac:dyDescent="0.25">
      <c r="A1681" s="12" t="s">
        <v>7242</v>
      </c>
      <c r="B1681" s="12" t="s">
        <v>7277</v>
      </c>
      <c r="C1681" s="12" t="s">
        <v>7237</v>
      </c>
      <c r="D1681" s="12" t="s">
        <v>7172</v>
      </c>
      <c r="E1681" s="12" t="s">
        <v>5009</v>
      </c>
      <c r="F1681" s="12" t="s">
        <v>5010</v>
      </c>
      <c r="G1681" s="12" t="s">
        <v>12</v>
      </c>
      <c r="H1681" s="12" t="s">
        <v>205</v>
      </c>
      <c r="I1681" s="12"/>
      <c r="J1681" s="12" t="s">
        <v>99</v>
      </c>
      <c r="K1681" s="12"/>
      <c r="L1681" s="12"/>
      <c r="M1681" s="12" t="s">
        <v>5011</v>
      </c>
      <c r="N1681" s="12"/>
      <c r="O1681" s="12" t="s">
        <v>5012</v>
      </c>
      <c r="P1681" s="12" t="str">
        <f>HYPERLINK("https://ceds.ed.gov/cedselementdetails.aspx?termid=9809")</f>
        <v>https://ceds.ed.gov/cedselementdetails.aspx?termid=9809</v>
      </c>
      <c r="Q1681" s="12" t="str">
        <f>HYPERLINK("https://ceds.ed.gov/elementComment.aspx?elementName=Professional Development Activity Title &amp;elementID=9809", "Click here to submit comment")</f>
        <v>Click here to submit comment</v>
      </c>
    </row>
    <row r="1682" spans="1:17" ht="210" x14ac:dyDescent="0.25">
      <c r="A1682" s="12" t="s">
        <v>7242</v>
      </c>
      <c r="B1682" s="12" t="s">
        <v>7277</v>
      </c>
      <c r="C1682" s="12" t="s">
        <v>7237</v>
      </c>
      <c r="D1682" s="12" t="s">
        <v>7172</v>
      </c>
      <c r="E1682" s="12" t="s">
        <v>5013</v>
      </c>
      <c r="F1682" s="12" t="s">
        <v>5014</v>
      </c>
      <c r="G1682" s="13" t="s">
        <v>7070</v>
      </c>
      <c r="H1682" s="12"/>
      <c r="I1682" s="12"/>
      <c r="J1682" s="12"/>
      <c r="K1682" s="12"/>
      <c r="L1682" s="12" t="s">
        <v>5015</v>
      </c>
      <c r="M1682" s="12" t="s">
        <v>5016</v>
      </c>
      <c r="N1682" s="12"/>
      <c r="O1682" s="12" t="s">
        <v>5017</v>
      </c>
      <c r="P1682" s="12" t="str">
        <f>HYPERLINK("https://ceds.ed.gov/cedselementdetails.aspx?termid=10412")</f>
        <v>https://ceds.ed.gov/cedselementdetails.aspx?termid=10412</v>
      </c>
      <c r="Q1682" s="12" t="str">
        <f>HYPERLINK("https://ceds.ed.gov/elementComment.aspx?elementName=Professional Development Activity Type &amp;elementID=10412", "Click here to submit comment")</f>
        <v>Click here to submit comment</v>
      </c>
    </row>
    <row r="1683" spans="1:17" ht="90" x14ac:dyDescent="0.25">
      <c r="A1683" s="12" t="s">
        <v>7242</v>
      </c>
      <c r="B1683" s="12" t="s">
        <v>7277</v>
      </c>
      <c r="C1683" s="12" t="s">
        <v>7237</v>
      </c>
      <c r="D1683" s="12" t="s">
        <v>7172</v>
      </c>
      <c r="E1683" s="12" t="s">
        <v>5083</v>
      </c>
      <c r="F1683" s="12" t="s">
        <v>5084</v>
      </c>
      <c r="G1683" s="14" t="s">
        <v>999</v>
      </c>
      <c r="H1683" s="12"/>
      <c r="I1683" s="12" t="s">
        <v>98</v>
      </c>
      <c r="J1683" s="12"/>
      <c r="K1683" s="12"/>
      <c r="L1683" s="14" t="s">
        <v>1000</v>
      </c>
      <c r="M1683" s="12" t="s">
        <v>5085</v>
      </c>
      <c r="N1683" s="12"/>
      <c r="O1683" s="12" t="s">
        <v>5086</v>
      </c>
      <c r="P1683" s="12" t="str">
        <f>HYPERLINK("https://ceds.ed.gov/cedselementdetails.aspx?termid=10357")</f>
        <v>https://ceds.ed.gov/cedselementdetails.aspx?termid=10357</v>
      </c>
      <c r="Q1683" s="12" t="str">
        <f>HYPERLINK("https://ceds.ed.gov/elementComment.aspx?elementName=Professional Development Session Language &amp;elementID=10357", "Click here to submit comment")</f>
        <v>Click here to submit comment</v>
      </c>
    </row>
    <row r="1684" spans="1:17" ht="75" x14ac:dyDescent="0.25">
      <c r="A1684" s="12" t="s">
        <v>7242</v>
      </c>
      <c r="B1684" s="12" t="s">
        <v>7277</v>
      </c>
      <c r="C1684" s="12" t="s">
        <v>7238</v>
      </c>
      <c r="D1684" s="12" t="s">
        <v>7172</v>
      </c>
      <c r="E1684" s="12" t="s">
        <v>5022</v>
      </c>
      <c r="F1684" s="12" t="s">
        <v>5023</v>
      </c>
      <c r="G1684" s="13" t="s">
        <v>7071</v>
      </c>
      <c r="H1684" s="12"/>
      <c r="I1684" s="12"/>
      <c r="J1684" s="12"/>
      <c r="K1684" s="12"/>
      <c r="L1684" s="12"/>
      <c r="M1684" s="12" t="s">
        <v>5024</v>
      </c>
      <c r="N1684" s="12"/>
      <c r="O1684" s="12" t="s">
        <v>5025</v>
      </c>
      <c r="P1684" s="12" t="str">
        <f>HYPERLINK("https://ceds.ed.gov/cedselementdetails.aspx?termid=10401")</f>
        <v>https://ceds.ed.gov/cedselementdetails.aspx?termid=10401</v>
      </c>
      <c r="Q1684" s="12" t="str">
        <f>HYPERLINK("https://ceds.ed.gov/elementComment.aspx?elementName=Professional Development Delivery Method &amp;elementID=10401", "Click here to submit comment")</f>
        <v>Click here to submit comment</v>
      </c>
    </row>
    <row r="1685" spans="1:17" ht="30" x14ac:dyDescent="0.25">
      <c r="A1685" s="12" t="s">
        <v>7242</v>
      </c>
      <c r="B1685" s="12" t="s">
        <v>7277</v>
      </c>
      <c r="C1685" s="12" t="s">
        <v>7238</v>
      </c>
      <c r="D1685" s="12" t="s">
        <v>7172</v>
      </c>
      <c r="E1685" s="12" t="s">
        <v>5030</v>
      </c>
      <c r="F1685" s="12" t="s">
        <v>5031</v>
      </c>
      <c r="G1685" s="12" t="s">
        <v>12</v>
      </c>
      <c r="H1685" s="12"/>
      <c r="I1685" s="12"/>
      <c r="J1685" s="12" t="s">
        <v>92</v>
      </c>
      <c r="K1685" s="12"/>
      <c r="L1685" s="12"/>
      <c r="M1685" s="12" t="s">
        <v>5032</v>
      </c>
      <c r="N1685" s="12"/>
      <c r="O1685" s="12" t="s">
        <v>5033</v>
      </c>
      <c r="P1685" s="12" t="str">
        <f>HYPERLINK("https://ceds.ed.gov/cedselementdetails.aspx?termid=10413")</f>
        <v>https://ceds.ed.gov/cedselementdetails.aspx?termid=10413</v>
      </c>
      <c r="Q1685" s="12" t="str">
        <f>HYPERLINK("https://ceds.ed.gov/elementComment.aspx?elementName=Professional Development Funding Source &amp;elementID=10413", "Click here to submit comment")</f>
        <v>Click here to submit comment</v>
      </c>
    </row>
    <row r="1686" spans="1:17" ht="180" x14ac:dyDescent="0.25">
      <c r="A1686" s="12" t="s">
        <v>7242</v>
      </c>
      <c r="B1686" s="12" t="s">
        <v>7277</v>
      </c>
      <c r="C1686" s="12" t="s">
        <v>7238</v>
      </c>
      <c r="D1686" s="12" t="s">
        <v>7172</v>
      </c>
      <c r="E1686" s="12" t="s">
        <v>5034</v>
      </c>
      <c r="F1686" s="12" t="s">
        <v>5035</v>
      </c>
      <c r="G1686" s="13" t="s">
        <v>7073</v>
      </c>
      <c r="H1686" s="12"/>
      <c r="I1686" s="12"/>
      <c r="J1686" s="12"/>
      <c r="K1686" s="12"/>
      <c r="L1686" s="12"/>
      <c r="M1686" s="12" t="s">
        <v>5036</v>
      </c>
      <c r="N1686" s="12"/>
      <c r="O1686" s="12" t="s">
        <v>5037</v>
      </c>
      <c r="P1686" s="12" t="str">
        <f>HYPERLINK("https://ceds.ed.gov/cedselementdetails.aspx?termid=10429")</f>
        <v>https://ceds.ed.gov/cedselementdetails.aspx?termid=10429</v>
      </c>
      <c r="Q1686" s="12" t="str">
        <f>HYPERLINK("https://ceds.ed.gov/elementComment.aspx?elementName=Professional Development Instructional Delivery Mode &amp;elementID=10429", "Click here to submit comment")</f>
        <v>Click here to submit comment</v>
      </c>
    </row>
    <row r="1687" spans="1:17" ht="105" x14ac:dyDescent="0.25">
      <c r="A1687" s="18" t="s">
        <v>7242</v>
      </c>
      <c r="B1687" s="18" t="s">
        <v>7277</v>
      </c>
      <c r="C1687" s="18" t="s">
        <v>7238</v>
      </c>
      <c r="D1687" s="18" t="s">
        <v>7172</v>
      </c>
      <c r="E1687" s="18" t="s">
        <v>5038</v>
      </c>
      <c r="F1687" s="18" t="s">
        <v>5039</v>
      </c>
      <c r="G1687" s="18" t="s">
        <v>12</v>
      </c>
      <c r="H1687" s="18"/>
      <c r="I1687" s="18"/>
      <c r="J1687" s="18" t="s">
        <v>142</v>
      </c>
      <c r="K1687" s="18"/>
      <c r="L1687" s="12" t="s">
        <v>143</v>
      </c>
      <c r="M1687" s="18" t="s">
        <v>5040</v>
      </c>
      <c r="N1687" s="18"/>
      <c r="O1687" s="18" t="s">
        <v>5041</v>
      </c>
      <c r="P1687" s="18" t="str">
        <f>HYPERLINK("https://ceds.ed.gov/cedselementdetails.aspx?termid=10414")</f>
        <v>https://ceds.ed.gov/cedselementdetails.aspx?termid=10414</v>
      </c>
      <c r="Q1687" s="18" t="str">
        <f>HYPERLINK("https://ceds.ed.gov/elementComment.aspx?elementName=Professional Development Instructor Identifier &amp;elementID=10414", "Click here to submit comment")</f>
        <v>Click here to submit comment</v>
      </c>
    </row>
    <row r="1688" spans="1:17" x14ac:dyDescent="0.25">
      <c r="A1688" s="18"/>
      <c r="B1688" s="18"/>
      <c r="C1688" s="18"/>
      <c r="D1688" s="18"/>
      <c r="E1688" s="18"/>
      <c r="F1688" s="18"/>
      <c r="G1688" s="18"/>
      <c r="H1688" s="18"/>
      <c r="I1688" s="18"/>
      <c r="J1688" s="18"/>
      <c r="K1688" s="18"/>
      <c r="L1688" s="12"/>
      <c r="M1688" s="18"/>
      <c r="N1688" s="18"/>
      <c r="O1688" s="18"/>
      <c r="P1688" s="18"/>
      <c r="Q1688" s="18"/>
    </row>
    <row r="1689" spans="1:17" ht="90" x14ac:dyDescent="0.25">
      <c r="A1689" s="18"/>
      <c r="B1689" s="18"/>
      <c r="C1689" s="18"/>
      <c r="D1689" s="18"/>
      <c r="E1689" s="18"/>
      <c r="F1689" s="18"/>
      <c r="G1689" s="18"/>
      <c r="H1689" s="18"/>
      <c r="I1689" s="18"/>
      <c r="J1689" s="18"/>
      <c r="K1689" s="18"/>
      <c r="L1689" s="12" t="s">
        <v>144</v>
      </c>
      <c r="M1689" s="18"/>
      <c r="N1689" s="18"/>
      <c r="O1689" s="18"/>
      <c r="P1689" s="18"/>
      <c r="Q1689" s="18"/>
    </row>
    <row r="1690" spans="1:17" ht="45" x14ac:dyDescent="0.25">
      <c r="A1690" s="12" t="s">
        <v>7242</v>
      </c>
      <c r="B1690" s="12" t="s">
        <v>7277</v>
      </c>
      <c r="C1690" s="12" t="s">
        <v>7238</v>
      </c>
      <c r="D1690" s="12" t="s">
        <v>7172</v>
      </c>
      <c r="E1690" s="12" t="s">
        <v>5058</v>
      </c>
      <c r="F1690" s="12" t="s">
        <v>5059</v>
      </c>
      <c r="G1690" s="12" t="s">
        <v>12</v>
      </c>
      <c r="H1690" s="12"/>
      <c r="I1690" s="12"/>
      <c r="J1690" s="12" t="s">
        <v>620</v>
      </c>
      <c r="K1690" s="12"/>
      <c r="L1690" s="12"/>
      <c r="M1690" s="12" t="s">
        <v>5060</v>
      </c>
      <c r="N1690" s="12"/>
      <c r="O1690" s="12" t="s">
        <v>5061</v>
      </c>
      <c r="P1690" s="12" t="str">
        <f>HYPERLINK("https://ceds.ed.gov/cedselementdetails.aspx?termid=10416")</f>
        <v>https://ceds.ed.gov/cedselementdetails.aspx?termid=10416</v>
      </c>
      <c r="Q1690" s="12" t="str">
        <f>HYPERLINK("https://ceds.ed.gov/elementComment.aspx?elementName=Professional Development Session Capacity &amp;elementID=10416", "Click here to submit comment")</f>
        <v>Click here to submit comment</v>
      </c>
    </row>
    <row r="1691" spans="1:17" ht="30" x14ac:dyDescent="0.25">
      <c r="A1691" s="12" t="s">
        <v>7242</v>
      </c>
      <c r="B1691" s="12" t="s">
        <v>7277</v>
      </c>
      <c r="C1691" s="12" t="s">
        <v>7238</v>
      </c>
      <c r="D1691" s="12" t="s">
        <v>7172</v>
      </c>
      <c r="E1691" s="12" t="s">
        <v>5062</v>
      </c>
      <c r="F1691" s="12" t="s">
        <v>5063</v>
      </c>
      <c r="G1691" s="12" t="s">
        <v>12</v>
      </c>
      <c r="H1691" s="12"/>
      <c r="I1691" s="12"/>
      <c r="J1691" s="12" t="s">
        <v>73</v>
      </c>
      <c r="K1691" s="12"/>
      <c r="L1691" s="12"/>
      <c r="M1691" s="12" t="s">
        <v>5064</v>
      </c>
      <c r="N1691" s="12"/>
      <c r="O1691" s="12" t="s">
        <v>5065</v>
      </c>
      <c r="P1691" s="12" t="str">
        <f>HYPERLINK("https://ceds.ed.gov/cedselementdetails.aspx?termid=10417")</f>
        <v>https://ceds.ed.gov/cedselementdetails.aspx?termid=10417</v>
      </c>
      <c r="Q1691" s="12" t="str">
        <f>HYPERLINK("https://ceds.ed.gov/elementComment.aspx?elementName=Professional Development Session End Date &amp;elementID=10417", "Click here to submit comment")</f>
        <v>Click here to submit comment</v>
      </c>
    </row>
    <row r="1692" spans="1:17" ht="30" x14ac:dyDescent="0.25">
      <c r="A1692" s="12" t="s">
        <v>7242</v>
      </c>
      <c r="B1692" s="12" t="s">
        <v>7277</v>
      </c>
      <c r="C1692" s="12" t="s">
        <v>7238</v>
      </c>
      <c r="D1692" s="12" t="s">
        <v>7172</v>
      </c>
      <c r="E1692" s="12" t="s">
        <v>5066</v>
      </c>
      <c r="F1692" s="12" t="s">
        <v>5067</v>
      </c>
      <c r="G1692" s="12" t="s">
        <v>12</v>
      </c>
      <c r="H1692" s="12"/>
      <c r="I1692" s="12"/>
      <c r="J1692" s="12" t="s">
        <v>5068</v>
      </c>
      <c r="K1692" s="12"/>
      <c r="L1692" s="12"/>
      <c r="M1692" s="12" t="s">
        <v>5069</v>
      </c>
      <c r="N1692" s="12"/>
      <c r="O1692" s="12" t="s">
        <v>5070</v>
      </c>
      <c r="P1692" s="12" t="str">
        <f>HYPERLINK("https://ceds.ed.gov/cedselementdetails.aspx?termid=10418")</f>
        <v>https://ceds.ed.gov/cedselementdetails.aspx?termid=10418</v>
      </c>
      <c r="Q1692" s="12" t="str">
        <f>HYPERLINK("https://ceds.ed.gov/elementComment.aspx?elementName=Professional Development Session End Time &amp;elementID=10418", "Click here to submit comment")</f>
        <v>Click here to submit comment</v>
      </c>
    </row>
    <row r="1693" spans="1:17" ht="30" x14ac:dyDescent="0.25">
      <c r="A1693" s="12" t="s">
        <v>7242</v>
      </c>
      <c r="B1693" s="12" t="s">
        <v>7277</v>
      </c>
      <c r="C1693" s="12" t="s">
        <v>7238</v>
      </c>
      <c r="D1693" s="12" t="s">
        <v>7172</v>
      </c>
      <c r="E1693" s="12" t="s">
        <v>5071</v>
      </c>
      <c r="F1693" s="12" t="s">
        <v>5072</v>
      </c>
      <c r="G1693" s="12" t="s">
        <v>12</v>
      </c>
      <c r="H1693" s="12"/>
      <c r="I1693" s="12"/>
      <c r="J1693" s="12" t="s">
        <v>92</v>
      </c>
      <c r="K1693" s="12"/>
      <c r="L1693" s="12"/>
      <c r="M1693" s="12" t="s">
        <v>5073</v>
      </c>
      <c r="N1693" s="12"/>
      <c r="O1693" s="12" t="s">
        <v>5074</v>
      </c>
      <c r="P1693" s="12" t="str">
        <f>HYPERLINK("https://ceds.ed.gov/cedselementdetails.aspx?termid=10419")</f>
        <v>https://ceds.ed.gov/cedselementdetails.aspx?termid=10419</v>
      </c>
      <c r="Q1693" s="12" t="str">
        <f>HYPERLINK("https://ceds.ed.gov/elementComment.aspx?elementName=Professional Development Session Evaluation Method &amp;elementID=10419", "Click here to submit comment")</f>
        <v>Click here to submit comment</v>
      </c>
    </row>
    <row r="1694" spans="1:17" ht="45" x14ac:dyDescent="0.25">
      <c r="A1694" s="12" t="s">
        <v>7242</v>
      </c>
      <c r="B1694" s="12" t="s">
        <v>7277</v>
      </c>
      <c r="C1694" s="12" t="s">
        <v>7238</v>
      </c>
      <c r="D1694" s="12" t="s">
        <v>7172</v>
      </c>
      <c r="E1694" s="12" t="s">
        <v>5075</v>
      </c>
      <c r="F1694" s="12" t="s">
        <v>5076</v>
      </c>
      <c r="G1694" s="12" t="s">
        <v>12</v>
      </c>
      <c r="H1694" s="12"/>
      <c r="I1694" s="12"/>
      <c r="J1694" s="12" t="s">
        <v>92</v>
      </c>
      <c r="K1694" s="12"/>
      <c r="L1694" s="12"/>
      <c r="M1694" s="12" t="s">
        <v>5077</v>
      </c>
      <c r="N1694" s="12"/>
      <c r="O1694" s="12" t="s">
        <v>5078</v>
      </c>
      <c r="P1694" s="12" t="str">
        <f>HYPERLINK("https://ceds.ed.gov/cedselementdetails.aspx?termid=10420")</f>
        <v>https://ceds.ed.gov/cedselementdetails.aspx?termid=10420</v>
      </c>
      <c r="Q1694" s="12" t="str">
        <f>HYPERLINK("https://ceds.ed.gov/elementComment.aspx?elementName=Professional Development Session Evaluation Score &amp;elementID=10420", "Click here to submit comment")</f>
        <v>Click here to submit comment</v>
      </c>
    </row>
    <row r="1695" spans="1:17" ht="105" x14ac:dyDescent="0.25">
      <c r="A1695" s="18" t="s">
        <v>7242</v>
      </c>
      <c r="B1695" s="18" t="s">
        <v>7277</v>
      </c>
      <c r="C1695" s="18" t="s">
        <v>7238</v>
      </c>
      <c r="D1695" s="18" t="s">
        <v>7172</v>
      </c>
      <c r="E1695" s="18" t="s">
        <v>5079</v>
      </c>
      <c r="F1695" s="18" t="s">
        <v>5080</v>
      </c>
      <c r="G1695" s="18" t="s">
        <v>12</v>
      </c>
      <c r="H1695" s="18"/>
      <c r="I1695" s="18"/>
      <c r="J1695" s="18" t="s">
        <v>142</v>
      </c>
      <c r="K1695" s="18"/>
      <c r="L1695" s="12" t="s">
        <v>143</v>
      </c>
      <c r="M1695" s="18" t="s">
        <v>5081</v>
      </c>
      <c r="N1695" s="18"/>
      <c r="O1695" s="18" t="s">
        <v>5082</v>
      </c>
      <c r="P1695" s="18" t="str">
        <f>HYPERLINK("https://ceds.ed.gov/cedselementdetails.aspx?termid=10422")</f>
        <v>https://ceds.ed.gov/cedselementdetails.aspx?termid=10422</v>
      </c>
      <c r="Q1695" s="18" t="str">
        <f>HYPERLINK("https://ceds.ed.gov/elementComment.aspx?elementName=Professional Development Session Identifier &amp;elementID=10422", "Click here to submit comment")</f>
        <v>Click here to submit comment</v>
      </c>
    </row>
    <row r="1696" spans="1:17" x14ac:dyDescent="0.25">
      <c r="A1696" s="18"/>
      <c r="B1696" s="18"/>
      <c r="C1696" s="18"/>
      <c r="D1696" s="18"/>
      <c r="E1696" s="18"/>
      <c r="F1696" s="18"/>
      <c r="G1696" s="18"/>
      <c r="H1696" s="18"/>
      <c r="I1696" s="18"/>
      <c r="J1696" s="18"/>
      <c r="K1696" s="18"/>
      <c r="L1696" s="12"/>
      <c r="M1696" s="18"/>
      <c r="N1696" s="18"/>
      <c r="O1696" s="18"/>
      <c r="P1696" s="18"/>
      <c r="Q1696" s="18"/>
    </row>
    <row r="1697" spans="1:17" ht="90" x14ac:dyDescent="0.25">
      <c r="A1697" s="18"/>
      <c r="B1697" s="18"/>
      <c r="C1697" s="18"/>
      <c r="D1697" s="18"/>
      <c r="E1697" s="18"/>
      <c r="F1697" s="18"/>
      <c r="G1697" s="18"/>
      <c r="H1697" s="18"/>
      <c r="I1697" s="18"/>
      <c r="J1697" s="18"/>
      <c r="K1697" s="18"/>
      <c r="L1697" s="12" t="s">
        <v>144</v>
      </c>
      <c r="M1697" s="18"/>
      <c r="N1697" s="18"/>
      <c r="O1697" s="18"/>
      <c r="P1697" s="18"/>
      <c r="Q1697" s="18"/>
    </row>
    <row r="1698" spans="1:17" ht="45" x14ac:dyDescent="0.25">
      <c r="A1698" s="12" t="s">
        <v>7242</v>
      </c>
      <c r="B1698" s="12" t="s">
        <v>7277</v>
      </c>
      <c r="C1698" s="12" t="s">
        <v>7238</v>
      </c>
      <c r="D1698" s="12" t="s">
        <v>7172</v>
      </c>
      <c r="E1698" s="12" t="s">
        <v>5091</v>
      </c>
      <c r="F1698" s="12" t="s">
        <v>5092</v>
      </c>
      <c r="G1698" s="12" t="s">
        <v>12</v>
      </c>
      <c r="H1698" s="12"/>
      <c r="I1698" s="12"/>
      <c r="J1698" s="12" t="s">
        <v>73</v>
      </c>
      <c r="K1698" s="12"/>
      <c r="L1698" s="12"/>
      <c r="M1698" s="12" t="s">
        <v>5093</v>
      </c>
      <c r="N1698" s="12"/>
      <c r="O1698" s="12" t="s">
        <v>5094</v>
      </c>
      <c r="P1698" s="12" t="str">
        <f>HYPERLINK("https://ceds.ed.gov/cedselementdetails.aspx?termid=10426")</f>
        <v>https://ceds.ed.gov/cedselementdetails.aspx?termid=10426</v>
      </c>
      <c r="Q1698" s="12" t="str">
        <f>HYPERLINK("https://ceds.ed.gov/elementComment.aspx?elementName=Professional Development Session Start Date &amp;elementID=10426", "Click here to submit comment")</f>
        <v>Click here to submit comment</v>
      </c>
    </row>
    <row r="1699" spans="1:17" ht="30" x14ac:dyDescent="0.25">
      <c r="A1699" s="12" t="s">
        <v>7242</v>
      </c>
      <c r="B1699" s="12" t="s">
        <v>7277</v>
      </c>
      <c r="C1699" s="12" t="s">
        <v>7238</v>
      </c>
      <c r="D1699" s="12" t="s">
        <v>7172</v>
      </c>
      <c r="E1699" s="12" t="s">
        <v>5095</v>
      </c>
      <c r="F1699" s="12" t="s">
        <v>5096</v>
      </c>
      <c r="G1699" s="12" t="s">
        <v>12</v>
      </c>
      <c r="H1699" s="12"/>
      <c r="I1699" s="12"/>
      <c r="J1699" s="12" t="s">
        <v>5068</v>
      </c>
      <c r="K1699" s="12"/>
      <c r="L1699" s="12"/>
      <c r="M1699" s="12" t="s">
        <v>5097</v>
      </c>
      <c r="N1699" s="12"/>
      <c r="O1699" s="12" t="s">
        <v>5098</v>
      </c>
      <c r="P1699" s="12" t="str">
        <f>HYPERLINK("https://ceds.ed.gov/cedselementdetails.aspx?termid=10427")</f>
        <v>https://ceds.ed.gov/cedselementdetails.aspx?termid=10427</v>
      </c>
      <c r="Q1699" s="12" t="str">
        <f>HYPERLINK("https://ceds.ed.gov/elementComment.aspx?elementName=Professional Development Session Start Time &amp;elementID=10427", "Click here to submit comment")</f>
        <v>Click here to submit comment</v>
      </c>
    </row>
    <row r="1700" spans="1:17" ht="60" x14ac:dyDescent="0.25">
      <c r="A1700" s="12" t="s">
        <v>7242</v>
      </c>
      <c r="B1700" s="12" t="s">
        <v>7277</v>
      </c>
      <c r="C1700" s="12" t="s">
        <v>7238</v>
      </c>
      <c r="D1700" s="12" t="s">
        <v>7172</v>
      </c>
      <c r="E1700" s="12" t="s">
        <v>5099</v>
      </c>
      <c r="F1700" s="12" t="s">
        <v>5100</v>
      </c>
      <c r="G1700" s="13" t="s">
        <v>7074</v>
      </c>
      <c r="H1700" s="12"/>
      <c r="I1700" s="12"/>
      <c r="J1700" s="12"/>
      <c r="K1700" s="12"/>
      <c r="L1700" s="12"/>
      <c r="M1700" s="12" t="s">
        <v>5101</v>
      </c>
      <c r="N1700" s="12"/>
      <c r="O1700" s="12" t="s">
        <v>5102</v>
      </c>
      <c r="P1700" s="12" t="str">
        <f>HYPERLINK("https://ceds.ed.gov/cedselementdetails.aspx?termid=10428")</f>
        <v>https://ceds.ed.gov/cedselementdetails.aspx?termid=10428</v>
      </c>
      <c r="Q1700" s="12" t="str">
        <f>HYPERLINK("https://ceds.ed.gov/elementComment.aspx?elementName=Professional Development Session Status &amp;elementID=10428", "Click here to submit comment")</f>
        <v>Click here to submit comment</v>
      </c>
    </row>
    <row r="1701" spans="1:17" ht="30" x14ac:dyDescent="0.25">
      <c r="A1701" s="12" t="s">
        <v>7242</v>
      </c>
      <c r="B1701" s="12" t="s">
        <v>7277</v>
      </c>
      <c r="C1701" s="12" t="s">
        <v>7238</v>
      </c>
      <c r="D1701" s="12" t="s">
        <v>7172</v>
      </c>
      <c r="E1701" s="12" t="s">
        <v>5805</v>
      </c>
      <c r="F1701" s="12" t="s">
        <v>5806</v>
      </c>
      <c r="G1701" s="12" t="s">
        <v>12</v>
      </c>
      <c r="H1701" s="12"/>
      <c r="I1701" s="12"/>
      <c r="J1701" s="12" t="s">
        <v>99</v>
      </c>
      <c r="K1701" s="12"/>
      <c r="L1701" s="12"/>
      <c r="M1701" s="12" t="s">
        <v>5807</v>
      </c>
      <c r="N1701" s="12"/>
      <c r="O1701" s="12" t="s">
        <v>5808</v>
      </c>
      <c r="P1701" s="12" t="str">
        <f>HYPERLINK("https://ceds.ed.gov/cedselementdetails.aspx?termid=10461")</f>
        <v>https://ceds.ed.gov/cedselementdetails.aspx?termid=10461</v>
      </c>
      <c r="Q1701" s="12" t="str">
        <f>HYPERLINK("https://ceds.ed.gov/elementComment.aspx?elementName=Sponsoring Agency Name &amp;elementID=10461", "Click here to submit comment")</f>
        <v>Click here to submit comment</v>
      </c>
    </row>
    <row r="1702" spans="1:17" ht="45" x14ac:dyDescent="0.25">
      <c r="A1702" s="12" t="s">
        <v>7242</v>
      </c>
      <c r="B1702" s="12" t="s">
        <v>7277</v>
      </c>
      <c r="C1702" s="12" t="s">
        <v>7239</v>
      </c>
      <c r="D1702" s="12" t="s">
        <v>7172</v>
      </c>
      <c r="E1702" s="12" t="s">
        <v>5087</v>
      </c>
      <c r="F1702" s="12" t="s">
        <v>5088</v>
      </c>
      <c r="G1702" s="12" t="s">
        <v>12</v>
      </c>
      <c r="H1702" s="12"/>
      <c r="I1702" s="12"/>
      <c r="J1702" s="12" t="s">
        <v>99</v>
      </c>
      <c r="K1702" s="12"/>
      <c r="L1702" s="12"/>
      <c r="M1702" s="12" t="s">
        <v>5089</v>
      </c>
      <c r="N1702" s="12"/>
      <c r="O1702" s="12" t="s">
        <v>5090</v>
      </c>
      <c r="P1702" s="12" t="str">
        <f>HYPERLINK("https://ceds.ed.gov/cedselementdetails.aspx?termid=10424")</f>
        <v>https://ceds.ed.gov/cedselementdetails.aspx?termid=10424</v>
      </c>
      <c r="Q1702" s="12" t="str">
        <f>HYPERLINK("https://ceds.ed.gov/elementComment.aspx?elementName=Professional Development Session Location Name &amp;elementID=10424", "Click here to submit comment")</f>
        <v>Click here to submit comment</v>
      </c>
    </row>
    <row r="1703" spans="1:17" ht="225" x14ac:dyDescent="0.25">
      <c r="A1703" s="12" t="s">
        <v>7242</v>
      </c>
      <c r="B1703" s="12" t="s">
        <v>7277</v>
      </c>
      <c r="C1703" s="12" t="s">
        <v>7239</v>
      </c>
      <c r="D1703" s="12" t="s">
        <v>7172</v>
      </c>
      <c r="E1703" s="12" t="s">
        <v>189</v>
      </c>
      <c r="F1703" s="12" t="s">
        <v>190</v>
      </c>
      <c r="G1703" s="12" t="s">
        <v>12</v>
      </c>
      <c r="H1703" s="12" t="s">
        <v>6377</v>
      </c>
      <c r="I1703" s="12"/>
      <c r="J1703" s="12" t="s">
        <v>142</v>
      </c>
      <c r="K1703" s="12"/>
      <c r="L1703" s="12"/>
      <c r="M1703" s="12" t="s">
        <v>191</v>
      </c>
      <c r="N1703" s="12"/>
      <c r="O1703" s="12" t="s">
        <v>192</v>
      </c>
      <c r="P1703" s="12" t="str">
        <f>HYPERLINK("https://ceds.ed.gov/cedselementdetails.aspx?termid=9269")</f>
        <v>https://ceds.ed.gov/cedselementdetails.aspx?termid=9269</v>
      </c>
      <c r="Q1703" s="12" t="str">
        <f>HYPERLINK("https://ceds.ed.gov/elementComment.aspx?elementName=Address Street Number and Name &amp;elementID=9269", "Click here to submit comment")</f>
        <v>Click here to submit comment</v>
      </c>
    </row>
    <row r="1704" spans="1:17" ht="225" x14ac:dyDescent="0.25">
      <c r="A1704" s="12" t="s">
        <v>7242</v>
      </c>
      <c r="B1704" s="12" t="s">
        <v>7277</v>
      </c>
      <c r="C1704" s="12" t="s">
        <v>7239</v>
      </c>
      <c r="D1704" s="12" t="s">
        <v>7172</v>
      </c>
      <c r="E1704" s="12" t="s">
        <v>172</v>
      </c>
      <c r="F1704" s="12" t="s">
        <v>173</v>
      </c>
      <c r="G1704" s="12" t="s">
        <v>12</v>
      </c>
      <c r="H1704" s="12" t="s">
        <v>6377</v>
      </c>
      <c r="I1704" s="12"/>
      <c r="J1704" s="12" t="s">
        <v>92</v>
      </c>
      <c r="K1704" s="12"/>
      <c r="L1704" s="12"/>
      <c r="M1704" s="12" t="s">
        <v>174</v>
      </c>
      <c r="N1704" s="12"/>
      <c r="O1704" s="12" t="s">
        <v>175</v>
      </c>
      <c r="P1704" s="12" t="str">
        <f>HYPERLINK("https://ceds.ed.gov/cedselementdetails.aspx?termid=9019")</f>
        <v>https://ceds.ed.gov/cedselementdetails.aspx?termid=9019</v>
      </c>
      <c r="Q1704" s="12" t="str">
        <f>HYPERLINK("https://ceds.ed.gov/elementComment.aspx?elementName=Address Apartment Room or Suite Number &amp;elementID=9019", "Click here to submit comment")</f>
        <v>Click here to submit comment</v>
      </c>
    </row>
    <row r="1705" spans="1:17" ht="225" x14ac:dyDescent="0.25">
      <c r="A1705" s="12" t="s">
        <v>7242</v>
      </c>
      <c r="B1705" s="12" t="s">
        <v>7277</v>
      </c>
      <c r="C1705" s="12" t="s">
        <v>7239</v>
      </c>
      <c r="D1705" s="12" t="s">
        <v>7172</v>
      </c>
      <c r="E1705" s="12" t="s">
        <v>176</v>
      </c>
      <c r="F1705" s="12" t="s">
        <v>177</v>
      </c>
      <c r="G1705" s="12" t="s">
        <v>12</v>
      </c>
      <c r="H1705" s="12" t="s">
        <v>6377</v>
      </c>
      <c r="I1705" s="12"/>
      <c r="J1705" s="12" t="s">
        <v>92</v>
      </c>
      <c r="K1705" s="12"/>
      <c r="L1705" s="12"/>
      <c r="M1705" s="12" t="s">
        <v>178</v>
      </c>
      <c r="N1705" s="12"/>
      <c r="O1705" s="12" t="s">
        <v>179</v>
      </c>
      <c r="P1705" s="12" t="str">
        <f>HYPERLINK("https://ceds.ed.gov/cedselementdetails.aspx?termid=9040")</f>
        <v>https://ceds.ed.gov/cedselementdetails.aspx?termid=9040</v>
      </c>
      <c r="Q1705" s="12" t="str">
        <f>HYPERLINK("https://ceds.ed.gov/elementComment.aspx?elementName=Address City &amp;elementID=9040", "Click here to submit comment")</f>
        <v>Click here to submit comment</v>
      </c>
    </row>
    <row r="1706" spans="1:17" ht="409.5" x14ac:dyDescent="0.25">
      <c r="A1706" s="12" t="s">
        <v>7242</v>
      </c>
      <c r="B1706" s="12" t="s">
        <v>7277</v>
      </c>
      <c r="C1706" s="12" t="s">
        <v>7239</v>
      </c>
      <c r="D1706" s="12" t="s">
        <v>7172</v>
      </c>
      <c r="E1706" s="12" t="s">
        <v>5898</v>
      </c>
      <c r="F1706" s="12" t="s">
        <v>5899</v>
      </c>
      <c r="G1706" s="13" t="s">
        <v>7120</v>
      </c>
      <c r="H1706" s="12" t="s">
        <v>6678</v>
      </c>
      <c r="I1706" s="12"/>
      <c r="J1706" s="12"/>
      <c r="K1706" s="12"/>
      <c r="L1706" s="12"/>
      <c r="M1706" s="12" t="s">
        <v>5900</v>
      </c>
      <c r="N1706" s="12"/>
      <c r="O1706" s="12" t="s">
        <v>5901</v>
      </c>
      <c r="P1706" s="12" t="str">
        <f>HYPERLINK("https://ceds.ed.gov/cedselementdetails.aspx?termid=9267")</f>
        <v>https://ceds.ed.gov/cedselementdetails.aspx?termid=9267</v>
      </c>
      <c r="Q1706" s="12" t="str">
        <f>HYPERLINK("https://ceds.ed.gov/elementComment.aspx?elementName=State Abbreviation &amp;elementID=9267", "Click here to submit comment")</f>
        <v>Click here to submit comment</v>
      </c>
    </row>
    <row r="1707" spans="1:17" ht="225" x14ac:dyDescent="0.25">
      <c r="A1707" s="12" t="s">
        <v>7242</v>
      </c>
      <c r="B1707" s="12" t="s">
        <v>7277</v>
      </c>
      <c r="C1707" s="12" t="s">
        <v>7239</v>
      </c>
      <c r="D1707" s="12" t="s">
        <v>7172</v>
      </c>
      <c r="E1707" s="12" t="s">
        <v>184</v>
      </c>
      <c r="F1707" s="12" t="s">
        <v>185</v>
      </c>
      <c r="G1707" s="12" t="s">
        <v>12</v>
      </c>
      <c r="H1707" s="12" t="s">
        <v>6377</v>
      </c>
      <c r="I1707" s="12"/>
      <c r="J1707" s="12" t="s">
        <v>186</v>
      </c>
      <c r="K1707" s="12"/>
      <c r="L1707" s="12"/>
      <c r="M1707" s="12" t="s">
        <v>187</v>
      </c>
      <c r="N1707" s="12"/>
      <c r="O1707" s="12" t="s">
        <v>188</v>
      </c>
      <c r="P1707" s="12" t="str">
        <f>HYPERLINK("https://ceds.ed.gov/cedselementdetails.aspx?termid=9214")</f>
        <v>https://ceds.ed.gov/cedselementdetails.aspx?termid=9214</v>
      </c>
      <c r="Q1707" s="12" t="str">
        <f>HYPERLINK("https://ceds.ed.gov/elementComment.aspx?elementName=Address Postal Code &amp;elementID=9214", "Click here to submit comment")</f>
        <v>Click here to submit comment</v>
      </c>
    </row>
    <row r="1708" spans="1:17" ht="90" x14ac:dyDescent="0.25">
      <c r="A1708" s="12" t="s">
        <v>7242</v>
      </c>
      <c r="B1708" s="12" t="s">
        <v>7277</v>
      </c>
      <c r="C1708" s="12" t="s">
        <v>7239</v>
      </c>
      <c r="D1708" s="12" t="s">
        <v>7172</v>
      </c>
      <c r="E1708" s="12" t="s">
        <v>6102</v>
      </c>
      <c r="F1708" s="12" t="s">
        <v>6103</v>
      </c>
      <c r="G1708" s="12" t="s">
        <v>12</v>
      </c>
      <c r="H1708" s="12" t="s">
        <v>6369</v>
      </c>
      <c r="I1708" s="12"/>
      <c r="J1708" s="12" t="s">
        <v>6104</v>
      </c>
      <c r="K1708" s="12"/>
      <c r="L1708" s="12"/>
      <c r="M1708" s="12" t="s">
        <v>6105</v>
      </c>
      <c r="N1708" s="12"/>
      <c r="O1708" s="12" t="s">
        <v>6106</v>
      </c>
      <c r="P1708" s="12" t="str">
        <f>HYPERLINK("https://ceds.ed.gov/cedselementdetails.aspx?termid=9279")</f>
        <v>https://ceds.ed.gov/cedselementdetails.aspx?termid=9279</v>
      </c>
      <c r="Q1708" s="12" t="str">
        <f>HYPERLINK("https://ceds.ed.gov/elementComment.aspx?elementName=Telephone Number &amp;elementID=9279", "Click here to submit comment")</f>
        <v>Click here to submit comment</v>
      </c>
    </row>
    <row r="1709" spans="1:17" ht="345" x14ac:dyDescent="0.25">
      <c r="A1709" s="12" t="s">
        <v>7242</v>
      </c>
      <c r="B1709" s="12" t="s">
        <v>7277</v>
      </c>
      <c r="C1709" s="12" t="s">
        <v>7262</v>
      </c>
      <c r="D1709" s="12" t="s">
        <v>7172</v>
      </c>
      <c r="E1709" s="12" t="s">
        <v>4263</v>
      </c>
      <c r="F1709" s="12" t="s">
        <v>4264</v>
      </c>
      <c r="G1709" s="13" t="s">
        <v>7014</v>
      </c>
      <c r="H1709" s="12"/>
      <c r="I1709" s="12"/>
      <c r="J1709" s="12"/>
      <c r="K1709" s="12"/>
      <c r="L1709" s="12"/>
      <c r="M1709" s="12" t="s">
        <v>4266</v>
      </c>
      <c r="N1709" s="12"/>
      <c r="O1709" s="12" t="s">
        <v>4267</v>
      </c>
      <c r="P1709" s="12" t="str">
        <f>HYPERLINK("https://ceds.ed.gov/cedselementdetails.aspx?termid=9617")</f>
        <v>https://ceds.ed.gov/cedselementdetails.aspx?termid=9617</v>
      </c>
      <c r="Q1709" s="12" t="str">
        <f>HYPERLINK("https://ceds.ed.gov/elementComment.aspx?elementName=Leave Event Type &amp;elementID=9617", "Click here to submit comment")</f>
        <v>Click here to submit comment</v>
      </c>
    </row>
    <row r="1710" spans="1:17" ht="30" x14ac:dyDescent="0.25">
      <c r="A1710" s="12" t="s">
        <v>7242</v>
      </c>
      <c r="B1710" s="12" t="s">
        <v>7277</v>
      </c>
      <c r="C1710" s="12" t="s">
        <v>7262</v>
      </c>
      <c r="D1710" s="12" t="s">
        <v>7176</v>
      </c>
      <c r="E1710" s="12" t="s">
        <v>1496</v>
      </c>
      <c r="F1710" s="12" t="s">
        <v>1497</v>
      </c>
      <c r="G1710" s="12" t="s">
        <v>12</v>
      </c>
      <c r="H1710" s="12"/>
      <c r="I1710" s="12" t="s">
        <v>1498</v>
      </c>
      <c r="J1710" s="12" t="s">
        <v>73</v>
      </c>
      <c r="K1710" s="12"/>
      <c r="L1710" s="12"/>
      <c r="M1710" s="12" t="s">
        <v>1499</v>
      </c>
      <c r="N1710" s="12"/>
      <c r="O1710" s="12" t="s">
        <v>1500</v>
      </c>
      <c r="P1710" s="12" t="str">
        <f>HYPERLINK("https://ceds.ed.gov/cedselementdetails.aspx?termid=10630")</f>
        <v>https://ceds.ed.gov/cedselementdetails.aspx?termid=10630</v>
      </c>
      <c r="Q1710" s="12" t="str">
        <f>HYPERLINK("https://ceds.ed.gov/elementComment.aspx?elementName=Attendance Event Date &amp;elementID=10630", "Click here to submit comment")</f>
        <v>Click here to submit comment</v>
      </c>
    </row>
    <row r="1711" spans="1:17" ht="105" x14ac:dyDescent="0.25">
      <c r="A1711" s="12" t="s">
        <v>7242</v>
      </c>
      <c r="B1711" s="12" t="s">
        <v>7277</v>
      </c>
      <c r="C1711" s="12" t="s">
        <v>7262</v>
      </c>
      <c r="D1711" s="12" t="s">
        <v>7172</v>
      </c>
      <c r="E1711" s="12" t="s">
        <v>1505</v>
      </c>
      <c r="F1711" s="12" t="s">
        <v>1506</v>
      </c>
      <c r="G1711" s="13" t="s">
        <v>6799</v>
      </c>
      <c r="H1711" s="12"/>
      <c r="I1711" s="12" t="s">
        <v>98</v>
      </c>
      <c r="J1711" s="12"/>
      <c r="K1711" s="12"/>
      <c r="L1711" s="12"/>
      <c r="M1711" s="12" t="s">
        <v>1507</v>
      </c>
      <c r="N1711" s="12"/>
      <c r="O1711" s="12" t="s">
        <v>1508</v>
      </c>
      <c r="P1711" s="12" t="str">
        <f>HYPERLINK("https://ceds.ed.gov/cedselementdetails.aspx?termid=9076")</f>
        <v>https://ceds.ed.gov/cedselementdetails.aspx?termid=9076</v>
      </c>
      <c r="Q1711" s="12" t="str">
        <f>HYPERLINK("https://ceds.ed.gov/elementComment.aspx?elementName=Attendance Status &amp;elementID=9076", "Click here to submit comment")</f>
        <v>Click here to submit comment</v>
      </c>
    </row>
    <row r="1712" spans="1:17" ht="225" x14ac:dyDescent="0.25">
      <c r="A1712" s="12" t="s">
        <v>7242</v>
      </c>
      <c r="B1712" s="12" t="s">
        <v>7277</v>
      </c>
      <c r="C1712" s="12" t="s">
        <v>7205</v>
      </c>
      <c r="D1712" s="12" t="s">
        <v>7176</v>
      </c>
      <c r="E1712" s="12" t="s">
        <v>4518</v>
      </c>
      <c r="F1712" s="12" t="s">
        <v>4519</v>
      </c>
      <c r="G1712" s="12" t="s">
        <v>12</v>
      </c>
      <c r="H1712" s="12" t="s">
        <v>6604</v>
      </c>
      <c r="I1712" s="12"/>
      <c r="J1712" s="12" t="s">
        <v>99</v>
      </c>
      <c r="K1712" s="12"/>
      <c r="L1712" s="12"/>
      <c r="M1712" s="12" t="s">
        <v>4520</v>
      </c>
      <c r="N1712" s="12"/>
      <c r="O1712" s="12" t="s">
        <v>4521</v>
      </c>
      <c r="P1712" s="12" t="str">
        <f>HYPERLINK("https://ceds.ed.gov/cedselementdetails.aspx?termid=9191")</f>
        <v>https://ceds.ed.gov/cedselementdetails.aspx?termid=9191</v>
      </c>
      <c r="Q1712" s="12" t="str">
        <f>HYPERLINK("https://ceds.ed.gov/elementComment.aspx?elementName=Name of Institution &amp;elementID=9191", "Click here to submit comment")</f>
        <v>Click here to submit comment</v>
      </c>
    </row>
    <row r="1713" spans="1:17" ht="60" x14ac:dyDescent="0.25">
      <c r="A1713" s="12" t="s">
        <v>7242</v>
      </c>
      <c r="B1713" s="12" t="s">
        <v>7277</v>
      </c>
      <c r="C1713" s="12" t="s">
        <v>7205</v>
      </c>
      <c r="D1713" s="12" t="s">
        <v>7176</v>
      </c>
      <c r="E1713" s="12" t="s">
        <v>2265</v>
      </c>
      <c r="F1713" s="12" t="s">
        <v>2266</v>
      </c>
      <c r="G1713" s="12" t="s">
        <v>12</v>
      </c>
      <c r="H1713" s="12" t="s">
        <v>6495</v>
      </c>
      <c r="I1713" s="12"/>
      <c r="J1713" s="12" t="s">
        <v>1386</v>
      </c>
      <c r="K1713" s="12"/>
      <c r="L1713" s="12"/>
      <c r="M1713" s="12" t="s">
        <v>2267</v>
      </c>
      <c r="N1713" s="12"/>
      <c r="O1713" s="12" t="s">
        <v>2268</v>
      </c>
      <c r="P1713" s="12" t="str">
        <f>HYPERLINK("https://ceds.ed.gov/cedselementdetails.aspx?termid=9341")</f>
        <v>https://ceds.ed.gov/cedselementdetails.aspx?termid=9341</v>
      </c>
      <c r="Q1713" s="12" t="str">
        <f>HYPERLINK("https://ceds.ed.gov/elementComment.aspx?elementName=Degree or Certificate Title or Subject &amp;elementID=9341", "Click here to submit comment")</f>
        <v>Click here to submit comment</v>
      </c>
    </row>
    <row r="1714" spans="1:17" ht="405" x14ac:dyDescent="0.25">
      <c r="A1714" s="12" t="s">
        <v>7242</v>
      </c>
      <c r="B1714" s="12" t="s">
        <v>7277</v>
      </c>
      <c r="C1714" s="12" t="s">
        <v>7205</v>
      </c>
      <c r="D1714" s="12" t="s">
        <v>7176</v>
      </c>
      <c r="E1714" s="12" t="s">
        <v>2269</v>
      </c>
      <c r="F1714" s="12" t="s">
        <v>2270</v>
      </c>
      <c r="G1714" s="13" t="s">
        <v>6854</v>
      </c>
      <c r="H1714" s="12" t="s">
        <v>6495</v>
      </c>
      <c r="I1714" s="12"/>
      <c r="J1714" s="12"/>
      <c r="K1714" s="12"/>
      <c r="L1714" s="12"/>
      <c r="M1714" s="12" t="s">
        <v>2271</v>
      </c>
      <c r="N1714" s="12"/>
      <c r="O1714" s="12" t="s">
        <v>2272</v>
      </c>
      <c r="P1714" s="12" t="str">
        <f>HYPERLINK("https://ceds.ed.gov/cedselementdetails.aspx?termid=9342")</f>
        <v>https://ceds.ed.gov/cedselementdetails.aspx?termid=9342</v>
      </c>
      <c r="Q1714" s="12" t="str">
        <f>HYPERLINK("https://ceds.ed.gov/elementComment.aspx?elementName=Degree or Certificate Type &amp;elementID=9342", "Click here to submit comment")</f>
        <v>Click here to submit comment</v>
      </c>
    </row>
    <row r="1715" spans="1:17" ht="60" x14ac:dyDescent="0.25">
      <c r="A1715" s="12" t="s">
        <v>7242</v>
      </c>
      <c r="B1715" s="12" t="s">
        <v>7277</v>
      </c>
      <c r="C1715" s="12" t="s">
        <v>7205</v>
      </c>
      <c r="D1715" s="12" t="s">
        <v>7176</v>
      </c>
      <c r="E1715" s="12" t="s">
        <v>2257</v>
      </c>
      <c r="F1715" s="12" t="s">
        <v>2258</v>
      </c>
      <c r="G1715" s="12" t="s">
        <v>12</v>
      </c>
      <c r="H1715" s="12" t="s">
        <v>6495</v>
      </c>
      <c r="I1715" s="12"/>
      <c r="J1715" s="12" t="s">
        <v>73</v>
      </c>
      <c r="K1715" s="12"/>
      <c r="L1715" s="12"/>
      <c r="M1715" s="12" t="s">
        <v>2259</v>
      </c>
      <c r="N1715" s="12"/>
      <c r="O1715" s="12" t="s">
        <v>2260</v>
      </c>
      <c r="P1715" s="12" t="str">
        <f>HYPERLINK("https://ceds.ed.gov/cedselementdetails.aspx?termid=9343")</f>
        <v>https://ceds.ed.gov/cedselementdetails.aspx?termid=9343</v>
      </c>
      <c r="Q1715" s="12" t="str">
        <f>HYPERLINK("https://ceds.ed.gov/elementComment.aspx?elementName=Degree or Certificate Conferring Date &amp;elementID=9343", "Click here to submit comment")</f>
        <v>Click here to submit comment</v>
      </c>
    </row>
    <row r="1716" spans="1:17" ht="75" x14ac:dyDescent="0.25">
      <c r="A1716" s="12" t="s">
        <v>7242</v>
      </c>
      <c r="B1716" s="12" t="s">
        <v>7277</v>
      </c>
      <c r="C1716" s="12" t="s">
        <v>7205</v>
      </c>
      <c r="D1716" s="12" t="s">
        <v>7176</v>
      </c>
      <c r="E1716" s="12" t="s">
        <v>4639</v>
      </c>
      <c r="F1716" s="12" t="s">
        <v>4640</v>
      </c>
      <c r="G1716" s="12" t="s">
        <v>12</v>
      </c>
      <c r="H1716" s="12" t="s">
        <v>205</v>
      </c>
      <c r="I1716" s="12"/>
      <c r="J1716" s="12" t="s">
        <v>2613</v>
      </c>
      <c r="K1716" s="12"/>
      <c r="L1716" s="12"/>
      <c r="M1716" s="12" t="s">
        <v>4641</v>
      </c>
      <c r="N1716" s="12"/>
      <c r="O1716" s="12" t="s">
        <v>4642</v>
      </c>
      <c r="P1716" s="12" t="str">
        <f>HYPERLINK("https://ceds.ed.gov/cedselementdetails.aspx?termid=9815")</f>
        <v>https://ceds.ed.gov/cedselementdetails.aspx?termid=9815</v>
      </c>
      <c r="Q1716" s="12" t="str">
        <f>HYPERLINK("https://ceds.ed.gov/elementComment.aspx?elementName=Number of School-age Education Postsecondary Credit Hours &amp;elementID=9815", "Click here to submit comment")</f>
        <v>Click here to submit comment</v>
      </c>
    </row>
    <row r="1717" spans="1:17" ht="75" x14ac:dyDescent="0.25">
      <c r="A1717" s="12" t="s">
        <v>7242</v>
      </c>
      <c r="B1717" s="12" t="s">
        <v>7277</v>
      </c>
      <c r="C1717" s="12" t="s">
        <v>7205</v>
      </c>
      <c r="D1717" s="12" t="s">
        <v>7176</v>
      </c>
      <c r="E1717" s="12" t="s">
        <v>5838</v>
      </c>
      <c r="F1717" s="12" t="s">
        <v>5839</v>
      </c>
      <c r="G1717" s="12" t="s">
        <v>12</v>
      </c>
      <c r="H1717" s="12" t="s">
        <v>205</v>
      </c>
      <c r="I1717" s="12"/>
      <c r="J1717" s="12" t="s">
        <v>73</v>
      </c>
      <c r="K1717" s="12"/>
      <c r="L1717" s="12"/>
      <c r="M1717" s="12" t="s">
        <v>5840</v>
      </c>
      <c r="N1717" s="12"/>
      <c r="O1717" s="12" t="s">
        <v>5841</v>
      </c>
      <c r="P1717" s="12" t="str">
        <f>HYPERLINK("https://ceds.ed.gov/cedselementdetails.aspx?termid=9792")</f>
        <v>https://ceds.ed.gov/cedselementdetails.aspx?termid=9792</v>
      </c>
      <c r="Q1717" s="12" t="str">
        <f>HYPERLINK("https://ceds.ed.gov/elementComment.aspx?elementName=Staff Education Entry Date &amp;elementID=9792", "Click here to submit comment")</f>
        <v>Click here to submit comment</v>
      </c>
    </row>
    <row r="1718" spans="1:17" ht="75" x14ac:dyDescent="0.25">
      <c r="A1718" s="12" t="s">
        <v>7242</v>
      </c>
      <c r="B1718" s="12" t="s">
        <v>7277</v>
      </c>
      <c r="C1718" s="12" t="s">
        <v>7205</v>
      </c>
      <c r="D1718" s="12" t="s">
        <v>7176</v>
      </c>
      <c r="E1718" s="12" t="s">
        <v>5842</v>
      </c>
      <c r="F1718" s="12" t="s">
        <v>5843</v>
      </c>
      <c r="G1718" s="12" t="s">
        <v>12</v>
      </c>
      <c r="H1718" s="12" t="s">
        <v>205</v>
      </c>
      <c r="I1718" s="12"/>
      <c r="J1718" s="12" t="s">
        <v>73</v>
      </c>
      <c r="K1718" s="12"/>
      <c r="L1718" s="12"/>
      <c r="M1718" s="12" t="s">
        <v>5844</v>
      </c>
      <c r="N1718" s="12"/>
      <c r="O1718" s="12" t="s">
        <v>5845</v>
      </c>
      <c r="P1718" s="12" t="str">
        <f>HYPERLINK("https://ceds.ed.gov/cedselementdetails.aspx?termid=9793")</f>
        <v>https://ceds.ed.gov/cedselementdetails.aspx?termid=9793</v>
      </c>
      <c r="Q1718" s="12" t="str">
        <f>HYPERLINK("https://ceds.ed.gov/elementComment.aspx?elementName=Staff Education Withdrawal Date &amp;elementID=9793", "Click here to submit comment")</f>
        <v>Click here to submit comment</v>
      </c>
    </row>
    <row r="1719" spans="1:17" ht="409.5" x14ac:dyDescent="0.25">
      <c r="A1719" s="12" t="s">
        <v>7242</v>
      </c>
      <c r="B1719" s="12" t="s">
        <v>7277</v>
      </c>
      <c r="C1719" s="12" t="s">
        <v>7205</v>
      </c>
      <c r="D1719" s="12" t="s">
        <v>7176</v>
      </c>
      <c r="E1719" s="12" t="s">
        <v>3213</v>
      </c>
      <c r="F1719" s="12" t="s">
        <v>3214</v>
      </c>
      <c r="G1719" s="13" t="s">
        <v>6786</v>
      </c>
      <c r="H1719" s="12" t="s">
        <v>6561</v>
      </c>
      <c r="I1719" s="12"/>
      <c r="J1719" s="12"/>
      <c r="K1719" s="12"/>
      <c r="L1719" s="12"/>
      <c r="M1719" s="12" t="s">
        <v>3215</v>
      </c>
      <c r="N1719" s="12"/>
      <c r="O1719" s="12" t="s">
        <v>3216</v>
      </c>
      <c r="P1719" s="12" t="str">
        <f>HYPERLINK("https://ceds.ed.gov/cedselementdetails.aspx?termid=9141")</f>
        <v>https://ceds.ed.gov/cedselementdetails.aspx?termid=9141</v>
      </c>
      <c r="Q1719" s="12" t="str">
        <f>HYPERLINK("https://ceds.ed.gov/elementComment.aspx?elementName=Highest Level of Education Completed &amp;elementID=9141", "Click here to submit comment")</f>
        <v>Click here to submit comment</v>
      </c>
    </row>
    <row r="1720" spans="1:17" ht="120" x14ac:dyDescent="0.25">
      <c r="A1720" s="12" t="s">
        <v>7242</v>
      </c>
      <c r="B1720" s="12" t="s">
        <v>7277</v>
      </c>
      <c r="C1720" s="12" t="s">
        <v>7205</v>
      </c>
      <c r="D1720" s="12" t="s">
        <v>7176</v>
      </c>
      <c r="E1720" s="12" t="s">
        <v>3209</v>
      </c>
      <c r="F1720" s="12" t="s">
        <v>3210</v>
      </c>
      <c r="G1720" s="13" t="s">
        <v>6948</v>
      </c>
      <c r="H1720" s="12" t="s">
        <v>205</v>
      </c>
      <c r="I1720" s="12"/>
      <c r="J1720" s="12"/>
      <c r="K1720" s="12"/>
      <c r="L1720" s="12"/>
      <c r="M1720" s="12" t="s">
        <v>3211</v>
      </c>
      <c r="N1720" s="12"/>
      <c r="O1720" s="12" t="s">
        <v>3212</v>
      </c>
      <c r="P1720" s="12" t="str">
        <f>HYPERLINK("https://ceds.ed.gov/cedselementdetails.aspx?termid=9817")</f>
        <v>https://ceds.ed.gov/cedselementdetails.aspx?termid=9817</v>
      </c>
      <c r="Q1720" s="12" t="str">
        <f>HYPERLINK("https://ceds.ed.gov/elementComment.aspx?elementName=Higher Education Institution Accreditation Status &amp;elementID=9817", "Click here to submit comment")</f>
        <v>Click here to submit comment</v>
      </c>
    </row>
    <row r="1721" spans="1:17" ht="90" x14ac:dyDescent="0.25">
      <c r="A1721" s="12" t="s">
        <v>7242</v>
      </c>
      <c r="B1721" s="12" t="s">
        <v>7277</v>
      </c>
      <c r="C1721" s="12" t="s">
        <v>7205</v>
      </c>
      <c r="D1721" s="12" t="s">
        <v>7176</v>
      </c>
      <c r="E1721" s="12" t="s">
        <v>2639</v>
      </c>
      <c r="F1721" s="12" t="s">
        <v>2640</v>
      </c>
      <c r="G1721" s="13" t="s">
        <v>6897</v>
      </c>
      <c r="H1721" s="12"/>
      <c r="I1721" s="12"/>
      <c r="J1721" s="12"/>
      <c r="K1721" s="12"/>
      <c r="L1721" s="12"/>
      <c r="M1721" s="12" t="s">
        <v>2641</v>
      </c>
      <c r="N1721" s="12"/>
      <c r="O1721" s="12" t="s">
        <v>2642</v>
      </c>
      <c r="P1721" s="12" t="str">
        <f>HYPERLINK("https://ceds.ed.gov/cedselementdetails.aspx?termid=10586")</f>
        <v>https://ceds.ed.gov/cedselementdetails.aspx?termid=10586</v>
      </c>
      <c r="Q1721" s="12" t="str">
        <f>HYPERLINK("https://ceds.ed.gov/elementComment.aspx?elementName=Education Verification Method &amp;elementID=10586", "Click here to submit comment")</f>
        <v>Click here to submit comment</v>
      </c>
    </row>
    <row r="1722" spans="1:17" ht="90" x14ac:dyDescent="0.25">
      <c r="A1722" s="12" t="s">
        <v>7242</v>
      </c>
      <c r="B1722" s="12" t="s">
        <v>7277</v>
      </c>
      <c r="C1722" s="12" t="s">
        <v>7205</v>
      </c>
      <c r="D1722" s="12" t="s">
        <v>7176</v>
      </c>
      <c r="E1722" s="12" t="s">
        <v>5719</v>
      </c>
      <c r="F1722" s="12" t="s">
        <v>5720</v>
      </c>
      <c r="G1722" s="12" t="s">
        <v>12</v>
      </c>
      <c r="H1722" s="12"/>
      <c r="I1722" s="12"/>
      <c r="J1722" s="12" t="s">
        <v>92</v>
      </c>
      <c r="K1722" s="12"/>
      <c r="L1722" s="12" t="s">
        <v>5721</v>
      </c>
      <c r="M1722" s="12" t="s">
        <v>5722</v>
      </c>
      <c r="N1722" s="12"/>
      <c r="O1722" s="12" t="s">
        <v>5723</v>
      </c>
      <c r="P1722" s="12" t="str">
        <f>HYPERLINK("https://ceds.ed.gov/cedselementdetails.aspx?termid=10459")</f>
        <v>https://ceds.ed.gov/cedselementdetails.aspx?termid=10459</v>
      </c>
      <c r="Q1722" s="12" t="str">
        <f>HYPERLINK("https://ceds.ed.gov/elementComment.aspx?elementName=Short Name of Institution &amp;elementID=10459", "Click here to submit comment")</f>
        <v>Click here to submit comment</v>
      </c>
    </row>
    <row r="1723" spans="1:17" ht="45" x14ac:dyDescent="0.25">
      <c r="A1723" s="12" t="s">
        <v>7242</v>
      </c>
      <c r="B1723" s="12" t="s">
        <v>7277</v>
      </c>
      <c r="C1723" s="12" t="s">
        <v>7250</v>
      </c>
      <c r="D1723" s="12" t="s">
        <v>7172</v>
      </c>
      <c r="E1723" s="12" t="s">
        <v>6082</v>
      </c>
      <c r="F1723" s="12" t="s">
        <v>6083</v>
      </c>
      <c r="G1723" s="12" t="s">
        <v>6364</v>
      </c>
      <c r="H1723" s="12"/>
      <c r="I1723" s="12"/>
      <c r="J1723" s="12"/>
      <c r="K1723" s="12"/>
      <c r="L1723" s="12"/>
      <c r="M1723" s="12" t="s">
        <v>6084</v>
      </c>
      <c r="N1723" s="12"/>
      <c r="O1723" s="12" t="s">
        <v>6085</v>
      </c>
      <c r="P1723" s="12" t="str">
        <f>HYPERLINK("https://ceds.ed.gov/cedselementdetails.aspx?termid=10465")</f>
        <v>https://ceds.ed.gov/cedselementdetails.aspx?termid=10465</v>
      </c>
      <c r="Q1723" s="12" t="str">
        <f>HYPERLINK("https://ceds.ed.gov/elementComment.aspx?elementName=Technical Assistance Approved Indicator &amp;elementID=10465", "Click here to submit comment")</f>
        <v>Click here to submit comment</v>
      </c>
    </row>
    <row r="1724" spans="1:17" ht="75" x14ac:dyDescent="0.25">
      <c r="A1724" s="12" t="s">
        <v>7242</v>
      </c>
      <c r="B1724" s="12" t="s">
        <v>7277</v>
      </c>
      <c r="C1724" s="12" t="s">
        <v>7250</v>
      </c>
      <c r="D1724" s="12" t="s">
        <v>7172</v>
      </c>
      <c r="E1724" s="12" t="s">
        <v>6086</v>
      </c>
      <c r="F1724" s="12" t="s">
        <v>6087</v>
      </c>
      <c r="G1724" s="13" t="s">
        <v>7071</v>
      </c>
      <c r="H1724" s="12"/>
      <c r="I1724" s="12"/>
      <c r="J1724" s="12"/>
      <c r="K1724" s="12"/>
      <c r="L1724" s="12"/>
      <c r="M1724" s="12" t="s">
        <v>6088</v>
      </c>
      <c r="N1724" s="12"/>
      <c r="O1724" s="12" t="s">
        <v>6089</v>
      </c>
      <c r="P1724" s="12" t="str">
        <f>HYPERLINK("https://ceds.ed.gov/cedselementdetails.aspx?termid=10466")</f>
        <v>https://ceds.ed.gov/cedselementdetails.aspx?termid=10466</v>
      </c>
      <c r="Q1724" s="12" t="str">
        <f>HYPERLINK("https://ceds.ed.gov/elementComment.aspx?elementName=Technical Assistance Delivery Type &amp;elementID=10466", "Click here to submit comment")</f>
        <v>Click here to submit comment</v>
      </c>
    </row>
    <row r="1725" spans="1:17" ht="375" x14ac:dyDescent="0.25">
      <c r="A1725" s="12" t="s">
        <v>7242</v>
      </c>
      <c r="B1725" s="12" t="s">
        <v>7277</v>
      </c>
      <c r="C1725" s="12" t="s">
        <v>7250</v>
      </c>
      <c r="D1725" s="12" t="s">
        <v>7172</v>
      </c>
      <c r="E1725" s="12" t="s">
        <v>6090</v>
      </c>
      <c r="F1725" s="12" t="s">
        <v>6091</v>
      </c>
      <c r="G1725" s="13" t="s">
        <v>7133</v>
      </c>
      <c r="H1725" s="12"/>
      <c r="I1725" s="12" t="s">
        <v>98</v>
      </c>
      <c r="J1725" s="12"/>
      <c r="K1725" s="12"/>
      <c r="L1725" s="12"/>
      <c r="M1725" s="12" t="s">
        <v>6092</v>
      </c>
      <c r="N1725" s="12"/>
      <c r="O1725" s="12" t="s">
        <v>6093</v>
      </c>
      <c r="P1725" s="12" t="str">
        <f>HYPERLINK("https://ceds.ed.gov/cedselementdetails.aspx?termid=10467")</f>
        <v>https://ceds.ed.gov/cedselementdetails.aspx?termid=10467</v>
      </c>
      <c r="Q1725" s="12" t="str">
        <f>HYPERLINK("https://ceds.ed.gov/elementComment.aspx?elementName=Technical Assistance Type &amp;elementID=10467", "Click here to submit comment")</f>
        <v>Click here to submit comment</v>
      </c>
    </row>
    <row r="1726" spans="1:17" ht="225" x14ac:dyDescent="0.25">
      <c r="A1726" s="12" t="s">
        <v>7242</v>
      </c>
      <c r="B1726" s="12" t="s">
        <v>7279</v>
      </c>
      <c r="C1726" s="12"/>
      <c r="D1726" s="12" t="s">
        <v>7172</v>
      </c>
      <c r="E1726" s="12" t="s">
        <v>2146</v>
      </c>
      <c r="F1726" s="12" t="s">
        <v>2147</v>
      </c>
      <c r="G1726" s="12" t="s">
        <v>12</v>
      </c>
      <c r="H1726" s="12" t="s">
        <v>6429</v>
      </c>
      <c r="I1726" s="12"/>
      <c r="J1726" s="12" t="s">
        <v>99</v>
      </c>
      <c r="K1726" s="12"/>
      <c r="L1726" s="12"/>
      <c r="M1726" s="12" t="s">
        <v>2148</v>
      </c>
      <c r="N1726" s="12"/>
      <c r="O1726" s="12" t="s">
        <v>2149</v>
      </c>
      <c r="P1726" s="12" t="str">
        <f>HYPERLINK("https://ceds.ed.gov/cedselementdetails.aspx?termid=9067")</f>
        <v>https://ceds.ed.gov/cedselementdetails.aspx?termid=9067</v>
      </c>
      <c r="Q1726" s="12" t="str">
        <f>HYPERLINK("https://ceds.ed.gov/elementComment.aspx?elementName=Course Title &amp;elementID=9067", "Click here to submit comment")</f>
        <v>Click here to submit comment</v>
      </c>
    </row>
    <row r="1727" spans="1:17" ht="105" x14ac:dyDescent="0.25">
      <c r="A1727" s="18" t="s">
        <v>7242</v>
      </c>
      <c r="B1727" s="18" t="s">
        <v>7279</v>
      </c>
      <c r="C1727" s="18"/>
      <c r="D1727" s="18" t="s">
        <v>7172</v>
      </c>
      <c r="E1727" s="18" t="s">
        <v>2036</v>
      </c>
      <c r="F1727" s="18" t="s">
        <v>2037</v>
      </c>
      <c r="G1727" s="18" t="s">
        <v>12</v>
      </c>
      <c r="H1727" s="18" t="s">
        <v>6479</v>
      </c>
      <c r="I1727" s="18"/>
      <c r="J1727" s="18" t="s">
        <v>142</v>
      </c>
      <c r="K1727" s="18"/>
      <c r="L1727" s="12" t="s">
        <v>143</v>
      </c>
      <c r="M1727" s="18" t="s">
        <v>2038</v>
      </c>
      <c r="N1727" s="18"/>
      <c r="O1727" s="18" t="s">
        <v>2039</v>
      </c>
      <c r="P1727" s="18" t="str">
        <f>HYPERLINK("https://ceds.ed.gov/cedselementdetails.aspx?termid=9055")</f>
        <v>https://ceds.ed.gov/cedselementdetails.aspx?termid=9055</v>
      </c>
      <c r="Q1727" s="18" t="str">
        <f>HYPERLINK("https://ceds.ed.gov/elementComment.aspx?elementName=Course Identifier &amp;elementID=9055", "Click here to submit comment")</f>
        <v>Click here to submit comment</v>
      </c>
    </row>
    <row r="1728" spans="1:17" x14ac:dyDescent="0.25">
      <c r="A1728" s="18"/>
      <c r="B1728" s="18"/>
      <c r="C1728" s="18"/>
      <c r="D1728" s="18"/>
      <c r="E1728" s="18"/>
      <c r="F1728" s="18"/>
      <c r="G1728" s="18"/>
      <c r="H1728" s="18"/>
      <c r="I1728" s="18"/>
      <c r="J1728" s="18"/>
      <c r="K1728" s="18"/>
      <c r="L1728" s="12"/>
      <c r="M1728" s="18"/>
      <c r="N1728" s="18"/>
      <c r="O1728" s="18"/>
      <c r="P1728" s="18"/>
      <c r="Q1728" s="18"/>
    </row>
    <row r="1729" spans="1:17" ht="90" x14ac:dyDescent="0.25">
      <c r="A1729" s="18"/>
      <c r="B1729" s="18"/>
      <c r="C1729" s="18"/>
      <c r="D1729" s="18"/>
      <c r="E1729" s="18"/>
      <c r="F1729" s="18"/>
      <c r="G1729" s="18"/>
      <c r="H1729" s="18"/>
      <c r="I1729" s="18"/>
      <c r="J1729" s="18"/>
      <c r="K1729" s="18"/>
      <c r="L1729" s="12" t="s">
        <v>144</v>
      </c>
      <c r="M1729" s="18"/>
      <c r="N1729" s="18"/>
      <c r="O1729" s="18"/>
      <c r="P1729" s="18"/>
      <c r="Q1729" s="18"/>
    </row>
    <row r="1730" spans="1:17" ht="195" x14ac:dyDescent="0.25">
      <c r="A1730" s="12" t="s">
        <v>7242</v>
      </c>
      <c r="B1730" s="12" t="s">
        <v>7279</v>
      </c>
      <c r="C1730" s="12"/>
      <c r="D1730" s="12" t="s">
        <v>7172</v>
      </c>
      <c r="E1730" s="12" t="s">
        <v>1984</v>
      </c>
      <c r="F1730" s="12" t="s">
        <v>1985</v>
      </c>
      <c r="G1730" s="13" t="s">
        <v>6832</v>
      </c>
      <c r="H1730" s="12" t="s">
        <v>6429</v>
      </c>
      <c r="I1730" s="12"/>
      <c r="J1730" s="12"/>
      <c r="K1730" s="12"/>
      <c r="L1730" s="12"/>
      <c r="M1730" s="12" t="s">
        <v>1986</v>
      </c>
      <c r="N1730" s="12"/>
      <c r="O1730" s="12" t="s">
        <v>1987</v>
      </c>
      <c r="P1730" s="12" t="str">
        <f>HYPERLINK("https://ceds.ed.gov/cedselementdetails.aspx?termid=9056")</f>
        <v>https://ceds.ed.gov/cedselementdetails.aspx?termid=9056</v>
      </c>
      <c r="Q1730" s="12" t="str">
        <f>HYPERLINK("https://ceds.ed.gov/elementComment.aspx?elementName=Course Code System &amp;elementID=9056", "Click here to submit comment")</f>
        <v>Click here to submit comment</v>
      </c>
    </row>
    <row r="1731" spans="1:17" ht="45" x14ac:dyDescent="0.25">
      <c r="A1731" s="12" t="s">
        <v>7242</v>
      </c>
      <c r="B1731" s="12" t="s">
        <v>7279</v>
      </c>
      <c r="C1731" s="12"/>
      <c r="D1731" s="12" t="s">
        <v>7172</v>
      </c>
      <c r="E1731" s="12" t="s">
        <v>2009</v>
      </c>
      <c r="F1731" s="12" t="s">
        <v>2010</v>
      </c>
      <c r="G1731" s="12" t="s">
        <v>12</v>
      </c>
      <c r="H1731" s="12"/>
      <c r="I1731" s="12"/>
      <c r="J1731" s="12" t="s">
        <v>99</v>
      </c>
      <c r="K1731" s="12"/>
      <c r="L1731" s="12"/>
      <c r="M1731" s="12" t="s">
        <v>2011</v>
      </c>
      <c r="N1731" s="12"/>
      <c r="O1731" s="12" t="s">
        <v>2012</v>
      </c>
      <c r="P1731" s="12" t="str">
        <f>HYPERLINK("https://ceds.ed.gov/cedselementdetails.aspx?termid=9508")</f>
        <v>https://ceds.ed.gov/cedselementdetails.aspx?termid=9508</v>
      </c>
      <c r="Q1731" s="12" t="str">
        <f>HYPERLINK("https://ceds.ed.gov/elementComment.aspx?elementName=Course Description &amp;elementID=9508", "Click here to submit comment")</f>
        <v>Click here to submit comment</v>
      </c>
    </row>
    <row r="1732" spans="1:17" ht="120" x14ac:dyDescent="0.25">
      <c r="A1732" s="12" t="s">
        <v>7242</v>
      </c>
      <c r="B1732" s="12" t="s">
        <v>7279</v>
      </c>
      <c r="C1732" s="12"/>
      <c r="D1732" s="12" t="s">
        <v>7172</v>
      </c>
      <c r="E1732" s="12" t="s">
        <v>5574</v>
      </c>
      <c r="F1732" s="12" t="s">
        <v>5575</v>
      </c>
      <c r="G1732" s="12" t="s">
        <v>12</v>
      </c>
      <c r="H1732" s="12" t="s">
        <v>6429</v>
      </c>
      <c r="I1732" s="12"/>
      <c r="J1732" s="12" t="s">
        <v>2143</v>
      </c>
      <c r="K1732" s="12"/>
      <c r="L1732" s="12" t="s">
        <v>5576</v>
      </c>
      <c r="M1732" s="12" t="s">
        <v>5577</v>
      </c>
      <c r="N1732" s="12" t="s">
        <v>5578</v>
      </c>
      <c r="O1732" s="12" t="s">
        <v>5579</v>
      </c>
      <c r="P1732" s="12" t="str">
        <f>HYPERLINK("https://ceds.ed.gov/cedselementdetails.aspx?termid=9250")</f>
        <v>https://ceds.ed.gov/cedselementdetails.aspx?termid=9250</v>
      </c>
      <c r="Q1732" s="12" t="str">
        <f>HYPERLINK("https://ceds.ed.gov/elementComment.aspx?elementName=School Courses for the Exchange of Data Sequence of Course &amp;elementID=9250", "Click here to submit comment")</f>
        <v>Click here to submit comment</v>
      </c>
    </row>
    <row r="1733" spans="1:17" ht="165" x14ac:dyDescent="0.25">
      <c r="A1733" s="12" t="s">
        <v>7242</v>
      </c>
      <c r="B1733" s="12" t="s">
        <v>7279</v>
      </c>
      <c r="C1733" s="12"/>
      <c r="D1733" s="12" t="s">
        <v>7172</v>
      </c>
      <c r="E1733" s="12" t="s">
        <v>1996</v>
      </c>
      <c r="F1733" s="12" t="s">
        <v>1997</v>
      </c>
      <c r="G1733" s="13" t="s">
        <v>6835</v>
      </c>
      <c r="H1733" s="12" t="s">
        <v>25</v>
      </c>
      <c r="I1733" s="12"/>
      <c r="J1733" s="12"/>
      <c r="K1733" s="12"/>
      <c r="L1733" s="12"/>
      <c r="M1733" s="12" t="s">
        <v>1998</v>
      </c>
      <c r="N1733" s="12"/>
      <c r="O1733" s="12" t="s">
        <v>1999</v>
      </c>
      <c r="P1733" s="12" t="str">
        <f>HYPERLINK("https://ceds.ed.gov/cedselementdetails.aspx?termid=9057")</f>
        <v>https://ceds.ed.gov/cedselementdetails.aspx?termid=9057</v>
      </c>
      <c r="Q1733" s="12" t="str">
        <f>HYPERLINK("https://ceds.ed.gov/elementComment.aspx?elementName=Course Credit Units &amp;elementID=9057", "Click here to submit comment")</f>
        <v>Click here to submit comment</v>
      </c>
    </row>
    <row r="1734" spans="1:17" ht="105" x14ac:dyDescent="0.25">
      <c r="A1734" s="12" t="s">
        <v>7242</v>
      </c>
      <c r="B1734" s="12" t="s">
        <v>7279</v>
      </c>
      <c r="C1734" s="12"/>
      <c r="D1734" s="12" t="s">
        <v>7172</v>
      </c>
      <c r="E1734" s="12" t="s">
        <v>2000</v>
      </c>
      <c r="F1734" s="12" t="s">
        <v>2001</v>
      </c>
      <c r="G1734" s="12" t="s">
        <v>12</v>
      </c>
      <c r="H1734" s="12" t="s">
        <v>25</v>
      </c>
      <c r="I1734" s="12"/>
      <c r="J1734" s="12" t="s">
        <v>1554</v>
      </c>
      <c r="K1734" s="12"/>
      <c r="L1734" s="12" t="s">
        <v>2002</v>
      </c>
      <c r="M1734" s="12" t="s">
        <v>2003</v>
      </c>
      <c r="N1734" s="12"/>
      <c r="O1734" s="12" t="s">
        <v>2004</v>
      </c>
      <c r="P1734" s="12" t="str">
        <f>HYPERLINK("https://ceds.ed.gov/cedselementdetails.aspx?termid=9058")</f>
        <v>https://ceds.ed.gov/cedselementdetails.aspx?termid=9058</v>
      </c>
      <c r="Q1734" s="12" t="str">
        <f>HYPERLINK("https://ceds.ed.gov/elementComment.aspx?elementName=Course Credit Value &amp;elementID=9058", "Click here to submit comment")</f>
        <v>Click here to submit comment</v>
      </c>
    </row>
    <row r="1735" spans="1:17" ht="255" x14ac:dyDescent="0.25">
      <c r="A1735" s="12" t="s">
        <v>7242</v>
      </c>
      <c r="B1735" s="12" t="s">
        <v>7279</v>
      </c>
      <c r="C1735" s="12"/>
      <c r="D1735" s="12" t="s">
        <v>7172</v>
      </c>
      <c r="E1735" s="12" t="s">
        <v>168</v>
      </c>
      <c r="F1735" s="12" t="s">
        <v>169</v>
      </c>
      <c r="G1735" s="13" t="s">
        <v>6725</v>
      </c>
      <c r="H1735" s="12"/>
      <c r="I1735" s="12"/>
      <c r="J1735" s="12"/>
      <c r="K1735" s="12"/>
      <c r="L1735" s="12"/>
      <c r="M1735" s="12" t="s">
        <v>170</v>
      </c>
      <c r="N1735" s="12"/>
      <c r="O1735" s="12" t="s">
        <v>171</v>
      </c>
      <c r="P1735" s="12" t="str">
        <f>HYPERLINK("https://ceds.ed.gov/cedselementdetails.aspx?termid=9589")</f>
        <v>https://ceds.ed.gov/cedselementdetails.aspx?termid=9589</v>
      </c>
      <c r="Q1735" s="12" t="str">
        <f>HYPERLINK("https://ceds.ed.gov/elementComment.aspx?elementName=Additional Credit Type &amp;elementID=9589", "Click here to submit comment")</f>
        <v>Click here to submit comment</v>
      </c>
    </row>
    <row r="1736" spans="1:17" ht="150" x14ac:dyDescent="0.25">
      <c r="A1736" s="12" t="s">
        <v>7242</v>
      </c>
      <c r="B1736" s="12" t="s">
        <v>7279</v>
      </c>
      <c r="C1736" s="12"/>
      <c r="D1736" s="12" t="s">
        <v>7172</v>
      </c>
      <c r="E1736" s="12" t="s">
        <v>1552</v>
      </c>
      <c r="F1736" s="12" t="s">
        <v>1553</v>
      </c>
      <c r="G1736" s="12" t="s">
        <v>12</v>
      </c>
      <c r="H1736" s="12" t="s">
        <v>6429</v>
      </c>
      <c r="I1736" s="12"/>
      <c r="J1736" s="12" t="s">
        <v>1554</v>
      </c>
      <c r="K1736" s="12"/>
      <c r="L1736" s="12"/>
      <c r="M1736" s="12" t="s">
        <v>1555</v>
      </c>
      <c r="N1736" s="12"/>
      <c r="O1736" s="12" t="s">
        <v>1556</v>
      </c>
      <c r="P1736" s="12" t="str">
        <f>HYPERLINK("https://ceds.ed.gov/cedselementdetails.aspx?termid=9030")</f>
        <v>https://ceds.ed.gov/cedselementdetails.aspx?termid=9030</v>
      </c>
      <c r="Q1736" s="12" t="str">
        <f>HYPERLINK("https://ceds.ed.gov/elementComment.aspx?elementName=Available Carnegie Unit Credit &amp;elementID=9030", "Click here to submit comment")</f>
        <v>Click here to submit comment</v>
      </c>
    </row>
    <row r="1737" spans="1:17" ht="120" x14ac:dyDescent="0.25">
      <c r="A1737" s="12" t="s">
        <v>7242</v>
      </c>
      <c r="B1737" s="12" t="s">
        <v>7279</v>
      </c>
      <c r="C1737" s="12"/>
      <c r="D1737" s="12" t="s">
        <v>7172</v>
      </c>
      <c r="E1737" s="12" t="s">
        <v>2027</v>
      </c>
      <c r="F1737" s="12" t="s">
        <v>2028</v>
      </c>
      <c r="G1737" s="13" t="s">
        <v>6836</v>
      </c>
      <c r="H1737" s="12" t="s">
        <v>6429</v>
      </c>
      <c r="I1737" s="12"/>
      <c r="J1737" s="12"/>
      <c r="K1737" s="12"/>
      <c r="L1737" s="12"/>
      <c r="M1737" s="12" t="s">
        <v>2029</v>
      </c>
      <c r="N1737" s="12" t="s">
        <v>2030</v>
      </c>
      <c r="O1737" s="12" t="s">
        <v>2031</v>
      </c>
      <c r="P1737" s="12" t="str">
        <f>HYPERLINK("https://ceds.ed.gov/cedselementdetails.aspx?termid=9060")</f>
        <v>https://ceds.ed.gov/cedselementdetails.aspx?termid=9060</v>
      </c>
      <c r="Q1737" s="12" t="str">
        <f>HYPERLINK("https://ceds.ed.gov/elementComment.aspx?elementName=Course Grade Point Average Applicability &amp;elementID=9060", "Click here to submit comment")</f>
        <v>Click here to submit comment</v>
      </c>
    </row>
    <row r="1738" spans="1:17" ht="345" x14ac:dyDescent="0.25">
      <c r="A1738" s="12" t="s">
        <v>7242</v>
      </c>
      <c r="B1738" s="12" t="s">
        <v>7279</v>
      </c>
      <c r="C1738" s="12"/>
      <c r="D1738" s="12" t="s">
        <v>7172</v>
      </c>
      <c r="E1738" s="12" t="s">
        <v>2057</v>
      </c>
      <c r="F1738" s="12" t="s">
        <v>2058</v>
      </c>
      <c r="G1738" s="13" t="s">
        <v>6841</v>
      </c>
      <c r="H1738" s="12" t="s">
        <v>6479</v>
      </c>
      <c r="I1738" s="12"/>
      <c r="J1738" s="12"/>
      <c r="K1738" s="12"/>
      <c r="L1738" s="12"/>
      <c r="M1738" s="12" t="s">
        <v>2059</v>
      </c>
      <c r="N1738" s="12"/>
      <c r="O1738" s="12" t="s">
        <v>2060</v>
      </c>
      <c r="P1738" s="12" t="str">
        <f>HYPERLINK("https://ceds.ed.gov/cedselementdetails.aspx?termid=9061")</f>
        <v>https://ceds.ed.gov/cedselementdetails.aspx?termid=9061</v>
      </c>
      <c r="Q1738" s="12" t="str">
        <f>HYPERLINK("https://ceds.ed.gov/elementComment.aspx?elementName=Course Level Characteristic &amp;elementID=9061", "Click here to submit comment")</f>
        <v>Click here to submit comment</v>
      </c>
    </row>
    <row r="1739" spans="1:17" ht="120" x14ac:dyDescent="0.25">
      <c r="A1739" s="12" t="s">
        <v>7242</v>
      </c>
      <c r="B1739" s="12" t="s">
        <v>7279</v>
      </c>
      <c r="C1739" s="12"/>
      <c r="D1739" s="12" t="s">
        <v>7172</v>
      </c>
      <c r="E1739" s="12" t="s">
        <v>3183</v>
      </c>
      <c r="F1739" s="12" t="s">
        <v>3184</v>
      </c>
      <c r="G1739" s="12" t="s">
        <v>6364</v>
      </c>
      <c r="H1739" s="12" t="s">
        <v>6429</v>
      </c>
      <c r="I1739" s="12"/>
      <c r="J1739" s="12"/>
      <c r="K1739" s="12"/>
      <c r="L1739" s="12"/>
      <c r="M1739" s="12" t="s">
        <v>3185</v>
      </c>
      <c r="N1739" s="12"/>
      <c r="O1739" s="12" t="s">
        <v>3186</v>
      </c>
      <c r="P1739" s="12" t="str">
        <f>HYPERLINK("https://ceds.ed.gov/cedselementdetails.aspx?termid=9137")</f>
        <v>https://ceds.ed.gov/cedselementdetails.aspx?termid=9137</v>
      </c>
      <c r="Q1739" s="12" t="str">
        <f>HYPERLINK("https://ceds.ed.gov/elementComment.aspx?elementName=High School Course Requirement &amp;elementID=9137", "Click here to submit comment")</f>
        <v>Click here to submit comment</v>
      </c>
    </row>
    <row r="1740" spans="1:17" ht="90" x14ac:dyDescent="0.25">
      <c r="A1740" s="12" t="s">
        <v>7242</v>
      </c>
      <c r="B1740" s="12" t="s">
        <v>7279</v>
      </c>
      <c r="C1740" s="12"/>
      <c r="D1740" s="12" t="s">
        <v>7172</v>
      </c>
      <c r="E1740" s="12" t="s">
        <v>3544</v>
      </c>
      <c r="F1740" s="12" t="s">
        <v>3545</v>
      </c>
      <c r="G1740" s="14" t="s">
        <v>999</v>
      </c>
      <c r="H1740" s="12" t="s">
        <v>211</v>
      </c>
      <c r="I1740" s="12" t="s">
        <v>98</v>
      </c>
      <c r="J1740" s="12"/>
      <c r="K1740" s="12"/>
      <c r="L1740" s="14" t="s">
        <v>1000</v>
      </c>
      <c r="M1740" s="12" t="s">
        <v>3546</v>
      </c>
      <c r="N1740" s="12"/>
      <c r="O1740" s="12" t="s">
        <v>3547</v>
      </c>
      <c r="P1740" s="12" t="str">
        <f>HYPERLINK("https://ceds.ed.gov/cedselementdetails.aspx?termid=9438")</f>
        <v>https://ceds.ed.gov/cedselementdetails.aspx?termid=9438</v>
      </c>
      <c r="Q1740" s="12" t="str">
        <f>HYPERLINK("https://ceds.ed.gov/elementComment.aspx?elementName=Instruction Language &amp;elementID=9438", "Click here to submit comment")</f>
        <v>Click here to submit comment</v>
      </c>
    </row>
    <row r="1741" spans="1:17" ht="45" x14ac:dyDescent="0.25">
      <c r="A1741" s="12" t="s">
        <v>7242</v>
      </c>
      <c r="B1741" s="12" t="s">
        <v>7279</v>
      </c>
      <c r="C1741" s="12"/>
      <c r="D1741" s="12" t="s">
        <v>7172</v>
      </c>
      <c r="E1741" s="12" t="s">
        <v>1917</v>
      </c>
      <c r="F1741" s="12" t="s">
        <v>1918</v>
      </c>
      <c r="G1741" s="12" t="s">
        <v>6364</v>
      </c>
      <c r="H1741" s="12"/>
      <c r="I1741" s="12"/>
      <c r="J1741" s="12"/>
      <c r="K1741" s="12"/>
      <c r="L1741" s="12"/>
      <c r="M1741" s="12" t="s">
        <v>1919</v>
      </c>
      <c r="N1741" s="12"/>
      <c r="O1741" s="12" t="s">
        <v>1920</v>
      </c>
      <c r="P1741" s="12" t="str">
        <f>HYPERLINK("https://ceds.ed.gov/cedselementdetails.aspx?termid=9509")</f>
        <v>https://ceds.ed.gov/cedselementdetails.aspx?termid=9509</v>
      </c>
      <c r="Q1741" s="12" t="str">
        <f>HYPERLINK("https://ceds.ed.gov/elementComment.aspx?elementName=Core Academic Course &amp;elementID=9509", "Click here to submit comment")</f>
        <v>Click here to submit comment</v>
      </c>
    </row>
    <row r="1742" spans="1:17" ht="150" x14ac:dyDescent="0.25">
      <c r="A1742" s="12" t="s">
        <v>7242</v>
      </c>
      <c r="B1742" s="12" t="s">
        <v>7279</v>
      </c>
      <c r="C1742" s="12"/>
      <c r="D1742" s="12" t="s">
        <v>7172</v>
      </c>
      <c r="E1742" s="12" t="s">
        <v>2221</v>
      </c>
      <c r="F1742" s="12" t="s">
        <v>2222</v>
      </c>
      <c r="G1742" s="13" t="s">
        <v>6852</v>
      </c>
      <c r="H1742" s="12"/>
      <c r="I1742" s="12"/>
      <c r="J1742" s="12"/>
      <c r="K1742" s="12"/>
      <c r="L1742" s="12"/>
      <c r="M1742" s="12" t="s">
        <v>2223</v>
      </c>
      <c r="N1742" s="12"/>
      <c r="O1742" s="12" t="s">
        <v>2224</v>
      </c>
      <c r="P1742" s="12" t="str">
        <f>HYPERLINK("https://ceds.ed.gov/cedselementdetails.aspx?termid=9688")</f>
        <v>https://ceds.ed.gov/cedselementdetails.aspx?termid=9688</v>
      </c>
      <c r="Q1742" s="12" t="str">
        <f>HYPERLINK("https://ceds.ed.gov/elementComment.aspx?elementName=Curriculum Framework Type &amp;elementID=9688", "Click here to submit comment")</f>
        <v>Click here to submit comment</v>
      </c>
    </row>
    <row r="1743" spans="1:17" ht="45" x14ac:dyDescent="0.25">
      <c r="A1743" s="12" t="s">
        <v>7242</v>
      </c>
      <c r="B1743" s="12" t="s">
        <v>7279</v>
      </c>
      <c r="C1743" s="12"/>
      <c r="D1743" s="12" t="s">
        <v>7172</v>
      </c>
      <c r="E1743" s="12" t="s">
        <v>1967</v>
      </c>
      <c r="F1743" s="12" t="s">
        <v>1968</v>
      </c>
      <c r="G1743" s="12" t="s">
        <v>6364</v>
      </c>
      <c r="H1743" s="12"/>
      <c r="I1743" s="12"/>
      <c r="J1743" s="12"/>
      <c r="K1743" s="12"/>
      <c r="L1743" s="12"/>
      <c r="M1743" s="12" t="s">
        <v>1969</v>
      </c>
      <c r="N1743" s="12"/>
      <c r="O1743" s="12" t="s">
        <v>1970</v>
      </c>
      <c r="P1743" s="12" t="str">
        <f>HYPERLINK("https://ceds.ed.gov/cedselementdetails.aspx?termid=9013")</f>
        <v>https://ceds.ed.gov/cedselementdetails.aspx?termid=9013</v>
      </c>
      <c r="Q1743" s="12" t="str">
        <f>HYPERLINK("https://ceds.ed.gov/elementComment.aspx?elementName=Course Aligned with Standards &amp;elementID=9013", "Click here to submit comment")</f>
        <v>Click here to submit comment</v>
      </c>
    </row>
    <row r="1744" spans="1:17" ht="75" x14ac:dyDescent="0.25">
      <c r="A1744" s="12" t="s">
        <v>7242</v>
      </c>
      <c r="B1744" s="12" t="s">
        <v>7279</v>
      </c>
      <c r="C1744" s="12"/>
      <c r="D1744" s="12" t="s">
        <v>7172</v>
      </c>
      <c r="E1744" s="12" t="s">
        <v>0</v>
      </c>
      <c r="F1744" s="12" t="s">
        <v>1</v>
      </c>
      <c r="G1744" s="12" t="s">
        <v>6364</v>
      </c>
      <c r="H1744" s="12" t="s">
        <v>4</v>
      </c>
      <c r="I1744" s="12"/>
      <c r="J1744" s="12"/>
      <c r="K1744" s="12"/>
      <c r="L1744" s="12"/>
      <c r="M1744" s="12" t="s">
        <v>2</v>
      </c>
      <c r="N1744" s="12"/>
      <c r="O1744" s="12" t="s">
        <v>3</v>
      </c>
      <c r="P1744" s="12" t="str">
        <f>HYPERLINK("https://ceds.ed.gov/cedselementdetails.aspx?termid=9000")</f>
        <v>https://ceds.ed.gov/cedselementdetails.aspx?termid=9000</v>
      </c>
      <c r="Q1744" s="12" t="str">
        <f>HYPERLINK("https://ceds.ed.gov/elementComment.aspx?elementName=Ability Grouping Status &amp;elementID=9000", "Click here to submit comment")</f>
        <v>Click here to submit comment</v>
      </c>
    </row>
    <row r="1745" spans="1:17" ht="409.5" x14ac:dyDescent="0.25">
      <c r="A1745" s="12" t="s">
        <v>7242</v>
      </c>
      <c r="B1745" s="12" t="s">
        <v>7279</v>
      </c>
      <c r="C1745" s="12"/>
      <c r="D1745" s="12" t="s">
        <v>7172</v>
      </c>
      <c r="E1745" s="12" t="s">
        <v>304</v>
      </c>
      <c r="F1745" s="12" t="s">
        <v>305</v>
      </c>
      <c r="G1745" s="13" t="s">
        <v>6744</v>
      </c>
      <c r="H1745" s="12"/>
      <c r="I1745" s="12"/>
      <c r="J1745" s="12" t="s">
        <v>99</v>
      </c>
      <c r="K1745" s="12"/>
      <c r="L1745" s="12"/>
      <c r="M1745" s="12" t="s">
        <v>306</v>
      </c>
      <c r="N1745" s="12" t="s">
        <v>307</v>
      </c>
      <c r="O1745" s="12" t="s">
        <v>308</v>
      </c>
      <c r="P1745" s="12" t="str">
        <f>HYPERLINK("https://ceds.ed.gov/cedselementdetails.aspx?termid=10244")</f>
        <v>https://ceds.ed.gov/cedselementdetails.aspx?termid=10244</v>
      </c>
      <c r="Q1745" s="12" t="str">
        <f>HYPERLINK("https://ceds.ed.gov/elementComment.aspx?elementName=Advanced Placement Course Code &amp;elementID=10244", "Click here to submit comment")</f>
        <v>Click here to submit comment</v>
      </c>
    </row>
    <row r="1746" spans="1:17" ht="75" x14ac:dyDescent="0.25">
      <c r="A1746" s="18" t="s">
        <v>7242</v>
      </c>
      <c r="B1746" s="18" t="s">
        <v>7279</v>
      </c>
      <c r="C1746" s="18"/>
      <c r="D1746" s="18" t="s">
        <v>7172</v>
      </c>
      <c r="E1746" s="18" t="s">
        <v>1583</v>
      </c>
      <c r="F1746" s="18" t="s">
        <v>1584</v>
      </c>
      <c r="G1746" s="20" t="s">
        <v>6802</v>
      </c>
      <c r="H1746" s="18"/>
      <c r="I1746" s="18"/>
      <c r="J1746" s="18"/>
      <c r="K1746" s="18"/>
      <c r="L1746" s="12" t="s">
        <v>1585</v>
      </c>
      <c r="M1746" s="18" t="s">
        <v>1587</v>
      </c>
      <c r="N1746" s="18"/>
      <c r="O1746" s="18" t="s">
        <v>1588</v>
      </c>
      <c r="P1746" s="18" t="str">
        <f>HYPERLINK("https://ceds.ed.gov/cedselementdetails.aspx?termid=10253")</f>
        <v>https://ceds.ed.gov/cedselementdetails.aspx?termid=10253</v>
      </c>
      <c r="Q1746" s="18" t="str">
        <f>HYPERLINK("https://ceds.ed.gov/elementComment.aspx?elementName=Blended Learning Model Type &amp;elementID=10253", "Click here to submit comment")</f>
        <v>Click here to submit comment</v>
      </c>
    </row>
    <row r="1747" spans="1:17" x14ac:dyDescent="0.25">
      <c r="A1747" s="18"/>
      <c r="B1747" s="18"/>
      <c r="C1747" s="18"/>
      <c r="D1747" s="18"/>
      <c r="E1747" s="18"/>
      <c r="F1747" s="18"/>
      <c r="G1747" s="18"/>
      <c r="H1747" s="18"/>
      <c r="I1747" s="18"/>
      <c r="J1747" s="18"/>
      <c r="K1747" s="18"/>
      <c r="L1747" s="12"/>
      <c r="M1747" s="18"/>
      <c r="N1747" s="18"/>
      <c r="O1747" s="18"/>
      <c r="P1747" s="18"/>
      <c r="Q1747" s="18"/>
    </row>
    <row r="1748" spans="1:17" ht="45" x14ac:dyDescent="0.25">
      <c r="A1748" s="18"/>
      <c r="B1748" s="18"/>
      <c r="C1748" s="18"/>
      <c r="D1748" s="18"/>
      <c r="E1748" s="18"/>
      <c r="F1748" s="18"/>
      <c r="G1748" s="18"/>
      <c r="H1748" s="18"/>
      <c r="I1748" s="18"/>
      <c r="J1748" s="18"/>
      <c r="K1748" s="18"/>
      <c r="L1748" s="12" t="s">
        <v>1586</v>
      </c>
      <c r="M1748" s="18"/>
      <c r="N1748" s="18"/>
      <c r="O1748" s="18"/>
      <c r="P1748" s="18"/>
      <c r="Q1748" s="18"/>
    </row>
    <row r="1749" spans="1:17" ht="360" x14ac:dyDescent="0.25">
      <c r="A1749" s="12" t="s">
        <v>7242</v>
      </c>
      <c r="B1749" s="12" t="s">
        <v>7279</v>
      </c>
      <c r="C1749" s="12"/>
      <c r="D1749" s="12" t="s">
        <v>7172</v>
      </c>
      <c r="E1749" s="12" t="s">
        <v>1670</v>
      </c>
      <c r="F1749" s="12" t="s">
        <v>1671</v>
      </c>
      <c r="G1749" s="13" t="s">
        <v>6807</v>
      </c>
      <c r="H1749" s="12"/>
      <c r="I1749" s="12"/>
      <c r="J1749" s="12"/>
      <c r="K1749" s="12"/>
      <c r="L1749" s="12" t="s">
        <v>1672</v>
      </c>
      <c r="M1749" s="12" t="s">
        <v>1673</v>
      </c>
      <c r="N1749" s="12"/>
      <c r="O1749" s="12" t="s">
        <v>1674</v>
      </c>
      <c r="P1749" s="12" t="str">
        <f>HYPERLINK("https://ceds.ed.gov/cedselementdetails.aspx?termid=10254")</f>
        <v>https://ceds.ed.gov/cedselementdetails.aspx?termid=10254</v>
      </c>
      <c r="Q1749" s="12" t="str">
        <f>HYPERLINK("https://ceds.ed.gov/elementComment.aspx?elementName=Career Cluster &amp;elementID=10254", "Click here to submit comment")</f>
        <v>Click here to submit comment</v>
      </c>
    </row>
    <row r="1750" spans="1:17" ht="409.5" x14ac:dyDescent="0.25">
      <c r="A1750" s="12" t="s">
        <v>7242</v>
      </c>
      <c r="B1750" s="12" t="s">
        <v>7279</v>
      </c>
      <c r="C1750" s="12"/>
      <c r="D1750" s="12" t="s">
        <v>7172</v>
      </c>
      <c r="E1750" s="12" t="s">
        <v>1971</v>
      </c>
      <c r="F1750" s="12" t="s">
        <v>1972</v>
      </c>
      <c r="G1750" s="13" t="s">
        <v>6831</v>
      </c>
      <c r="H1750" s="12"/>
      <c r="I1750" s="12"/>
      <c r="J1750" s="12"/>
      <c r="K1750" s="12"/>
      <c r="L1750" s="12" t="s">
        <v>1973</v>
      </c>
      <c r="M1750" s="12" t="s">
        <v>1974</v>
      </c>
      <c r="N1750" s="12"/>
      <c r="O1750" s="12" t="s">
        <v>1975</v>
      </c>
      <c r="P1750" s="12" t="str">
        <f>HYPERLINK("https://ceds.ed.gov/cedselementdetails.aspx?termid=10267")</f>
        <v>https://ceds.ed.gov/cedselementdetails.aspx?termid=10267</v>
      </c>
      <c r="Q1750" s="12" t="str">
        <f>HYPERLINK("https://ceds.ed.gov/elementComment.aspx?elementName=Course Applicable Education Level &amp;elementID=10267", "Click here to submit comment")</f>
        <v>Click here to submit comment</v>
      </c>
    </row>
    <row r="1751" spans="1:17" ht="45" x14ac:dyDescent="0.25">
      <c r="A1751" s="12" t="s">
        <v>7242</v>
      </c>
      <c r="B1751" s="12" t="s">
        <v>7279</v>
      </c>
      <c r="C1751" s="12"/>
      <c r="D1751" s="12" t="s">
        <v>7172</v>
      </c>
      <c r="E1751" s="12" t="s">
        <v>1980</v>
      </c>
      <c r="F1751" s="12" t="s">
        <v>1981</v>
      </c>
      <c r="G1751" s="12" t="s">
        <v>12</v>
      </c>
      <c r="H1751" s="12"/>
      <c r="I1751" s="12"/>
      <c r="J1751" s="12" t="s">
        <v>68</v>
      </c>
      <c r="K1751" s="12"/>
      <c r="L1751" s="12"/>
      <c r="M1751" s="12" t="s">
        <v>1982</v>
      </c>
      <c r="N1751" s="12"/>
      <c r="O1751" s="12" t="s">
        <v>1983</v>
      </c>
      <c r="P1751" s="12" t="str">
        <f>HYPERLINK("https://ceds.ed.gov/cedselementdetails.aspx?termid=10268")</f>
        <v>https://ceds.ed.gov/cedselementdetails.aspx?termid=10268</v>
      </c>
      <c r="Q1751" s="12" t="str">
        <f>HYPERLINK("https://ceds.ed.gov/elementComment.aspx?elementName=Course Certification Description &amp;elementID=10268", "Click here to submit comment")</f>
        <v>Click here to submit comment</v>
      </c>
    </row>
    <row r="1752" spans="1:17" ht="30" x14ac:dyDescent="0.25">
      <c r="A1752" s="12" t="s">
        <v>7242</v>
      </c>
      <c r="B1752" s="12" t="s">
        <v>7279</v>
      </c>
      <c r="C1752" s="12"/>
      <c r="D1752" s="12" t="s">
        <v>7172</v>
      </c>
      <c r="E1752" s="12" t="s">
        <v>2005</v>
      </c>
      <c r="F1752" s="12" t="s">
        <v>2006</v>
      </c>
      <c r="G1752" s="12" t="s">
        <v>12</v>
      </c>
      <c r="H1752" s="12"/>
      <c r="I1752" s="12"/>
      <c r="J1752" s="12" t="s">
        <v>99</v>
      </c>
      <c r="K1752" s="12"/>
      <c r="L1752" s="12"/>
      <c r="M1752" s="12" t="s">
        <v>2007</v>
      </c>
      <c r="N1752" s="12"/>
      <c r="O1752" s="12" t="s">
        <v>2008</v>
      </c>
      <c r="P1752" s="12" t="str">
        <f>HYPERLINK("https://ceds.ed.gov/cedselementdetails.aspx?termid=10525")</f>
        <v>https://ceds.ed.gov/cedselementdetails.aspx?termid=10525</v>
      </c>
      <c r="Q1752" s="12" t="str">
        <f>HYPERLINK("https://ceds.ed.gov/elementComment.aspx?elementName=Course Department Name &amp;elementID=10525", "Click here to submit comment")</f>
        <v>Click here to submit comment</v>
      </c>
    </row>
    <row r="1753" spans="1:17" ht="90" x14ac:dyDescent="0.25">
      <c r="A1753" s="12" t="s">
        <v>7242</v>
      </c>
      <c r="B1753" s="12" t="s">
        <v>7279</v>
      </c>
      <c r="C1753" s="12"/>
      <c r="D1753" s="12" t="s">
        <v>7172</v>
      </c>
      <c r="E1753" s="12" t="s">
        <v>2022</v>
      </c>
      <c r="F1753" s="12" t="s">
        <v>2023</v>
      </c>
      <c r="G1753" s="12" t="s">
        <v>12</v>
      </c>
      <c r="H1753" s="12"/>
      <c r="I1753" s="12"/>
      <c r="J1753" s="12" t="s">
        <v>92</v>
      </c>
      <c r="K1753" s="12"/>
      <c r="L1753" s="12" t="s">
        <v>2024</v>
      </c>
      <c r="M1753" s="12" t="s">
        <v>2025</v>
      </c>
      <c r="N1753" s="12"/>
      <c r="O1753" s="12" t="s">
        <v>2026</v>
      </c>
      <c r="P1753" s="12" t="str">
        <f>HYPERLINK("https://ceds.ed.gov/cedselementdetails.aspx?termid=10272")</f>
        <v>https://ceds.ed.gov/cedselementdetails.aspx?termid=10272</v>
      </c>
      <c r="Q1753" s="12" t="str">
        <f>HYPERLINK("https://ceds.ed.gov/elementComment.aspx?elementName=Course Funding Program &amp;elementID=10272", "Click here to submit comment")</f>
        <v>Click here to submit comment</v>
      </c>
    </row>
    <row r="1754" spans="1:17" ht="45" x14ac:dyDescent="0.25">
      <c r="A1754" s="12" t="s">
        <v>7242</v>
      </c>
      <c r="B1754" s="12" t="s">
        <v>7279</v>
      </c>
      <c r="C1754" s="12"/>
      <c r="D1754" s="12" t="s">
        <v>7172</v>
      </c>
      <c r="E1754" s="12" t="s">
        <v>2052</v>
      </c>
      <c r="F1754" s="12" t="s">
        <v>2053</v>
      </c>
      <c r="G1754" s="13" t="s">
        <v>6840</v>
      </c>
      <c r="H1754" s="12"/>
      <c r="I1754" s="12"/>
      <c r="J1754" s="12"/>
      <c r="K1754" s="12"/>
      <c r="L1754" s="12" t="s">
        <v>2054</v>
      </c>
      <c r="M1754" s="12" t="s">
        <v>2055</v>
      </c>
      <c r="N1754" s="12"/>
      <c r="O1754" s="12" t="s">
        <v>2056</v>
      </c>
      <c r="P1754" s="12" t="str">
        <f>HYPERLINK("https://ceds.ed.gov/cedselementdetails.aspx?termid=10277")</f>
        <v>https://ceds.ed.gov/cedselementdetails.aspx?termid=10277</v>
      </c>
      <c r="Q1754" s="12" t="str">
        <f>HYPERLINK("https://ceds.ed.gov/elementComment.aspx?elementName=Course Interaction Mode &amp;elementID=10277", "Click here to submit comment")</f>
        <v>Click here to submit comment</v>
      </c>
    </row>
    <row r="1755" spans="1:17" ht="45" x14ac:dyDescent="0.25">
      <c r="A1755" s="12" t="s">
        <v>7242</v>
      </c>
      <c r="B1755" s="12" t="s">
        <v>7279</v>
      </c>
      <c r="C1755" s="12"/>
      <c r="D1755" s="12" t="s">
        <v>7172</v>
      </c>
      <c r="E1755" s="12" t="s">
        <v>2827</v>
      </c>
      <c r="F1755" s="12" t="s">
        <v>2828</v>
      </c>
      <c r="G1755" s="12" t="s">
        <v>6364</v>
      </c>
      <c r="H1755" s="12"/>
      <c r="I1755" s="12"/>
      <c r="J1755" s="12"/>
      <c r="K1755" s="12"/>
      <c r="L1755" s="12"/>
      <c r="M1755" s="12" t="s">
        <v>2829</v>
      </c>
      <c r="N1755" s="12"/>
      <c r="O1755" s="12" t="s">
        <v>2830</v>
      </c>
      <c r="P1755" s="12" t="str">
        <f>HYPERLINK("https://ceds.ed.gov/cedselementdetails.aspx?termid=10311")</f>
        <v>https://ceds.ed.gov/cedselementdetails.aspx?termid=10311</v>
      </c>
      <c r="Q1755" s="12" t="str">
        <f>HYPERLINK("https://ceds.ed.gov/elementComment.aspx?elementName=Family and Consumer Sciences Course Indicator &amp;elementID=10311", "Click here to submit comment")</f>
        <v>Click here to submit comment</v>
      </c>
    </row>
    <row r="1756" spans="1:17" ht="75" x14ac:dyDescent="0.25">
      <c r="A1756" s="12" t="s">
        <v>7242</v>
      </c>
      <c r="B1756" s="12" t="s">
        <v>7279</v>
      </c>
      <c r="C1756" s="12"/>
      <c r="D1756" s="12" t="s">
        <v>7172</v>
      </c>
      <c r="E1756" s="12" t="s">
        <v>3654</v>
      </c>
      <c r="F1756" s="12" t="s">
        <v>3655</v>
      </c>
      <c r="G1756" s="13" t="s">
        <v>6984</v>
      </c>
      <c r="H1756" s="12"/>
      <c r="I1756" s="12"/>
      <c r="J1756" s="12"/>
      <c r="K1756" s="12"/>
      <c r="L1756" s="12"/>
      <c r="M1756" s="12" t="s">
        <v>3657</v>
      </c>
      <c r="N1756" s="12"/>
      <c r="O1756" s="12" t="s">
        <v>3658</v>
      </c>
      <c r="P1756" s="12" t="str">
        <f>HYPERLINK("https://ceds.ed.gov/cedselementdetails.aspx?termid=10355")</f>
        <v>https://ceds.ed.gov/cedselementdetails.aspx?termid=10355</v>
      </c>
      <c r="Q1756" s="12" t="str">
        <f>HYPERLINK("https://ceds.ed.gov/elementComment.aspx?elementName=K12 End of Course Requirement &amp;elementID=10355", "Click here to submit comment")</f>
        <v>Click here to submit comment</v>
      </c>
    </row>
    <row r="1757" spans="1:17" ht="45" x14ac:dyDescent="0.25">
      <c r="A1757" s="12" t="s">
        <v>7242</v>
      </c>
      <c r="B1757" s="12" t="s">
        <v>7279</v>
      </c>
      <c r="C1757" s="12"/>
      <c r="D1757" s="12" t="s">
        <v>7172</v>
      </c>
      <c r="E1757" s="12" t="s">
        <v>4526</v>
      </c>
      <c r="F1757" s="12" t="s">
        <v>4527</v>
      </c>
      <c r="G1757" s="12" t="s">
        <v>6364</v>
      </c>
      <c r="H1757" s="12"/>
      <c r="I1757" s="12"/>
      <c r="J1757" s="12"/>
      <c r="K1757" s="12"/>
      <c r="L1757" s="12"/>
      <c r="M1757" s="12" t="s">
        <v>4528</v>
      </c>
      <c r="N1757" s="12" t="s">
        <v>4529</v>
      </c>
      <c r="O1757" s="12" t="s">
        <v>4530</v>
      </c>
      <c r="P1757" s="12" t="str">
        <f>HYPERLINK("https://ceds.ed.gov/cedselementdetails.aspx?termid=10382")</f>
        <v>https://ceds.ed.gov/cedselementdetails.aspx?termid=10382</v>
      </c>
      <c r="Q1757" s="12" t="str">
        <f>HYPERLINK("https://ceds.ed.gov/elementComment.aspx?elementName=National Collegiate Athletic Association Eligibility &amp;elementID=10382", "Click here to submit comment")</f>
        <v>Click here to submit comment</v>
      </c>
    </row>
    <row r="1758" spans="1:17" ht="120" x14ac:dyDescent="0.25">
      <c r="A1758" s="12" t="s">
        <v>7242</v>
      </c>
      <c r="B1758" s="12" t="s">
        <v>7279</v>
      </c>
      <c r="C1758" s="12"/>
      <c r="D1758" s="12" t="s">
        <v>7172</v>
      </c>
      <c r="E1758" s="12" t="s">
        <v>5546</v>
      </c>
      <c r="F1758" s="12" t="s">
        <v>5547</v>
      </c>
      <c r="G1758" s="14" t="s">
        <v>5548</v>
      </c>
      <c r="H1758" s="12"/>
      <c r="I1758" s="12"/>
      <c r="J1758" s="12" t="s">
        <v>5549</v>
      </c>
      <c r="K1758" s="12"/>
      <c r="L1758" s="12" t="s">
        <v>5550</v>
      </c>
      <c r="M1758" s="12" t="s">
        <v>5551</v>
      </c>
      <c r="N1758" s="12" t="s">
        <v>5552</v>
      </c>
      <c r="O1758" s="12" t="s">
        <v>5553</v>
      </c>
      <c r="P1758" s="12" t="str">
        <f>HYPERLINK("https://ceds.ed.gov/cedselementdetails.aspx?termid=10490")</f>
        <v>https://ceds.ed.gov/cedselementdetails.aspx?termid=10490</v>
      </c>
      <c r="Q1758" s="12" t="str">
        <f>HYPERLINK("https://ceds.ed.gov/elementComment.aspx?elementName=School Courses for the Exchange of Data Course Code &amp;elementID=10490", "Click here to submit comment")</f>
        <v>Click here to submit comment</v>
      </c>
    </row>
    <row r="1759" spans="1:17" ht="105" x14ac:dyDescent="0.25">
      <c r="A1759" s="12" t="s">
        <v>7242</v>
      </c>
      <c r="B1759" s="12" t="s">
        <v>7279</v>
      </c>
      <c r="C1759" s="12"/>
      <c r="D1759" s="12" t="s">
        <v>7172</v>
      </c>
      <c r="E1759" s="12" t="s">
        <v>5554</v>
      </c>
      <c r="F1759" s="12" t="s">
        <v>5555</v>
      </c>
      <c r="G1759" s="13" t="s">
        <v>7101</v>
      </c>
      <c r="H1759" s="12"/>
      <c r="I1759" s="12"/>
      <c r="J1759" s="12" t="s">
        <v>5556</v>
      </c>
      <c r="K1759" s="12"/>
      <c r="L1759" s="12"/>
      <c r="M1759" s="12" t="s">
        <v>5557</v>
      </c>
      <c r="N1759" s="12" t="s">
        <v>5558</v>
      </c>
      <c r="O1759" s="12" t="s">
        <v>5559</v>
      </c>
      <c r="P1759" s="12" t="str">
        <f>HYPERLINK("https://ceds.ed.gov/cedselementdetails.aspx?termid=10488")</f>
        <v>https://ceds.ed.gov/cedselementdetails.aspx?termid=10488</v>
      </c>
      <c r="Q1759" s="12" t="str">
        <f>HYPERLINK("https://ceds.ed.gov/elementComment.aspx?elementName=School Courses for the Exchange of Data Course Level &amp;elementID=10488", "Click here to submit comment")</f>
        <v>Click here to submit comment</v>
      </c>
    </row>
    <row r="1760" spans="1:17" ht="409.5" x14ac:dyDescent="0.25">
      <c r="A1760" s="12" t="s">
        <v>7242</v>
      </c>
      <c r="B1760" s="12" t="s">
        <v>7279</v>
      </c>
      <c r="C1760" s="12"/>
      <c r="D1760" s="12" t="s">
        <v>7172</v>
      </c>
      <c r="E1760" s="12" t="s">
        <v>5560</v>
      </c>
      <c r="F1760" s="12" t="s">
        <v>5561</v>
      </c>
      <c r="G1760" s="13" t="s">
        <v>7102</v>
      </c>
      <c r="H1760" s="12"/>
      <c r="I1760" s="12"/>
      <c r="J1760" s="12" t="s">
        <v>5562</v>
      </c>
      <c r="K1760" s="12"/>
      <c r="L1760" s="12" t="s">
        <v>5563</v>
      </c>
      <c r="M1760" s="12" t="s">
        <v>5564</v>
      </c>
      <c r="N1760" s="12" t="s">
        <v>5565</v>
      </c>
      <c r="O1760" s="12" t="s">
        <v>5566</v>
      </c>
      <c r="P1760" s="12" t="str">
        <f>HYPERLINK("https://ceds.ed.gov/cedselementdetails.aspx?termid=10491")</f>
        <v>https://ceds.ed.gov/cedselementdetails.aspx?termid=10491</v>
      </c>
      <c r="Q1760" s="12" t="str">
        <f>HYPERLINK("https://ceds.ed.gov/elementComment.aspx?elementName=School Courses for the Exchange of Data Course Subject Area &amp;elementID=10491", "Click here to submit comment")</f>
        <v>Click here to submit comment</v>
      </c>
    </row>
    <row r="1761" spans="1:17" ht="105" x14ac:dyDescent="0.25">
      <c r="A1761" s="12" t="s">
        <v>7242</v>
      </c>
      <c r="B1761" s="12" t="s">
        <v>7279</v>
      </c>
      <c r="C1761" s="12"/>
      <c r="D1761" s="12" t="s">
        <v>7172</v>
      </c>
      <c r="E1761" s="12" t="s">
        <v>5567</v>
      </c>
      <c r="F1761" s="12" t="s">
        <v>5568</v>
      </c>
      <c r="G1761" s="12" t="s">
        <v>12</v>
      </c>
      <c r="H1761" s="12"/>
      <c r="I1761" s="12"/>
      <c r="J1761" s="12" t="s">
        <v>5569</v>
      </c>
      <c r="K1761" s="12"/>
      <c r="L1761" s="12" t="s">
        <v>5570</v>
      </c>
      <c r="M1761" s="12" t="s">
        <v>5571</v>
      </c>
      <c r="N1761" s="12" t="s">
        <v>5572</v>
      </c>
      <c r="O1761" s="12" t="s">
        <v>5573</v>
      </c>
      <c r="P1761" s="12" t="str">
        <f>HYPERLINK("https://ceds.ed.gov/cedselementdetails.aspx?termid=10452")</f>
        <v>https://ceds.ed.gov/cedselementdetails.aspx?termid=10452</v>
      </c>
      <c r="Q1761" s="12" t="str">
        <f>HYPERLINK("https://ceds.ed.gov/elementComment.aspx?elementName=School Courses for the Exchange of Data Grade Span &amp;elementID=10452", "Click here to submit comment")</f>
        <v>Click here to submit comment</v>
      </c>
    </row>
    <row r="1762" spans="1:17" ht="60" x14ac:dyDescent="0.25">
      <c r="A1762" s="12" t="s">
        <v>7242</v>
      </c>
      <c r="B1762" s="12" t="s">
        <v>7279</v>
      </c>
      <c r="C1762" s="12"/>
      <c r="D1762" s="12" t="s">
        <v>7172</v>
      </c>
      <c r="E1762" s="12" t="s">
        <v>6246</v>
      </c>
      <c r="F1762" s="12" t="s">
        <v>6247</v>
      </c>
      <c r="G1762" s="12" t="s">
        <v>6364</v>
      </c>
      <c r="H1762" s="12"/>
      <c r="I1762" s="12"/>
      <c r="J1762" s="12"/>
      <c r="K1762" s="12"/>
      <c r="L1762" s="12" t="s">
        <v>6248</v>
      </c>
      <c r="M1762" s="12" t="s">
        <v>6249</v>
      </c>
      <c r="N1762" s="12"/>
      <c r="O1762" s="12" t="s">
        <v>6250</v>
      </c>
      <c r="P1762" s="12" t="str">
        <f>HYPERLINK("https://ceds.ed.gov/cedselementdetails.aspx?termid=10554")</f>
        <v>https://ceds.ed.gov/cedselementdetails.aspx?termid=10554</v>
      </c>
      <c r="Q1762" s="12" t="str">
        <f>HYPERLINK("https://ceds.ed.gov/elementComment.aspx?elementName=Tuition Funded &amp;elementID=10554", "Click here to submit comment")</f>
        <v>Click here to submit comment</v>
      </c>
    </row>
    <row r="1763" spans="1:17" ht="240" x14ac:dyDescent="0.25">
      <c r="A1763" s="12" t="s">
        <v>7242</v>
      </c>
      <c r="B1763" s="12" t="s">
        <v>7279</v>
      </c>
      <c r="C1763" s="12"/>
      <c r="D1763" s="12" t="s">
        <v>7172</v>
      </c>
      <c r="E1763" s="12" t="s">
        <v>6336</v>
      </c>
      <c r="F1763" s="12" t="s">
        <v>6337</v>
      </c>
      <c r="G1763" s="13" t="s">
        <v>7156</v>
      </c>
      <c r="H1763" s="12"/>
      <c r="I1763" s="12"/>
      <c r="J1763" s="12"/>
      <c r="K1763" s="12"/>
      <c r="L1763" s="12"/>
      <c r="M1763" s="12" t="s">
        <v>6338</v>
      </c>
      <c r="N1763" s="12"/>
      <c r="O1763" s="12" t="s">
        <v>6339</v>
      </c>
      <c r="P1763" s="12" t="str">
        <f>HYPERLINK("https://ceds.ed.gov/cedselementdetails.aspx?termid=10471")</f>
        <v>https://ceds.ed.gov/cedselementdetails.aspx?termid=10471</v>
      </c>
      <c r="Q1763" s="12" t="str">
        <f>HYPERLINK("https://ceds.ed.gov/elementComment.aspx?elementName=Work-based Learning Opportunity Type &amp;elementID=10471", "Click here to submit comment")</f>
        <v>Click here to submit comment</v>
      </c>
    </row>
    <row r="1764" spans="1:17" ht="30" x14ac:dyDescent="0.25">
      <c r="A1764" s="12" t="s">
        <v>7242</v>
      </c>
      <c r="B1764" s="12" t="s">
        <v>7280</v>
      </c>
      <c r="C1764" s="12"/>
      <c r="D1764" s="12" t="s">
        <v>7172</v>
      </c>
      <c r="E1764" s="12" t="s">
        <v>2124</v>
      </c>
      <c r="F1764" s="12" t="s">
        <v>2125</v>
      </c>
      <c r="G1764" s="12" t="s">
        <v>12</v>
      </c>
      <c r="H1764" s="12"/>
      <c r="I1764" s="12" t="s">
        <v>1498</v>
      </c>
      <c r="J1764" s="12" t="s">
        <v>317</v>
      </c>
      <c r="K1764" s="12"/>
      <c r="L1764" s="12"/>
      <c r="M1764" s="12" t="s">
        <v>2126</v>
      </c>
      <c r="N1764" s="12"/>
      <c r="O1764" s="12" t="s">
        <v>2127</v>
      </c>
      <c r="P1764" s="12" t="str">
        <f>HYPERLINK("https://ceds.ed.gov/cedselementdetails.aspx?termid=10636")</f>
        <v>https://ceds.ed.gov/cedselementdetails.aspx?termid=10636</v>
      </c>
      <c r="Q1764" s="12" t="str">
        <f>HYPERLINK("https://ceds.ed.gov/elementComment.aspx?elementName=Course Section Maximum Capacity &amp;elementID=10636", "Click here to submit comment")</f>
        <v>Click here to submit comment</v>
      </c>
    </row>
    <row r="1765" spans="1:17" ht="105" x14ac:dyDescent="0.25">
      <c r="A1765" s="18" t="s">
        <v>7242</v>
      </c>
      <c r="B1765" s="18" t="s">
        <v>7280</v>
      </c>
      <c r="C1765" s="18"/>
      <c r="D1765" s="18" t="s">
        <v>7176</v>
      </c>
      <c r="E1765" s="18" t="s">
        <v>2116</v>
      </c>
      <c r="F1765" s="18" t="s">
        <v>2117</v>
      </c>
      <c r="G1765" s="18" t="s">
        <v>12</v>
      </c>
      <c r="H1765" s="18"/>
      <c r="I1765" s="18"/>
      <c r="J1765" s="18" t="s">
        <v>142</v>
      </c>
      <c r="K1765" s="18"/>
      <c r="L1765" s="12" t="s">
        <v>143</v>
      </c>
      <c r="M1765" s="18" t="s">
        <v>2118</v>
      </c>
      <c r="N1765" s="18"/>
      <c r="O1765" s="18" t="s">
        <v>2119</v>
      </c>
      <c r="P1765" s="18" t="str">
        <f>HYPERLINK("https://ceds.ed.gov/cedselementdetails.aspx?termid=9979")</f>
        <v>https://ceds.ed.gov/cedselementdetails.aspx?termid=9979</v>
      </c>
      <c r="Q1765" s="18" t="str">
        <f>HYPERLINK("https://ceds.ed.gov/elementComment.aspx?elementName=Course Section Identifier &amp;elementID=9979", "Click here to submit comment")</f>
        <v>Click here to submit comment</v>
      </c>
    </row>
    <row r="1766" spans="1:17" x14ac:dyDescent="0.25">
      <c r="A1766" s="18"/>
      <c r="B1766" s="18"/>
      <c r="C1766" s="18"/>
      <c r="D1766" s="18"/>
      <c r="E1766" s="18"/>
      <c r="F1766" s="18"/>
      <c r="G1766" s="18"/>
      <c r="H1766" s="18"/>
      <c r="I1766" s="18"/>
      <c r="J1766" s="18"/>
      <c r="K1766" s="18"/>
      <c r="L1766" s="12"/>
      <c r="M1766" s="18"/>
      <c r="N1766" s="18"/>
      <c r="O1766" s="18"/>
      <c r="P1766" s="18"/>
      <c r="Q1766" s="18"/>
    </row>
    <row r="1767" spans="1:17" ht="90" x14ac:dyDescent="0.25">
      <c r="A1767" s="18"/>
      <c r="B1767" s="18"/>
      <c r="C1767" s="18"/>
      <c r="D1767" s="18"/>
      <c r="E1767" s="18"/>
      <c r="F1767" s="18"/>
      <c r="G1767" s="18"/>
      <c r="H1767" s="18"/>
      <c r="I1767" s="18"/>
      <c r="J1767" s="18"/>
      <c r="K1767" s="18"/>
      <c r="L1767" s="12" t="s">
        <v>144</v>
      </c>
      <c r="M1767" s="18"/>
      <c r="N1767" s="18"/>
      <c r="O1767" s="18"/>
      <c r="P1767" s="18"/>
      <c r="Q1767" s="18"/>
    </row>
    <row r="1768" spans="1:17" ht="105" x14ac:dyDescent="0.25">
      <c r="A1768" s="18" t="s">
        <v>7242</v>
      </c>
      <c r="B1768" s="18" t="s">
        <v>7280</v>
      </c>
      <c r="C1768" s="18"/>
      <c r="D1768" s="18" t="s">
        <v>7176</v>
      </c>
      <c r="E1768" s="18" t="s">
        <v>1842</v>
      </c>
      <c r="F1768" s="18" t="s">
        <v>1843</v>
      </c>
      <c r="G1768" s="18" t="s">
        <v>12</v>
      </c>
      <c r="H1768" s="18"/>
      <c r="I1768" s="18"/>
      <c r="J1768" s="18" t="s">
        <v>142</v>
      </c>
      <c r="K1768" s="18"/>
      <c r="L1768" s="12" t="s">
        <v>143</v>
      </c>
      <c r="M1768" s="18" t="s">
        <v>1844</v>
      </c>
      <c r="N1768" s="18"/>
      <c r="O1768" s="18" t="s">
        <v>1845</v>
      </c>
      <c r="P1768" s="18" t="str">
        <f>HYPERLINK("https://ceds.ed.gov/cedselementdetails.aspx?termid=9507")</f>
        <v>https://ceds.ed.gov/cedselementdetails.aspx?termid=9507</v>
      </c>
      <c r="Q1768" s="18" t="str">
        <f>HYPERLINK("https://ceds.ed.gov/elementComment.aspx?elementName=Classroom Identifier &amp;elementID=9507", "Click here to submit comment")</f>
        <v>Click here to submit comment</v>
      </c>
    </row>
    <row r="1769" spans="1:17" x14ac:dyDescent="0.25">
      <c r="A1769" s="18"/>
      <c r="B1769" s="18"/>
      <c r="C1769" s="18"/>
      <c r="D1769" s="18"/>
      <c r="E1769" s="18"/>
      <c r="F1769" s="18"/>
      <c r="G1769" s="18"/>
      <c r="H1769" s="18"/>
      <c r="I1769" s="18"/>
      <c r="J1769" s="18"/>
      <c r="K1769" s="18"/>
      <c r="L1769" s="12"/>
      <c r="M1769" s="18"/>
      <c r="N1769" s="18"/>
      <c r="O1769" s="18"/>
      <c r="P1769" s="18"/>
      <c r="Q1769" s="18"/>
    </row>
    <row r="1770" spans="1:17" ht="90" x14ac:dyDescent="0.25">
      <c r="A1770" s="18"/>
      <c r="B1770" s="18"/>
      <c r="C1770" s="18"/>
      <c r="D1770" s="18"/>
      <c r="E1770" s="18"/>
      <c r="F1770" s="18"/>
      <c r="G1770" s="18"/>
      <c r="H1770" s="18"/>
      <c r="I1770" s="18"/>
      <c r="J1770" s="18"/>
      <c r="K1770" s="18"/>
      <c r="L1770" s="12" t="s">
        <v>144</v>
      </c>
      <c r="M1770" s="18"/>
      <c r="N1770" s="18"/>
      <c r="O1770" s="18"/>
      <c r="P1770" s="18"/>
      <c r="Q1770" s="18"/>
    </row>
    <row r="1771" spans="1:17" ht="120" x14ac:dyDescent="0.25">
      <c r="A1771" s="12" t="s">
        <v>7242</v>
      </c>
      <c r="B1771" s="12" t="s">
        <v>7280</v>
      </c>
      <c r="C1771" s="12"/>
      <c r="D1771" s="12" t="s">
        <v>7176</v>
      </c>
      <c r="E1771" s="12" t="s">
        <v>5671</v>
      </c>
      <c r="F1771" s="12" t="s">
        <v>5672</v>
      </c>
      <c r="G1771" s="12" t="s">
        <v>12</v>
      </c>
      <c r="H1771" s="12" t="s">
        <v>6429</v>
      </c>
      <c r="I1771" s="12"/>
      <c r="J1771" s="12" t="s">
        <v>73</v>
      </c>
      <c r="K1771" s="12"/>
      <c r="L1771" s="12"/>
      <c r="M1771" s="12" t="s">
        <v>5673</v>
      </c>
      <c r="N1771" s="12"/>
      <c r="O1771" s="12" t="s">
        <v>5674</v>
      </c>
      <c r="P1771" s="12" t="str">
        <f>HYPERLINK("https://ceds.ed.gov/cedselementdetails.aspx?termid=9251")</f>
        <v>https://ceds.ed.gov/cedselementdetails.aspx?termid=9251</v>
      </c>
      <c r="Q1771" s="12" t="str">
        <f>HYPERLINK("https://ceds.ed.gov/elementComment.aspx?elementName=Session Begin Date &amp;elementID=9251", "Click here to submit comment")</f>
        <v>Click here to submit comment</v>
      </c>
    </row>
    <row r="1772" spans="1:17" ht="120" x14ac:dyDescent="0.25">
      <c r="A1772" s="12" t="s">
        <v>7242</v>
      </c>
      <c r="B1772" s="12" t="s">
        <v>7280</v>
      </c>
      <c r="C1772" s="12"/>
      <c r="D1772" s="12" t="s">
        <v>7176</v>
      </c>
      <c r="E1772" s="12" t="s">
        <v>5687</v>
      </c>
      <c r="F1772" s="12" t="s">
        <v>5688</v>
      </c>
      <c r="G1772" s="12" t="s">
        <v>12</v>
      </c>
      <c r="H1772" s="12" t="s">
        <v>6429</v>
      </c>
      <c r="I1772" s="12"/>
      <c r="J1772" s="12" t="s">
        <v>73</v>
      </c>
      <c r="K1772" s="12"/>
      <c r="L1772" s="12"/>
      <c r="M1772" s="12" t="s">
        <v>5689</v>
      </c>
      <c r="N1772" s="12"/>
      <c r="O1772" s="12" t="s">
        <v>5690</v>
      </c>
      <c r="P1772" s="12" t="str">
        <f>HYPERLINK("https://ceds.ed.gov/cedselementdetails.aspx?termid=9253")</f>
        <v>https://ceds.ed.gov/cedselementdetails.aspx?termid=9253</v>
      </c>
      <c r="Q1772" s="12" t="str">
        <f>HYPERLINK("https://ceds.ed.gov/elementComment.aspx?elementName=Session End Date &amp;elementID=9253", "Click here to submit comment")</f>
        <v>Click here to submit comment</v>
      </c>
    </row>
    <row r="1773" spans="1:17" ht="30" x14ac:dyDescent="0.25">
      <c r="A1773" s="12" t="s">
        <v>7242</v>
      </c>
      <c r="B1773" s="12" t="s">
        <v>7280</v>
      </c>
      <c r="C1773" s="12"/>
      <c r="D1773" s="12" t="s">
        <v>7176</v>
      </c>
      <c r="E1773" s="12" t="s">
        <v>5683</v>
      </c>
      <c r="F1773" s="12" t="s">
        <v>5684</v>
      </c>
      <c r="G1773" s="12" t="s">
        <v>12</v>
      </c>
      <c r="H1773" s="12" t="s">
        <v>6446</v>
      </c>
      <c r="I1773" s="12"/>
      <c r="J1773" s="12" t="s">
        <v>2328</v>
      </c>
      <c r="K1773" s="12"/>
      <c r="L1773" s="12"/>
      <c r="M1773" s="12" t="s">
        <v>5685</v>
      </c>
      <c r="N1773" s="12"/>
      <c r="O1773" s="12" t="s">
        <v>5686</v>
      </c>
      <c r="P1773" s="12" t="str">
        <f>HYPERLINK("https://ceds.ed.gov/cedselementdetails.aspx?termid=9252")</f>
        <v>https://ceds.ed.gov/cedselementdetails.aspx?termid=9252</v>
      </c>
      <c r="Q1773" s="12" t="str">
        <f>HYPERLINK("https://ceds.ed.gov/elementComment.aspx?elementName=Session Designator &amp;elementID=9252", "Click here to submit comment")</f>
        <v>Click here to submit comment</v>
      </c>
    </row>
    <row r="1774" spans="1:17" ht="180" x14ac:dyDescent="0.25">
      <c r="A1774" s="12" t="s">
        <v>7242</v>
      </c>
      <c r="B1774" s="12" t="s">
        <v>7280</v>
      </c>
      <c r="C1774" s="12"/>
      <c r="D1774" s="12" t="s">
        <v>7176</v>
      </c>
      <c r="E1774" s="12" t="s">
        <v>5707</v>
      </c>
      <c r="F1774" s="12" t="s">
        <v>5708</v>
      </c>
      <c r="G1774" s="13" t="s">
        <v>7111</v>
      </c>
      <c r="H1774" s="12" t="s">
        <v>6429</v>
      </c>
      <c r="I1774" s="12"/>
      <c r="J1774" s="12"/>
      <c r="K1774" s="12"/>
      <c r="L1774" s="12"/>
      <c r="M1774" s="12" t="s">
        <v>5709</v>
      </c>
      <c r="N1774" s="12"/>
      <c r="O1774" s="12" t="s">
        <v>5710</v>
      </c>
      <c r="P1774" s="12" t="str">
        <f>HYPERLINK("https://ceds.ed.gov/cedselementdetails.aspx?termid=9254")</f>
        <v>https://ceds.ed.gov/cedselementdetails.aspx?termid=9254</v>
      </c>
      <c r="Q1774" s="12" t="str">
        <f>HYPERLINK("https://ceds.ed.gov/elementComment.aspx?elementName=Session Type &amp;elementID=9254", "Click here to submit comment")</f>
        <v>Click here to submit comment</v>
      </c>
    </row>
    <row r="1775" spans="1:17" ht="60" x14ac:dyDescent="0.25">
      <c r="A1775" s="12" t="s">
        <v>7242</v>
      </c>
      <c r="B1775" s="12" t="s">
        <v>7280</v>
      </c>
      <c r="C1775" s="12"/>
      <c r="D1775" s="12" t="s">
        <v>7176</v>
      </c>
      <c r="E1775" s="12" t="s">
        <v>5675</v>
      </c>
      <c r="F1775" s="12" t="s">
        <v>5676</v>
      </c>
      <c r="G1775" s="12" t="s">
        <v>12</v>
      </c>
      <c r="H1775" s="12"/>
      <c r="I1775" s="12"/>
      <c r="J1775" s="12" t="s">
        <v>92</v>
      </c>
      <c r="K1775" s="12"/>
      <c r="L1775" s="12"/>
      <c r="M1775" s="12" t="s">
        <v>5677</v>
      </c>
      <c r="N1775" s="12"/>
      <c r="O1775" s="12" t="s">
        <v>5678</v>
      </c>
      <c r="P1775" s="12" t="str">
        <f>HYPERLINK("https://ceds.ed.gov/cedselementdetails.aspx?termid=10236")</f>
        <v>https://ceds.ed.gov/cedselementdetails.aspx?termid=10236</v>
      </c>
      <c r="Q1775" s="12" t="str">
        <f>HYPERLINK("https://ceds.ed.gov/elementComment.aspx?elementName=Session Code &amp;elementID=10236", "Click here to submit comment")</f>
        <v>Click here to submit comment</v>
      </c>
    </row>
    <row r="1776" spans="1:17" ht="30" x14ac:dyDescent="0.25">
      <c r="A1776" s="12" t="s">
        <v>7242</v>
      </c>
      <c r="B1776" s="12" t="s">
        <v>7280</v>
      </c>
      <c r="C1776" s="12"/>
      <c r="D1776" s="12" t="s">
        <v>7176</v>
      </c>
      <c r="E1776" s="12" t="s">
        <v>5679</v>
      </c>
      <c r="F1776" s="12" t="s">
        <v>5680</v>
      </c>
      <c r="G1776" s="12" t="s">
        <v>12</v>
      </c>
      <c r="H1776" s="12"/>
      <c r="I1776" s="12"/>
      <c r="J1776" s="12" t="s">
        <v>327</v>
      </c>
      <c r="K1776" s="12"/>
      <c r="L1776" s="12"/>
      <c r="M1776" s="12" t="s">
        <v>5681</v>
      </c>
      <c r="N1776" s="12"/>
      <c r="O1776" s="12" t="s">
        <v>5682</v>
      </c>
      <c r="P1776" s="12" t="str">
        <f>HYPERLINK("https://ceds.ed.gov/cedselementdetails.aspx?termid=10237")</f>
        <v>https://ceds.ed.gov/cedselementdetails.aspx?termid=10237</v>
      </c>
      <c r="Q1776" s="12" t="str">
        <f>HYPERLINK("https://ceds.ed.gov/elementComment.aspx?elementName=Session Description &amp;elementID=10237", "Click here to submit comment")</f>
        <v>Click here to submit comment</v>
      </c>
    </row>
    <row r="1777" spans="1:17" ht="45" x14ac:dyDescent="0.25">
      <c r="A1777" s="12" t="s">
        <v>7242</v>
      </c>
      <c r="B1777" s="12" t="s">
        <v>7280</v>
      </c>
      <c r="C1777" s="12"/>
      <c r="D1777" s="12" t="s">
        <v>7176</v>
      </c>
      <c r="E1777" s="12" t="s">
        <v>5695</v>
      </c>
      <c r="F1777" s="12" t="s">
        <v>5696</v>
      </c>
      <c r="G1777" s="12" t="s">
        <v>6364</v>
      </c>
      <c r="H1777" s="12"/>
      <c r="I1777" s="12"/>
      <c r="J1777" s="12"/>
      <c r="K1777" s="12"/>
      <c r="L1777" s="12"/>
      <c r="M1777" s="12" t="s">
        <v>5697</v>
      </c>
      <c r="N1777" s="12"/>
      <c r="O1777" s="12" t="s">
        <v>5698</v>
      </c>
      <c r="P1777" s="12" t="str">
        <f>HYPERLINK("https://ceds.ed.gov/cedselementdetails.aspx?termid=10238")</f>
        <v>https://ceds.ed.gov/cedselementdetails.aspx?termid=10238</v>
      </c>
      <c r="Q1777" s="12" t="str">
        <f>HYPERLINK("https://ceds.ed.gov/elementComment.aspx?elementName=Session Marking Term Indicator &amp;elementID=10238", "Click here to submit comment")</f>
        <v>Click here to submit comment</v>
      </c>
    </row>
    <row r="1778" spans="1:17" ht="45" x14ac:dyDescent="0.25">
      <c r="A1778" s="12" t="s">
        <v>7242</v>
      </c>
      <c r="B1778" s="12" t="s">
        <v>7280</v>
      </c>
      <c r="C1778" s="12"/>
      <c r="D1778" s="12" t="s">
        <v>7176</v>
      </c>
      <c r="E1778" s="12" t="s">
        <v>5699</v>
      </c>
      <c r="F1778" s="12" t="s">
        <v>5700</v>
      </c>
      <c r="G1778" s="12" t="s">
        <v>6364</v>
      </c>
      <c r="H1778" s="12"/>
      <c r="I1778" s="12"/>
      <c r="J1778" s="12"/>
      <c r="K1778" s="12"/>
      <c r="L1778" s="12"/>
      <c r="M1778" s="12" t="s">
        <v>5701</v>
      </c>
      <c r="N1778" s="12"/>
      <c r="O1778" s="12" t="s">
        <v>5702</v>
      </c>
      <c r="P1778" s="12" t="str">
        <f>HYPERLINK("https://ceds.ed.gov/cedselementdetails.aspx?termid=10239")</f>
        <v>https://ceds.ed.gov/cedselementdetails.aspx?termid=10239</v>
      </c>
      <c r="Q1778" s="12" t="str">
        <f>HYPERLINK("https://ceds.ed.gov/elementComment.aspx?elementName=Session Scheduling Term Indicator &amp;elementID=10239", "Click here to submit comment")</f>
        <v>Click here to submit comment</v>
      </c>
    </row>
    <row r="1779" spans="1:17" ht="45" x14ac:dyDescent="0.25">
      <c r="A1779" s="12" t="s">
        <v>7242</v>
      </c>
      <c r="B1779" s="12" t="s">
        <v>7280</v>
      </c>
      <c r="C1779" s="12"/>
      <c r="D1779" s="12" t="s">
        <v>7176</v>
      </c>
      <c r="E1779" s="12" t="s">
        <v>5667</v>
      </c>
      <c r="F1779" s="12" t="s">
        <v>5668</v>
      </c>
      <c r="G1779" s="12" t="s">
        <v>6364</v>
      </c>
      <c r="H1779" s="12"/>
      <c r="I1779" s="12"/>
      <c r="J1779" s="12"/>
      <c r="K1779" s="12"/>
      <c r="L1779" s="12"/>
      <c r="M1779" s="12" t="s">
        <v>5669</v>
      </c>
      <c r="N1779" s="12"/>
      <c r="O1779" s="12" t="s">
        <v>5670</v>
      </c>
      <c r="P1779" s="12" t="str">
        <f>HYPERLINK("https://ceds.ed.gov/cedselementdetails.aspx?termid=10240")</f>
        <v>https://ceds.ed.gov/cedselementdetails.aspx?termid=10240</v>
      </c>
      <c r="Q1779" s="12" t="str">
        <f>HYPERLINK("https://ceds.ed.gov/elementComment.aspx?elementName=Session Attendance Term Indicator &amp;elementID=10240", "Click here to submit comment")</f>
        <v>Click here to submit comment</v>
      </c>
    </row>
    <row r="1780" spans="1:17" ht="30" x14ac:dyDescent="0.25">
      <c r="A1780" s="12" t="s">
        <v>7242</v>
      </c>
      <c r="B1780" s="12" t="s">
        <v>7280</v>
      </c>
      <c r="C1780" s="12"/>
      <c r="D1780" s="12" t="s">
        <v>7176</v>
      </c>
      <c r="E1780" s="12" t="s">
        <v>1804</v>
      </c>
      <c r="F1780" s="12" t="s">
        <v>1805</v>
      </c>
      <c r="G1780" s="12" t="s">
        <v>12</v>
      </c>
      <c r="H1780" s="12" t="s">
        <v>6453</v>
      </c>
      <c r="I1780" s="12"/>
      <c r="J1780" s="12" t="s">
        <v>437</v>
      </c>
      <c r="K1780" s="12"/>
      <c r="L1780" s="12"/>
      <c r="M1780" s="12" t="s">
        <v>1806</v>
      </c>
      <c r="N1780" s="12"/>
      <c r="O1780" s="12" t="s">
        <v>1807</v>
      </c>
      <c r="P1780" s="12" t="str">
        <f>HYPERLINK("https://ceds.ed.gov/cedselementdetails.aspx?termid=9510")</f>
        <v>https://ceds.ed.gov/cedselementdetails.aspx?termid=9510</v>
      </c>
      <c r="Q1780" s="12" t="str">
        <f>HYPERLINK("https://ceds.ed.gov/elementComment.aspx?elementName=Class Beginning Time &amp;elementID=9510", "Click here to submit comment")</f>
        <v>Click here to submit comment</v>
      </c>
    </row>
    <row r="1781" spans="1:17" ht="30" x14ac:dyDescent="0.25">
      <c r="A1781" s="12" t="s">
        <v>7242</v>
      </c>
      <c r="B1781" s="12" t="s">
        <v>7280</v>
      </c>
      <c r="C1781" s="12"/>
      <c r="D1781" s="12" t="s">
        <v>7176</v>
      </c>
      <c r="E1781" s="12" t="s">
        <v>1808</v>
      </c>
      <c r="F1781" s="12" t="s">
        <v>1809</v>
      </c>
      <c r="G1781" s="12" t="s">
        <v>12</v>
      </c>
      <c r="H1781" s="12" t="s">
        <v>6453</v>
      </c>
      <c r="I1781" s="12"/>
      <c r="J1781" s="12" t="s">
        <v>1810</v>
      </c>
      <c r="K1781" s="12"/>
      <c r="L1781" s="12"/>
      <c r="M1781" s="12" t="s">
        <v>1811</v>
      </c>
      <c r="N1781" s="12"/>
      <c r="O1781" s="12" t="s">
        <v>1812</v>
      </c>
      <c r="P1781" s="12" t="str">
        <f>HYPERLINK("https://ceds.ed.gov/cedselementdetails.aspx?termid=9511")</f>
        <v>https://ceds.ed.gov/cedselementdetails.aspx?termid=9511</v>
      </c>
      <c r="Q1781" s="12" t="str">
        <f>HYPERLINK("https://ceds.ed.gov/elementComment.aspx?elementName=Class Ending Time &amp;elementID=9511", "Click here to submit comment")</f>
        <v>Click here to submit comment</v>
      </c>
    </row>
    <row r="1782" spans="1:17" ht="60" x14ac:dyDescent="0.25">
      <c r="A1782" s="12" t="s">
        <v>7242</v>
      </c>
      <c r="B1782" s="12" t="s">
        <v>7280</v>
      </c>
      <c r="C1782" s="12"/>
      <c r="D1782" s="12" t="s">
        <v>7176</v>
      </c>
      <c r="E1782" s="12" t="s">
        <v>1813</v>
      </c>
      <c r="F1782" s="12" t="s">
        <v>1814</v>
      </c>
      <c r="G1782" s="12" t="s">
        <v>12</v>
      </c>
      <c r="H1782" s="12"/>
      <c r="I1782" s="12"/>
      <c r="J1782" s="12" t="s">
        <v>99</v>
      </c>
      <c r="K1782" s="12"/>
      <c r="L1782" s="12"/>
      <c r="M1782" s="12" t="s">
        <v>1815</v>
      </c>
      <c r="N1782" s="12"/>
      <c r="O1782" s="12" t="s">
        <v>1816</v>
      </c>
      <c r="P1782" s="12" t="str">
        <f>HYPERLINK("https://ceds.ed.gov/cedselementdetails.aspx?termid=9512")</f>
        <v>https://ceds.ed.gov/cedselementdetails.aspx?termid=9512</v>
      </c>
      <c r="Q1782" s="12" t="str">
        <f>HYPERLINK("https://ceds.ed.gov/elementComment.aspx?elementName=Class Meeting Days &amp;elementID=9512", "Click here to submit comment")</f>
        <v>Click here to submit comment</v>
      </c>
    </row>
    <row r="1783" spans="1:17" ht="75" x14ac:dyDescent="0.25">
      <c r="A1783" s="12" t="s">
        <v>7242</v>
      </c>
      <c r="B1783" s="12" t="s">
        <v>7280</v>
      </c>
      <c r="C1783" s="12"/>
      <c r="D1783" s="12" t="s">
        <v>7176</v>
      </c>
      <c r="E1783" s="12" t="s">
        <v>1817</v>
      </c>
      <c r="F1783" s="12" t="s">
        <v>1818</v>
      </c>
      <c r="G1783" s="12" t="s">
        <v>12</v>
      </c>
      <c r="H1783" s="12"/>
      <c r="I1783" s="12"/>
      <c r="J1783" s="12" t="s">
        <v>92</v>
      </c>
      <c r="K1783" s="12"/>
      <c r="L1783" s="12"/>
      <c r="M1783" s="12" t="s">
        <v>1819</v>
      </c>
      <c r="N1783" s="12"/>
      <c r="O1783" s="12" t="s">
        <v>1820</v>
      </c>
      <c r="P1783" s="12" t="str">
        <f>HYPERLINK("https://ceds.ed.gov/cedselementdetails.aspx?termid=9513")</f>
        <v>https://ceds.ed.gov/cedselementdetails.aspx?termid=9513</v>
      </c>
      <c r="Q1783" s="12" t="str">
        <f>HYPERLINK("https://ceds.ed.gov/elementComment.aspx?elementName=Class Period &amp;elementID=9513", "Click here to submit comment")</f>
        <v>Click here to submit comment</v>
      </c>
    </row>
    <row r="1784" spans="1:17" ht="105" x14ac:dyDescent="0.25">
      <c r="A1784" s="18" t="s">
        <v>7242</v>
      </c>
      <c r="B1784" s="18" t="s">
        <v>7280</v>
      </c>
      <c r="C1784" s="18"/>
      <c r="D1784" s="18" t="s">
        <v>7176</v>
      </c>
      <c r="E1784" s="18" t="s">
        <v>6123</v>
      </c>
      <c r="F1784" s="18" t="s">
        <v>6124</v>
      </c>
      <c r="G1784" s="18" t="s">
        <v>12</v>
      </c>
      <c r="H1784" s="18"/>
      <c r="I1784" s="18"/>
      <c r="J1784" s="18" t="s">
        <v>142</v>
      </c>
      <c r="K1784" s="18"/>
      <c r="L1784" s="12" t="s">
        <v>143</v>
      </c>
      <c r="M1784" s="18" t="s">
        <v>6125</v>
      </c>
      <c r="N1784" s="18"/>
      <c r="O1784" s="18" t="s">
        <v>6126</v>
      </c>
      <c r="P1784" s="18" t="str">
        <f>HYPERLINK("https://ceds.ed.gov/cedselementdetails.aspx?termid=9514")</f>
        <v>https://ceds.ed.gov/cedselementdetails.aspx?termid=9514</v>
      </c>
      <c r="Q1784" s="18" t="str">
        <f>HYPERLINK("https://ceds.ed.gov/elementComment.aspx?elementName=Timetable Day Identifier &amp;elementID=9514", "Click here to submit comment")</f>
        <v>Click here to submit comment</v>
      </c>
    </row>
    <row r="1785" spans="1:17" x14ac:dyDescent="0.25">
      <c r="A1785" s="18"/>
      <c r="B1785" s="18"/>
      <c r="C1785" s="18"/>
      <c r="D1785" s="18"/>
      <c r="E1785" s="18"/>
      <c r="F1785" s="18"/>
      <c r="G1785" s="18"/>
      <c r="H1785" s="18"/>
      <c r="I1785" s="18"/>
      <c r="J1785" s="18"/>
      <c r="K1785" s="18"/>
      <c r="L1785" s="12"/>
      <c r="M1785" s="18"/>
      <c r="N1785" s="18"/>
      <c r="O1785" s="18"/>
      <c r="P1785" s="18"/>
      <c r="Q1785" s="18"/>
    </row>
    <row r="1786" spans="1:17" ht="90" x14ac:dyDescent="0.25">
      <c r="A1786" s="18"/>
      <c r="B1786" s="18"/>
      <c r="C1786" s="18"/>
      <c r="D1786" s="18"/>
      <c r="E1786" s="18"/>
      <c r="F1786" s="18"/>
      <c r="G1786" s="18"/>
      <c r="H1786" s="18"/>
      <c r="I1786" s="18"/>
      <c r="J1786" s="18"/>
      <c r="K1786" s="18"/>
      <c r="L1786" s="12" t="s">
        <v>144</v>
      </c>
      <c r="M1786" s="18"/>
      <c r="N1786" s="18"/>
      <c r="O1786" s="18"/>
      <c r="P1786" s="18"/>
      <c r="Q1786" s="18"/>
    </row>
    <row r="1787" spans="1:17" ht="165" x14ac:dyDescent="0.25">
      <c r="A1787" s="12" t="s">
        <v>7242</v>
      </c>
      <c r="B1787" s="12" t="s">
        <v>7280</v>
      </c>
      <c r="C1787" s="12"/>
      <c r="D1787" s="12" t="s">
        <v>7176</v>
      </c>
      <c r="E1787" s="12" t="s">
        <v>2136</v>
      </c>
      <c r="F1787" s="12" t="s">
        <v>2137</v>
      </c>
      <c r="G1787" s="12" t="s">
        <v>12</v>
      </c>
      <c r="H1787" s="12" t="s">
        <v>2140</v>
      </c>
      <c r="I1787" s="12"/>
      <c r="J1787" s="12" t="s">
        <v>317</v>
      </c>
      <c r="K1787" s="12"/>
      <c r="L1787" s="12"/>
      <c r="M1787" s="12" t="s">
        <v>2138</v>
      </c>
      <c r="N1787" s="12"/>
      <c r="O1787" s="12" t="s">
        <v>2139</v>
      </c>
      <c r="P1787" s="12" t="str">
        <f>HYPERLINK("https://ceds.ed.gov/cedselementdetails.aspx?termid=9101")</f>
        <v>https://ceds.ed.gov/cedselementdetails.aspx?termid=9101</v>
      </c>
      <c r="Q1787" s="12" t="str">
        <f>HYPERLINK("https://ceds.ed.gov/elementComment.aspx?elementName=Course Section Time Required For Completion &amp;elementID=9101", "Click here to submit comment")</f>
        <v>Click here to submit comment</v>
      </c>
    </row>
    <row r="1788" spans="1:17" ht="90" x14ac:dyDescent="0.25">
      <c r="A1788" s="12" t="s">
        <v>7242</v>
      </c>
      <c r="B1788" s="12" t="s">
        <v>7280</v>
      </c>
      <c r="C1788" s="12"/>
      <c r="D1788" s="12" t="s">
        <v>7176</v>
      </c>
      <c r="E1788" s="12" t="s">
        <v>3544</v>
      </c>
      <c r="F1788" s="12" t="s">
        <v>3545</v>
      </c>
      <c r="G1788" s="14" t="s">
        <v>999</v>
      </c>
      <c r="H1788" s="12" t="s">
        <v>211</v>
      </c>
      <c r="I1788" s="12" t="s">
        <v>98</v>
      </c>
      <c r="J1788" s="12"/>
      <c r="K1788" s="12"/>
      <c r="L1788" s="14" t="s">
        <v>1000</v>
      </c>
      <c r="M1788" s="12" t="s">
        <v>3546</v>
      </c>
      <c r="N1788" s="12"/>
      <c r="O1788" s="12" t="s">
        <v>3547</v>
      </c>
      <c r="P1788" s="12" t="str">
        <f>HYPERLINK("https://ceds.ed.gov/cedselementdetails.aspx?termid=9438")</f>
        <v>https://ceds.ed.gov/cedselementdetails.aspx?termid=9438</v>
      </c>
      <c r="Q1788" s="12" t="str">
        <f>HYPERLINK("https://ceds.ed.gov/elementComment.aspx?elementName=Instruction Language &amp;elementID=9438", "Click here to submit comment")</f>
        <v>Click here to submit comment</v>
      </c>
    </row>
    <row r="1789" spans="1:17" ht="60" x14ac:dyDescent="0.25">
      <c r="A1789" s="12" t="s">
        <v>7242</v>
      </c>
      <c r="B1789" s="12" t="s">
        <v>7280</v>
      </c>
      <c r="C1789" s="12"/>
      <c r="D1789" s="12" t="s">
        <v>7176</v>
      </c>
      <c r="E1789" s="12" t="s">
        <v>2132</v>
      </c>
      <c r="F1789" s="12" t="s">
        <v>2133</v>
      </c>
      <c r="G1789" s="13" t="s">
        <v>6848</v>
      </c>
      <c r="H1789" s="12" t="s">
        <v>6485</v>
      </c>
      <c r="I1789" s="12"/>
      <c r="J1789" s="12"/>
      <c r="K1789" s="12"/>
      <c r="L1789" s="12"/>
      <c r="M1789" s="12" t="s">
        <v>2134</v>
      </c>
      <c r="N1789" s="12"/>
      <c r="O1789" s="12" t="s">
        <v>2135</v>
      </c>
      <c r="P1789" s="12" t="str">
        <f>HYPERLINK("https://ceds.ed.gov/cedselementdetails.aspx?termid=9258")</f>
        <v>https://ceds.ed.gov/cedselementdetails.aspx?termid=9258</v>
      </c>
      <c r="Q1789" s="12" t="str">
        <f>HYPERLINK("https://ceds.ed.gov/elementComment.aspx?elementName=Course Section Single Sex Class Status &amp;elementID=9258", "Click here to submit comment")</f>
        <v>Click here to submit comment</v>
      </c>
    </row>
    <row r="1790" spans="1:17" ht="180" x14ac:dyDescent="0.25">
      <c r="A1790" s="12" t="s">
        <v>7242</v>
      </c>
      <c r="B1790" s="12" t="s">
        <v>7280</v>
      </c>
      <c r="C1790" s="12"/>
      <c r="D1790" s="12" t="s">
        <v>7176</v>
      </c>
      <c r="E1790" s="12" t="s">
        <v>5317</v>
      </c>
      <c r="F1790" s="12" t="s">
        <v>5318</v>
      </c>
      <c r="G1790" s="13" t="s">
        <v>7093</v>
      </c>
      <c r="H1790" s="12"/>
      <c r="I1790" s="12"/>
      <c r="J1790" s="12"/>
      <c r="K1790" s="12"/>
      <c r="L1790" s="12"/>
      <c r="M1790" s="12" t="s">
        <v>5319</v>
      </c>
      <c r="N1790" s="12"/>
      <c r="O1790" s="12" t="s">
        <v>5320</v>
      </c>
      <c r="P1790" s="12" t="str">
        <f>HYPERLINK("https://ceds.ed.gov/cedselementdetails.aspx?termid=9515")</f>
        <v>https://ceds.ed.gov/cedselementdetails.aspx?termid=9515</v>
      </c>
      <c r="Q1790" s="12" t="str">
        <f>HYPERLINK("https://ceds.ed.gov/elementComment.aspx?elementName=Receiving Location of Instruction &amp;elementID=9515", "Click here to submit comment")</f>
        <v>Click here to submit comment</v>
      </c>
    </row>
    <row r="1791" spans="1:17" ht="150" x14ac:dyDescent="0.25">
      <c r="A1791" s="12" t="s">
        <v>7242</v>
      </c>
      <c r="B1791" s="12" t="s">
        <v>7280</v>
      </c>
      <c r="C1791" s="12"/>
      <c r="D1791" s="12" t="s">
        <v>7176</v>
      </c>
      <c r="E1791" s="12" t="s">
        <v>2120</v>
      </c>
      <c r="F1791" s="12" t="s">
        <v>2121</v>
      </c>
      <c r="G1791" s="13" t="s">
        <v>6847</v>
      </c>
      <c r="H1791" s="12"/>
      <c r="I1791" s="12"/>
      <c r="J1791" s="12"/>
      <c r="K1791" s="12"/>
      <c r="L1791" s="12"/>
      <c r="M1791" s="12" t="s">
        <v>2122</v>
      </c>
      <c r="N1791" s="12"/>
      <c r="O1791" s="12" t="s">
        <v>2123</v>
      </c>
      <c r="P1791" s="12" t="str">
        <f>HYPERLINK("https://ceds.ed.gov/cedselementdetails.aspx?termid=10168")</f>
        <v>https://ceds.ed.gov/cedselementdetails.aspx?termid=10168</v>
      </c>
      <c r="Q1791" s="12" t="str">
        <f>HYPERLINK("https://ceds.ed.gov/elementComment.aspx?elementName=Course Section Instructional Delivery Mode &amp;elementID=10168", "Click here to submit comment")</f>
        <v>Click here to submit comment</v>
      </c>
    </row>
    <row r="1792" spans="1:17" ht="105" x14ac:dyDescent="0.25">
      <c r="A1792" s="12" t="s">
        <v>7242</v>
      </c>
      <c r="B1792" s="12" t="s">
        <v>7280</v>
      </c>
      <c r="C1792" s="12"/>
      <c r="D1792" s="12" t="s">
        <v>7176</v>
      </c>
      <c r="E1792" s="12" t="s">
        <v>6280</v>
      </c>
      <c r="F1792" s="12" t="s">
        <v>6281</v>
      </c>
      <c r="G1792" s="12" t="s">
        <v>6364</v>
      </c>
      <c r="H1792" s="12"/>
      <c r="I1792" s="12"/>
      <c r="J1792" s="12"/>
      <c r="K1792" s="12"/>
      <c r="L1792" s="12"/>
      <c r="M1792" s="12" t="s">
        <v>6282</v>
      </c>
      <c r="N1792" s="12"/>
      <c r="O1792" s="12" t="s">
        <v>6283</v>
      </c>
      <c r="P1792" s="12" t="str">
        <f>HYPERLINK("https://ceds.ed.gov/cedselementdetails.aspx?termid=10167")</f>
        <v>https://ceds.ed.gov/cedselementdetails.aspx?termid=10167</v>
      </c>
      <c r="Q1792" s="12" t="str">
        <f>HYPERLINK("https://ceds.ed.gov/elementComment.aspx?elementName=Virtual Indicator &amp;elementID=10167", "Click here to submit comment")</f>
        <v>Click here to submit comment</v>
      </c>
    </row>
    <row r="1793" spans="1:17" ht="120" x14ac:dyDescent="0.25">
      <c r="A1793" s="12" t="s">
        <v>7242</v>
      </c>
      <c r="B1793" s="12" t="s">
        <v>7280</v>
      </c>
      <c r="C1793" s="12"/>
      <c r="D1793" s="12" t="s">
        <v>7176</v>
      </c>
      <c r="E1793" s="12" t="s">
        <v>2027</v>
      </c>
      <c r="F1793" s="12" t="s">
        <v>2028</v>
      </c>
      <c r="G1793" s="13" t="s">
        <v>6836</v>
      </c>
      <c r="H1793" s="12" t="s">
        <v>6429</v>
      </c>
      <c r="I1793" s="12"/>
      <c r="J1793" s="12"/>
      <c r="K1793" s="12"/>
      <c r="L1793" s="12"/>
      <c r="M1793" s="12" t="s">
        <v>2029</v>
      </c>
      <c r="N1793" s="12" t="s">
        <v>2030</v>
      </c>
      <c r="O1793" s="12" t="s">
        <v>2031</v>
      </c>
      <c r="P1793" s="12" t="str">
        <f>HYPERLINK("https://ceds.ed.gov/cedselementdetails.aspx?termid=9060")</f>
        <v>https://ceds.ed.gov/cedselementdetails.aspx?termid=9060</v>
      </c>
      <c r="Q1793" s="12" t="str">
        <f>HYPERLINK("https://ceds.ed.gov/elementComment.aspx?elementName=Course Grade Point Average Applicability &amp;elementID=9060", "Click here to submit comment")</f>
        <v>Click here to submit comment</v>
      </c>
    </row>
    <row r="1794" spans="1:17" ht="45" x14ac:dyDescent="0.25">
      <c r="A1794" s="12" t="s">
        <v>7242</v>
      </c>
      <c r="B1794" s="12" t="s">
        <v>7280</v>
      </c>
      <c r="C1794" s="12"/>
      <c r="D1794" s="12" t="s">
        <v>7176</v>
      </c>
      <c r="E1794" s="12" t="s">
        <v>1967</v>
      </c>
      <c r="F1794" s="12" t="s">
        <v>1968</v>
      </c>
      <c r="G1794" s="12" t="s">
        <v>6364</v>
      </c>
      <c r="H1794" s="12"/>
      <c r="I1794" s="12"/>
      <c r="J1794" s="12"/>
      <c r="K1794" s="12"/>
      <c r="L1794" s="12"/>
      <c r="M1794" s="12" t="s">
        <v>1969</v>
      </c>
      <c r="N1794" s="12"/>
      <c r="O1794" s="12" t="s">
        <v>1970</v>
      </c>
      <c r="P1794" s="12" t="str">
        <f>HYPERLINK("https://ceds.ed.gov/cedselementdetails.aspx?termid=9013")</f>
        <v>https://ceds.ed.gov/cedselementdetails.aspx?termid=9013</v>
      </c>
      <c r="Q1794" s="12" t="str">
        <f>HYPERLINK("https://ceds.ed.gov/elementComment.aspx?elementName=Course Aligned with Standards &amp;elementID=9013", "Click here to submit comment")</f>
        <v>Click here to submit comment</v>
      </c>
    </row>
    <row r="1795" spans="1:17" ht="75" x14ac:dyDescent="0.25">
      <c r="A1795" s="12" t="s">
        <v>7242</v>
      </c>
      <c r="B1795" s="12" t="s">
        <v>7280</v>
      </c>
      <c r="C1795" s="12"/>
      <c r="D1795" s="12" t="s">
        <v>7172</v>
      </c>
      <c r="E1795" s="12" t="s">
        <v>0</v>
      </c>
      <c r="F1795" s="12" t="s">
        <v>1</v>
      </c>
      <c r="G1795" s="12" t="s">
        <v>6364</v>
      </c>
      <c r="H1795" s="12" t="s">
        <v>4</v>
      </c>
      <c r="I1795" s="12"/>
      <c r="J1795" s="12"/>
      <c r="K1795" s="12"/>
      <c r="L1795" s="12"/>
      <c r="M1795" s="12" t="s">
        <v>2</v>
      </c>
      <c r="N1795" s="12"/>
      <c r="O1795" s="12" t="s">
        <v>3</v>
      </c>
      <c r="P1795" s="12" t="str">
        <f>HYPERLINK("https://ceds.ed.gov/cedselementdetails.aspx?termid=9000")</f>
        <v>https://ceds.ed.gov/cedselementdetails.aspx?termid=9000</v>
      </c>
      <c r="Q1795" s="12" t="str">
        <f>HYPERLINK("https://ceds.ed.gov/elementComment.aspx?elementName=Ability Grouping Status &amp;elementID=9000", "Click here to submit comment")</f>
        <v>Click here to submit comment</v>
      </c>
    </row>
    <row r="1796" spans="1:17" ht="255" x14ac:dyDescent="0.25">
      <c r="A1796" s="12" t="s">
        <v>7242</v>
      </c>
      <c r="B1796" s="12" t="s">
        <v>7280</v>
      </c>
      <c r="C1796" s="12"/>
      <c r="D1796" s="12" t="s">
        <v>7176</v>
      </c>
      <c r="E1796" s="12" t="s">
        <v>168</v>
      </c>
      <c r="F1796" s="12" t="s">
        <v>169</v>
      </c>
      <c r="G1796" s="13" t="s">
        <v>6725</v>
      </c>
      <c r="H1796" s="12"/>
      <c r="I1796" s="12"/>
      <c r="J1796" s="12"/>
      <c r="K1796" s="12"/>
      <c r="L1796" s="12"/>
      <c r="M1796" s="12" t="s">
        <v>170</v>
      </c>
      <c r="N1796" s="12"/>
      <c r="O1796" s="12" t="s">
        <v>171</v>
      </c>
      <c r="P1796" s="12" t="str">
        <f>HYPERLINK("https://ceds.ed.gov/cedselementdetails.aspx?termid=9589")</f>
        <v>https://ceds.ed.gov/cedselementdetails.aspx?termid=9589</v>
      </c>
      <c r="Q1796" s="12" t="str">
        <f>HYPERLINK("https://ceds.ed.gov/elementComment.aspx?elementName=Additional Credit Type &amp;elementID=9589", "Click here to submit comment")</f>
        <v>Click here to submit comment</v>
      </c>
    </row>
    <row r="1797" spans="1:17" ht="409.5" x14ac:dyDescent="0.25">
      <c r="A1797" s="12" t="s">
        <v>7242</v>
      </c>
      <c r="B1797" s="12" t="s">
        <v>7280</v>
      </c>
      <c r="C1797" s="12"/>
      <c r="D1797" s="12" t="s">
        <v>7176</v>
      </c>
      <c r="E1797" s="12" t="s">
        <v>304</v>
      </c>
      <c r="F1797" s="12" t="s">
        <v>305</v>
      </c>
      <c r="G1797" s="13" t="s">
        <v>6744</v>
      </c>
      <c r="H1797" s="12"/>
      <c r="I1797" s="12"/>
      <c r="J1797" s="12" t="s">
        <v>99</v>
      </c>
      <c r="K1797" s="12"/>
      <c r="L1797" s="12"/>
      <c r="M1797" s="12" t="s">
        <v>306</v>
      </c>
      <c r="N1797" s="12" t="s">
        <v>307</v>
      </c>
      <c r="O1797" s="12" t="s">
        <v>308</v>
      </c>
      <c r="P1797" s="12" t="str">
        <f>HYPERLINK("https://ceds.ed.gov/cedselementdetails.aspx?termid=10244")</f>
        <v>https://ceds.ed.gov/cedselementdetails.aspx?termid=10244</v>
      </c>
      <c r="Q1797" s="12" t="str">
        <f>HYPERLINK("https://ceds.ed.gov/elementComment.aspx?elementName=Advanced Placement Course Code &amp;elementID=10244", "Click here to submit comment")</f>
        <v>Click here to submit comment</v>
      </c>
    </row>
    <row r="1798" spans="1:17" ht="75" x14ac:dyDescent="0.25">
      <c r="A1798" s="18" t="s">
        <v>7242</v>
      </c>
      <c r="B1798" s="18" t="s">
        <v>7280</v>
      </c>
      <c r="C1798" s="18"/>
      <c r="D1798" s="18" t="s">
        <v>7176</v>
      </c>
      <c r="E1798" s="18" t="s">
        <v>1583</v>
      </c>
      <c r="F1798" s="18" t="s">
        <v>1584</v>
      </c>
      <c r="G1798" s="20" t="s">
        <v>6802</v>
      </c>
      <c r="H1798" s="18"/>
      <c r="I1798" s="18"/>
      <c r="J1798" s="18"/>
      <c r="K1798" s="18"/>
      <c r="L1798" s="12" t="s">
        <v>1585</v>
      </c>
      <c r="M1798" s="18" t="s">
        <v>1587</v>
      </c>
      <c r="N1798" s="18"/>
      <c r="O1798" s="18" t="s">
        <v>1588</v>
      </c>
      <c r="P1798" s="18" t="str">
        <f>HYPERLINK("https://ceds.ed.gov/cedselementdetails.aspx?termid=10253")</f>
        <v>https://ceds.ed.gov/cedselementdetails.aspx?termid=10253</v>
      </c>
      <c r="Q1798" s="18" t="str">
        <f>HYPERLINK("https://ceds.ed.gov/elementComment.aspx?elementName=Blended Learning Model Type &amp;elementID=10253", "Click here to submit comment")</f>
        <v>Click here to submit comment</v>
      </c>
    </row>
    <row r="1799" spans="1:17" x14ac:dyDescent="0.25">
      <c r="A1799" s="18"/>
      <c r="B1799" s="18"/>
      <c r="C1799" s="18"/>
      <c r="D1799" s="18"/>
      <c r="E1799" s="18"/>
      <c r="F1799" s="18"/>
      <c r="G1799" s="18"/>
      <c r="H1799" s="18"/>
      <c r="I1799" s="18"/>
      <c r="J1799" s="18"/>
      <c r="K1799" s="18"/>
      <c r="L1799" s="12"/>
      <c r="M1799" s="18"/>
      <c r="N1799" s="18"/>
      <c r="O1799" s="18"/>
      <c r="P1799" s="18"/>
      <c r="Q1799" s="18"/>
    </row>
    <row r="1800" spans="1:17" ht="45" x14ac:dyDescent="0.25">
      <c r="A1800" s="18"/>
      <c r="B1800" s="18"/>
      <c r="C1800" s="18"/>
      <c r="D1800" s="18"/>
      <c r="E1800" s="18"/>
      <c r="F1800" s="18"/>
      <c r="G1800" s="18"/>
      <c r="H1800" s="18"/>
      <c r="I1800" s="18"/>
      <c r="J1800" s="18"/>
      <c r="K1800" s="18"/>
      <c r="L1800" s="12" t="s">
        <v>1586</v>
      </c>
      <c r="M1800" s="18"/>
      <c r="N1800" s="18"/>
      <c r="O1800" s="18"/>
      <c r="P1800" s="18"/>
      <c r="Q1800" s="18"/>
    </row>
    <row r="1801" spans="1:17" ht="360" x14ac:dyDescent="0.25">
      <c r="A1801" s="12" t="s">
        <v>7242</v>
      </c>
      <c r="B1801" s="12" t="s">
        <v>7280</v>
      </c>
      <c r="C1801" s="12"/>
      <c r="D1801" s="12" t="s">
        <v>7176</v>
      </c>
      <c r="E1801" s="12" t="s">
        <v>1670</v>
      </c>
      <c r="F1801" s="12" t="s">
        <v>1671</v>
      </c>
      <c r="G1801" s="13" t="s">
        <v>6807</v>
      </c>
      <c r="H1801" s="12"/>
      <c r="I1801" s="12"/>
      <c r="J1801" s="12"/>
      <c r="K1801" s="12"/>
      <c r="L1801" s="12" t="s">
        <v>1672</v>
      </c>
      <c r="M1801" s="12" t="s">
        <v>1673</v>
      </c>
      <c r="N1801" s="12"/>
      <c r="O1801" s="12" t="s">
        <v>1674</v>
      </c>
      <c r="P1801" s="12" t="str">
        <f>HYPERLINK("https://ceds.ed.gov/cedselementdetails.aspx?termid=10254")</f>
        <v>https://ceds.ed.gov/cedselementdetails.aspx?termid=10254</v>
      </c>
      <c r="Q1801" s="12" t="str">
        <f>HYPERLINK("https://ceds.ed.gov/elementComment.aspx?elementName=Career Cluster &amp;elementID=10254", "Click here to submit comment")</f>
        <v>Click here to submit comment</v>
      </c>
    </row>
    <row r="1802" spans="1:17" ht="270" x14ac:dyDescent="0.25">
      <c r="A1802" s="12" t="s">
        <v>7242</v>
      </c>
      <c r="B1802" s="12" t="s">
        <v>7280</v>
      </c>
      <c r="C1802" s="12"/>
      <c r="D1802" s="12" t="s">
        <v>7172</v>
      </c>
      <c r="E1802" s="12" t="s">
        <v>1846</v>
      </c>
      <c r="F1802" s="12" t="s">
        <v>1847</v>
      </c>
      <c r="G1802" s="13" t="s">
        <v>6820</v>
      </c>
      <c r="H1802" s="12"/>
      <c r="I1802" s="12"/>
      <c r="J1802" s="12"/>
      <c r="K1802" s="12"/>
      <c r="L1802" s="12"/>
      <c r="M1802" s="12" t="s">
        <v>1848</v>
      </c>
      <c r="N1802" s="12"/>
      <c r="O1802" s="12" t="s">
        <v>1849</v>
      </c>
      <c r="P1802" s="12" t="str">
        <f>HYPERLINK("https://ceds.ed.gov/cedselementdetails.aspx?termid=9615")</f>
        <v>https://ceds.ed.gov/cedselementdetails.aspx?termid=9615</v>
      </c>
      <c r="Q1802" s="12" t="str">
        <f>HYPERLINK("https://ceds.ed.gov/elementComment.aspx?elementName=Classroom Position Type &amp;elementID=9615", "Click here to submit comment")</f>
        <v>Click here to submit comment</v>
      </c>
    </row>
    <row r="1803" spans="1:17" ht="409.5" x14ac:dyDescent="0.25">
      <c r="A1803" s="12" t="s">
        <v>7242</v>
      </c>
      <c r="B1803" s="12" t="s">
        <v>7280</v>
      </c>
      <c r="C1803" s="12"/>
      <c r="D1803" s="12" t="s">
        <v>7176</v>
      </c>
      <c r="E1803" s="12" t="s">
        <v>1971</v>
      </c>
      <c r="F1803" s="12" t="s">
        <v>1972</v>
      </c>
      <c r="G1803" s="13" t="s">
        <v>6831</v>
      </c>
      <c r="H1803" s="12"/>
      <c r="I1803" s="12"/>
      <c r="J1803" s="12"/>
      <c r="K1803" s="12"/>
      <c r="L1803" s="12" t="s">
        <v>1973</v>
      </c>
      <c r="M1803" s="12" t="s">
        <v>1974</v>
      </c>
      <c r="N1803" s="12"/>
      <c r="O1803" s="12" t="s">
        <v>1975</v>
      </c>
      <c r="P1803" s="12" t="str">
        <f>HYPERLINK("https://ceds.ed.gov/cedselementdetails.aspx?termid=10267")</f>
        <v>https://ceds.ed.gov/cedselementdetails.aspx?termid=10267</v>
      </c>
      <c r="Q1803" s="12" t="str">
        <f>HYPERLINK("https://ceds.ed.gov/elementComment.aspx?elementName=Course Applicable Education Level &amp;elementID=10267", "Click here to submit comment")</f>
        <v>Click here to submit comment</v>
      </c>
    </row>
    <row r="1804" spans="1:17" ht="45" x14ac:dyDescent="0.25">
      <c r="A1804" s="12" t="s">
        <v>7242</v>
      </c>
      <c r="B1804" s="12" t="s">
        <v>7280</v>
      </c>
      <c r="C1804" s="12"/>
      <c r="D1804" s="12" t="s">
        <v>7176</v>
      </c>
      <c r="E1804" s="12" t="s">
        <v>1980</v>
      </c>
      <c r="F1804" s="12" t="s">
        <v>1981</v>
      </c>
      <c r="G1804" s="12" t="s">
        <v>12</v>
      </c>
      <c r="H1804" s="12"/>
      <c r="I1804" s="12"/>
      <c r="J1804" s="12" t="s">
        <v>68</v>
      </c>
      <c r="K1804" s="12"/>
      <c r="L1804" s="12"/>
      <c r="M1804" s="12" t="s">
        <v>1982</v>
      </c>
      <c r="N1804" s="12"/>
      <c r="O1804" s="12" t="s">
        <v>1983</v>
      </c>
      <c r="P1804" s="12" t="str">
        <f>HYPERLINK("https://ceds.ed.gov/cedselementdetails.aspx?termid=10268")</f>
        <v>https://ceds.ed.gov/cedselementdetails.aspx?termid=10268</v>
      </c>
      <c r="Q1804" s="12" t="str">
        <f>HYPERLINK("https://ceds.ed.gov/elementComment.aspx?elementName=Course Certification Description &amp;elementID=10268", "Click here to submit comment")</f>
        <v>Click here to submit comment</v>
      </c>
    </row>
    <row r="1805" spans="1:17" ht="45" x14ac:dyDescent="0.25">
      <c r="A1805" s="12" t="s">
        <v>7242</v>
      </c>
      <c r="B1805" s="12" t="s">
        <v>7280</v>
      </c>
      <c r="C1805" s="12"/>
      <c r="D1805" s="12" t="s">
        <v>7176</v>
      </c>
      <c r="E1805" s="12" t="s">
        <v>2009</v>
      </c>
      <c r="F1805" s="12" t="s">
        <v>2010</v>
      </c>
      <c r="G1805" s="12" t="s">
        <v>12</v>
      </c>
      <c r="H1805" s="12"/>
      <c r="I1805" s="12"/>
      <c r="J1805" s="12" t="s">
        <v>99</v>
      </c>
      <c r="K1805" s="12"/>
      <c r="L1805" s="12"/>
      <c r="M1805" s="12" t="s">
        <v>2011</v>
      </c>
      <c r="N1805" s="12"/>
      <c r="O1805" s="12" t="s">
        <v>2012</v>
      </c>
      <c r="P1805" s="12" t="str">
        <f>HYPERLINK("https://ceds.ed.gov/cedselementdetails.aspx?termid=9508")</f>
        <v>https://ceds.ed.gov/cedselementdetails.aspx?termid=9508</v>
      </c>
      <c r="Q1805" s="12" t="str">
        <f>HYPERLINK("https://ceds.ed.gov/elementComment.aspx?elementName=Course Description &amp;elementID=9508", "Click here to submit comment")</f>
        <v>Click here to submit comment</v>
      </c>
    </row>
    <row r="1806" spans="1:17" ht="90" x14ac:dyDescent="0.25">
      <c r="A1806" s="12" t="s">
        <v>7242</v>
      </c>
      <c r="B1806" s="12" t="s">
        <v>7280</v>
      </c>
      <c r="C1806" s="12"/>
      <c r="D1806" s="12" t="s">
        <v>7176</v>
      </c>
      <c r="E1806" s="12" t="s">
        <v>2022</v>
      </c>
      <c r="F1806" s="12" t="s">
        <v>2023</v>
      </c>
      <c r="G1806" s="12" t="s">
        <v>12</v>
      </c>
      <c r="H1806" s="12"/>
      <c r="I1806" s="12"/>
      <c r="J1806" s="12" t="s">
        <v>92</v>
      </c>
      <c r="K1806" s="12"/>
      <c r="L1806" s="12" t="s">
        <v>2024</v>
      </c>
      <c r="M1806" s="12" t="s">
        <v>2025</v>
      </c>
      <c r="N1806" s="12"/>
      <c r="O1806" s="12" t="s">
        <v>2026</v>
      </c>
      <c r="P1806" s="12" t="str">
        <f>HYPERLINK("https://ceds.ed.gov/cedselementdetails.aspx?termid=10272")</f>
        <v>https://ceds.ed.gov/cedselementdetails.aspx?termid=10272</v>
      </c>
      <c r="Q1806" s="12" t="str">
        <f>HYPERLINK("https://ceds.ed.gov/elementComment.aspx?elementName=Course Funding Program &amp;elementID=10272", "Click here to submit comment")</f>
        <v>Click here to submit comment</v>
      </c>
    </row>
    <row r="1807" spans="1:17" ht="45" x14ac:dyDescent="0.25">
      <c r="A1807" s="12" t="s">
        <v>7242</v>
      </c>
      <c r="B1807" s="12" t="s">
        <v>7280</v>
      </c>
      <c r="C1807" s="12"/>
      <c r="D1807" s="12" t="s">
        <v>7176</v>
      </c>
      <c r="E1807" s="12" t="s">
        <v>2052</v>
      </c>
      <c r="F1807" s="12" t="s">
        <v>2053</v>
      </c>
      <c r="G1807" s="13" t="s">
        <v>6840</v>
      </c>
      <c r="H1807" s="12"/>
      <c r="I1807" s="12"/>
      <c r="J1807" s="12"/>
      <c r="K1807" s="12"/>
      <c r="L1807" s="12" t="s">
        <v>2054</v>
      </c>
      <c r="M1807" s="12" t="s">
        <v>2055</v>
      </c>
      <c r="N1807" s="12"/>
      <c r="O1807" s="12" t="s">
        <v>2056</v>
      </c>
      <c r="P1807" s="12" t="str">
        <f>HYPERLINK("https://ceds.ed.gov/cedselementdetails.aspx?termid=10277")</f>
        <v>https://ceds.ed.gov/cedselementdetails.aspx?termid=10277</v>
      </c>
      <c r="Q1807" s="12" t="str">
        <f>HYPERLINK("https://ceds.ed.gov/elementComment.aspx?elementName=Course Interaction Mode &amp;elementID=10277", "Click here to submit comment")</f>
        <v>Click here to submit comment</v>
      </c>
    </row>
    <row r="1808" spans="1:17" ht="45" x14ac:dyDescent="0.25">
      <c r="A1808" s="12" t="s">
        <v>7242</v>
      </c>
      <c r="B1808" s="12" t="s">
        <v>7280</v>
      </c>
      <c r="C1808" s="12"/>
      <c r="D1808" s="12" t="s">
        <v>7176</v>
      </c>
      <c r="E1808" s="12" t="s">
        <v>2827</v>
      </c>
      <c r="F1808" s="12" t="s">
        <v>2828</v>
      </c>
      <c r="G1808" s="12" t="s">
        <v>6364</v>
      </c>
      <c r="H1808" s="12"/>
      <c r="I1808" s="12"/>
      <c r="J1808" s="12"/>
      <c r="K1808" s="12"/>
      <c r="L1808" s="12"/>
      <c r="M1808" s="12" t="s">
        <v>2829</v>
      </c>
      <c r="N1808" s="12"/>
      <c r="O1808" s="12" t="s">
        <v>2830</v>
      </c>
      <c r="P1808" s="12" t="str">
        <f>HYPERLINK("https://ceds.ed.gov/cedselementdetails.aspx?termid=10311")</f>
        <v>https://ceds.ed.gov/cedselementdetails.aspx?termid=10311</v>
      </c>
      <c r="Q1808" s="12" t="str">
        <f>HYPERLINK("https://ceds.ed.gov/elementComment.aspx?elementName=Family and Consumer Sciences Course Indicator &amp;elementID=10311", "Click here to submit comment")</f>
        <v>Click here to submit comment</v>
      </c>
    </row>
    <row r="1809" spans="1:17" ht="45" x14ac:dyDescent="0.25">
      <c r="A1809" s="12" t="s">
        <v>7242</v>
      </c>
      <c r="B1809" s="12" t="s">
        <v>7280</v>
      </c>
      <c r="C1809" s="12"/>
      <c r="D1809" s="12" t="s">
        <v>7176</v>
      </c>
      <c r="E1809" s="12" t="s">
        <v>4526</v>
      </c>
      <c r="F1809" s="12" t="s">
        <v>4527</v>
      </c>
      <c r="G1809" s="12" t="s">
        <v>6364</v>
      </c>
      <c r="H1809" s="12"/>
      <c r="I1809" s="12"/>
      <c r="J1809" s="12"/>
      <c r="K1809" s="12"/>
      <c r="L1809" s="12"/>
      <c r="M1809" s="12" t="s">
        <v>4528</v>
      </c>
      <c r="N1809" s="12" t="s">
        <v>4529</v>
      </c>
      <c r="O1809" s="12" t="s">
        <v>4530</v>
      </c>
      <c r="P1809" s="12" t="str">
        <f>HYPERLINK("https://ceds.ed.gov/cedselementdetails.aspx?termid=10382")</f>
        <v>https://ceds.ed.gov/cedselementdetails.aspx?termid=10382</v>
      </c>
      <c r="Q1809" s="12" t="str">
        <f>HYPERLINK("https://ceds.ed.gov/elementComment.aspx?elementName=National Collegiate Athletic Association Eligibility &amp;elementID=10382", "Click here to submit comment")</f>
        <v>Click here to submit comment</v>
      </c>
    </row>
    <row r="1810" spans="1:17" ht="60" x14ac:dyDescent="0.25">
      <c r="A1810" s="12" t="s">
        <v>7242</v>
      </c>
      <c r="B1810" s="12" t="s">
        <v>7280</v>
      </c>
      <c r="C1810" s="12"/>
      <c r="D1810" s="12" t="s">
        <v>7176</v>
      </c>
      <c r="E1810" s="12" t="s">
        <v>6246</v>
      </c>
      <c r="F1810" s="12" t="s">
        <v>6247</v>
      </c>
      <c r="G1810" s="12" t="s">
        <v>6364</v>
      </c>
      <c r="H1810" s="12"/>
      <c r="I1810" s="12"/>
      <c r="J1810" s="12"/>
      <c r="K1810" s="12"/>
      <c r="L1810" s="12" t="s">
        <v>6248</v>
      </c>
      <c r="M1810" s="12" t="s">
        <v>6249</v>
      </c>
      <c r="N1810" s="12"/>
      <c r="O1810" s="12" t="s">
        <v>6250</v>
      </c>
      <c r="P1810" s="12" t="str">
        <f>HYPERLINK("https://ceds.ed.gov/cedselementdetails.aspx?termid=10554")</f>
        <v>https://ceds.ed.gov/cedselementdetails.aspx?termid=10554</v>
      </c>
      <c r="Q1810" s="12" t="str">
        <f>HYPERLINK("https://ceds.ed.gov/elementComment.aspx?elementName=Tuition Funded &amp;elementID=10554", "Click here to submit comment")</f>
        <v>Click here to submit comment</v>
      </c>
    </row>
    <row r="1811" spans="1:17" ht="105" x14ac:dyDescent="0.25">
      <c r="A1811" s="18" t="s">
        <v>7242</v>
      </c>
      <c r="B1811" s="18" t="s">
        <v>7280</v>
      </c>
      <c r="C1811" s="18" t="s">
        <v>7281</v>
      </c>
      <c r="D1811" s="18" t="s">
        <v>7172</v>
      </c>
      <c r="E1811" s="18" t="s">
        <v>2036</v>
      </c>
      <c r="F1811" s="18" t="s">
        <v>2037</v>
      </c>
      <c r="G1811" s="18" t="s">
        <v>12</v>
      </c>
      <c r="H1811" s="18" t="s">
        <v>6479</v>
      </c>
      <c r="I1811" s="18"/>
      <c r="J1811" s="18" t="s">
        <v>142</v>
      </c>
      <c r="K1811" s="18"/>
      <c r="L1811" s="12" t="s">
        <v>143</v>
      </c>
      <c r="M1811" s="18" t="s">
        <v>2038</v>
      </c>
      <c r="N1811" s="18"/>
      <c r="O1811" s="18" t="s">
        <v>2039</v>
      </c>
      <c r="P1811" s="18" t="str">
        <f>HYPERLINK("https://ceds.ed.gov/cedselementdetails.aspx?termid=9055")</f>
        <v>https://ceds.ed.gov/cedselementdetails.aspx?termid=9055</v>
      </c>
      <c r="Q1811" s="18" t="str">
        <f>HYPERLINK("https://ceds.ed.gov/elementComment.aspx?elementName=Course Identifier &amp;elementID=9055", "Click here to submit comment")</f>
        <v>Click here to submit comment</v>
      </c>
    </row>
    <row r="1812" spans="1:17" x14ac:dyDescent="0.25">
      <c r="A1812" s="18"/>
      <c r="B1812" s="18"/>
      <c r="C1812" s="18"/>
      <c r="D1812" s="18"/>
      <c r="E1812" s="18"/>
      <c r="F1812" s="18"/>
      <c r="G1812" s="18"/>
      <c r="H1812" s="18"/>
      <c r="I1812" s="18"/>
      <c r="J1812" s="18"/>
      <c r="K1812" s="18"/>
      <c r="L1812" s="12"/>
      <c r="M1812" s="18"/>
      <c r="N1812" s="18"/>
      <c r="O1812" s="18"/>
      <c r="P1812" s="18"/>
      <c r="Q1812" s="18"/>
    </row>
    <row r="1813" spans="1:17" ht="90" x14ac:dyDescent="0.25">
      <c r="A1813" s="18"/>
      <c r="B1813" s="18"/>
      <c r="C1813" s="18"/>
      <c r="D1813" s="18"/>
      <c r="E1813" s="18"/>
      <c r="F1813" s="18"/>
      <c r="G1813" s="18"/>
      <c r="H1813" s="18"/>
      <c r="I1813" s="18"/>
      <c r="J1813" s="18"/>
      <c r="K1813" s="18"/>
      <c r="L1813" s="12" t="s">
        <v>144</v>
      </c>
      <c r="M1813" s="18"/>
      <c r="N1813" s="18"/>
      <c r="O1813" s="18"/>
      <c r="P1813" s="18"/>
      <c r="Q1813" s="18"/>
    </row>
    <row r="1814" spans="1:17" ht="195" x14ac:dyDescent="0.25">
      <c r="A1814" s="12" t="s">
        <v>7242</v>
      </c>
      <c r="B1814" s="12" t="s">
        <v>7280</v>
      </c>
      <c r="C1814" s="12" t="s">
        <v>7281</v>
      </c>
      <c r="D1814" s="12" t="s">
        <v>7172</v>
      </c>
      <c r="E1814" s="12" t="s">
        <v>1984</v>
      </c>
      <c r="F1814" s="12" t="s">
        <v>1985</v>
      </c>
      <c r="G1814" s="13" t="s">
        <v>6832</v>
      </c>
      <c r="H1814" s="12" t="s">
        <v>6429</v>
      </c>
      <c r="I1814" s="12"/>
      <c r="J1814" s="12"/>
      <c r="K1814" s="12"/>
      <c r="L1814" s="12"/>
      <c r="M1814" s="12" t="s">
        <v>1986</v>
      </c>
      <c r="N1814" s="12"/>
      <c r="O1814" s="12" t="s">
        <v>1987</v>
      </c>
      <c r="P1814" s="12" t="str">
        <f>HYPERLINK("https://ceds.ed.gov/cedselementdetails.aspx?termid=9056")</f>
        <v>https://ceds.ed.gov/cedselementdetails.aspx?termid=9056</v>
      </c>
      <c r="Q1814" s="12" t="str">
        <f>HYPERLINK("https://ceds.ed.gov/elementComment.aspx?elementName=Course Code System &amp;elementID=9056", "Click here to submit comment")</f>
        <v>Click here to submit comment</v>
      </c>
    </row>
    <row r="1815" spans="1:17" ht="225" x14ac:dyDescent="0.25">
      <c r="A1815" s="12" t="s">
        <v>7242</v>
      </c>
      <c r="B1815" s="12" t="s">
        <v>7280</v>
      </c>
      <c r="C1815" s="12" t="s">
        <v>7281</v>
      </c>
      <c r="D1815" s="12" t="s">
        <v>7172</v>
      </c>
      <c r="E1815" s="12" t="s">
        <v>2146</v>
      </c>
      <c r="F1815" s="12" t="s">
        <v>2147</v>
      </c>
      <c r="G1815" s="12" t="s">
        <v>12</v>
      </c>
      <c r="H1815" s="12" t="s">
        <v>6429</v>
      </c>
      <c r="I1815" s="12"/>
      <c r="J1815" s="12" t="s">
        <v>99</v>
      </c>
      <c r="K1815" s="12"/>
      <c r="L1815" s="12"/>
      <c r="M1815" s="12" t="s">
        <v>2148</v>
      </c>
      <c r="N1815" s="12"/>
      <c r="O1815" s="12" t="s">
        <v>2149</v>
      </c>
      <c r="P1815" s="12" t="str">
        <f>HYPERLINK("https://ceds.ed.gov/cedselementdetails.aspx?termid=9067")</f>
        <v>https://ceds.ed.gov/cedselementdetails.aspx?termid=9067</v>
      </c>
      <c r="Q1815" s="12" t="str">
        <f>HYPERLINK("https://ceds.ed.gov/elementComment.aspx?elementName=Course Title &amp;elementID=9067", "Click here to submit comment")</f>
        <v>Click here to submit comment</v>
      </c>
    </row>
    <row r="1816" spans="1:17" ht="120" x14ac:dyDescent="0.25">
      <c r="A1816" s="12" t="s">
        <v>7242</v>
      </c>
      <c r="B1816" s="12" t="s">
        <v>7280</v>
      </c>
      <c r="C1816" s="12" t="s">
        <v>7281</v>
      </c>
      <c r="D1816" s="12" t="s">
        <v>7172</v>
      </c>
      <c r="E1816" s="12" t="s">
        <v>5574</v>
      </c>
      <c r="F1816" s="12" t="s">
        <v>5575</v>
      </c>
      <c r="G1816" s="12" t="s">
        <v>12</v>
      </c>
      <c r="H1816" s="12" t="s">
        <v>6429</v>
      </c>
      <c r="I1816" s="12"/>
      <c r="J1816" s="12" t="s">
        <v>2143</v>
      </c>
      <c r="K1816" s="12"/>
      <c r="L1816" s="12" t="s">
        <v>5576</v>
      </c>
      <c r="M1816" s="12" t="s">
        <v>5577</v>
      </c>
      <c r="N1816" s="12" t="s">
        <v>5578</v>
      </c>
      <c r="O1816" s="12" t="s">
        <v>5579</v>
      </c>
      <c r="P1816" s="12" t="str">
        <f>HYPERLINK("https://ceds.ed.gov/cedselementdetails.aspx?termid=9250")</f>
        <v>https://ceds.ed.gov/cedselementdetails.aspx?termid=9250</v>
      </c>
      <c r="Q1816" s="12" t="str">
        <f>HYPERLINK("https://ceds.ed.gov/elementComment.aspx?elementName=School Courses for the Exchange of Data Sequence of Course &amp;elementID=9250", "Click here to submit comment")</f>
        <v>Click here to submit comment</v>
      </c>
    </row>
    <row r="1817" spans="1:17" ht="345" x14ac:dyDescent="0.25">
      <c r="A1817" s="12" t="s">
        <v>7242</v>
      </c>
      <c r="B1817" s="12" t="s">
        <v>7280</v>
      </c>
      <c r="C1817" s="12" t="s">
        <v>7281</v>
      </c>
      <c r="D1817" s="12" t="s">
        <v>7172</v>
      </c>
      <c r="E1817" s="12" t="s">
        <v>2057</v>
      </c>
      <c r="F1817" s="12" t="s">
        <v>2058</v>
      </c>
      <c r="G1817" s="13" t="s">
        <v>6841</v>
      </c>
      <c r="H1817" s="12" t="s">
        <v>6479</v>
      </c>
      <c r="I1817" s="12"/>
      <c r="J1817" s="12"/>
      <c r="K1817" s="12"/>
      <c r="L1817" s="12"/>
      <c r="M1817" s="12" t="s">
        <v>2059</v>
      </c>
      <c r="N1817" s="12"/>
      <c r="O1817" s="12" t="s">
        <v>2060</v>
      </c>
      <c r="P1817" s="12" t="str">
        <f>HYPERLINK("https://ceds.ed.gov/cedselementdetails.aspx?termid=9061")</f>
        <v>https://ceds.ed.gov/cedselementdetails.aspx?termid=9061</v>
      </c>
      <c r="Q1817" s="12" t="str">
        <f>HYPERLINK("https://ceds.ed.gov/elementComment.aspx?elementName=Course Level Characteristic &amp;elementID=9061", "Click here to submit comment")</f>
        <v>Click here to submit comment</v>
      </c>
    </row>
    <row r="1818" spans="1:17" ht="285" x14ac:dyDescent="0.25">
      <c r="A1818" s="12" t="s">
        <v>7242</v>
      </c>
      <c r="B1818" s="12" t="s">
        <v>7280</v>
      </c>
      <c r="C1818" s="12" t="s">
        <v>7281</v>
      </c>
      <c r="D1818" s="12" t="s">
        <v>7172</v>
      </c>
      <c r="E1818" s="12" t="s">
        <v>2174</v>
      </c>
      <c r="F1818" s="12" t="s">
        <v>2175</v>
      </c>
      <c r="G1818" s="13" t="s">
        <v>6851</v>
      </c>
      <c r="H1818" s="12" t="s">
        <v>6369</v>
      </c>
      <c r="I1818" s="12"/>
      <c r="J1818" s="12"/>
      <c r="K1818" s="12"/>
      <c r="L1818" s="12"/>
      <c r="M1818" s="12" t="s">
        <v>2176</v>
      </c>
      <c r="N1818" s="12"/>
      <c r="O1818" s="12" t="s">
        <v>2177</v>
      </c>
      <c r="P1818" s="12" t="str">
        <f>HYPERLINK("https://ceds.ed.gov/cedselementdetails.aspx?termid=9072")</f>
        <v>https://ceds.ed.gov/cedselementdetails.aspx?termid=9072</v>
      </c>
      <c r="Q1818" s="12" t="str">
        <f>HYPERLINK("https://ceds.ed.gov/elementComment.aspx?elementName=Credit Type Earned &amp;elementID=9072", "Click here to submit comment")</f>
        <v>Click here to submit comment</v>
      </c>
    </row>
    <row r="1819" spans="1:17" ht="120" x14ac:dyDescent="0.25">
      <c r="A1819" s="12" t="s">
        <v>7242</v>
      </c>
      <c r="B1819" s="12" t="s">
        <v>7280</v>
      </c>
      <c r="C1819" s="12" t="s">
        <v>7281</v>
      </c>
      <c r="D1819" s="12" t="s">
        <v>7172</v>
      </c>
      <c r="E1819" s="12" t="s">
        <v>3183</v>
      </c>
      <c r="F1819" s="12" t="s">
        <v>3184</v>
      </c>
      <c r="G1819" s="12" t="s">
        <v>6364</v>
      </c>
      <c r="H1819" s="12" t="s">
        <v>6429</v>
      </c>
      <c r="I1819" s="12"/>
      <c r="J1819" s="12"/>
      <c r="K1819" s="12"/>
      <c r="L1819" s="12"/>
      <c r="M1819" s="12" t="s">
        <v>3185</v>
      </c>
      <c r="N1819" s="12"/>
      <c r="O1819" s="12" t="s">
        <v>3186</v>
      </c>
      <c r="P1819" s="12" t="str">
        <f>HYPERLINK("https://ceds.ed.gov/cedselementdetails.aspx?termid=9137")</f>
        <v>https://ceds.ed.gov/cedselementdetails.aspx?termid=9137</v>
      </c>
      <c r="Q1819" s="12" t="str">
        <f>HYPERLINK("https://ceds.ed.gov/elementComment.aspx?elementName=High School Course Requirement &amp;elementID=9137", "Click here to submit comment")</f>
        <v>Click here to submit comment</v>
      </c>
    </row>
    <row r="1820" spans="1:17" ht="150" x14ac:dyDescent="0.25">
      <c r="A1820" s="12" t="s">
        <v>7242</v>
      </c>
      <c r="B1820" s="12" t="s">
        <v>7280</v>
      </c>
      <c r="C1820" s="12" t="s">
        <v>7281</v>
      </c>
      <c r="D1820" s="12" t="s">
        <v>7172</v>
      </c>
      <c r="E1820" s="12" t="s">
        <v>1552</v>
      </c>
      <c r="F1820" s="12" t="s">
        <v>1553</v>
      </c>
      <c r="G1820" s="12" t="s">
        <v>12</v>
      </c>
      <c r="H1820" s="12" t="s">
        <v>6429</v>
      </c>
      <c r="I1820" s="12"/>
      <c r="J1820" s="12" t="s">
        <v>1554</v>
      </c>
      <c r="K1820" s="12"/>
      <c r="L1820" s="12"/>
      <c r="M1820" s="12" t="s">
        <v>1555</v>
      </c>
      <c r="N1820" s="12"/>
      <c r="O1820" s="12" t="s">
        <v>1556</v>
      </c>
      <c r="P1820" s="12" t="str">
        <f>HYPERLINK("https://ceds.ed.gov/cedselementdetails.aspx?termid=9030")</f>
        <v>https://ceds.ed.gov/cedselementdetails.aspx?termid=9030</v>
      </c>
      <c r="Q1820" s="12" t="str">
        <f>HYPERLINK("https://ceds.ed.gov/elementComment.aspx?elementName=Available Carnegie Unit Credit &amp;elementID=9030", "Click here to submit comment")</f>
        <v>Click here to submit comment</v>
      </c>
    </row>
    <row r="1821" spans="1:17" ht="45" x14ac:dyDescent="0.25">
      <c r="A1821" s="12" t="s">
        <v>7242</v>
      </c>
      <c r="B1821" s="12" t="s">
        <v>7280</v>
      </c>
      <c r="C1821" s="12" t="s">
        <v>7281</v>
      </c>
      <c r="D1821" s="12" t="s">
        <v>7172</v>
      </c>
      <c r="E1821" s="12" t="s">
        <v>5362</v>
      </c>
      <c r="F1821" s="12" t="s">
        <v>5363</v>
      </c>
      <c r="G1821" s="12" t="s">
        <v>12</v>
      </c>
      <c r="H1821" s="12"/>
      <c r="I1821" s="12"/>
      <c r="J1821" s="12" t="s">
        <v>99</v>
      </c>
      <c r="K1821" s="12"/>
      <c r="L1821" s="12"/>
      <c r="M1821" s="12" t="s">
        <v>5364</v>
      </c>
      <c r="N1821" s="12"/>
      <c r="O1821" s="12" t="s">
        <v>5365</v>
      </c>
      <c r="P1821" s="12" t="str">
        <f>HYPERLINK("https://ceds.ed.gov/cedselementdetails.aspx?termid=9231")</f>
        <v>https://ceds.ed.gov/cedselementdetails.aspx?termid=9231</v>
      </c>
      <c r="Q1821" s="12" t="str">
        <f>HYPERLINK("https://ceds.ed.gov/elementComment.aspx?elementName=Related Learning Standards &amp;elementID=9231", "Click here to submit comment")</f>
        <v>Click here to submit comment</v>
      </c>
    </row>
    <row r="1822" spans="1:17" ht="409.5" x14ac:dyDescent="0.25">
      <c r="A1822" s="12" t="s">
        <v>7242</v>
      </c>
      <c r="B1822" s="12" t="s">
        <v>7280</v>
      </c>
      <c r="C1822" s="12" t="s">
        <v>7281</v>
      </c>
      <c r="D1822" s="12" t="s">
        <v>7172</v>
      </c>
      <c r="E1822" s="12" t="s">
        <v>2085</v>
      </c>
      <c r="F1822" s="12" t="s">
        <v>2086</v>
      </c>
      <c r="G1822" s="13" t="s">
        <v>6783</v>
      </c>
      <c r="H1822" s="12" t="s">
        <v>6483</v>
      </c>
      <c r="I1822" s="12"/>
      <c r="J1822" s="12"/>
      <c r="K1822" s="12"/>
      <c r="L1822" s="12"/>
      <c r="M1822" s="12" t="s">
        <v>2087</v>
      </c>
      <c r="N1822" s="12"/>
      <c r="O1822" s="12" t="s">
        <v>2088</v>
      </c>
      <c r="P1822" s="12" t="str">
        <f>HYPERLINK("https://ceds.ed.gov/cedselementdetails.aspx?termid=9027")</f>
        <v>https://ceds.ed.gov/cedselementdetails.aspx?termid=9027</v>
      </c>
      <c r="Q1822" s="12" t="str">
        <f>HYPERLINK("https://ceds.ed.gov/elementComment.aspx?elementName=Course Section Assessment Reporting Method &amp;elementID=9027", "Click here to submit comment")</f>
        <v>Click here to submit comment</v>
      </c>
    </row>
    <row r="1823" spans="1:17" ht="30" x14ac:dyDescent="0.25">
      <c r="A1823" s="12" t="s">
        <v>7242</v>
      </c>
      <c r="B1823" s="12" t="s">
        <v>7280</v>
      </c>
      <c r="C1823" s="12" t="s">
        <v>7281</v>
      </c>
      <c r="D1823" s="12" t="s">
        <v>7172</v>
      </c>
      <c r="E1823" s="12" t="s">
        <v>2005</v>
      </c>
      <c r="F1823" s="12" t="s">
        <v>2006</v>
      </c>
      <c r="G1823" s="12" t="s">
        <v>12</v>
      </c>
      <c r="H1823" s="12"/>
      <c r="I1823" s="12"/>
      <c r="J1823" s="12" t="s">
        <v>99</v>
      </c>
      <c r="K1823" s="12"/>
      <c r="L1823" s="12"/>
      <c r="M1823" s="12" t="s">
        <v>2007</v>
      </c>
      <c r="N1823" s="12"/>
      <c r="O1823" s="12" t="s">
        <v>2008</v>
      </c>
      <c r="P1823" s="12" t="str">
        <f>HYPERLINK("https://ceds.ed.gov/cedselementdetails.aspx?termid=10525")</f>
        <v>https://ceds.ed.gov/cedselementdetails.aspx?termid=10525</v>
      </c>
      <c r="Q1823" s="12" t="str">
        <f>HYPERLINK("https://ceds.ed.gov/elementComment.aspx?elementName=Course Department Name &amp;elementID=10525", "Click here to submit comment")</f>
        <v>Click here to submit comment</v>
      </c>
    </row>
    <row r="1824" spans="1:17" ht="105" x14ac:dyDescent="0.25">
      <c r="A1824" s="18" t="s">
        <v>7242</v>
      </c>
      <c r="B1824" s="18" t="s">
        <v>7280</v>
      </c>
      <c r="C1824" s="18" t="s">
        <v>7191</v>
      </c>
      <c r="D1824" s="18" t="s">
        <v>7172</v>
      </c>
      <c r="E1824" s="18" t="s">
        <v>5984</v>
      </c>
      <c r="F1824" s="18" t="s">
        <v>5985</v>
      </c>
      <c r="G1824" s="18" t="s">
        <v>12</v>
      </c>
      <c r="H1824" s="18" t="s">
        <v>6687</v>
      </c>
      <c r="I1824" s="18"/>
      <c r="J1824" s="18" t="s">
        <v>142</v>
      </c>
      <c r="K1824" s="18"/>
      <c r="L1824" s="12" t="s">
        <v>143</v>
      </c>
      <c r="M1824" s="18" t="s">
        <v>5986</v>
      </c>
      <c r="N1824" s="18"/>
      <c r="O1824" s="18" t="s">
        <v>5987</v>
      </c>
      <c r="P1824" s="18" t="str">
        <f>HYPERLINK("https://ceds.ed.gov/cedselementdetails.aspx?termid=9157")</f>
        <v>https://ceds.ed.gov/cedselementdetails.aspx?termid=9157</v>
      </c>
      <c r="Q1824" s="18" t="str">
        <f>HYPERLINK("https://ceds.ed.gov/elementComment.aspx?elementName=Student Identifier &amp;elementID=9157", "Click here to submit comment")</f>
        <v>Click here to submit comment</v>
      </c>
    </row>
    <row r="1825" spans="1:17" x14ac:dyDescent="0.25">
      <c r="A1825" s="18"/>
      <c r="B1825" s="18"/>
      <c r="C1825" s="18"/>
      <c r="D1825" s="18"/>
      <c r="E1825" s="18"/>
      <c r="F1825" s="18"/>
      <c r="G1825" s="18"/>
      <c r="H1825" s="18"/>
      <c r="I1825" s="18"/>
      <c r="J1825" s="18"/>
      <c r="K1825" s="18"/>
      <c r="L1825" s="12"/>
      <c r="M1825" s="18"/>
      <c r="N1825" s="18"/>
      <c r="O1825" s="18"/>
      <c r="P1825" s="18"/>
      <c r="Q1825" s="18"/>
    </row>
    <row r="1826" spans="1:17" ht="90" x14ac:dyDescent="0.25">
      <c r="A1826" s="18"/>
      <c r="B1826" s="18"/>
      <c r="C1826" s="18"/>
      <c r="D1826" s="18"/>
      <c r="E1826" s="18"/>
      <c r="F1826" s="18"/>
      <c r="G1826" s="18"/>
      <c r="H1826" s="18"/>
      <c r="I1826" s="18"/>
      <c r="J1826" s="18"/>
      <c r="K1826" s="18"/>
      <c r="L1826" s="12" t="s">
        <v>144</v>
      </c>
      <c r="M1826" s="18"/>
      <c r="N1826" s="18"/>
      <c r="O1826" s="18"/>
      <c r="P1826" s="18"/>
      <c r="Q1826" s="18"/>
    </row>
    <row r="1827" spans="1:17" ht="210" x14ac:dyDescent="0.25">
      <c r="A1827" s="12" t="s">
        <v>7242</v>
      </c>
      <c r="B1827" s="12" t="s">
        <v>7280</v>
      </c>
      <c r="C1827" s="12" t="s">
        <v>7191</v>
      </c>
      <c r="D1827" s="12" t="s">
        <v>7172</v>
      </c>
      <c r="E1827" s="12" t="s">
        <v>5980</v>
      </c>
      <c r="F1827" s="12" t="s">
        <v>5981</v>
      </c>
      <c r="G1827" s="13" t="s">
        <v>7124</v>
      </c>
      <c r="H1827" s="12" t="s">
        <v>6687</v>
      </c>
      <c r="I1827" s="12"/>
      <c r="J1827" s="12"/>
      <c r="K1827" s="12"/>
      <c r="L1827" s="12"/>
      <c r="M1827" s="12" t="s">
        <v>5982</v>
      </c>
      <c r="N1827" s="12"/>
      <c r="O1827" s="12" t="s">
        <v>5983</v>
      </c>
      <c r="P1827" s="12" t="str">
        <f>HYPERLINK("https://ceds.ed.gov/cedselementdetails.aspx?termid=9163")</f>
        <v>https://ceds.ed.gov/cedselementdetails.aspx?termid=9163</v>
      </c>
      <c r="Q1827" s="12" t="str">
        <f>HYPERLINK("https://ceds.ed.gov/elementComment.aspx?elementName=Student Identification System &amp;elementID=9163", "Click here to submit comment")</f>
        <v>Click here to submit comment</v>
      </c>
    </row>
    <row r="1828" spans="1:17" ht="195" x14ac:dyDescent="0.25">
      <c r="A1828" s="12" t="s">
        <v>7242</v>
      </c>
      <c r="B1828" s="12" t="s">
        <v>7280</v>
      </c>
      <c r="C1828" s="12" t="s">
        <v>7191</v>
      </c>
      <c r="D1828" s="12" t="s">
        <v>7172</v>
      </c>
      <c r="E1828" s="12" t="s">
        <v>2747</v>
      </c>
      <c r="F1828" s="12" t="s">
        <v>2748</v>
      </c>
      <c r="G1828" s="12" t="s">
        <v>12</v>
      </c>
      <c r="H1828" s="12" t="s">
        <v>6526</v>
      </c>
      <c r="I1828" s="12"/>
      <c r="J1828" s="12" t="s">
        <v>73</v>
      </c>
      <c r="K1828" s="12"/>
      <c r="L1828" s="12"/>
      <c r="M1828" s="12" t="s">
        <v>2749</v>
      </c>
      <c r="N1828" s="12"/>
      <c r="O1828" s="12" t="s">
        <v>2750</v>
      </c>
      <c r="P1828" s="12" t="str">
        <f>HYPERLINK("https://ceds.ed.gov/cedselementdetails.aspx?termid=9097")</f>
        <v>https://ceds.ed.gov/cedselementdetails.aspx?termid=9097</v>
      </c>
      <c r="Q1828" s="12" t="str">
        <f>HYPERLINK("https://ceds.ed.gov/elementComment.aspx?elementName=Enrollment Entry Date &amp;elementID=9097", "Click here to submit comment")</f>
        <v>Click here to submit comment</v>
      </c>
    </row>
    <row r="1829" spans="1:17" ht="45" x14ac:dyDescent="0.25">
      <c r="A1829" s="12" t="s">
        <v>7242</v>
      </c>
      <c r="B1829" s="12" t="s">
        <v>7280</v>
      </c>
      <c r="C1829" s="12" t="s">
        <v>7191</v>
      </c>
      <c r="D1829" s="12" t="s">
        <v>7172</v>
      </c>
      <c r="E1829" s="12" t="s">
        <v>2103</v>
      </c>
      <c r="F1829" s="12" t="s">
        <v>2104</v>
      </c>
      <c r="G1829" s="13" t="s">
        <v>6845</v>
      </c>
      <c r="H1829" s="12" t="s">
        <v>2107</v>
      </c>
      <c r="I1829" s="12"/>
      <c r="J1829" s="12"/>
      <c r="K1829" s="12"/>
      <c r="L1829" s="12"/>
      <c r="M1829" s="12" t="s">
        <v>2105</v>
      </c>
      <c r="N1829" s="12"/>
      <c r="O1829" s="12" t="s">
        <v>2106</v>
      </c>
      <c r="P1829" s="12" t="str">
        <f>HYPERLINK("https://ceds.ed.gov/cedselementdetails.aspx?termid=9652")</f>
        <v>https://ceds.ed.gov/cedselementdetails.aspx?termid=9652</v>
      </c>
      <c r="Q1829" s="12" t="str">
        <f>HYPERLINK("https://ceds.ed.gov/elementComment.aspx?elementName=Course Section Entry Type &amp;elementID=9652", "Click here to submit comment")</f>
        <v>Click here to submit comment</v>
      </c>
    </row>
    <row r="1830" spans="1:17" ht="210" x14ac:dyDescent="0.25">
      <c r="A1830" s="12" t="s">
        <v>7242</v>
      </c>
      <c r="B1830" s="12" t="s">
        <v>7280</v>
      </c>
      <c r="C1830" s="12" t="s">
        <v>7191</v>
      </c>
      <c r="D1830" s="12" t="s">
        <v>7172</v>
      </c>
      <c r="E1830" s="12" t="s">
        <v>2108</v>
      </c>
      <c r="F1830" s="12" t="s">
        <v>2109</v>
      </c>
      <c r="G1830" s="13" t="s">
        <v>6846</v>
      </c>
      <c r="H1830" s="12" t="s">
        <v>2107</v>
      </c>
      <c r="I1830" s="12"/>
      <c r="J1830" s="12"/>
      <c r="K1830" s="12"/>
      <c r="L1830" s="12"/>
      <c r="M1830" s="12" t="s">
        <v>2110</v>
      </c>
      <c r="N1830" s="12"/>
      <c r="O1830" s="12" t="s">
        <v>2111</v>
      </c>
      <c r="P1830" s="12" t="str">
        <f>HYPERLINK("https://ceds.ed.gov/cedselementdetails.aspx?termid=9654")</f>
        <v>https://ceds.ed.gov/cedselementdetails.aspx?termid=9654</v>
      </c>
      <c r="Q1830" s="12" t="str">
        <f>HYPERLINK("https://ceds.ed.gov/elementComment.aspx?elementName=Course Section Exit Type &amp;elementID=9654", "Click here to submit comment")</f>
        <v>Click here to submit comment</v>
      </c>
    </row>
    <row r="1831" spans="1:17" ht="45" x14ac:dyDescent="0.25">
      <c r="A1831" s="12" t="s">
        <v>7242</v>
      </c>
      <c r="B1831" s="12" t="s">
        <v>7280</v>
      </c>
      <c r="C1831" s="12" t="s">
        <v>7191</v>
      </c>
      <c r="D1831" s="12" t="s">
        <v>7172</v>
      </c>
      <c r="E1831" s="12" t="s">
        <v>2112</v>
      </c>
      <c r="F1831" s="12" t="s">
        <v>2113</v>
      </c>
      <c r="G1831" s="12" t="s">
        <v>12</v>
      </c>
      <c r="H1831" s="12" t="s">
        <v>2107</v>
      </c>
      <c r="I1831" s="12"/>
      <c r="J1831" s="12" t="s">
        <v>73</v>
      </c>
      <c r="K1831" s="12"/>
      <c r="L1831" s="12"/>
      <c r="M1831" s="12" t="s">
        <v>2114</v>
      </c>
      <c r="N1831" s="12"/>
      <c r="O1831" s="12" t="s">
        <v>2115</v>
      </c>
      <c r="P1831" s="12" t="str">
        <f>HYPERLINK("https://ceds.ed.gov/cedselementdetails.aspx?termid=9653")</f>
        <v>https://ceds.ed.gov/cedselementdetails.aspx?termid=9653</v>
      </c>
      <c r="Q1831" s="12" t="str">
        <f>HYPERLINK("https://ceds.ed.gov/elementComment.aspx?elementName=Course Section Exit Withdrawal Date &amp;elementID=9653", "Click here to submit comment")</f>
        <v>Click here to submit comment</v>
      </c>
    </row>
    <row r="1832" spans="1:17" ht="60" x14ac:dyDescent="0.25">
      <c r="A1832" s="12" t="s">
        <v>7242</v>
      </c>
      <c r="B1832" s="12" t="s">
        <v>7280</v>
      </c>
      <c r="C1832" s="12" t="s">
        <v>7191</v>
      </c>
      <c r="D1832" s="12" t="s">
        <v>7172</v>
      </c>
      <c r="E1832" s="12" t="s">
        <v>2780</v>
      </c>
      <c r="F1832" s="12" t="s">
        <v>2781</v>
      </c>
      <c r="G1832" s="13" t="s">
        <v>6910</v>
      </c>
      <c r="H1832" s="12" t="s">
        <v>2107</v>
      </c>
      <c r="I1832" s="12"/>
      <c r="J1832" s="12"/>
      <c r="K1832" s="12"/>
      <c r="L1832" s="12"/>
      <c r="M1832" s="12" t="s">
        <v>2782</v>
      </c>
      <c r="N1832" s="12"/>
      <c r="O1832" s="12" t="s">
        <v>2783</v>
      </c>
      <c r="P1832" s="12" t="str">
        <f>HYPERLINK("https://ceds.ed.gov/cedselementdetails.aspx?termid=9108")</f>
        <v>https://ceds.ed.gov/cedselementdetails.aspx?termid=9108</v>
      </c>
      <c r="Q1832" s="12" t="str">
        <f>HYPERLINK("https://ceds.ed.gov/elementComment.aspx?elementName=Exit or Withdrawal Status &amp;elementID=9108", "Click here to submit comment")</f>
        <v>Click here to submit comment</v>
      </c>
    </row>
    <row r="1833" spans="1:17" ht="330" x14ac:dyDescent="0.25">
      <c r="A1833" s="12" t="s">
        <v>7242</v>
      </c>
      <c r="B1833" s="12" t="s">
        <v>7280</v>
      </c>
      <c r="C1833" s="12" t="s">
        <v>7191</v>
      </c>
      <c r="D1833" s="12" t="s">
        <v>7172</v>
      </c>
      <c r="E1833" s="12" t="s">
        <v>3094</v>
      </c>
      <c r="F1833" s="12" t="s">
        <v>3095</v>
      </c>
      <c r="G1833" s="13" t="s">
        <v>6908</v>
      </c>
      <c r="H1833" s="12" t="s">
        <v>6369</v>
      </c>
      <c r="I1833" s="12"/>
      <c r="J1833" s="12"/>
      <c r="K1833" s="12"/>
      <c r="L1833" s="12"/>
      <c r="M1833" s="12" t="s">
        <v>3096</v>
      </c>
      <c r="N1833" s="12"/>
      <c r="O1833" s="12" t="s">
        <v>3097</v>
      </c>
      <c r="P1833" s="12" t="str">
        <f>HYPERLINK("https://ceds.ed.gov/cedselementdetails.aspx?termid=9125")</f>
        <v>https://ceds.ed.gov/cedselementdetails.aspx?termid=9125</v>
      </c>
      <c r="Q1833" s="12" t="str">
        <f>HYPERLINK("https://ceds.ed.gov/elementComment.aspx?elementName=Grade Level When Course Taken &amp;elementID=9125", "Click here to submit comment")</f>
        <v>Click here to submit comment</v>
      </c>
    </row>
    <row r="1834" spans="1:17" ht="120" x14ac:dyDescent="0.25">
      <c r="A1834" s="12" t="s">
        <v>7242</v>
      </c>
      <c r="B1834" s="12" t="s">
        <v>7280</v>
      </c>
      <c r="C1834" s="12" t="s">
        <v>7191</v>
      </c>
      <c r="D1834" s="12" t="s">
        <v>7172</v>
      </c>
      <c r="E1834" s="12" t="s">
        <v>2095</v>
      </c>
      <c r="F1834" s="12" t="s">
        <v>2096</v>
      </c>
      <c r="G1834" s="12" t="s">
        <v>12</v>
      </c>
      <c r="H1834" s="12"/>
      <c r="I1834" s="12"/>
      <c r="J1834" s="12" t="s">
        <v>73</v>
      </c>
      <c r="K1834" s="12"/>
      <c r="L1834" s="12" t="s">
        <v>2092</v>
      </c>
      <c r="M1834" s="12" t="s">
        <v>2097</v>
      </c>
      <c r="N1834" s="12"/>
      <c r="O1834" s="12" t="s">
        <v>2098</v>
      </c>
      <c r="P1834" s="12" t="str">
        <f>HYPERLINK("https://ceds.ed.gov/cedselementdetails.aspx?termid=9975")</f>
        <v>https://ceds.ed.gov/cedselementdetails.aspx?termid=9975</v>
      </c>
      <c r="Q1834" s="12" t="str">
        <f>HYPERLINK("https://ceds.ed.gov/elementComment.aspx?elementName=Course Section Enrollment Status Start Date &amp;elementID=9975", "Click here to submit comment")</f>
        <v>Click here to submit comment</v>
      </c>
    </row>
    <row r="1835" spans="1:17" ht="120" x14ac:dyDescent="0.25">
      <c r="A1835" s="12" t="s">
        <v>7242</v>
      </c>
      <c r="B1835" s="12" t="s">
        <v>7280</v>
      </c>
      <c r="C1835" s="12" t="s">
        <v>7191</v>
      </c>
      <c r="D1835" s="12" t="s">
        <v>7172</v>
      </c>
      <c r="E1835" s="12" t="s">
        <v>2089</v>
      </c>
      <c r="F1835" s="12" t="s">
        <v>2090</v>
      </c>
      <c r="G1835" s="12" t="s">
        <v>12</v>
      </c>
      <c r="H1835" s="12"/>
      <c r="I1835" s="12"/>
      <c r="J1835" s="12" t="s">
        <v>73</v>
      </c>
      <c r="K1835" s="12"/>
      <c r="L1835" s="12" t="s">
        <v>2092</v>
      </c>
      <c r="M1835" s="12" t="s">
        <v>2093</v>
      </c>
      <c r="N1835" s="12"/>
      <c r="O1835" s="12" t="s">
        <v>2094</v>
      </c>
      <c r="P1835" s="12" t="str">
        <f>HYPERLINK("https://ceds.ed.gov/cedselementdetails.aspx?termid=9976")</f>
        <v>https://ceds.ed.gov/cedselementdetails.aspx?termid=9976</v>
      </c>
      <c r="Q1835" s="12" t="str">
        <f>HYPERLINK("https://ceds.ed.gov/elementComment.aspx?elementName=Course Section Enrollment Status End Date &amp;elementID=9976", "Click here to submit comment")</f>
        <v>Click here to submit comment</v>
      </c>
    </row>
    <row r="1836" spans="1:17" ht="120" x14ac:dyDescent="0.25">
      <c r="A1836" s="12" t="s">
        <v>7242</v>
      </c>
      <c r="B1836" s="12" t="s">
        <v>7280</v>
      </c>
      <c r="C1836" s="12" t="s">
        <v>7191</v>
      </c>
      <c r="D1836" s="12" t="s">
        <v>7172</v>
      </c>
      <c r="E1836" s="12" t="s">
        <v>2099</v>
      </c>
      <c r="F1836" s="12" t="s">
        <v>2100</v>
      </c>
      <c r="G1836" s="13" t="s">
        <v>6844</v>
      </c>
      <c r="H1836" s="12"/>
      <c r="I1836" s="12"/>
      <c r="J1836" s="12"/>
      <c r="K1836" s="12"/>
      <c r="L1836" s="12" t="s">
        <v>2092</v>
      </c>
      <c r="M1836" s="12" t="s">
        <v>2101</v>
      </c>
      <c r="N1836" s="12"/>
      <c r="O1836" s="12" t="s">
        <v>2102</v>
      </c>
      <c r="P1836" s="12" t="str">
        <f>HYPERLINK("https://ceds.ed.gov/cedselementdetails.aspx?termid=9977")</f>
        <v>https://ceds.ed.gov/cedselementdetails.aspx?termid=9977</v>
      </c>
      <c r="Q1836" s="12" t="str">
        <f>HYPERLINK("https://ceds.ed.gov/elementComment.aspx?elementName=Course Section Enrollment Status Type &amp;elementID=9977", "Click here to submit comment")</f>
        <v>Click here to submit comment</v>
      </c>
    </row>
    <row r="1837" spans="1:17" ht="255" x14ac:dyDescent="0.25">
      <c r="A1837" s="12" t="s">
        <v>7242</v>
      </c>
      <c r="B1837" s="12" t="s">
        <v>7280</v>
      </c>
      <c r="C1837" s="12" t="s">
        <v>7191</v>
      </c>
      <c r="D1837" s="12" t="s">
        <v>7172</v>
      </c>
      <c r="E1837" s="12" t="s">
        <v>4600</v>
      </c>
      <c r="F1837" s="12" t="s">
        <v>4601</v>
      </c>
      <c r="G1837" s="12" t="s">
        <v>12</v>
      </c>
      <c r="H1837" s="12" t="s">
        <v>6610</v>
      </c>
      <c r="I1837" s="12"/>
      <c r="J1837" s="12" t="s">
        <v>1554</v>
      </c>
      <c r="K1837" s="12"/>
      <c r="L1837" s="12" t="s">
        <v>4602</v>
      </c>
      <c r="M1837" s="12" t="s">
        <v>4603</v>
      </c>
      <c r="N1837" s="12"/>
      <c r="O1837" s="12" t="s">
        <v>4604</v>
      </c>
      <c r="P1837" s="12" t="str">
        <f>HYPERLINK("https://ceds.ed.gov/cedselementdetails.aspx?termid=9202")</f>
        <v>https://ceds.ed.gov/cedselementdetails.aspx?termid=9202</v>
      </c>
      <c r="Q1837" s="12" t="str">
        <f>HYPERLINK("https://ceds.ed.gov/elementComment.aspx?elementName=Number of Days in Attendance &amp;elementID=9202", "Click here to submit comment")</f>
        <v>Click here to submit comment</v>
      </c>
    </row>
    <row r="1838" spans="1:17" ht="120" x14ac:dyDescent="0.25">
      <c r="A1838" s="12" t="s">
        <v>7242</v>
      </c>
      <c r="B1838" s="12" t="s">
        <v>7280</v>
      </c>
      <c r="C1838" s="12" t="s">
        <v>7191</v>
      </c>
      <c r="D1838" s="12" t="s">
        <v>7172</v>
      </c>
      <c r="E1838" s="12" t="s">
        <v>4592</v>
      </c>
      <c r="F1838" s="12" t="s">
        <v>4593</v>
      </c>
      <c r="G1838" s="12" t="s">
        <v>12</v>
      </c>
      <c r="H1838" s="12" t="s">
        <v>6608</v>
      </c>
      <c r="I1838" s="12"/>
      <c r="J1838" s="12" t="s">
        <v>1554</v>
      </c>
      <c r="K1838" s="12"/>
      <c r="L1838" s="12"/>
      <c r="M1838" s="12" t="s">
        <v>4594</v>
      </c>
      <c r="N1838" s="12"/>
      <c r="O1838" s="12" t="s">
        <v>4595</v>
      </c>
      <c r="P1838" s="12" t="str">
        <f>HYPERLINK("https://ceds.ed.gov/cedselementdetails.aspx?termid=9201")</f>
        <v>https://ceds.ed.gov/cedselementdetails.aspx?termid=9201</v>
      </c>
      <c r="Q1838" s="12" t="str">
        <f>HYPERLINK("https://ceds.ed.gov/elementComment.aspx?elementName=Number of Days Absent &amp;elementID=9201", "Click here to submit comment")</f>
        <v>Click here to submit comment</v>
      </c>
    </row>
    <row r="1839" spans="1:17" ht="90" x14ac:dyDescent="0.25">
      <c r="A1839" s="12" t="s">
        <v>7242</v>
      </c>
      <c r="B1839" s="12" t="s">
        <v>7280</v>
      </c>
      <c r="C1839" s="12" t="s">
        <v>7191</v>
      </c>
      <c r="D1839" s="12" t="s">
        <v>7172</v>
      </c>
      <c r="E1839" s="12" t="s">
        <v>4584</v>
      </c>
      <c r="F1839" s="12" t="s">
        <v>4585</v>
      </c>
      <c r="G1839" s="12" t="s">
        <v>12</v>
      </c>
      <c r="H1839" s="12" t="s">
        <v>6369</v>
      </c>
      <c r="I1839" s="12"/>
      <c r="J1839" s="12" t="s">
        <v>1554</v>
      </c>
      <c r="K1839" s="12"/>
      <c r="L1839" s="12"/>
      <c r="M1839" s="12" t="s">
        <v>4586</v>
      </c>
      <c r="N1839" s="12"/>
      <c r="O1839" s="12" t="s">
        <v>4587</v>
      </c>
      <c r="P1839" s="12" t="str">
        <f>HYPERLINK("https://ceds.ed.gov/cedselementdetails.aspx?termid=9199")</f>
        <v>https://ceds.ed.gov/cedselementdetails.aspx?termid=9199</v>
      </c>
      <c r="Q1839" s="12" t="str">
        <f>HYPERLINK("https://ceds.ed.gov/elementComment.aspx?elementName=Number of Credits Attempted &amp;elementID=9199", "Click here to submit comment")</f>
        <v>Click here to submit comment</v>
      </c>
    </row>
    <row r="1840" spans="1:17" ht="120" x14ac:dyDescent="0.25">
      <c r="A1840" s="12" t="s">
        <v>7242</v>
      </c>
      <c r="B1840" s="12" t="s">
        <v>7280</v>
      </c>
      <c r="C1840" s="12" t="s">
        <v>7191</v>
      </c>
      <c r="D1840" s="12" t="s">
        <v>7172</v>
      </c>
      <c r="E1840" s="12" t="s">
        <v>4588</v>
      </c>
      <c r="F1840" s="12" t="s">
        <v>4589</v>
      </c>
      <c r="G1840" s="12" t="s">
        <v>12</v>
      </c>
      <c r="H1840" s="12" t="s">
        <v>6596</v>
      </c>
      <c r="I1840" s="12"/>
      <c r="J1840" s="12" t="s">
        <v>1554</v>
      </c>
      <c r="K1840" s="12"/>
      <c r="L1840" s="12"/>
      <c r="M1840" s="12" t="s">
        <v>4590</v>
      </c>
      <c r="N1840" s="12"/>
      <c r="O1840" s="12" t="s">
        <v>4591</v>
      </c>
      <c r="P1840" s="12" t="str">
        <f>HYPERLINK("https://ceds.ed.gov/cedselementdetails.aspx?termid=9200")</f>
        <v>https://ceds.ed.gov/cedselementdetails.aspx?termid=9200</v>
      </c>
      <c r="Q1840" s="12" t="str">
        <f>HYPERLINK("https://ceds.ed.gov/elementComment.aspx?elementName=Number of Credits Earned &amp;elementID=9200", "Click here to submit comment")</f>
        <v>Click here to submit comment</v>
      </c>
    </row>
    <row r="1841" spans="1:17" ht="120" x14ac:dyDescent="0.25">
      <c r="A1841" s="12" t="s">
        <v>7242</v>
      </c>
      <c r="B1841" s="12" t="s">
        <v>7280</v>
      </c>
      <c r="C1841" s="12" t="s">
        <v>7191</v>
      </c>
      <c r="D1841" s="12" t="s">
        <v>7172</v>
      </c>
      <c r="E1841" s="12" t="s">
        <v>5390</v>
      </c>
      <c r="F1841" s="12" t="s">
        <v>5391</v>
      </c>
      <c r="G1841" s="13" t="s">
        <v>7098</v>
      </c>
      <c r="H1841" s="12" t="s">
        <v>222</v>
      </c>
      <c r="I1841" s="12"/>
      <c r="J1841" s="12"/>
      <c r="K1841" s="12"/>
      <c r="L1841" s="12"/>
      <c r="M1841" s="12" t="s">
        <v>5392</v>
      </c>
      <c r="N1841" s="12"/>
      <c r="O1841" s="12" t="s">
        <v>5393</v>
      </c>
      <c r="P1841" s="12" t="str">
        <f>HYPERLINK("https://ceds.ed.gov/cedselementdetails.aspx?termid=9587")</f>
        <v>https://ceds.ed.gov/cedselementdetails.aspx?termid=9587</v>
      </c>
      <c r="Q1841" s="12" t="str">
        <f>HYPERLINK("https://ceds.ed.gov/elementComment.aspx?elementName=Responsible District Type &amp;elementID=9587", "Click here to submit comment")</f>
        <v>Click here to submit comment</v>
      </c>
    </row>
    <row r="1842" spans="1:17" ht="120" x14ac:dyDescent="0.25">
      <c r="A1842" s="12" t="s">
        <v>7242</v>
      </c>
      <c r="B1842" s="12" t="s">
        <v>7280</v>
      </c>
      <c r="C1842" s="12" t="s">
        <v>7191</v>
      </c>
      <c r="D1842" s="12" t="s">
        <v>7172</v>
      </c>
      <c r="E1842" s="12" t="s">
        <v>5413</v>
      </c>
      <c r="F1842" s="12" t="s">
        <v>5414</v>
      </c>
      <c r="G1842" s="13" t="s">
        <v>7098</v>
      </c>
      <c r="H1842" s="12" t="s">
        <v>222</v>
      </c>
      <c r="I1842" s="12"/>
      <c r="J1842" s="12"/>
      <c r="K1842" s="12"/>
      <c r="L1842" s="12"/>
      <c r="M1842" s="12" t="s">
        <v>5415</v>
      </c>
      <c r="N1842" s="12"/>
      <c r="O1842" s="12" t="s">
        <v>5416</v>
      </c>
      <c r="P1842" s="12" t="str">
        <f>HYPERLINK("https://ceds.ed.gov/cedselementdetails.aspx?termid=9588")</f>
        <v>https://ceds.ed.gov/cedselementdetails.aspx?termid=9588</v>
      </c>
      <c r="Q1842" s="12" t="str">
        <f>HYPERLINK("https://ceds.ed.gov/elementComment.aspx?elementName=Responsible School Type &amp;elementID=9588", "Click here to submit comment")</f>
        <v>Click here to submit comment</v>
      </c>
    </row>
    <row r="1843" spans="1:17" ht="90" x14ac:dyDescent="0.25">
      <c r="A1843" s="12" t="s">
        <v>7242</v>
      </c>
      <c r="B1843" s="12" t="s">
        <v>7280</v>
      </c>
      <c r="C1843" s="12" t="s">
        <v>7191</v>
      </c>
      <c r="D1843" s="12" t="s">
        <v>7172</v>
      </c>
      <c r="E1843" s="12" t="s">
        <v>5968</v>
      </c>
      <c r="F1843" s="12" t="s">
        <v>5969</v>
      </c>
      <c r="G1843" s="12" t="s">
        <v>12</v>
      </c>
      <c r="H1843" s="12" t="s">
        <v>6369</v>
      </c>
      <c r="I1843" s="12"/>
      <c r="J1843" s="12" t="s">
        <v>1950</v>
      </c>
      <c r="K1843" s="12"/>
      <c r="L1843" s="12"/>
      <c r="M1843" s="12" t="s">
        <v>5970</v>
      </c>
      <c r="N1843" s="12"/>
      <c r="O1843" s="12" t="s">
        <v>5971</v>
      </c>
      <c r="P1843" s="12" t="str">
        <f>HYPERLINK("https://ceds.ed.gov/cedselementdetails.aspx?termid=9124")</f>
        <v>https://ceds.ed.gov/cedselementdetails.aspx?termid=9124</v>
      </c>
      <c r="Q1843" s="12" t="str">
        <f>HYPERLINK("https://ceds.ed.gov/elementComment.aspx?elementName=Student Course Section Grade Earned &amp;elementID=9124", "Click here to submit comment")</f>
        <v>Click here to submit comment</v>
      </c>
    </row>
    <row r="1844" spans="1:17" ht="45" x14ac:dyDescent="0.25">
      <c r="A1844" s="12" t="s">
        <v>7242</v>
      </c>
      <c r="B1844" s="12" t="s">
        <v>7280</v>
      </c>
      <c r="C1844" s="12" t="s">
        <v>7191</v>
      </c>
      <c r="D1844" s="12" t="s">
        <v>7172</v>
      </c>
      <c r="E1844" s="12" t="s">
        <v>5972</v>
      </c>
      <c r="F1844" s="12" t="s">
        <v>5973</v>
      </c>
      <c r="G1844" s="12" t="s">
        <v>12</v>
      </c>
      <c r="H1844" s="12"/>
      <c r="I1844" s="12"/>
      <c r="J1844" s="12" t="s">
        <v>68</v>
      </c>
      <c r="K1844" s="12"/>
      <c r="L1844" s="12"/>
      <c r="M1844" s="12" t="s">
        <v>5974</v>
      </c>
      <c r="N1844" s="12"/>
      <c r="O1844" s="12" t="s">
        <v>5975</v>
      </c>
      <c r="P1844" s="12" t="str">
        <f>HYPERLINK("https://ceds.ed.gov/cedselementdetails.aspx?termid=10552")</f>
        <v>https://ceds.ed.gov/cedselementdetails.aspx?termid=10552</v>
      </c>
      <c r="Q1844" s="12" t="str">
        <f>HYPERLINK("https://ceds.ed.gov/elementComment.aspx?elementName=Student Course Section Grade Narrative &amp;elementID=10552", "Click here to submit comment")</f>
        <v>Click here to submit comment</v>
      </c>
    </row>
    <row r="1845" spans="1:17" ht="90" x14ac:dyDescent="0.25">
      <c r="A1845" s="12" t="s">
        <v>7242</v>
      </c>
      <c r="B1845" s="12" t="s">
        <v>7280</v>
      </c>
      <c r="C1845" s="12" t="s">
        <v>7282</v>
      </c>
      <c r="D1845" s="12" t="s">
        <v>7172</v>
      </c>
      <c r="E1845" s="12" t="s">
        <v>4372</v>
      </c>
      <c r="F1845" s="12" t="s">
        <v>4373</v>
      </c>
      <c r="G1845" s="12" t="s">
        <v>12</v>
      </c>
      <c r="H1845" s="12" t="s">
        <v>6369</v>
      </c>
      <c r="I1845" s="12"/>
      <c r="J1845" s="12" t="s">
        <v>92</v>
      </c>
      <c r="K1845" s="12"/>
      <c r="L1845" s="12"/>
      <c r="M1845" s="12" t="s">
        <v>4374</v>
      </c>
      <c r="N1845" s="12"/>
      <c r="O1845" s="12" t="s">
        <v>4375</v>
      </c>
      <c r="P1845" s="12" t="str">
        <f>HYPERLINK("https://ceds.ed.gov/cedselementdetails.aspx?termid=9182")</f>
        <v>https://ceds.ed.gov/cedselementdetails.aspx?termid=9182</v>
      </c>
      <c r="Q1845" s="12" t="str">
        <f>HYPERLINK("https://ceds.ed.gov/elementComment.aspx?elementName=Marking Period Name &amp;elementID=9182", "Click here to submit comment")</f>
        <v>Click here to submit comment</v>
      </c>
    </row>
    <row r="1846" spans="1:17" ht="45" x14ac:dyDescent="0.25">
      <c r="A1846" s="12" t="s">
        <v>7242</v>
      </c>
      <c r="B1846" s="12" t="s">
        <v>7280</v>
      </c>
      <c r="C1846" s="12" t="s">
        <v>7282</v>
      </c>
      <c r="D1846" s="12" t="s">
        <v>7172</v>
      </c>
      <c r="E1846" s="12" t="s">
        <v>5976</v>
      </c>
      <c r="F1846" s="12" t="s">
        <v>5977</v>
      </c>
      <c r="G1846" s="12" t="s">
        <v>6364</v>
      </c>
      <c r="H1846" s="12"/>
      <c r="I1846" s="12"/>
      <c r="J1846" s="12"/>
      <c r="K1846" s="12"/>
      <c r="L1846" s="12"/>
      <c r="M1846" s="12" t="s">
        <v>5978</v>
      </c>
      <c r="N1846" s="12"/>
      <c r="O1846" s="12" t="s">
        <v>5979</v>
      </c>
      <c r="P1846" s="12" t="str">
        <f>HYPERLINK("https://ceds.ed.gov/cedselementdetails.aspx?termid=10191")</f>
        <v>https://ceds.ed.gov/cedselementdetails.aspx?termid=10191</v>
      </c>
      <c r="Q1846" s="12" t="str">
        <f>HYPERLINK("https://ceds.ed.gov/elementComment.aspx?elementName=Student Course Section Mark Final Indicator &amp;elementID=10191", "Click here to submit comment")</f>
        <v>Click here to submit comment</v>
      </c>
    </row>
    <row r="1847" spans="1:17" ht="90" x14ac:dyDescent="0.25">
      <c r="A1847" s="12" t="s">
        <v>7242</v>
      </c>
      <c r="B1847" s="12" t="s">
        <v>7280</v>
      </c>
      <c r="C1847" s="12" t="s">
        <v>7282</v>
      </c>
      <c r="D1847" s="12" t="s">
        <v>7172</v>
      </c>
      <c r="E1847" s="12" t="s">
        <v>4401</v>
      </c>
      <c r="F1847" s="12" t="s">
        <v>4402</v>
      </c>
      <c r="G1847" s="12" t="s">
        <v>12</v>
      </c>
      <c r="H1847" s="12" t="s">
        <v>6369</v>
      </c>
      <c r="I1847" s="12"/>
      <c r="J1847" s="12" t="s">
        <v>1950</v>
      </c>
      <c r="K1847" s="12"/>
      <c r="L1847" s="12"/>
      <c r="M1847" s="12" t="s">
        <v>4403</v>
      </c>
      <c r="N1847" s="12"/>
      <c r="O1847" s="12" t="s">
        <v>4404</v>
      </c>
      <c r="P1847" s="12" t="str">
        <f>HYPERLINK("https://ceds.ed.gov/cedselementdetails.aspx?termid=9183")</f>
        <v>https://ceds.ed.gov/cedselementdetails.aspx?termid=9183</v>
      </c>
      <c r="Q1847" s="12" t="str">
        <f>HYPERLINK("https://ceds.ed.gov/elementComment.aspx?elementName=Mid Term Mark &amp;elementID=9183", "Click here to submit comment")</f>
        <v>Click here to submit comment</v>
      </c>
    </row>
    <row r="1848" spans="1:17" ht="90" x14ac:dyDescent="0.25">
      <c r="A1848" s="12" t="s">
        <v>7242</v>
      </c>
      <c r="B1848" s="12" t="s">
        <v>7280</v>
      </c>
      <c r="C1848" s="12" t="s">
        <v>7282</v>
      </c>
      <c r="D1848" s="12" t="s">
        <v>7172</v>
      </c>
      <c r="E1848" s="12" t="s">
        <v>5968</v>
      </c>
      <c r="F1848" s="12" t="s">
        <v>5969</v>
      </c>
      <c r="G1848" s="12" t="s">
        <v>12</v>
      </c>
      <c r="H1848" s="12" t="s">
        <v>6369</v>
      </c>
      <c r="I1848" s="12"/>
      <c r="J1848" s="12" t="s">
        <v>1950</v>
      </c>
      <c r="K1848" s="12"/>
      <c r="L1848" s="12"/>
      <c r="M1848" s="12" t="s">
        <v>5970</v>
      </c>
      <c r="N1848" s="12"/>
      <c r="O1848" s="12" t="s">
        <v>5971</v>
      </c>
      <c r="P1848" s="12" t="str">
        <f>HYPERLINK("https://ceds.ed.gov/cedselementdetails.aspx?termid=9124")</f>
        <v>https://ceds.ed.gov/cedselementdetails.aspx?termid=9124</v>
      </c>
      <c r="Q1848" s="12" t="str">
        <f>HYPERLINK("https://ceds.ed.gov/elementComment.aspx?elementName=Student Course Section Grade Earned &amp;elementID=9124", "Click here to submit comment")</f>
        <v>Click here to submit comment</v>
      </c>
    </row>
    <row r="1849" spans="1:17" ht="135" x14ac:dyDescent="0.25">
      <c r="A1849" s="12" t="s">
        <v>7242</v>
      </c>
      <c r="B1849" s="12" t="s">
        <v>7280</v>
      </c>
      <c r="C1849" s="12" t="s">
        <v>7282</v>
      </c>
      <c r="D1849" s="12" t="s">
        <v>7172</v>
      </c>
      <c r="E1849" s="12" t="s">
        <v>3129</v>
      </c>
      <c r="F1849" s="12" t="s">
        <v>3130</v>
      </c>
      <c r="G1849" s="12" t="s">
        <v>12</v>
      </c>
      <c r="H1849" s="12"/>
      <c r="I1849" s="12"/>
      <c r="J1849" s="12" t="s">
        <v>794</v>
      </c>
      <c r="K1849" s="12"/>
      <c r="L1849" s="12" t="s">
        <v>3131</v>
      </c>
      <c r="M1849" s="12" t="s">
        <v>3132</v>
      </c>
      <c r="N1849" s="12"/>
      <c r="O1849" s="12" t="s">
        <v>3133</v>
      </c>
      <c r="P1849" s="12" t="str">
        <f>HYPERLINK("https://ceds.ed.gov/cedselementdetails.aspx?termid=9609")</f>
        <v>https://ceds.ed.gov/cedselementdetails.aspx?termid=9609</v>
      </c>
      <c r="Q1849" s="12" t="str">
        <f>HYPERLINK("https://ceds.ed.gov/elementComment.aspx?elementName=Grade Value Qualifier &amp;elementID=9609", "Click here to submit comment")</f>
        <v>Click here to submit comment</v>
      </c>
    </row>
    <row r="1850" spans="1:17" ht="105" x14ac:dyDescent="0.25">
      <c r="A1850" s="18" t="s">
        <v>7242</v>
      </c>
      <c r="B1850" s="18" t="s">
        <v>7280</v>
      </c>
      <c r="C1850" s="18" t="s">
        <v>7283</v>
      </c>
      <c r="D1850" s="18" t="s">
        <v>7172</v>
      </c>
      <c r="E1850" s="18" t="s">
        <v>5872</v>
      </c>
      <c r="F1850" s="18" t="s">
        <v>5873</v>
      </c>
      <c r="G1850" s="18" t="s">
        <v>12</v>
      </c>
      <c r="H1850" s="18" t="s">
        <v>6676</v>
      </c>
      <c r="I1850" s="18"/>
      <c r="J1850" s="18" t="s">
        <v>142</v>
      </c>
      <c r="K1850" s="18"/>
      <c r="L1850" s="12" t="s">
        <v>143</v>
      </c>
      <c r="M1850" s="18" t="s">
        <v>5874</v>
      </c>
      <c r="N1850" s="18"/>
      <c r="O1850" s="18" t="s">
        <v>5875</v>
      </c>
      <c r="P1850" s="18" t="str">
        <f>HYPERLINK("https://ceds.ed.gov/cedselementdetails.aspx?termid=9156")</f>
        <v>https://ceds.ed.gov/cedselementdetails.aspx?termid=9156</v>
      </c>
      <c r="Q1850" s="18" t="str">
        <f>HYPERLINK("https://ceds.ed.gov/elementComment.aspx?elementName=Staff Member Identifier &amp;elementID=9156", "Click here to submit comment")</f>
        <v>Click here to submit comment</v>
      </c>
    </row>
    <row r="1851" spans="1:17" x14ac:dyDescent="0.25">
      <c r="A1851" s="18"/>
      <c r="B1851" s="18"/>
      <c r="C1851" s="18"/>
      <c r="D1851" s="18"/>
      <c r="E1851" s="18"/>
      <c r="F1851" s="18"/>
      <c r="G1851" s="18"/>
      <c r="H1851" s="18"/>
      <c r="I1851" s="18"/>
      <c r="J1851" s="18"/>
      <c r="K1851" s="18"/>
      <c r="L1851" s="12"/>
      <c r="M1851" s="18"/>
      <c r="N1851" s="18"/>
      <c r="O1851" s="18"/>
      <c r="P1851" s="18"/>
      <c r="Q1851" s="18"/>
    </row>
    <row r="1852" spans="1:17" ht="90" x14ac:dyDescent="0.25">
      <c r="A1852" s="18"/>
      <c r="B1852" s="18"/>
      <c r="C1852" s="18"/>
      <c r="D1852" s="18"/>
      <c r="E1852" s="18"/>
      <c r="F1852" s="18"/>
      <c r="G1852" s="18"/>
      <c r="H1852" s="18"/>
      <c r="I1852" s="18"/>
      <c r="J1852" s="18"/>
      <c r="K1852" s="18"/>
      <c r="L1852" s="12" t="s">
        <v>144</v>
      </c>
      <c r="M1852" s="18"/>
      <c r="N1852" s="18"/>
      <c r="O1852" s="18"/>
      <c r="P1852" s="18"/>
      <c r="Q1852" s="18"/>
    </row>
    <row r="1853" spans="1:17" ht="345" x14ac:dyDescent="0.25">
      <c r="A1853" s="12" t="s">
        <v>7242</v>
      </c>
      <c r="B1853" s="12" t="s">
        <v>7280</v>
      </c>
      <c r="C1853" s="12" t="s">
        <v>7283</v>
      </c>
      <c r="D1853" s="12" t="s">
        <v>7172</v>
      </c>
      <c r="E1853" s="12" t="s">
        <v>5868</v>
      </c>
      <c r="F1853" s="12" t="s">
        <v>5869</v>
      </c>
      <c r="G1853" s="13" t="s">
        <v>7118</v>
      </c>
      <c r="H1853" s="12" t="s">
        <v>6675</v>
      </c>
      <c r="I1853" s="12"/>
      <c r="J1853" s="12"/>
      <c r="K1853" s="12"/>
      <c r="L1853" s="12"/>
      <c r="M1853" s="12" t="s">
        <v>5870</v>
      </c>
      <c r="N1853" s="12"/>
      <c r="O1853" s="12" t="s">
        <v>5871</v>
      </c>
      <c r="P1853" s="12" t="str">
        <f>HYPERLINK("https://ceds.ed.gov/cedselementdetails.aspx?termid=9162")</f>
        <v>https://ceds.ed.gov/cedselementdetails.aspx?termid=9162</v>
      </c>
      <c r="Q1853" s="12" t="str">
        <f>HYPERLINK("https://ceds.ed.gov/elementComment.aspx?elementName=Staff Member Identification System &amp;elementID=9162", "Click here to submit comment")</f>
        <v>Click here to submit comment</v>
      </c>
    </row>
    <row r="1854" spans="1:17" ht="30" x14ac:dyDescent="0.25">
      <c r="A1854" s="12" t="s">
        <v>7242</v>
      </c>
      <c r="B1854" s="12" t="s">
        <v>7280</v>
      </c>
      <c r="C1854" s="12" t="s">
        <v>7283</v>
      </c>
      <c r="D1854" s="12" t="s">
        <v>7172</v>
      </c>
      <c r="E1854" s="12" t="s">
        <v>1492</v>
      </c>
      <c r="F1854" s="12" t="s">
        <v>1493</v>
      </c>
      <c r="G1854" s="12" t="s">
        <v>12</v>
      </c>
      <c r="H1854" s="12"/>
      <c r="I1854" s="12"/>
      <c r="J1854" s="12" t="s">
        <v>73</v>
      </c>
      <c r="K1854" s="12"/>
      <c r="L1854" s="12"/>
      <c r="M1854" s="12" t="s">
        <v>1494</v>
      </c>
      <c r="N1854" s="12"/>
      <c r="O1854" s="12" t="s">
        <v>1495</v>
      </c>
      <c r="P1854" s="12" t="str">
        <f>HYPERLINK("https://ceds.ed.gov/cedselementdetails.aspx?termid=9517")</f>
        <v>https://ceds.ed.gov/cedselementdetails.aspx?termid=9517</v>
      </c>
      <c r="Q1854" s="12" t="str">
        <f>HYPERLINK("https://ceds.ed.gov/elementComment.aspx?elementName=Assignment Start Date &amp;elementID=9517", "Click here to submit comment")</f>
        <v>Click here to submit comment</v>
      </c>
    </row>
    <row r="1855" spans="1:17" ht="30" x14ac:dyDescent="0.25">
      <c r="A1855" s="12" t="s">
        <v>7242</v>
      </c>
      <c r="B1855" s="12" t="s">
        <v>7280</v>
      </c>
      <c r="C1855" s="12" t="s">
        <v>7283</v>
      </c>
      <c r="D1855" s="12" t="s">
        <v>7172</v>
      </c>
      <c r="E1855" s="12" t="s">
        <v>1488</v>
      </c>
      <c r="F1855" s="12" t="s">
        <v>1489</v>
      </c>
      <c r="G1855" s="12" t="s">
        <v>12</v>
      </c>
      <c r="H1855" s="12"/>
      <c r="I1855" s="12"/>
      <c r="J1855" s="12" t="s">
        <v>73</v>
      </c>
      <c r="K1855" s="12"/>
      <c r="L1855" s="12"/>
      <c r="M1855" s="12" t="s">
        <v>1490</v>
      </c>
      <c r="N1855" s="12"/>
      <c r="O1855" s="12" t="s">
        <v>1491</v>
      </c>
      <c r="P1855" s="12" t="str">
        <f>HYPERLINK("https://ceds.ed.gov/cedselementdetails.aspx?termid=9518")</f>
        <v>https://ceds.ed.gov/cedselementdetails.aspx?termid=9518</v>
      </c>
      <c r="Q1855" s="12" t="str">
        <f>HYPERLINK("https://ceds.ed.gov/elementComment.aspx?elementName=Assignment End Date &amp;elementID=9518", "Click here to submit comment")</f>
        <v>Click here to submit comment</v>
      </c>
    </row>
    <row r="1856" spans="1:17" ht="60" x14ac:dyDescent="0.25">
      <c r="A1856" s="12" t="s">
        <v>7242</v>
      </c>
      <c r="B1856" s="12" t="s">
        <v>7280</v>
      </c>
      <c r="C1856" s="12" t="s">
        <v>7283</v>
      </c>
      <c r="D1856" s="12" t="s">
        <v>7172</v>
      </c>
      <c r="E1856" s="12" t="s">
        <v>6038</v>
      </c>
      <c r="F1856" s="12" t="s">
        <v>6039</v>
      </c>
      <c r="G1856" s="12" t="s">
        <v>6364</v>
      </c>
      <c r="H1856" s="12" t="s">
        <v>6043</v>
      </c>
      <c r="I1856" s="12"/>
      <c r="J1856" s="12"/>
      <c r="K1856" s="12"/>
      <c r="L1856" s="12" t="s">
        <v>6040</v>
      </c>
      <c r="M1856" s="12" t="s">
        <v>6041</v>
      </c>
      <c r="N1856" s="12"/>
      <c r="O1856" s="12" t="s">
        <v>6042</v>
      </c>
      <c r="P1856" s="12" t="str">
        <f>HYPERLINK("https://ceds.ed.gov/cedselementdetails.aspx?termid=9649")</f>
        <v>https://ceds.ed.gov/cedselementdetails.aspx?termid=9649</v>
      </c>
      <c r="Q1856" s="12" t="str">
        <f>HYPERLINK("https://ceds.ed.gov/elementComment.aspx?elementName=Teacher of Record &amp;elementID=9649", "Click here to submit comment")</f>
        <v>Click here to submit comment</v>
      </c>
    </row>
    <row r="1857" spans="1:17" ht="90" x14ac:dyDescent="0.25">
      <c r="A1857" s="12" t="s">
        <v>7242</v>
      </c>
      <c r="B1857" s="12" t="s">
        <v>7280</v>
      </c>
      <c r="C1857" s="12" t="s">
        <v>7283</v>
      </c>
      <c r="D1857" s="12" t="s">
        <v>7172</v>
      </c>
      <c r="E1857" s="12" t="s">
        <v>6066</v>
      </c>
      <c r="F1857" s="12" t="s">
        <v>6067</v>
      </c>
      <c r="G1857" s="13" t="s">
        <v>7130</v>
      </c>
      <c r="H1857" s="12" t="s">
        <v>6043</v>
      </c>
      <c r="I1857" s="12"/>
      <c r="J1857" s="12"/>
      <c r="K1857" s="12"/>
      <c r="L1857" s="12"/>
      <c r="M1857" s="12" t="s">
        <v>6068</v>
      </c>
      <c r="N1857" s="12"/>
      <c r="O1857" s="12" t="s">
        <v>6069</v>
      </c>
      <c r="P1857" s="12" t="str">
        <f>HYPERLINK("https://ceds.ed.gov/cedselementdetails.aspx?termid=9650")</f>
        <v>https://ceds.ed.gov/cedselementdetails.aspx?termid=9650</v>
      </c>
      <c r="Q1857" s="12" t="str">
        <f>HYPERLINK("https://ceds.ed.gov/elementComment.aspx?elementName=Teaching Assignment Role &amp;elementID=9650", "Click here to submit comment")</f>
        <v>Click here to submit comment</v>
      </c>
    </row>
    <row r="1858" spans="1:17" ht="90" x14ac:dyDescent="0.25">
      <c r="A1858" s="12" t="s">
        <v>7242</v>
      </c>
      <c r="B1858" s="12" t="s">
        <v>7280</v>
      </c>
      <c r="C1858" s="12" t="s">
        <v>7283</v>
      </c>
      <c r="D1858" s="12" t="s">
        <v>7172</v>
      </c>
      <c r="E1858" s="12" t="s">
        <v>6058</v>
      </c>
      <c r="F1858" s="12" t="s">
        <v>6059</v>
      </c>
      <c r="G1858" s="12" t="s">
        <v>12</v>
      </c>
      <c r="H1858" s="12" t="s">
        <v>6043</v>
      </c>
      <c r="I1858" s="12"/>
      <c r="J1858" s="12" t="s">
        <v>789</v>
      </c>
      <c r="K1858" s="12"/>
      <c r="L1858" s="12"/>
      <c r="M1858" s="12" t="s">
        <v>6060</v>
      </c>
      <c r="N1858" s="12"/>
      <c r="O1858" s="12" t="s">
        <v>6061</v>
      </c>
      <c r="P1858" s="12" t="str">
        <f>HYPERLINK("https://ceds.ed.gov/cedselementdetails.aspx?termid=9651")</f>
        <v>https://ceds.ed.gov/cedselementdetails.aspx?termid=9651</v>
      </c>
      <c r="Q1858" s="12" t="str">
        <f>HYPERLINK("https://ceds.ed.gov/elementComment.aspx?elementName=Teaching Assignment Contribution Percentage &amp;elementID=9651", "Click here to submit comment")</f>
        <v>Click here to submit comment</v>
      </c>
    </row>
    <row r="1859" spans="1:17" ht="270" x14ac:dyDescent="0.25">
      <c r="A1859" s="12" t="s">
        <v>7242</v>
      </c>
      <c r="B1859" s="12" t="s">
        <v>7280</v>
      </c>
      <c r="C1859" s="12" t="s">
        <v>7283</v>
      </c>
      <c r="D1859" s="12" t="s">
        <v>7172</v>
      </c>
      <c r="E1859" s="12" t="s">
        <v>1846</v>
      </c>
      <c r="F1859" s="12" t="s">
        <v>1847</v>
      </c>
      <c r="G1859" s="13" t="s">
        <v>6820</v>
      </c>
      <c r="H1859" s="12"/>
      <c r="I1859" s="12"/>
      <c r="J1859" s="12"/>
      <c r="K1859" s="12"/>
      <c r="L1859" s="12"/>
      <c r="M1859" s="12" t="s">
        <v>1848</v>
      </c>
      <c r="N1859" s="12"/>
      <c r="O1859" s="12" t="s">
        <v>1849</v>
      </c>
      <c r="P1859" s="12" t="str">
        <f>HYPERLINK("https://ceds.ed.gov/cedselementdetails.aspx?termid=9615")</f>
        <v>https://ceds.ed.gov/cedselementdetails.aspx?termid=9615</v>
      </c>
      <c r="Q1859" s="12" t="str">
        <f>HYPERLINK("https://ceds.ed.gov/elementComment.aspx?elementName=Classroom Position Type &amp;elementID=9615", "Click here to submit comment")</f>
        <v>Click here to submit comment</v>
      </c>
    </row>
    <row r="1860" spans="1:17" ht="30" x14ac:dyDescent="0.25">
      <c r="A1860" s="12" t="s">
        <v>7242</v>
      </c>
      <c r="B1860" s="12" t="s">
        <v>7280</v>
      </c>
      <c r="C1860" s="12" t="s">
        <v>7262</v>
      </c>
      <c r="D1860" s="12" t="s">
        <v>7176</v>
      </c>
      <c r="E1860" s="12" t="s">
        <v>1496</v>
      </c>
      <c r="F1860" s="12" t="s">
        <v>1497</v>
      </c>
      <c r="G1860" s="12" t="s">
        <v>12</v>
      </c>
      <c r="H1860" s="12"/>
      <c r="I1860" s="12" t="s">
        <v>1498</v>
      </c>
      <c r="J1860" s="12" t="s">
        <v>73</v>
      </c>
      <c r="K1860" s="12"/>
      <c r="L1860" s="12"/>
      <c r="M1860" s="12" t="s">
        <v>1499</v>
      </c>
      <c r="N1860" s="12"/>
      <c r="O1860" s="12" t="s">
        <v>1500</v>
      </c>
      <c r="P1860" s="12" t="str">
        <f>HYPERLINK("https://ceds.ed.gov/cedselementdetails.aspx?termid=10630")</f>
        <v>https://ceds.ed.gov/cedselementdetails.aspx?termid=10630</v>
      </c>
      <c r="Q1860" s="12" t="str">
        <f>HYPERLINK("https://ceds.ed.gov/elementComment.aspx?elementName=Attendance Event Date &amp;elementID=10630", "Click here to submit comment")</f>
        <v>Click here to submit comment</v>
      </c>
    </row>
    <row r="1861" spans="1:17" ht="120" x14ac:dyDescent="0.25">
      <c r="A1861" s="12" t="s">
        <v>7242</v>
      </c>
      <c r="B1861" s="12" t="s">
        <v>7280</v>
      </c>
      <c r="C1861" s="12" t="s">
        <v>7262</v>
      </c>
      <c r="D1861" s="12" t="s">
        <v>7176</v>
      </c>
      <c r="E1861" s="12" t="s">
        <v>1501</v>
      </c>
      <c r="F1861" s="12" t="s">
        <v>1502</v>
      </c>
      <c r="G1861" s="13" t="s">
        <v>6798</v>
      </c>
      <c r="H1861" s="12"/>
      <c r="I1861" s="12"/>
      <c r="J1861" s="12"/>
      <c r="K1861" s="12"/>
      <c r="L1861" s="12"/>
      <c r="M1861" s="12" t="s">
        <v>1503</v>
      </c>
      <c r="N1861" s="12"/>
      <c r="O1861" s="12" t="s">
        <v>1504</v>
      </c>
      <c r="P1861" s="12" t="str">
        <f>HYPERLINK("https://ceds.ed.gov/cedselementdetails.aspx?termid=9594")</f>
        <v>https://ceds.ed.gov/cedselementdetails.aspx?termid=9594</v>
      </c>
      <c r="Q1861" s="12" t="str">
        <f>HYPERLINK("https://ceds.ed.gov/elementComment.aspx?elementName=Attendance Event Type &amp;elementID=9594", "Click here to submit comment")</f>
        <v>Click here to submit comment</v>
      </c>
    </row>
    <row r="1862" spans="1:17" ht="105" x14ac:dyDescent="0.25">
      <c r="A1862" s="12" t="s">
        <v>7242</v>
      </c>
      <c r="B1862" s="12" t="s">
        <v>7280</v>
      </c>
      <c r="C1862" s="12" t="s">
        <v>7262</v>
      </c>
      <c r="D1862" s="12" t="s">
        <v>7172</v>
      </c>
      <c r="E1862" s="12" t="s">
        <v>1505</v>
      </c>
      <c r="F1862" s="12" t="s">
        <v>1506</v>
      </c>
      <c r="G1862" s="13" t="s">
        <v>6799</v>
      </c>
      <c r="H1862" s="12"/>
      <c r="I1862" s="12" t="s">
        <v>98</v>
      </c>
      <c r="J1862" s="12"/>
      <c r="K1862" s="12"/>
      <c r="L1862" s="12"/>
      <c r="M1862" s="12" t="s">
        <v>1507</v>
      </c>
      <c r="N1862" s="12"/>
      <c r="O1862" s="12" t="s">
        <v>1508</v>
      </c>
      <c r="P1862" s="12" t="str">
        <f>HYPERLINK("https://ceds.ed.gov/cedselementdetails.aspx?termid=9076")</f>
        <v>https://ceds.ed.gov/cedselementdetails.aspx?termid=9076</v>
      </c>
      <c r="Q1862" s="12" t="str">
        <f>HYPERLINK("https://ceds.ed.gov/elementComment.aspx?elementName=Attendance Status &amp;elementID=9076", "Click here to submit comment")</f>
        <v>Click here to submit comment</v>
      </c>
    </row>
    <row r="1863" spans="1:17" ht="105" x14ac:dyDescent="0.25">
      <c r="A1863" s="12" t="s">
        <v>7242</v>
      </c>
      <c r="B1863" s="12" t="s">
        <v>7284</v>
      </c>
      <c r="C1863" s="12"/>
      <c r="D1863" s="12" t="s">
        <v>7172</v>
      </c>
      <c r="E1863" s="12" t="s">
        <v>6052</v>
      </c>
      <c r="F1863" s="12" t="s">
        <v>6053</v>
      </c>
      <c r="G1863" s="12" t="s">
        <v>6364</v>
      </c>
      <c r="H1863" s="12"/>
      <c r="I1863" s="12"/>
      <c r="J1863" s="12"/>
      <c r="K1863" s="12"/>
      <c r="L1863" s="12" t="s">
        <v>6055</v>
      </c>
      <c r="M1863" s="12" t="s">
        <v>6056</v>
      </c>
      <c r="N1863" s="12"/>
      <c r="O1863" s="12" t="s">
        <v>6057</v>
      </c>
      <c r="P1863" s="12" t="str">
        <f>HYPERLINK("https://ceds.ed.gov/cedselementdetails.aspx?termid=9973")</f>
        <v>https://ceds.ed.gov/cedselementdetails.aspx?termid=9973</v>
      </c>
      <c r="Q1863" s="12" t="str">
        <f>HYPERLINK("https://ceds.ed.gov/elementComment.aspx?elementName=Teacher Student Data Link Exclusion Flag &amp;elementID=9973", "Click here to submit comment")</f>
        <v>Click here to submit comment</v>
      </c>
    </row>
    <row r="1864" spans="1:17" ht="60" x14ac:dyDescent="0.25">
      <c r="A1864" s="12" t="s">
        <v>7242</v>
      </c>
      <c r="B1864" s="12" t="s">
        <v>7285</v>
      </c>
      <c r="C1864" s="12"/>
      <c r="D1864" s="12" t="s">
        <v>7172</v>
      </c>
      <c r="E1864" s="12" t="s">
        <v>4684</v>
      </c>
      <c r="F1864" s="12" t="s">
        <v>4685</v>
      </c>
      <c r="G1864" s="13" t="s">
        <v>7044</v>
      </c>
      <c r="H1864" s="12"/>
      <c r="I1864" s="12"/>
      <c r="J1864" s="12"/>
      <c r="K1864" s="12"/>
      <c r="L1864" s="12"/>
      <c r="M1864" s="12" t="s">
        <v>4686</v>
      </c>
      <c r="N1864" s="12"/>
      <c r="O1864" s="12" t="s">
        <v>4687</v>
      </c>
      <c r="P1864" s="12" t="str">
        <f>HYPERLINK("https://ceds.ed.gov/cedselementdetails.aspx?termid=10387")</f>
        <v>https://ceds.ed.gov/cedselementdetails.aspx?termid=10387</v>
      </c>
      <c r="Q1864" s="12" t="str">
        <f>HYPERLINK("https://ceds.ed.gov/elementComment.aspx?elementName=Organization Operational Status &amp;elementID=10387", "Click here to submit comment")</f>
        <v>Click here to submit comment</v>
      </c>
    </row>
    <row r="1865" spans="1:17" ht="240" x14ac:dyDescent="0.25">
      <c r="A1865" s="12" t="s">
        <v>7242</v>
      </c>
      <c r="B1865" s="12" t="s">
        <v>7285</v>
      </c>
      <c r="C1865" s="12" t="s">
        <v>7208</v>
      </c>
      <c r="D1865" s="12" t="s">
        <v>7176</v>
      </c>
      <c r="E1865" s="12" t="s">
        <v>4668</v>
      </c>
      <c r="F1865" s="12" t="s">
        <v>4669</v>
      </c>
      <c r="G1865" s="13" t="s">
        <v>6739</v>
      </c>
      <c r="H1865" s="12" t="s">
        <v>64</v>
      </c>
      <c r="I1865" s="12"/>
      <c r="J1865" s="12"/>
      <c r="K1865" s="12"/>
      <c r="L1865" s="12"/>
      <c r="M1865" s="12" t="s">
        <v>4670</v>
      </c>
      <c r="N1865" s="12"/>
      <c r="O1865" s="12" t="s">
        <v>4671</v>
      </c>
      <c r="P1865" s="12" t="str">
        <f>HYPERLINK("https://ceds.ed.gov/cedselementdetails.aspx?termid=9827")</f>
        <v>https://ceds.ed.gov/cedselementdetails.aspx?termid=9827</v>
      </c>
      <c r="Q1865" s="12" t="str">
        <f>HYPERLINK("https://ceds.ed.gov/elementComment.aspx?elementName=Organization Identification System &amp;elementID=9827", "Click here to submit comment")</f>
        <v>Click here to submit comment</v>
      </c>
    </row>
    <row r="1866" spans="1:17" ht="105" x14ac:dyDescent="0.25">
      <c r="A1866" s="18" t="s">
        <v>7242</v>
      </c>
      <c r="B1866" s="18" t="s">
        <v>7285</v>
      </c>
      <c r="C1866" s="18" t="s">
        <v>7208</v>
      </c>
      <c r="D1866" s="18" t="s">
        <v>7176</v>
      </c>
      <c r="E1866" s="18" t="s">
        <v>4672</v>
      </c>
      <c r="F1866" s="18" t="s">
        <v>4673</v>
      </c>
      <c r="G1866" s="18" t="s">
        <v>12</v>
      </c>
      <c r="H1866" s="18" t="s">
        <v>64</v>
      </c>
      <c r="I1866" s="18"/>
      <c r="J1866" s="18" t="s">
        <v>142</v>
      </c>
      <c r="K1866" s="18"/>
      <c r="L1866" s="12" t="s">
        <v>143</v>
      </c>
      <c r="M1866" s="18" t="s">
        <v>4674</v>
      </c>
      <c r="N1866" s="18"/>
      <c r="O1866" s="18" t="s">
        <v>4675</v>
      </c>
      <c r="P1866" s="18" t="str">
        <f>HYPERLINK("https://ceds.ed.gov/cedselementdetails.aspx?termid=9825")</f>
        <v>https://ceds.ed.gov/cedselementdetails.aspx?termid=9825</v>
      </c>
      <c r="Q1866" s="18" t="str">
        <f>HYPERLINK("https://ceds.ed.gov/elementComment.aspx?elementName=Organization Identifier &amp;elementID=9825", "Click here to submit comment")</f>
        <v>Click here to submit comment</v>
      </c>
    </row>
    <row r="1867" spans="1:17" x14ac:dyDescent="0.25">
      <c r="A1867" s="18"/>
      <c r="B1867" s="18"/>
      <c r="C1867" s="18"/>
      <c r="D1867" s="18"/>
      <c r="E1867" s="18"/>
      <c r="F1867" s="18"/>
      <c r="G1867" s="18"/>
      <c r="H1867" s="18"/>
      <c r="I1867" s="18"/>
      <c r="J1867" s="18"/>
      <c r="K1867" s="18"/>
      <c r="L1867" s="12"/>
      <c r="M1867" s="18"/>
      <c r="N1867" s="18"/>
      <c r="O1867" s="18"/>
      <c r="P1867" s="18"/>
      <c r="Q1867" s="18"/>
    </row>
    <row r="1868" spans="1:17" ht="90" x14ac:dyDescent="0.25">
      <c r="A1868" s="18"/>
      <c r="B1868" s="18"/>
      <c r="C1868" s="18"/>
      <c r="D1868" s="18"/>
      <c r="E1868" s="18"/>
      <c r="F1868" s="18"/>
      <c r="G1868" s="18"/>
      <c r="H1868" s="18"/>
      <c r="I1868" s="18"/>
      <c r="J1868" s="18"/>
      <c r="K1868" s="18"/>
      <c r="L1868" s="12" t="s">
        <v>144</v>
      </c>
      <c r="M1868" s="18"/>
      <c r="N1868" s="18"/>
      <c r="O1868" s="18"/>
      <c r="P1868" s="18"/>
      <c r="Q1868" s="18"/>
    </row>
    <row r="1869" spans="1:17" ht="45" x14ac:dyDescent="0.25">
      <c r="A1869" s="12" t="s">
        <v>7242</v>
      </c>
      <c r="B1869" s="12" t="s">
        <v>7285</v>
      </c>
      <c r="C1869" s="12" t="s">
        <v>7208</v>
      </c>
      <c r="D1869" s="12" t="s">
        <v>7176</v>
      </c>
      <c r="E1869" s="12" t="s">
        <v>4680</v>
      </c>
      <c r="F1869" s="12" t="s">
        <v>4681</v>
      </c>
      <c r="G1869" s="12" t="s">
        <v>12</v>
      </c>
      <c r="H1869" s="12" t="s">
        <v>205</v>
      </c>
      <c r="I1869" s="12"/>
      <c r="J1869" s="12" t="s">
        <v>99</v>
      </c>
      <c r="K1869" s="12"/>
      <c r="L1869" s="12"/>
      <c r="M1869" s="12" t="s">
        <v>4682</v>
      </c>
      <c r="N1869" s="12"/>
      <c r="O1869" s="12" t="s">
        <v>4683</v>
      </c>
      <c r="P1869" s="12" t="str">
        <f>HYPERLINK("https://ceds.ed.gov/cedselementdetails.aspx?termid=9204")</f>
        <v>https://ceds.ed.gov/cedselementdetails.aspx?termid=9204</v>
      </c>
      <c r="Q1869" s="12" t="str">
        <f>HYPERLINK("https://ceds.ed.gov/elementComment.aspx?elementName=Organization Name &amp;elementID=9204", "Click here to submit comment")</f>
        <v>Click here to submit comment</v>
      </c>
    </row>
    <row r="1870" spans="1:17" ht="409.5" x14ac:dyDescent="0.25">
      <c r="A1870" s="12" t="s">
        <v>7242</v>
      </c>
      <c r="B1870" s="12" t="s">
        <v>7285</v>
      </c>
      <c r="C1870" s="12" t="s">
        <v>7208</v>
      </c>
      <c r="D1870" s="12" t="s">
        <v>7176</v>
      </c>
      <c r="E1870" s="12" t="s">
        <v>4692</v>
      </c>
      <c r="F1870" s="12" t="s">
        <v>4693</v>
      </c>
      <c r="G1870" s="13" t="s">
        <v>7045</v>
      </c>
      <c r="H1870" s="12"/>
      <c r="I1870" s="12" t="s">
        <v>98</v>
      </c>
      <c r="J1870" s="12" t="s">
        <v>142</v>
      </c>
      <c r="K1870" s="12"/>
      <c r="L1870" s="12" t="s">
        <v>4694</v>
      </c>
      <c r="M1870" s="12" t="s">
        <v>4695</v>
      </c>
      <c r="N1870" s="12"/>
      <c r="O1870" s="12" t="s">
        <v>4696</v>
      </c>
      <c r="P1870" s="12" t="str">
        <f>HYPERLINK("https://ceds.ed.gov/cedselementdetails.aspx?termid=10165")</f>
        <v>https://ceds.ed.gov/cedselementdetails.aspx?termid=10165</v>
      </c>
      <c r="Q1870" s="12" t="str">
        <f>HYPERLINK("https://ceds.ed.gov/elementComment.aspx?elementName=Organization Type &amp;elementID=10165", "Click here to submit comment")</f>
        <v>Click here to submit comment</v>
      </c>
    </row>
    <row r="1871" spans="1:17" ht="105" x14ac:dyDescent="0.25">
      <c r="A1871" s="12" t="s">
        <v>7242</v>
      </c>
      <c r="B1871" s="12" t="s">
        <v>7285</v>
      </c>
      <c r="C1871" s="12" t="s">
        <v>7208</v>
      </c>
      <c r="D1871" s="12" t="s">
        <v>7172</v>
      </c>
      <c r="E1871" s="12" t="s">
        <v>1736</v>
      </c>
      <c r="F1871" s="12" t="s">
        <v>1737</v>
      </c>
      <c r="G1871" s="13" t="s">
        <v>6812</v>
      </c>
      <c r="H1871" s="12" t="s">
        <v>222</v>
      </c>
      <c r="I1871" s="12" t="s">
        <v>1498</v>
      </c>
      <c r="J1871" s="12"/>
      <c r="K1871" s="12"/>
      <c r="L1871" s="12"/>
      <c r="M1871" s="12" t="s">
        <v>1738</v>
      </c>
      <c r="N1871" s="12"/>
      <c r="O1871" s="12" t="s">
        <v>1739</v>
      </c>
      <c r="P1871" s="12" t="str">
        <f>HYPERLINK("https://ceds.ed.gov/cedselementdetails.aspx?termid=10631")</f>
        <v>https://ceds.ed.gov/cedselementdetails.aspx?termid=10631</v>
      </c>
      <c r="Q1871" s="12" t="str">
        <f>HYPERLINK("https://ceds.ed.gov/elementComment.aspx?elementName=Charter School Management Organization Type &amp;elementID=10631", "Click here to submit comment")</f>
        <v>Click here to submit comment</v>
      </c>
    </row>
    <row r="1872" spans="1:17" ht="90" x14ac:dyDescent="0.25">
      <c r="A1872" s="12" t="s">
        <v>7242</v>
      </c>
      <c r="B1872" s="12" t="s">
        <v>7285</v>
      </c>
      <c r="C1872" s="12" t="s">
        <v>7214</v>
      </c>
      <c r="D1872" s="12" t="s">
        <v>7172</v>
      </c>
      <c r="E1872" s="12" t="s">
        <v>197</v>
      </c>
      <c r="F1872" s="12" t="s">
        <v>198</v>
      </c>
      <c r="G1872" s="13" t="s">
        <v>6727</v>
      </c>
      <c r="H1872" s="12" t="s">
        <v>6369</v>
      </c>
      <c r="I1872" s="12"/>
      <c r="J1872" s="12" t="s">
        <v>92</v>
      </c>
      <c r="K1872" s="12"/>
      <c r="L1872" s="12"/>
      <c r="M1872" s="12" t="s">
        <v>199</v>
      </c>
      <c r="N1872" s="12"/>
      <c r="O1872" s="12" t="s">
        <v>200</v>
      </c>
      <c r="P1872" s="12" t="str">
        <f>HYPERLINK("https://ceds.ed.gov/cedselementdetails.aspx?termid=9644")</f>
        <v>https://ceds.ed.gov/cedselementdetails.aspx?termid=9644</v>
      </c>
      <c r="Q1872" s="12" t="str">
        <f>HYPERLINK("https://ceds.ed.gov/elementComment.aspx?elementName=Address Type for Organization &amp;elementID=9644", "Click here to submit comment")</f>
        <v>Click here to submit comment</v>
      </c>
    </row>
    <row r="1873" spans="1:17" ht="225" x14ac:dyDescent="0.25">
      <c r="A1873" s="12" t="s">
        <v>7242</v>
      </c>
      <c r="B1873" s="12" t="s">
        <v>7285</v>
      </c>
      <c r="C1873" s="12" t="s">
        <v>7214</v>
      </c>
      <c r="D1873" s="12" t="s">
        <v>7172</v>
      </c>
      <c r="E1873" s="12" t="s">
        <v>189</v>
      </c>
      <c r="F1873" s="12" t="s">
        <v>190</v>
      </c>
      <c r="G1873" s="12" t="s">
        <v>12</v>
      </c>
      <c r="H1873" s="12" t="s">
        <v>6377</v>
      </c>
      <c r="I1873" s="12"/>
      <c r="J1873" s="12" t="s">
        <v>142</v>
      </c>
      <c r="K1873" s="12"/>
      <c r="L1873" s="12"/>
      <c r="M1873" s="12" t="s">
        <v>191</v>
      </c>
      <c r="N1873" s="12"/>
      <c r="O1873" s="12" t="s">
        <v>192</v>
      </c>
      <c r="P1873" s="12" t="str">
        <f>HYPERLINK("https://ceds.ed.gov/cedselementdetails.aspx?termid=9269")</f>
        <v>https://ceds.ed.gov/cedselementdetails.aspx?termid=9269</v>
      </c>
      <c r="Q1873" s="12" t="str">
        <f>HYPERLINK("https://ceds.ed.gov/elementComment.aspx?elementName=Address Street Number and Name &amp;elementID=9269", "Click here to submit comment")</f>
        <v>Click here to submit comment</v>
      </c>
    </row>
    <row r="1874" spans="1:17" ht="225" x14ac:dyDescent="0.25">
      <c r="A1874" s="12" t="s">
        <v>7242</v>
      </c>
      <c r="B1874" s="12" t="s">
        <v>7285</v>
      </c>
      <c r="C1874" s="12" t="s">
        <v>7214</v>
      </c>
      <c r="D1874" s="12" t="s">
        <v>7172</v>
      </c>
      <c r="E1874" s="12" t="s">
        <v>172</v>
      </c>
      <c r="F1874" s="12" t="s">
        <v>173</v>
      </c>
      <c r="G1874" s="12" t="s">
        <v>12</v>
      </c>
      <c r="H1874" s="12" t="s">
        <v>6377</v>
      </c>
      <c r="I1874" s="12"/>
      <c r="J1874" s="12" t="s">
        <v>92</v>
      </c>
      <c r="K1874" s="12"/>
      <c r="L1874" s="12"/>
      <c r="M1874" s="12" t="s">
        <v>174</v>
      </c>
      <c r="N1874" s="12"/>
      <c r="O1874" s="12" t="s">
        <v>175</v>
      </c>
      <c r="P1874" s="12" t="str">
        <f>HYPERLINK("https://ceds.ed.gov/cedselementdetails.aspx?termid=9019")</f>
        <v>https://ceds.ed.gov/cedselementdetails.aspx?termid=9019</v>
      </c>
      <c r="Q1874" s="12" t="str">
        <f>HYPERLINK("https://ceds.ed.gov/elementComment.aspx?elementName=Address Apartment Room or Suite Number &amp;elementID=9019", "Click here to submit comment")</f>
        <v>Click here to submit comment</v>
      </c>
    </row>
    <row r="1875" spans="1:17" ht="225" x14ac:dyDescent="0.25">
      <c r="A1875" s="12" t="s">
        <v>7242</v>
      </c>
      <c r="B1875" s="12" t="s">
        <v>7285</v>
      </c>
      <c r="C1875" s="12" t="s">
        <v>7214</v>
      </c>
      <c r="D1875" s="12" t="s">
        <v>7172</v>
      </c>
      <c r="E1875" s="12" t="s">
        <v>176</v>
      </c>
      <c r="F1875" s="12" t="s">
        <v>177</v>
      </c>
      <c r="G1875" s="12" t="s">
        <v>12</v>
      </c>
      <c r="H1875" s="12" t="s">
        <v>6377</v>
      </c>
      <c r="I1875" s="12"/>
      <c r="J1875" s="12" t="s">
        <v>92</v>
      </c>
      <c r="K1875" s="12"/>
      <c r="L1875" s="12"/>
      <c r="M1875" s="12" t="s">
        <v>178</v>
      </c>
      <c r="N1875" s="12"/>
      <c r="O1875" s="12" t="s">
        <v>179</v>
      </c>
      <c r="P1875" s="12" t="str">
        <f>HYPERLINK("https://ceds.ed.gov/cedselementdetails.aspx?termid=9040")</f>
        <v>https://ceds.ed.gov/cedselementdetails.aspx?termid=9040</v>
      </c>
      <c r="Q1875" s="12" t="str">
        <f>HYPERLINK("https://ceds.ed.gov/elementComment.aspx?elementName=Address City &amp;elementID=9040", "Click here to submit comment")</f>
        <v>Click here to submit comment</v>
      </c>
    </row>
    <row r="1876" spans="1:17" ht="409.5" x14ac:dyDescent="0.25">
      <c r="A1876" s="12" t="s">
        <v>7242</v>
      </c>
      <c r="B1876" s="12" t="s">
        <v>7285</v>
      </c>
      <c r="C1876" s="12" t="s">
        <v>7214</v>
      </c>
      <c r="D1876" s="12" t="s">
        <v>7172</v>
      </c>
      <c r="E1876" s="12" t="s">
        <v>5898</v>
      </c>
      <c r="F1876" s="12" t="s">
        <v>5899</v>
      </c>
      <c r="G1876" s="13" t="s">
        <v>7120</v>
      </c>
      <c r="H1876" s="12" t="s">
        <v>6678</v>
      </c>
      <c r="I1876" s="12"/>
      <c r="J1876" s="12"/>
      <c r="K1876" s="12"/>
      <c r="L1876" s="12"/>
      <c r="M1876" s="12" t="s">
        <v>5900</v>
      </c>
      <c r="N1876" s="12"/>
      <c r="O1876" s="12" t="s">
        <v>5901</v>
      </c>
      <c r="P1876" s="12" t="str">
        <f>HYPERLINK("https://ceds.ed.gov/cedselementdetails.aspx?termid=9267")</f>
        <v>https://ceds.ed.gov/cedselementdetails.aspx?termid=9267</v>
      </c>
      <c r="Q1876" s="12" t="str">
        <f>HYPERLINK("https://ceds.ed.gov/elementComment.aspx?elementName=State Abbreviation &amp;elementID=9267", "Click here to submit comment")</f>
        <v>Click here to submit comment</v>
      </c>
    </row>
    <row r="1877" spans="1:17" ht="225" x14ac:dyDescent="0.25">
      <c r="A1877" s="12" t="s">
        <v>7242</v>
      </c>
      <c r="B1877" s="12" t="s">
        <v>7285</v>
      </c>
      <c r="C1877" s="12" t="s">
        <v>7214</v>
      </c>
      <c r="D1877" s="12" t="s">
        <v>7172</v>
      </c>
      <c r="E1877" s="12" t="s">
        <v>184</v>
      </c>
      <c r="F1877" s="12" t="s">
        <v>185</v>
      </c>
      <c r="G1877" s="12" t="s">
        <v>12</v>
      </c>
      <c r="H1877" s="12" t="s">
        <v>6377</v>
      </c>
      <c r="I1877" s="12"/>
      <c r="J1877" s="12" t="s">
        <v>186</v>
      </c>
      <c r="K1877" s="12"/>
      <c r="L1877" s="12"/>
      <c r="M1877" s="12" t="s">
        <v>187</v>
      </c>
      <c r="N1877" s="12"/>
      <c r="O1877" s="12" t="s">
        <v>188</v>
      </c>
      <c r="P1877" s="12" t="str">
        <f>HYPERLINK("https://ceds.ed.gov/cedselementdetails.aspx?termid=9214")</f>
        <v>https://ceds.ed.gov/cedselementdetails.aspx?termid=9214</v>
      </c>
      <c r="Q1877" s="12" t="str">
        <f>HYPERLINK("https://ceds.ed.gov/elementComment.aspx?elementName=Address Postal Code &amp;elementID=9214", "Click here to submit comment")</f>
        <v>Click here to submit comment</v>
      </c>
    </row>
    <row r="1878" spans="1:17" ht="225" x14ac:dyDescent="0.25">
      <c r="A1878" s="12" t="s">
        <v>7242</v>
      </c>
      <c r="B1878" s="12" t="s">
        <v>7285</v>
      </c>
      <c r="C1878" s="12" t="s">
        <v>7214</v>
      </c>
      <c r="D1878" s="12" t="s">
        <v>7172</v>
      </c>
      <c r="E1878" s="12" t="s">
        <v>180</v>
      </c>
      <c r="F1878" s="12" t="s">
        <v>181</v>
      </c>
      <c r="G1878" s="12" t="s">
        <v>12</v>
      </c>
      <c r="H1878" s="12" t="s">
        <v>6377</v>
      </c>
      <c r="I1878" s="12"/>
      <c r="J1878" s="12" t="s">
        <v>92</v>
      </c>
      <c r="K1878" s="12"/>
      <c r="L1878" s="12"/>
      <c r="M1878" s="12" t="s">
        <v>182</v>
      </c>
      <c r="N1878" s="12"/>
      <c r="O1878" s="12" t="s">
        <v>183</v>
      </c>
      <c r="P1878" s="12" t="str">
        <f>HYPERLINK("https://ceds.ed.gov/cedselementdetails.aspx?termid=9190")</f>
        <v>https://ceds.ed.gov/cedselementdetails.aspx?termid=9190</v>
      </c>
      <c r="Q1878" s="12" t="str">
        <f>HYPERLINK("https://ceds.ed.gov/elementComment.aspx?elementName=Address County Name &amp;elementID=9190", "Click here to submit comment")</f>
        <v>Click here to submit comment</v>
      </c>
    </row>
    <row r="1879" spans="1:17" ht="45" x14ac:dyDescent="0.25">
      <c r="A1879" s="12" t="s">
        <v>7242</v>
      </c>
      <c r="B1879" s="12" t="s">
        <v>7285</v>
      </c>
      <c r="C1879" s="12" t="s">
        <v>7214</v>
      </c>
      <c r="D1879" s="12" t="s">
        <v>7172</v>
      </c>
      <c r="E1879" s="12" t="s">
        <v>1598</v>
      </c>
      <c r="F1879" s="12" t="s">
        <v>1599</v>
      </c>
      <c r="G1879" s="12" t="s">
        <v>12</v>
      </c>
      <c r="H1879" s="12"/>
      <c r="I1879" s="12"/>
      <c r="J1879" s="12" t="s">
        <v>92</v>
      </c>
      <c r="K1879" s="12"/>
      <c r="L1879" s="12"/>
      <c r="M1879" s="12" t="s">
        <v>1600</v>
      </c>
      <c r="N1879" s="12"/>
      <c r="O1879" s="12" t="s">
        <v>1601</v>
      </c>
      <c r="P1879" s="12" t="str">
        <f>HYPERLINK("https://ceds.ed.gov/cedselementdetails.aspx?termid=9595")</f>
        <v>https://ceds.ed.gov/cedselementdetails.aspx?termid=9595</v>
      </c>
      <c r="Q1879" s="12" t="str">
        <f>HYPERLINK("https://ceds.ed.gov/elementComment.aspx?elementName=Building Site Number &amp;elementID=9595", "Click here to submit comment")</f>
        <v>Click here to submit comment</v>
      </c>
    </row>
    <row r="1880" spans="1:17" ht="180" x14ac:dyDescent="0.25">
      <c r="A1880" s="12" t="s">
        <v>7242</v>
      </c>
      <c r="B1880" s="12" t="s">
        <v>7285</v>
      </c>
      <c r="C1880" s="12" t="s">
        <v>7214</v>
      </c>
      <c r="D1880" s="12" t="s">
        <v>7176</v>
      </c>
      <c r="E1880" s="12" t="s">
        <v>1943</v>
      </c>
      <c r="F1880" s="12" t="s">
        <v>1944</v>
      </c>
      <c r="G1880" s="12" t="s">
        <v>12</v>
      </c>
      <c r="H1880" s="12"/>
      <c r="I1880" s="12"/>
      <c r="J1880" s="12" t="s">
        <v>1945</v>
      </c>
      <c r="K1880" s="12"/>
      <c r="L1880" s="12"/>
      <c r="M1880" s="12" t="s">
        <v>1946</v>
      </c>
      <c r="N1880" s="12"/>
      <c r="O1880" s="12" t="s">
        <v>1947</v>
      </c>
      <c r="P1880" s="12" t="str">
        <f>HYPERLINK("https://ceds.ed.gov/cedselementdetails.aspx?termid=10176")</f>
        <v>https://ceds.ed.gov/cedselementdetails.aspx?termid=10176</v>
      </c>
      <c r="Q1880" s="12" t="str">
        <f>HYPERLINK("https://ceds.ed.gov/elementComment.aspx?elementName=County ANSI Code &amp;elementID=10176", "Click here to submit comment")</f>
        <v>Click here to submit comment</v>
      </c>
    </row>
    <row r="1881" spans="1:17" ht="75" x14ac:dyDescent="0.25">
      <c r="A1881" s="12" t="s">
        <v>7242</v>
      </c>
      <c r="B1881" s="12" t="s">
        <v>7285</v>
      </c>
      <c r="C1881" s="12" t="s">
        <v>7214</v>
      </c>
      <c r="D1881" s="12" t="s">
        <v>7176</v>
      </c>
      <c r="E1881" s="12" t="s">
        <v>3693</v>
      </c>
      <c r="F1881" s="12" t="s">
        <v>3694</v>
      </c>
      <c r="G1881" s="12" t="s">
        <v>12</v>
      </c>
      <c r="H1881" s="12"/>
      <c r="I1881" s="12"/>
      <c r="J1881" s="12" t="s">
        <v>1201</v>
      </c>
      <c r="K1881" s="12"/>
      <c r="L1881" s="12"/>
      <c r="M1881" s="12" t="s">
        <v>3695</v>
      </c>
      <c r="N1881" s="12"/>
      <c r="O1881" s="12" t="s">
        <v>3693</v>
      </c>
      <c r="P1881" s="12" t="str">
        <f>HYPERLINK("https://ceds.ed.gov/cedselementdetails.aspx?termid=9599")</f>
        <v>https://ceds.ed.gov/cedselementdetails.aspx?termid=9599</v>
      </c>
      <c r="Q1881" s="12" t="str">
        <f>HYPERLINK("https://ceds.ed.gov/elementComment.aspx?elementName=Latitude &amp;elementID=9599", "Click here to submit comment")</f>
        <v>Click here to submit comment</v>
      </c>
    </row>
    <row r="1882" spans="1:17" ht="75" x14ac:dyDescent="0.25">
      <c r="A1882" s="12" t="s">
        <v>7242</v>
      </c>
      <c r="B1882" s="12" t="s">
        <v>7285</v>
      </c>
      <c r="C1882" s="12" t="s">
        <v>7214</v>
      </c>
      <c r="D1882" s="12" t="s">
        <v>7176</v>
      </c>
      <c r="E1882" s="12" t="s">
        <v>4361</v>
      </c>
      <c r="F1882" s="12" t="s">
        <v>4362</v>
      </c>
      <c r="G1882" s="12" t="s">
        <v>12</v>
      </c>
      <c r="H1882" s="12"/>
      <c r="I1882" s="12"/>
      <c r="J1882" s="12" t="s">
        <v>1201</v>
      </c>
      <c r="K1882" s="12"/>
      <c r="L1882" s="12"/>
      <c r="M1882" s="12" t="s">
        <v>4363</v>
      </c>
      <c r="N1882" s="12"/>
      <c r="O1882" s="12" t="s">
        <v>4361</v>
      </c>
      <c r="P1882" s="12" t="str">
        <f>HYPERLINK("https://ceds.ed.gov/cedselementdetails.aspx?termid=9600")</f>
        <v>https://ceds.ed.gov/cedselementdetails.aspx?termid=9600</v>
      </c>
      <c r="Q1882" s="12" t="str">
        <f>HYPERLINK("https://ceds.ed.gov/elementComment.aspx?elementName=Longitude &amp;elementID=9600", "Click here to submit comment")</f>
        <v>Click here to submit comment</v>
      </c>
    </row>
    <row r="1883" spans="1:17" ht="165" x14ac:dyDescent="0.25">
      <c r="A1883" s="12" t="s">
        <v>7242</v>
      </c>
      <c r="B1883" s="12" t="s">
        <v>7285</v>
      </c>
      <c r="C1883" s="12" t="s">
        <v>7215</v>
      </c>
      <c r="D1883" s="12" t="s">
        <v>7176</v>
      </c>
      <c r="E1883" s="12" t="s">
        <v>3531</v>
      </c>
      <c r="F1883" s="12" t="s">
        <v>3532</v>
      </c>
      <c r="G1883" s="13" t="s">
        <v>6975</v>
      </c>
      <c r="H1883" s="12"/>
      <c r="I1883" s="12"/>
      <c r="J1883" s="12"/>
      <c r="K1883" s="12"/>
      <c r="L1883" s="12"/>
      <c r="M1883" s="12" t="s">
        <v>3533</v>
      </c>
      <c r="N1883" s="12"/>
      <c r="O1883" s="12" t="s">
        <v>3534</v>
      </c>
      <c r="P1883" s="12" t="str">
        <f>HYPERLINK("https://ceds.ed.gov/cedselementdetails.aspx?termid=9167")</f>
        <v>https://ceds.ed.gov/cedselementdetails.aspx?termid=9167</v>
      </c>
      <c r="Q1883" s="12" t="str">
        <f>HYPERLINK("https://ceds.ed.gov/elementComment.aspx?elementName=Institution Telephone Number Type &amp;elementID=9167", "Click here to submit comment")</f>
        <v>Click here to submit comment</v>
      </c>
    </row>
    <row r="1884" spans="1:17" ht="90" x14ac:dyDescent="0.25">
      <c r="A1884" s="12" t="s">
        <v>7242</v>
      </c>
      <c r="B1884" s="12" t="s">
        <v>7285</v>
      </c>
      <c r="C1884" s="12" t="s">
        <v>7215</v>
      </c>
      <c r="D1884" s="12" t="s">
        <v>7176</v>
      </c>
      <c r="E1884" s="12" t="s">
        <v>4934</v>
      </c>
      <c r="F1884" s="12" t="s">
        <v>4935</v>
      </c>
      <c r="G1884" s="12" t="s">
        <v>6364</v>
      </c>
      <c r="H1884" s="12" t="s">
        <v>6369</v>
      </c>
      <c r="I1884" s="12"/>
      <c r="J1884" s="12"/>
      <c r="K1884" s="12"/>
      <c r="L1884" s="12"/>
      <c r="M1884" s="12" t="s">
        <v>4936</v>
      </c>
      <c r="N1884" s="12"/>
      <c r="O1884" s="12" t="s">
        <v>4937</v>
      </c>
      <c r="P1884" s="12" t="str">
        <f>HYPERLINK("https://ceds.ed.gov/cedselementdetails.aspx?termid=9219")</f>
        <v>https://ceds.ed.gov/cedselementdetails.aspx?termid=9219</v>
      </c>
      <c r="Q1884" s="12" t="str">
        <f>HYPERLINK("https://ceds.ed.gov/elementComment.aspx?elementName=Primary Telephone Number Indicator &amp;elementID=9219", "Click here to submit comment")</f>
        <v>Click here to submit comment</v>
      </c>
    </row>
    <row r="1885" spans="1:17" ht="90" x14ac:dyDescent="0.25">
      <c r="A1885" s="12" t="s">
        <v>7242</v>
      </c>
      <c r="B1885" s="12" t="s">
        <v>7285</v>
      </c>
      <c r="C1885" s="12" t="s">
        <v>7215</v>
      </c>
      <c r="D1885" s="12" t="s">
        <v>7176</v>
      </c>
      <c r="E1885" s="12" t="s">
        <v>6102</v>
      </c>
      <c r="F1885" s="12" t="s">
        <v>6103</v>
      </c>
      <c r="G1885" s="12" t="s">
        <v>12</v>
      </c>
      <c r="H1885" s="12" t="s">
        <v>6369</v>
      </c>
      <c r="I1885" s="12"/>
      <c r="J1885" s="12" t="s">
        <v>6104</v>
      </c>
      <c r="K1885" s="12"/>
      <c r="L1885" s="12"/>
      <c r="M1885" s="12" t="s">
        <v>6105</v>
      </c>
      <c r="N1885" s="12"/>
      <c r="O1885" s="12" t="s">
        <v>6106</v>
      </c>
      <c r="P1885" s="12" t="str">
        <f>HYPERLINK("https://ceds.ed.gov/cedselementdetails.aspx?termid=9279")</f>
        <v>https://ceds.ed.gov/cedselementdetails.aspx?termid=9279</v>
      </c>
      <c r="Q1885" s="12" t="str">
        <f>HYPERLINK("https://ceds.ed.gov/elementComment.aspx?elementName=Telephone Number &amp;elementID=9279", "Click here to submit comment")</f>
        <v>Click here to submit comment</v>
      </c>
    </row>
    <row r="1886" spans="1:17" ht="90" x14ac:dyDescent="0.25">
      <c r="A1886" s="12" t="s">
        <v>7242</v>
      </c>
      <c r="B1886" s="12" t="s">
        <v>7285</v>
      </c>
      <c r="C1886" s="12" t="s">
        <v>7211</v>
      </c>
      <c r="D1886" s="12" t="s">
        <v>7172</v>
      </c>
      <c r="E1886" s="12" t="s">
        <v>4844</v>
      </c>
      <c r="F1886" s="12" t="s">
        <v>4845</v>
      </c>
      <c r="G1886" s="12" t="s">
        <v>12</v>
      </c>
      <c r="H1886" s="12" t="s">
        <v>6369</v>
      </c>
      <c r="I1886" s="12"/>
      <c r="J1886" s="12" t="s">
        <v>1386</v>
      </c>
      <c r="K1886" s="12"/>
      <c r="L1886" s="12"/>
      <c r="M1886" s="12" t="s">
        <v>4846</v>
      </c>
      <c r="N1886" s="12"/>
      <c r="O1886" s="12" t="s">
        <v>4847</v>
      </c>
      <c r="P1886" s="12" t="str">
        <f>HYPERLINK("https://ceds.ed.gov/cedselementdetails.aspx?termid=9213")</f>
        <v>https://ceds.ed.gov/cedselementdetails.aspx?termid=9213</v>
      </c>
      <c r="Q1886" s="12" t="str">
        <f>HYPERLINK("https://ceds.ed.gov/elementComment.aspx?elementName=Position Title &amp;elementID=9213", "Click here to submit comment")</f>
        <v>Click here to submit comment</v>
      </c>
    </row>
    <row r="1887" spans="1:17" ht="90" x14ac:dyDescent="0.25">
      <c r="A1887" s="12" t="s">
        <v>7242</v>
      </c>
      <c r="B1887" s="12" t="s">
        <v>7285</v>
      </c>
      <c r="C1887" s="12" t="s">
        <v>7211</v>
      </c>
      <c r="D1887" s="12" t="s">
        <v>7172</v>
      </c>
      <c r="E1887" s="12" t="s">
        <v>4926</v>
      </c>
      <c r="F1887" s="12" t="s">
        <v>4927</v>
      </c>
      <c r="G1887" s="12" t="s">
        <v>6364</v>
      </c>
      <c r="H1887" s="12"/>
      <c r="I1887" s="12"/>
      <c r="J1887" s="12"/>
      <c r="K1887" s="12"/>
      <c r="L1887" s="12"/>
      <c r="M1887" s="12" t="s">
        <v>4928</v>
      </c>
      <c r="N1887" s="12"/>
      <c r="O1887" s="12" t="s">
        <v>4929</v>
      </c>
      <c r="P1887" s="12" t="str">
        <f>HYPERLINK("https://ceds.ed.gov/cedselementdetails.aspx?termid=10397")</f>
        <v>https://ceds.ed.gov/cedselementdetails.aspx?termid=10397</v>
      </c>
      <c r="Q1887" s="12" t="str">
        <f>HYPERLINK("https://ceds.ed.gov/elementComment.aspx?elementName=Primary Contact Indicator &amp;elementID=10397", "Click here to submit comment")</f>
        <v>Click here to submit comment</v>
      </c>
    </row>
    <row r="1888" spans="1:17" ht="30" x14ac:dyDescent="0.25">
      <c r="A1888" s="12" t="s">
        <v>7242</v>
      </c>
      <c r="B1888" s="12" t="s">
        <v>7285</v>
      </c>
      <c r="C1888" s="12" t="s">
        <v>7211</v>
      </c>
      <c r="D1888" s="12" t="s">
        <v>7172</v>
      </c>
      <c r="E1888" s="12" t="s">
        <v>6313</v>
      </c>
      <c r="F1888" s="12" t="s">
        <v>6314</v>
      </c>
      <c r="G1888" s="12" t="s">
        <v>12</v>
      </c>
      <c r="H1888" s="12" t="s">
        <v>222</v>
      </c>
      <c r="I1888" s="12"/>
      <c r="J1888" s="12" t="s">
        <v>68</v>
      </c>
      <c r="K1888" s="12"/>
      <c r="L1888" s="12"/>
      <c r="M1888" s="12" t="s">
        <v>6315</v>
      </c>
      <c r="N1888" s="12"/>
      <c r="O1888" s="12" t="s">
        <v>6316</v>
      </c>
      <c r="P1888" s="12" t="str">
        <f>HYPERLINK("https://ceds.ed.gov/cedselementdetails.aspx?termid=9300")</f>
        <v>https://ceds.ed.gov/cedselementdetails.aspx?termid=9300</v>
      </c>
      <c r="Q1888" s="12" t="str">
        <f>HYPERLINK("https://ceds.ed.gov/elementComment.aspx?elementName=Web Site Address &amp;elementID=9300", "Click here to submit comment")</f>
        <v>Click here to submit comment</v>
      </c>
    </row>
    <row r="1889" spans="1:17" ht="195" x14ac:dyDescent="0.25">
      <c r="A1889" s="12" t="s">
        <v>7242</v>
      </c>
      <c r="B1889" s="12" t="s">
        <v>7285</v>
      </c>
      <c r="C1889" s="12" t="s">
        <v>7212</v>
      </c>
      <c r="D1889" s="12" t="s">
        <v>7172</v>
      </c>
      <c r="E1889" s="12" t="s">
        <v>3017</v>
      </c>
      <c r="F1889" s="12" t="s">
        <v>3018</v>
      </c>
      <c r="G1889" s="12" t="s">
        <v>12</v>
      </c>
      <c r="H1889" s="12" t="s">
        <v>6540</v>
      </c>
      <c r="I1889" s="12"/>
      <c r="J1889" s="12" t="s">
        <v>1349</v>
      </c>
      <c r="K1889" s="12"/>
      <c r="L1889" s="12" t="s">
        <v>3019</v>
      </c>
      <c r="M1889" s="12" t="s">
        <v>3020</v>
      </c>
      <c r="N1889" s="12"/>
      <c r="O1889" s="12" t="s">
        <v>3021</v>
      </c>
      <c r="P1889" s="12" t="str">
        <f>HYPERLINK("https://ceds.ed.gov/cedselementdetails.aspx?termid=9115")</f>
        <v>https://ceds.ed.gov/cedselementdetails.aspx?termid=9115</v>
      </c>
      <c r="Q1889" s="12" t="str">
        <f>HYPERLINK("https://ceds.ed.gov/elementComment.aspx?elementName=First Name &amp;elementID=9115", "Click here to submit comment")</f>
        <v>Click here to submit comment</v>
      </c>
    </row>
    <row r="1890" spans="1:17" x14ac:dyDescent="0.25">
      <c r="A1890" s="18" t="s">
        <v>7242</v>
      </c>
      <c r="B1890" s="18" t="s">
        <v>7285</v>
      </c>
      <c r="C1890" s="18" t="s">
        <v>7212</v>
      </c>
      <c r="D1890" s="18" t="s">
        <v>7172</v>
      </c>
      <c r="E1890" s="18" t="s">
        <v>4405</v>
      </c>
      <c r="F1890" s="18" t="s">
        <v>4406</v>
      </c>
      <c r="G1890" s="18" t="s">
        <v>12</v>
      </c>
      <c r="H1890" s="18" t="s">
        <v>6540</v>
      </c>
      <c r="I1890" s="18"/>
      <c r="J1890" s="18" t="s">
        <v>1349</v>
      </c>
      <c r="K1890" s="18"/>
      <c r="L1890" s="12" t="s">
        <v>3078</v>
      </c>
      <c r="M1890" s="18" t="s">
        <v>4407</v>
      </c>
      <c r="N1890" s="18"/>
      <c r="O1890" s="18" t="s">
        <v>4408</v>
      </c>
      <c r="P1890" s="18" t="str">
        <f>HYPERLINK("https://ceds.ed.gov/cedselementdetails.aspx?termid=9184")</f>
        <v>https://ceds.ed.gov/cedselementdetails.aspx?termid=9184</v>
      </c>
      <c r="Q1890" s="18" t="str">
        <f>HYPERLINK("https://ceds.ed.gov/elementComment.aspx?elementName=Middle Name &amp;elementID=9184", "Click here to submit comment")</f>
        <v>Click here to submit comment</v>
      </c>
    </row>
    <row r="1891" spans="1:17" ht="90" x14ac:dyDescent="0.25">
      <c r="A1891" s="18"/>
      <c r="B1891" s="18"/>
      <c r="C1891" s="18"/>
      <c r="D1891" s="18"/>
      <c r="E1891" s="18"/>
      <c r="F1891" s="18"/>
      <c r="G1891" s="18"/>
      <c r="H1891" s="18"/>
      <c r="I1891" s="18"/>
      <c r="J1891" s="18"/>
      <c r="K1891" s="18"/>
      <c r="L1891" s="12" t="s">
        <v>3079</v>
      </c>
      <c r="M1891" s="18"/>
      <c r="N1891" s="18"/>
      <c r="O1891" s="18"/>
      <c r="P1891" s="18"/>
      <c r="Q1891" s="18"/>
    </row>
    <row r="1892" spans="1:17" x14ac:dyDescent="0.25">
      <c r="A1892" s="18" t="s">
        <v>7242</v>
      </c>
      <c r="B1892" s="18" t="s">
        <v>7285</v>
      </c>
      <c r="C1892" s="18" t="s">
        <v>7212</v>
      </c>
      <c r="D1892" s="18" t="s">
        <v>7172</v>
      </c>
      <c r="E1892" s="18" t="s">
        <v>3684</v>
      </c>
      <c r="F1892" s="18" t="s">
        <v>3685</v>
      </c>
      <c r="G1892" s="18" t="s">
        <v>12</v>
      </c>
      <c r="H1892" s="18" t="s">
        <v>6540</v>
      </c>
      <c r="I1892" s="18"/>
      <c r="J1892" s="18" t="s">
        <v>1349</v>
      </c>
      <c r="K1892" s="18"/>
      <c r="L1892" s="12" t="s">
        <v>3078</v>
      </c>
      <c r="M1892" s="18" t="s">
        <v>3686</v>
      </c>
      <c r="N1892" s="18" t="s">
        <v>3687</v>
      </c>
      <c r="O1892" s="18" t="s">
        <v>3688</v>
      </c>
      <c r="P1892" s="18" t="str">
        <f>HYPERLINK("https://ceds.ed.gov/cedselementdetails.aspx?termid=9172")</f>
        <v>https://ceds.ed.gov/cedselementdetails.aspx?termid=9172</v>
      </c>
      <c r="Q1892" s="18" t="str">
        <f>HYPERLINK("https://ceds.ed.gov/elementComment.aspx?elementName=Last or Surname &amp;elementID=9172", "Click here to submit comment")</f>
        <v>Click here to submit comment</v>
      </c>
    </row>
    <row r="1893" spans="1:17" ht="90" x14ac:dyDescent="0.25">
      <c r="A1893" s="18"/>
      <c r="B1893" s="18"/>
      <c r="C1893" s="18"/>
      <c r="D1893" s="18"/>
      <c r="E1893" s="18"/>
      <c r="F1893" s="18"/>
      <c r="G1893" s="18"/>
      <c r="H1893" s="18"/>
      <c r="I1893" s="18"/>
      <c r="J1893" s="18"/>
      <c r="K1893" s="18"/>
      <c r="L1893" s="12" t="s">
        <v>3079</v>
      </c>
      <c r="M1893" s="18"/>
      <c r="N1893" s="18"/>
      <c r="O1893" s="18"/>
      <c r="P1893" s="18"/>
      <c r="Q1893" s="18"/>
    </row>
    <row r="1894" spans="1:17" x14ac:dyDescent="0.25">
      <c r="A1894" s="18" t="s">
        <v>7242</v>
      </c>
      <c r="B1894" s="18" t="s">
        <v>7285</v>
      </c>
      <c r="C1894" s="18" t="s">
        <v>7212</v>
      </c>
      <c r="D1894" s="18" t="s">
        <v>7172</v>
      </c>
      <c r="E1894" s="18" t="s">
        <v>3076</v>
      </c>
      <c r="F1894" s="18" t="s">
        <v>3077</v>
      </c>
      <c r="G1894" s="18" t="s">
        <v>12</v>
      </c>
      <c r="H1894" s="18" t="s">
        <v>6543</v>
      </c>
      <c r="I1894" s="18"/>
      <c r="J1894" s="18" t="s">
        <v>2143</v>
      </c>
      <c r="K1894" s="18"/>
      <c r="L1894" s="12" t="s">
        <v>3078</v>
      </c>
      <c r="M1894" s="18" t="s">
        <v>3080</v>
      </c>
      <c r="N1894" s="18"/>
      <c r="O1894" s="18" t="s">
        <v>3081</v>
      </c>
      <c r="P1894" s="18" t="str">
        <f>HYPERLINK("https://ceds.ed.gov/cedselementdetails.aspx?termid=9121")</f>
        <v>https://ceds.ed.gov/cedselementdetails.aspx?termid=9121</v>
      </c>
      <c r="Q1894" s="18" t="str">
        <f>HYPERLINK("https://ceds.ed.gov/elementComment.aspx?elementName=Generation Code or Suffix &amp;elementID=9121", "Click here to submit comment")</f>
        <v>Click here to submit comment</v>
      </c>
    </row>
    <row r="1895" spans="1:17" ht="90" x14ac:dyDescent="0.25">
      <c r="A1895" s="18"/>
      <c r="B1895" s="18"/>
      <c r="C1895" s="18"/>
      <c r="D1895" s="18"/>
      <c r="E1895" s="18"/>
      <c r="F1895" s="18"/>
      <c r="G1895" s="18"/>
      <c r="H1895" s="18"/>
      <c r="I1895" s="18"/>
      <c r="J1895" s="18"/>
      <c r="K1895" s="18"/>
      <c r="L1895" s="12" t="s">
        <v>3079</v>
      </c>
      <c r="M1895" s="18"/>
      <c r="N1895" s="18"/>
      <c r="O1895" s="18"/>
      <c r="P1895" s="18"/>
      <c r="Q1895" s="18"/>
    </row>
    <row r="1896" spans="1:17" ht="105" x14ac:dyDescent="0.25">
      <c r="A1896" s="12" t="s">
        <v>7242</v>
      </c>
      <c r="B1896" s="12" t="s">
        <v>7285</v>
      </c>
      <c r="C1896" s="12" t="s">
        <v>7212</v>
      </c>
      <c r="D1896" s="12" t="s">
        <v>7172</v>
      </c>
      <c r="E1896" s="12" t="s">
        <v>4835</v>
      </c>
      <c r="F1896" s="12" t="s">
        <v>4836</v>
      </c>
      <c r="G1896" s="12" t="s">
        <v>12</v>
      </c>
      <c r="H1896" s="12" t="s">
        <v>6627</v>
      </c>
      <c r="I1896" s="12"/>
      <c r="J1896" s="12" t="s">
        <v>92</v>
      </c>
      <c r="K1896" s="12"/>
      <c r="L1896" s="12"/>
      <c r="M1896" s="12" t="s">
        <v>4837</v>
      </c>
      <c r="N1896" s="12" t="s">
        <v>4838</v>
      </c>
      <c r="O1896" s="12" t="s">
        <v>4839</v>
      </c>
      <c r="P1896" s="12" t="str">
        <f>HYPERLINK("https://ceds.ed.gov/cedselementdetails.aspx?termid=9212")</f>
        <v>https://ceds.ed.gov/cedselementdetails.aspx?termid=9212</v>
      </c>
      <c r="Q1896" s="12" t="str">
        <f>HYPERLINK("https://ceds.ed.gov/elementComment.aspx?elementName=Personal Title or Prefix &amp;elementID=9212", "Click here to submit comment")</f>
        <v>Click here to submit comment</v>
      </c>
    </row>
    <row r="1897" spans="1:17" ht="90" x14ac:dyDescent="0.25">
      <c r="A1897" s="12" t="s">
        <v>7242</v>
      </c>
      <c r="B1897" s="12" t="s">
        <v>7285</v>
      </c>
      <c r="C1897" s="12" t="s">
        <v>7175</v>
      </c>
      <c r="D1897" s="12" t="s">
        <v>7176</v>
      </c>
      <c r="E1897" s="12" t="s">
        <v>197</v>
      </c>
      <c r="F1897" s="12" t="s">
        <v>198</v>
      </c>
      <c r="G1897" s="13" t="s">
        <v>6727</v>
      </c>
      <c r="H1897" s="12" t="s">
        <v>6369</v>
      </c>
      <c r="I1897" s="12"/>
      <c r="J1897" s="12" t="s">
        <v>92</v>
      </c>
      <c r="K1897" s="12"/>
      <c r="L1897" s="12"/>
      <c r="M1897" s="12" t="s">
        <v>199</v>
      </c>
      <c r="N1897" s="12"/>
      <c r="O1897" s="12" t="s">
        <v>200</v>
      </c>
      <c r="P1897" s="12" t="str">
        <f>HYPERLINK("https://ceds.ed.gov/cedselementdetails.aspx?termid=9644")</f>
        <v>https://ceds.ed.gov/cedselementdetails.aspx?termid=9644</v>
      </c>
      <c r="Q1897" s="12" t="str">
        <f>HYPERLINK("https://ceds.ed.gov/elementComment.aspx?elementName=Address Type for Organization &amp;elementID=9644", "Click here to submit comment")</f>
        <v>Click here to submit comment</v>
      </c>
    </row>
    <row r="1898" spans="1:17" ht="225" x14ac:dyDescent="0.25">
      <c r="A1898" s="12" t="s">
        <v>7242</v>
      </c>
      <c r="B1898" s="12" t="s">
        <v>7285</v>
      </c>
      <c r="C1898" s="12" t="s">
        <v>7175</v>
      </c>
      <c r="D1898" s="12" t="s">
        <v>7172</v>
      </c>
      <c r="E1898" s="12" t="s">
        <v>189</v>
      </c>
      <c r="F1898" s="12" t="s">
        <v>190</v>
      </c>
      <c r="G1898" s="12" t="s">
        <v>12</v>
      </c>
      <c r="H1898" s="12" t="s">
        <v>6377</v>
      </c>
      <c r="I1898" s="12"/>
      <c r="J1898" s="12" t="s">
        <v>142</v>
      </c>
      <c r="K1898" s="12"/>
      <c r="L1898" s="12"/>
      <c r="M1898" s="12" t="s">
        <v>191</v>
      </c>
      <c r="N1898" s="12"/>
      <c r="O1898" s="12" t="s">
        <v>192</v>
      </c>
      <c r="P1898" s="12" t="str">
        <f>HYPERLINK("https://ceds.ed.gov/cedselementdetails.aspx?termid=9269")</f>
        <v>https://ceds.ed.gov/cedselementdetails.aspx?termid=9269</v>
      </c>
      <c r="Q1898" s="12" t="str">
        <f>HYPERLINK("https://ceds.ed.gov/elementComment.aspx?elementName=Address Street Number and Name &amp;elementID=9269", "Click here to submit comment")</f>
        <v>Click here to submit comment</v>
      </c>
    </row>
    <row r="1899" spans="1:17" ht="225" x14ac:dyDescent="0.25">
      <c r="A1899" s="12" t="s">
        <v>7242</v>
      </c>
      <c r="B1899" s="12" t="s">
        <v>7285</v>
      </c>
      <c r="C1899" s="12" t="s">
        <v>7175</v>
      </c>
      <c r="D1899" s="12" t="s">
        <v>7172</v>
      </c>
      <c r="E1899" s="12" t="s">
        <v>172</v>
      </c>
      <c r="F1899" s="12" t="s">
        <v>173</v>
      </c>
      <c r="G1899" s="12" t="s">
        <v>12</v>
      </c>
      <c r="H1899" s="12" t="s">
        <v>6377</v>
      </c>
      <c r="I1899" s="12"/>
      <c r="J1899" s="12" t="s">
        <v>92</v>
      </c>
      <c r="K1899" s="12"/>
      <c r="L1899" s="12"/>
      <c r="M1899" s="12" t="s">
        <v>174</v>
      </c>
      <c r="N1899" s="12"/>
      <c r="O1899" s="12" t="s">
        <v>175</v>
      </c>
      <c r="P1899" s="12" t="str">
        <f>HYPERLINK("https://ceds.ed.gov/cedselementdetails.aspx?termid=9019")</f>
        <v>https://ceds.ed.gov/cedselementdetails.aspx?termid=9019</v>
      </c>
      <c r="Q1899" s="12" t="str">
        <f>HYPERLINK("https://ceds.ed.gov/elementComment.aspx?elementName=Address Apartment Room or Suite Number &amp;elementID=9019", "Click here to submit comment")</f>
        <v>Click here to submit comment</v>
      </c>
    </row>
    <row r="1900" spans="1:17" ht="225" x14ac:dyDescent="0.25">
      <c r="A1900" s="12" t="s">
        <v>7242</v>
      </c>
      <c r="B1900" s="12" t="s">
        <v>7285</v>
      </c>
      <c r="C1900" s="12" t="s">
        <v>7175</v>
      </c>
      <c r="D1900" s="12" t="s">
        <v>7172</v>
      </c>
      <c r="E1900" s="12" t="s">
        <v>176</v>
      </c>
      <c r="F1900" s="12" t="s">
        <v>177</v>
      </c>
      <c r="G1900" s="12" t="s">
        <v>12</v>
      </c>
      <c r="H1900" s="12" t="s">
        <v>6377</v>
      </c>
      <c r="I1900" s="12"/>
      <c r="J1900" s="12" t="s">
        <v>92</v>
      </c>
      <c r="K1900" s="12"/>
      <c r="L1900" s="12"/>
      <c r="M1900" s="12" t="s">
        <v>178</v>
      </c>
      <c r="N1900" s="12"/>
      <c r="O1900" s="12" t="s">
        <v>179</v>
      </c>
      <c r="P1900" s="12" t="str">
        <f>HYPERLINK("https://ceds.ed.gov/cedselementdetails.aspx?termid=9040")</f>
        <v>https://ceds.ed.gov/cedselementdetails.aspx?termid=9040</v>
      </c>
      <c r="Q1900" s="12" t="str">
        <f>HYPERLINK("https://ceds.ed.gov/elementComment.aspx?elementName=Address City &amp;elementID=9040", "Click here to submit comment")</f>
        <v>Click here to submit comment</v>
      </c>
    </row>
    <row r="1901" spans="1:17" ht="409.5" x14ac:dyDescent="0.25">
      <c r="A1901" s="12" t="s">
        <v>7242</v>
      </c>
      <c r="B1901" s="12" t="s">
        <v>7285</v>
      </c>
      <c r="C1901" s="12" t="s">
        <v>7175</v>
      </c>
      <c r="D1901" s="12" t="s">
        <v>7172</v>
      </c>
      <c r="E1901" s="12" t="s">
        <v>5898</v>
      </c>
      <c r="F1901" s="12" t="s">
        <v>5899</v>
      </c>
      <c r="G1901" s="13" t="s">
        <v>7120</v>
      </c>
      <c r="H1901" s="12" t="s">
        <v>6678</v>
      </c>
      <c r="I1901" s="12"/>
      <c r="J1901" s="12"/>
      <c r="K1901" s="12"/>
      <c r="L1901" s="12"/>
      <c r="M1901" s="12" t="s">
        <v>5900</v>
      </c>
      <c r="N1901" s="12"/>
      <c r="O1901" s="12" t="s">
        <v>5901</v>
      </c>
      <c r="P1901" s="12" t="str">
        <f>HYPERLINK("https://ceds.ed.gov/cedselementdetails.aspx?termid=9267")</f>
        <v>https://ceds.ed.gov/cedselementdetails.aspx?termid=9267</v>
      </c>
      <c r="Q1901" s="12" t="str">
        <f>HYPERLINK("https://ceds.ed.gov/elementComment.aspx?elementName=State Abbreviation &amp;elementID=9267", "Click here to submit comment")</f>
        <v>Click here to submit comment</v>
      </c>
    </row>
    <row r="1902" spans="1:17" ht="225" x14ac:dyDescent="0.25">
      <c r="A1902" s="12" t="s">
        <v>7242</v>
      </c>
      <c r="B1902" s="12" t="s">
        <v>7285</v>
      </c>
      <c r="C1902" s="12" t="s">
        <v>7175</v>
      </c>
      <c r="D1902" s="12" t="s">
        <v>7172</v>
      </c>
      <c r="E1902" s="12" t="s">
        <v>184</v>
      </c>
      <c r="F1902" s="12" t="s">
        <v>185</v>
      </c>
      <c r="G1902" s="12" t="s">
        <v>12</v>
      </c>
      <c r="H1902" s="12" t="s">
        <v>6377</v>
      </c>
      <c r="I1902" s="12"/>
      <c r="J1902" s="12" t="s">
        <v>186</v>
      </c>
      <c r="K1902" s="12"/>
      <c r="L1902" s="12"/>
      <c r="M1902" s="12" t="s">
        <v>187</v>
      </c>
      <c r="N1902" s="12"/>
      <c r="O1902" s="12" t="s">
        <v>188</v>
      </c>
      <c r="P1902" s="12" t="str">
        <f>HYPERLINK("https://ceds.ed.gov/cedselementdetails.aspx?termid=9214")</f>
        <v>https://ceds.ed.gov/cedselementdetails.aspx?termid=9214</v>
      </c>
      <c r="Q1902" s="12" t="str">
        <f>HYPERLINK("https://ceds.ed.gov/elementComment.aspx?elementName=Address Postal Code &amp;elementID=9214", "Click here to submit comment")</f>
        <v>Click here to submit comment</v>
      </c>
    </row>
    <row r="1903" spans="1:17" ht="225" x14ac:dyDescent="0.25">
      <c r="A1903" s="12" t="s">
        <v>7242</v>
      </c>
      <c r="B1903" s="12" t="s">
        <v>7285</v>
      </c>
      <c r="C1903" s="12" t="s">
        <v>7175</v>
      </c>
      <c r="D1903" s="12" t="s">
        <v>7172</v>
      </c>
      <c r="E1903" s="12" t="s">
        <v>180</v>
      </c>
      <c r="F1903" s="12" t="s">
        <v>181</v>
      </c>
      <c r="G1903" s="12" t="s">
        <v>12</v>
      </c>
      <c r="H1903" s="12" t="s">
        <v>6377</v>
      </c>
      <c r="I1903" s="12"/>
      <c r="J1903" s="12" t="s">
        <v>92</v>
      </c>
      <c r="K1903" s="12"/>
      <c r="L1903" s="12"/>
      <c r="M1903" s="12" t="s">
        <v>182</v>
      </c>
      <c r="N1903" s="12"/>
      <c r="O1903" s="12" t="s">
        <v>183</v>
      </c>
      <c r="P1903" s="12" t="str">
        <f>HYPERLINK("https://ceds.ed.gov/cedselementdetails.aspx?termid=9190")</f>
        <v>https://ceds.ed.gov/cedselementdetails.aspx?termid=9190</v>
      </c>
      <c r="Q1903" s="12" t="str">
        <f>HYPERLINK("https://ceds.ed.gov/elementComment.aspx?elementName=Address County Name &amp;elementID=9190", "Click here to submit comment")</f>
        <v>Click here to submit comment</v>
      </c>
    </row>
    <row r="1904" spans="1:17" ht="409.5" x14ac:dyDescent="0.25">
      <c r="A1904" s="12" t="s">
        <v>7242</v>
      </c>
      <c r="B1904" s="12" t="s">
        <v>7285</v>
      </c>
      <c r="C1904" s="12" t="s">
        <v>7175</v>
      </c>
      <c r="D1904" s="12" t="s">
        <v>7172</v>
      </c>
      <c r="E1904" s="12" t="s">
        <v>1934</v>
      </c>
      <c r="F1904" s="12" t="s">
        <v>1935</v>
      </c>
      <c r="G1904" s="13" t="s">
        <v>6829</v>
      </c>
      <c r="H1904" s="12" t="s">
        <v>6467</v>
      </c>
      <c r="I1904" s="12" t="s">
        <v>98</v>
      </c>
      <c r="J1904" s="12"/>
      <c r="K1904" s="12"/>
      <c r="L1904" s="14" t="s">
        <v>1936</v>
      </c>
      <c r="M1904" s="12" t="s">
        <v>1937</v>
      </c>
      <c r="N1904" s="12"/>
      <c r="O1904" s="12" t="s">
        <v>1938</v>
      </c>
      <c r="P1904" s="12" t="str">
        <f>HYPERLINK("https://ceds.ed.gov/cedselementdetails.aspx?termid=9050")</f>
        <v>https://ceds.ed.gov/cedselementdetails.aspx?termid=9050</v>
      </c>
      <c r="Q1904" s="12" t="str">
        <f>HYPERLINK("https://ceds.ed.gov/elementComment.aspx?elementName=Country Code &amp;elementID=9050", "Click here to submit comment")</f>
        <v>Click here to submit comment</v>
      </c>
    </row>
    <row r="1905" spans="1:17" ht="180" x14ac:dyDescent="0.25">
      <c r="A1905" s="12" t="s">
        <v>7242</v>
      </c>
      <c r="B1905" s="12" t="s">
        <v>7285</v>
      </c>
      <c r="C1905" s="12" t="s">
        <v>7175</v>
      </c>
      <c r="D1905" s="12" t="s">
        <v>7176</v>
      </c>
      <c r="E1905" s="12" t="s">
        <v>1943</v>
      </c>
      <c r="F1905" s="12" t="s">
        <v>1944</v>
      </c>
      <c r="G1905" s="12" t="s">
        <v>12</v>
      </c>
      <c r="H1905" s="12"/>
      <c r="I1905" s="12"/>
      <c r="J1905" s="12" t="s">
        <v>1945</v>
      </c>
      <c r="K1905" s="12"/>
      <c r="L1905" s="12"/>
      <c r="M1905" s="12" t="s">
        <v>1946</v>
      </c>
      <c r="N1905" s="12"/>
      <c r="O1905" s="12" t="s">
        <v>1947</v>
      </c>
      <c r="P1905" s="12" t="str">
        <f>HYPERLINK("https://ceds.ed.gov/cedselementdetails.aspx?termid=10176")</f>
        <v>https://ceds.ed.gov/cedselementdetails.aspx?termid=10176</v>
      </c>
      <c r="Q1905" s="12" t="str">
        <f>HYPERLINK("https://ceds.ed.gov/elementComment.aspx?elementName=County ANSI Code &amp;elementID=10176", "Click here to submit comment")</f>
        <v>Click here to submit comment</v>
      </c>
    </row>
    <row r="1906" spans="1:17" ht="75" x14ac:dyDescent="0.25">
      <c r="A1906" s="12" t="s">
        <v>7242</v>
      </c>
      <c r="B1906" s="12" t="s">
        <v>7285</v>
      </c>
      <c r="C1906" s="12" t="s">
        <v>7175</v>
      </c>
      <c r="D1906" s="12" t="s">
        <v>7176</v>
      </c>
      <c r="E1906" s="12" t="s">
        <v>3693</v>
      </c>
      <c r="F1906" s="12" t="s">
        <v>3694</v>
      </c>
      <c r="G1906" s="12" t="s">
        <v>12</v>
      </c>
      <c r="H1906" s="12"/>
      <c r="I1906" s="12"/>
      <c r="J1906" s="12" t="s">
        <v>1201</v>
      </c>
      <c r="K1906" s="12"/>
      <c r="L1906" s="12"/>
      <c r="M1906" s="12" t="s">
        <v>3695</v>
      </c>
      <c r="N1906" s="12"/>
      <c r="O1906" s="12" t="s">
        <v>3693</v>
      </c>
      <c r="P1906" s="12" t="str">
        <f>HYPERLINK("https://ceds.ed.gov/cedselementdetails.aspx?termid=9599")</f>
        <v>https://ceds.ed.gov/cedselementdetails.aspx?termid=9599</v>
      </c>
      <c r="Q1906" s="12" t="str">
        <f>HYPERLINK("https://ceds.ed.gov/elementComment.aspx?elementName=Latitude &amp;elementID=9599", "Click here to submit comment")</f>
        <v>Click here to submit comment</v>
      </c>
    </row>
    <row r="1907" spans="1:17" ht="75" x14ac:dyDescent="0.25">
      <c r="A1907" s="12" t="s">
        <v>7242</v>
      </c>
      <c r="B1907" s="12" t="s">
        <v>7285</v>
      </c>
      <c r="C1907" s="12" t="s">
        <v>7175</v>
      </c>
      <c r="D1907" s="12" t="s">
        <v>7176</v>
      </c>
      <c r="E1907" s="12" t="s">
        <v>4361</v>
      </c>
      <c r="F1907" s="12" t="s">
        <v>4362</v>
      </c>
      <c r="G1907" s="12" t="s">
        <v>12</v>
      </c>
      <c r="H1907" s="12"/>
      <c r="I1907" s="12"/>
      <c r="J1907" s="12" t="s">
        <v>1201</v>
      </c>
      <c r="K1907" s="12"/>
      <c r="L1907" s="12"/>
      <c r="M1907" s="12" t="s">
        <v>4363</v>
      </c>
      <c r="N1907" s="12"/>
      <c r="O1907" s="12" t="s">
        <v>4361</v>
      </c>
      <c r="P1907" s="12" t="str">
        <f>HYPERLINK("https://ceds.ed.gov/cedselementdetails.aspx?termid=9600")</f>
        <v>https://ceds.ed.gov/cedselementdetails.aspx?termid=9600</v>
      </c>
      <c r="Q1907" s="12" t="str">
        <f>HYPERLINK("https://ceds.ed.gov/elementComment.aspx?elementName=Longitude &amp;elementID=9600", "Click here to submit comment")</f>
        <v>Click here to submit comment</v>
      </c>
    </row>
    <row r="1908" spans="1:17" ht="90" x14ac:dyDescent="0.25">
      <c r="A1908" s="12" t="s">
        <v>7242</v>
      </c>
      <c r="B1908" s="12" t="s">
        <v>7285</v>
      </c>
      <c r="C1908" s="12" t="s">
        <v>7204</v>
      </c>
      <c r="D1908" s="12" t="s">
        <v>7172</v>
      </c>
      <c r="E1908" s="12" t="s">
        <v>2647</v>
      </c>
      <c r="F1908" s="12" t="s">
        <v>2648</v>
      </c>
      <c r="G1908" s="12" t="s">
        <v>12</v>
      </c>
      <c r="H1908" s="12" t="s">
        <v>6369</v>
      </c>
      <c r="I1908" s="12"/>
      <c r="J1908" s="12" t="s">
        <v>2649</v>
      </c>
      <c r="K1908" s="12"/>
      <c r="L1908" s="12"/>
      <c r="M1908" s="12" t="s">
        <v>2650</v>
      </c>
      <c r="N1908" s="12" t="s">
        <v>2651</v>
      </c>
      <c r="O1908" s="12" t="s">
        <v>2652</v>
      </c>
      <c r="P1908" s="12" t="str">
        <f>HYPERLINK("https://ceds.ed.gov/cedselementdetails.aspx?termid=9088")</f>
        <v>https://ceds.ed.gov/cedselementdetails.aspx?termid=9088</v>
      </c>
      <c r="Q1908" s="12" t="str">
        <f>HYPERLINK("https://ceds.ed.gov/elementComment.aspx?elementName=Electronic Mail Address &amp;elementID=9088", "Click here to submit comment")</f>
        <v>Click here to submit comment</v>
      </c>
    </row>
    <row r="1909" spans="1:17" ht="90" x14ac:dyDescent="0.25">
      <c r="A1909" s="12" t="s">
        <v>7242</v>
      </c>
      <c r="B1909" s="12" t="s">
        <v>7285</v>
      </c>
      <c r="C1909" s="12" t="s">
        <v>7204</v>
      </c>
      <c r="D1909" s="12" t="s">
        <v>7172</v>
      </c>
      <c r="E1909" s="12" t="s">
        <v>2653</v>
      </c>
      <c r="F1909" s="12" t="s">
        <v>2654</v>
      </c>
      <c r="G1909" s="13" t="s">
        <v>6898</v>
      </c>
      <c r="H1909" s="12" t="s">
        <v>6369</v>
      </c>
      <c r="I1909" s="12"/>
      <c r="J1909" s="12"/>
      <c r="K1909" s="12"/>
      <c r="L1909" s="12"/>
      <c r="M1909" s="12" t="s">
        <v>2655</v>
      </c>
      <c r="N1909" s="12" t="s">
        <v>2656</v>
      </c>
      <c r="O1909" s="12" t="s">
        <v>2657</v>
      </c>
      <c r="P1909" s="12" t="str">
        <f>HYPERLINK("https://ceds.ed.gov/cedselementdetails.aspx?termid=9089")</f>
        <v>https://ceds.ed.gov/cedselementdetails.aspx?termid=9089</v>
      </c>
      <c r="Q1909" s="12" t="str">
        <f>HYPERLINK("https://ceds.ed.gov/elementComment.aspx?elementName=Electronic Mail Address Type &amp;elementID=9089", "Click here to submit comment")</f>
        <v>Click here to submit comment</v>
      </c>
    </row>
    <row r="1910" spans="1:17" ht="90" x14ac:dyDescent="0.25">
      <c r="A1910" s="12" t="s">
        <v>7242</v>
      </c>
      <c r="B1910" s="12" t="s">
        <v>7285</v>
      </c>
      <c r="C1910" s="12" t="s">
        <v>7177</v>
      </c>
      <c r="D1910" s="12" t="s">
        <v>7172</v>
      </c>
      <c r="E1910" s="12" t="s">
        <v>6102</v>
      </c>
      <c r="F1910" s="12" t="s">
        <v>6103</v>
      </c>
      <c r="G1910" s="12" t="s">
        <v>12</v>
      </c>
      <c r="H1910" s="12" t="s">
        <v>6369</v>
      </c>
      <c r="I1910" s="12"/>
      <c r="J1910" s="12" t="s">
        <v>6104</v>
      </c>
      <c r="K1910" s="12"/>
      <c r="L1910" s="12"/>
      <c r="M1910" s="12" t="s">
        <v>6105</v>
      </c>
      <c r="N1910" s="12"/>
      <c r="O1910" s="12" t="s">
        <v>6106</v>
      </c>
      <c r="P1910" s="12" t="str">
        <f>HYPERLINK("https://ceds.ed.gov/cedselementdetails.aspx?termid=9279")</f>
        <v>https://ceds.ed.gov/cedselementdetails.aspx?termid=9279</v>
      </c>
      <c r="Q1910" s="12" t="str">
        <f>HYPERLINK("https://ceds.ed.gov/elementComment.aspx?elementName=Telephone Number &amp;elementID=9279", "Click here to submit comment")</f>
        <v>Click here to submit comment</v>
      </c>
    </row>
    <row r="1911" spans="1:17" ht="90" x14ac:dyDescent="0.25">
      <c r="A1911" s="12" t="s">
        <v>7242</v>
      </c>
      <c r="B1911" s="12" t="s">
        <v>7285</v>
      </c>
      <c r="C1911" s="12" t="s">
        <v>7177</v>
      </c>
      <c r="D1911" s="12" t="s">
        <v>7172</v>
      </c>
      <c r="E1911" s="12" t="s">
        <v>6107</v>
      </c>
      <c r="F1911" s="12" t="s">
        <v>6108</v>
      </c>
      <c r="G1911" s="13" t="s">
        <v>7135</v>
      </c>
      <c r="H1911" s="12" t="s">
        <v>6369</v>
      </c>
      <c r="I1911" s="12"/>
      <c r="J1911" s="12" t="s">
        <v>1950</v>
      </c>
      <c r="K1911" s="12"/>
      <c r="L1911" s="12"/>
      <c r="M1911" s="12" t="s">
        <v>6109</v>
      </c>
      <c r="N1911" s="12"/>
      <c r="O1911" s="12" t="s">
        <v>6110</v>
      </c>
      <c r="P1911" s="12" t="str">
        <f>HYPERLINK("https://ceds.ed.gov/cedselementdetails.aspx?termid=9280")</f>
        <v>https://ceds.ed.gov/cedselementdetails.aspx?termid=9280</v>
      </c>
      <c r="Q1911" s="12" t="str">
        <f>HYPERLINK("https://ceds.ed.gov/elementComment.aspx?elementName=Telephone Number Type &amp;elementID=9280", "Click here to submit comment")</f>
        <v>Click here to submit comment</v>
      </c>
    </row>
    <row r="1912" spans="1:17" ht="90" x14ac:dyDescent="0.25">
      <c r="A1912" s="12" t="s">
        <v>7242</v>
      </c>
      <c r="B1912" s="12" t="s">
        <v>7285</v>
      </c>
      <c r="C1912" s="12" t="s">
        <v>7177</v>
      </c>
      <c r="D1912" s="12" t="s">
        <v>7172</v>
      </c>
      <c r="E1912" s="12" t="s">
        <v>4934</v>
      </c>
      <c r="F1912" s="12" t="s">
        <v>4935</v>
      </c>
      <c r="G1912" s="12" t="s">
        <v>6364</v>
      </c>
      <c r="H1912" s="12" t="s">
        <v>6369</v>
      </c>
      <c r="I1912" s="12"/>
      <c r="J1912" s="12"/>
      <c r="K1912" s="12"/>
      <c r="L1912" s="12"/>
      <c r="M1912" s="12" t="s">
        <v>4936</v>
      </c>
      <c r="N1912" s="12"/>
      <c r="O1912" s="12" t="s">
        <v>4937</v>
      </c>
      <c r="P1912" s="12" t="str">
        <f>HYPERLINK("https://ceds.ed.gov/cedselementdetails.aspx?termid=9219")</f>
        <v>https://ceds.ed.gov/cedselementdetails.aspx?termid=9219</v>
      </c>
      <c r="Q1912" s="12" t="str">
        <f>HYPERLINK("https://ceds.ed.gov/elementComment.aspx?elementName=Primary Telephone Number Indicator &amp;elementID=9219", "Click here to submit comment")</f>
        <v>Click here to submit comment</v>
      </c>
    </row>
    <row r="1913" spans="1:17" ht="30" x14ac:dyDescent="0.25">
      <c r="A1913" s="12" t="s">
        <v>7242</v>
      </c>
      <c r="B1913" s="12" t="s">
        <v>7285</v>
      </c>
      <c r="C1913" s="12" t="s">
        <v>7213</v>
      </c>
      <c r="D1913" s="12" t="s">
        <v>7172</v>
      </c>
      <c r="E1913" s="12" t="s">
        <v>4705</v>
      </c>
      <c r="F1913" s="12" t="s">
        <v>4706</v>
      </c>
      <c r="G1913" s="12" t="s">
        <v>12</v>
      </c>
      <c r="H1913" s="12"/>
      <c r="I1913" s="12"/>
      <c r="J1913" s="12" t="s">
        <v>1349</v>
      </c>
      <c r="K1913" s="12"/>
      <c r="L1913" s="12" t="s">
        <v>4707</v>
      </c>
      <c r="M1913" s="12" t="s">
        <v>4708</v>
      </c>
      <c r="N1913" s="12"/>
      <c r="O1913" s="12" t="s">
        <v>4709</v>
      </c>
      <c r="P1913" s="12" t="str">
        <f>HYPERLINK("https://ceds.ed.gov/cedselementdetails.aspx?termid=10486")</f>
        <v>https://ceds.ed.gov/cedselementdetails.aspx?termid=10486</v>
      </c>
      <c r="Q1913" s="12" t="str">
        <f>HYPERLINK("https://ceds.ed.gov/elementComment.aspx?elementName=Other First Name &amp;elementID=10486", "Click here to submit comment")</f>
        <v>Click here to submit comment</v>
      </c>
    </row>
    <row r="1914" spans="1:17" ht="30" x14ac:dyDescent="0.25">
      <c r="A1914" s="12" t="s">
        <v>7242</v>
      </c>
      <c r="B1914" s="12" t="s">
        <v>7285</v>
      </c>
      <c r="C1914" s="12" t="s">
        <v>7213</v>
      </c>
      <c r="D1914" s="12" t="s">
        <v>7172</v>
      </c>
      <c r="E1914" s="12" t="s">
        <v>4710</v>
      </c>
      <c r="F1914" s="12" t="s">
        <v>4711</v>
      </c>
      <c r="G1914" s="12" t="s">
        <v>12</v>
      </c>
      <c r="H1914" s="12"/>
      <c r="I1914" s="12"/>
      <c r="J1914" s="12" t="s">
        <v>1349</v>
      </c>
      <c r="K1914" s="12"/>
      <c r="L1914" s="12" t="s">
        <v>4712</v>
      </c>
      <c r="M1914" s="12" t="s">
        <v>4713</v>
      </c>
      <c r="N1914" s="12"/>
      <c r="O1914" s="12" t="s">
        <v>4714</v>
      </c>
      <c r="P1914" s="12" t="str">
        <f>HYPERLINK("https://ceds.ed.gov/cedselementdetails.aspx?termid=10485")</f>
        <v>https://ceds.ed.gov/cedselementdetails.aspx?termid=10485</v>
      </c>
      <c r="Q1914" s="12" t="str">
        <f>HYPERLINK("https://ceds.ed.gov/elementComment.aspx?elementName=Other Last Name &amp;elementID=10485", "Click here to submit comment")</f>
        <v>Click here to submit comment</v>
      </c>
    </row>
    <row r="1915" spans="1:17" ht="30" x14ac:dyDescent="0.25">
      <c r="A1915" s="12" t="s">
        <v>7242</v>
      </c>
      <c r="B1915" s="12" t="s">
        <v>7285</v>
      </c>
      <c r="C1915" s="12" t="s">
        <v>7213</v>
      </c>
      <c r="D1915" s="12" t="s">
        <v>7172</v>
      </c>
      <c r="E1915" s="12" t="s">
        <v>4715</v>
      </c>
      <c r="F1915" s="12" t="s">
        <v>4716</v>
      </c>
      <c r="G1915" s="12" t="s">
        <v>12</v>
      </c>
      <c r="H1915" s="12"/>
      <c r="I1915" s="12"/>
      <c r="J1915" s="12" t="s">
        <v>1349</v>
      </c>
      <c r="K1915" s="12"/>
      <c r="L1915" s="12" t="s">
        <v>4717</v>
      </c>
      <c r="M1915" s="12" t="s">
        <v>4718</v>
      </c>
      <c r="N1915" s="12"/>
      <c r="O1915" s="12" t="s">
        <v>4719</v>
      </c>
      <c r="P1915" s="12" t="str">
        <f>HYPERLINK("https://ceds.ed.gov/cedselementdetails.aspx?termid=10487")</f>
        <v>https://ceds.ed.gov/cedselementdetails.aspx?termid=10487</v>
      </c>
      <c r="Q1915" s="12" t="str">
        <f>HYPERLINK("https://ceds.ed.gov/elementComment.aspx?elementName=Other Middle Name &amp;elementID=10487", "Click here to submit comment")</f>
        <v>Click here to submit comment</v>
      </c>
    </row>
    <row r="1916" spans="1:17" ht="150" x14ac:dyDescent="0.25">
      <c r="A1916" s="12" t="s">
        <v>7242</v>
      </c>
      <c r="B1916" s="12" t="s">
        <v>7285</v>
      </c>
      <c r="C1916" s="12" t="s">
        <v>7213</v>
      </c>
      <c r="D1916" s="12" t="s">
        <v>7172</v>
      </c>
      <c r="E1916" s="12" t="s">
        <v>4720</v>
      </c>
      <c r="F1916" s="12" t="s">
        <v>4721</v>
      </c>
      <c r="G1916" s="12" t="s">
        <v>12</v>
      </c>
      <c r="H1916" s="12" t="s">
        <v>6543</v>
      </c>
      <c r="I1916" s="12"/>
      <c r="J1916" s="12" t="s">
        <v>142</v>
      </c>
      <c r="K1916" s="12"/>
      <c r="L1916" s="12"/>
      <c r="M1916" s="12" t="s">
        <v>4722</v>
      </c>
      <c r="N1916" s="12"/>
      <c r="O1916" s="12" t="s">
        <v>4723</v>
      </c>
      <c r="P1916" s="12" t="str">
        <f>HYPERLINK("https://ceds.ed.gov/cedselementdetails.aspx?termid=9206")</f>
        <v>https://ceds.ed.gov/cedselementdetails.aspx?termid=9206</v>
      </c>
      <c r="Q1916" s="12" t="str">
        <f>HYPERLINK("https://ceds.ed.gov/elementComment.aspx?elementName=Other Name &amp;elementID=9206", "Click here to submit comment")</f>
        <v>Click here to submit comment</v>
      </c>
    </row>
    <row r="1917" spans="1:17" ht="165" x14ac:dyDescent="0.25">
      <c r="A1917" s="12" t="s">
        <v>7242</v>
      </c>
      <c r="B1917" s="12" t="s">
        <v>7285</v>
      </c>
      <c r="C1917" s="12" t="s">
        <v>7213</v>
      </c>
      <c r="D1917" s="12" t="s">
        <v>7172</v>
      </c>
      <c r="E1917" s="12" t="s">
        <v>4724</v>
      </c>
      <c r="F1917" s="12" t="s">
        <v>4725</v>
      </c>
      <c r="G1917" s="13" t="s">
        <v>7046</v>
      </c>
      <c r="H1917" s="12" t="s">
        <v>6619</v>
      </c>
      <c r="I1917" s="12"/>
      <c r="J1917" s="12" t="s">
        <v>92</v>
      </c>
      <c r="K1917" s="12"/>
      <c r="L1917" s="12"/>
      <c r="M1917" s="12" t="s">
        <v>4726</v>
      </c>
      <c r="N1917" s="12"/>
      <c r="O1917" s="12" t="s">
        <v>4727</v>
      </c>
      <c r="P1917" s="12" t="str">
        <f>HYPERLINK("https://ceds.ed.gov/cedselementdetails.aspx?termid=9627")</f>
        <v>https://ceds.ed.gov/cedselementdetails.aspx?termid=9627</v>
      </c>
      <c r="Q1917" s="12" t="str">
        <f>HYPERLINK("https://ceds.ed.gov/elementComment.aspx?elementName=Other Name Type &amp;elementID=9627", "Click here to submit comment")</f>
        <v>Click here to submit comment</v>
      </c>
    </row>
    <row r="1918" spans="1:17" ht="105" x14ac:dyDescent="0.25">
      <c r="A1918" s="18" t="s">
        <v>7242</v>
      </c>
      <c r="B1918" s="18" t="s">
        <v>7200</v>
      </c>
      <c r="C1918" s="18"/>
      <c r="D1918" s="18" t="s">
        <v>7172</v>
      </c>
      <c r="E1918" s="18" t="s">
        <v>5141</v>
      </c>
      <c r="F1918" s="18" t="s">
        <v>5142</v>
      </c>
      <c r="G1918" s="18" t="s">
        <v>12</v>
      </c>
      <c r="H1918" s="18" t="s">
        <v>2017</v>
      </c>
      <c r="I1918" s="18"/>
      <c r="J1918" s="18" t="s">
        <v>142</v>
      </c>
      <c r="K1918" s="18"/>
      <c r="L1918" s="12" t="s">
        <v>143</v>
      </c>
      <c r="M1918" s="18" t="s">
        <v>5143</v>
      </c>
      <c r="N1918" s="18"/>
      <c r="O1918" s="18" t="s">
        <v>5144</v>
      </c>
      <c r="P1918" s="18" t="str">
        <f>HYPERLINK("https://ceds.ed.gov/cedselementdetails.aspx?termid=9618")</f>
        <v>https://ceds.ed.gov/cedselementdetails.aspx?termid=9618</v>
      </c>
      <c r="Q1918" s="18" t="str">
        <f>HYPERLINK("https://ceds.ed.gov/elementComment.aspx?elementName=Program Identifier &amp;elementID=9618", "Click here to submit comment")</f>
        <v>Click here to submit comment</v>
      </c>
    </row>
    <row r="1919" spans="1:17" x14ac:dyDescent="0.25">
      <c r="A1919" s="18"/>
      <c r="B1919" s="18"/>
      <c r="C1919" s="18"/>
      <c r="D1919" s="18"/>
      <c r="E1919" s="18"/>
      <c r="F1919" s="18"/>
      <c r="G1919" s="18"/>
      <c r="H1919" s="18"/>
      <c r="I1919" s="18"/>
      <c r="J1919" s="18"/>
      <c r="K1919" s="18"/>
      <c r="L1919" s="12"/>
      <c r="M1919" s="18"/>
      <c r="N1919" s="18"/>
      <c r="O1919" s="18"/>
      <c r="P1919" s="18"/>
      <c r="Q1919" s="18"/>
    </row>
    <row r="1920" spans="1:17" ht="90" x14ac:dyDescent="0.25">
      <c r="A1920" s="18"/>
      <c r="B1920" s="18"/>
      <c r="C1920" s="18"/>
      <c r="D1920" s="18"/>
      <c r="E1920" s="18"/>
      <c r="F1920" s="18"/>
      <c r="G1920" s="18"/>
      <c r="H1920" s="18"/>
      <c r="I1920" s="18"/>
      <c r="J1920" s="18"/>
      <c r="K1920" s="18"/>
      <c r="L1920" s="12" t="s">
        <v>144</v>
      </c>
      <c r="M1920" s="18"/>
      <c r="N1920" s="18"/>
      <c r="O1920" s="18"/>
      <c r="P1920" s="18"/>
      <c r="Q1920" s="18"/>
    </row>
    <row r="1921" spans="1:17" ht="60" x14ac:dyDescent="0.25">
      <c r="A1921" s="12" t="s">
        <v>7242</v>
      </c>
      <c r="B1921" s="12" t="s">
        <v>7200</v>
      </c>
      <c r="C1921" s="12"/>
      <c r="D1921" s="12" t="s">
        <v>7172</v>
      </c>
      <c r="E1921" s="12" t="s">
        <v>5157</v>
      </c>
      <c r="F1921" s="12" t="s">
        <v>5158</v>
      </c>
      <c r="G1921" s="12" t="s">
        <v>12</v>
      </c>
      <c r="H1921" s="12" t="s">
        <v>2017</v>
      </c>
      <c r="I1921" s="12"/>
      <c r="J1921" s="12" t="s">
        <v>99</v>
      </c>
      <c r="K1921" s="12"/>
      <c r="L1921" s="12"/>
      <c r="M1921" s="12" t="s">
        <v>5159</v>
      </c>
      <c r="N1921" s="12"/>
      <c r="O1921" s="12" t="s">
        <v>5160</v>
      </c>
      <c r="P1921" s="12" t="str">
        <f>HYPERLINK("https://ceds.ed.gov/cedselementdetails.aspx?termid=9619")</f>
        <v>https://ceds.ed.gov/cedselementdetails.aspx?termid=9619</v>
      </c>
      <c r="Q1921" s="12" t="str">
        <f>HYPERLINK("https://ceds.ed.gov/elementComment.aspx?elementName=Program Name &amp;elementID=9619", "Click here to submit comment")</f>
        <v>Click here to submit comment</v>
      </c>
    </row>
    <row r="1922" spans="1:17" ht="90" x14ac:dyDescent="0.25">
      <c r="A1922" s="12" t="s">
        <v>7242</v>
      </c>
      <c r="B1922" s="12" t="s">
        <v>7200</v>
      </c>
      <c r="C1922" s="12"/>
      <c r="D1922" s="12" t="s">
        <v>7172</v>
      </c>
      <c r="E1922" s="12" t="s">
        <v>2186</v>
      </c>
      <c r="F1922" s="12" t="s">
        <v>2187</v>
      </c>
      <c r="G1922" s="12" t="s">
        <v>12</v>
      </c>
      <c r="H1922" s="12"/>
      <c r="I1922" s="12"/>
      <c r="J1922" s="12" t="s">
        <v>1554</v>
      </c>
      <c r="K1922" s="12"/>
      <c r="L1922" s="12" t="s">
        <v>2188</v>
      </c>
      <c r="M1922" s="12" t="s">
        <v>2189</v>
      </c>
      <c r="N1922" s="12"/>
      <c r="O1922" s="12" t="s">
        <v>2190</v>
      </c>
      <c r="P1922" s="12" t="str">
        <f>HYPERLINK("https://ceds.ed.gov/cedselementdetails.aspx?termid=10553")</f>
        <v>https://ceds.ed.gov/cedselementdetails.aspx?termid=10553</v>
      </c>
      <c r="Q1922" s="12" t="str">
        <f>HYPERLINK("https://ceds.ed.gov/elementComment.aspx?elementName=Credits Required &amp;elementID=10553", "Click here to submit comment")</f>
        <v>Click here to submit comment</v>
      </c>
    </row>
    <row r="1923" spans="1:17" ht="240" x14ac:dyDescent="0.25">
      <c r="A1923" s="12" t="s">
        <v>7242</v>
      </c>
      <c r="B1923" s="12" t="s">
        <v>7200</v>
      </c>
      <c r="C1923" s="12"/>
      <c r="D1923" s="12" t="s">
        <v>7172</v>
      </c>
      <c r="E1923" s="12" t="s">
        <v>4668</v>
      </c>
      <c r="F1923" s="12" t="s">
        <v>4669</v>
      </c>
      <c r="G1923" s="13" t="s">
        <v>6739</v>
      </c>
      <c r="H1923" s="12" t="s">
        <v>64</v>
      </c>
      <c r="I1923" s="12"/>
      <c r="J1923" s="12"/>
      <c r="K1923" s="12"/>
      <c r="L1923" s="12"/>
      <c r="M1923" s="12" t="s">
        <v>4670</v>
      </c>
      <c r="N1923" s="12"/>
      <c r="O1923" s="12" t="s">
        <v>4671</v>
      </c>
      <c r="P1923" s="12" t="str">
        <f>HYPERLINK("https://ceds.ed.gov/cedselementdetails.aspx?termid=9827")</f>
        <v>https://ceds.ed.gov/cedselementdetails.aspx?termid=9827</v>
      </c>
      <c r="Q1923" s="12" t="str">
        <f>HYPERLINK("https://ceds.ed.gov/elementComment.aspx?elementName=Organization Identification System &amp;elementID=9827", "Click here to submit comment")</f>
        <v>Click here to submit comment</v>
      </c>
    </row>
    <row r="1924" spans="1:17" ht="105" x14ac:dyDescent="0.25">
      <c r="A1924" s="18" t="s">
        <v>7242</v>
      </c>
      <c r="B1924" s="18" t="s">
        <v>7200</v>
      </c>
      <c r="C1924" s="18"/>
      <c r="D1924" s="18" t="s">
        <v>7172</v>
      </c>
      <c r="E1924" s="18" t="s">
        <v>4672</v>
      </c>
      <c r="F1924" s="18" t="s">
        <v>4673</v>
      </c>
      <c r="G1924" s="18" t="s">
        <v>12</v>
      </c>
      <c r="H1924" s="18" t="s">
        <v>64</v>
      </c>
      <c r="I1924" s="18"/>
      <c r="J1924" s="18" t="s">
        <v>142</v>
      </c>
      <c r="K1924" s="18"/>
      <c r="L1924" s="12" t="s">
        <v>143</v>
      </c>
      <c r="M1924" s="18" t="s">
        <v>4674</v>
      </c>
      <c r="N1924" s="18"/>
      <c r="O1924" s="18" t="s">
        <v>4675</v>
      </c>
      <c r="P1924" s="18" t="str">
        <f>HYPERLINK("https://ceds.ed.gov/cedselementdetails.aspx?termid=9825")</f>
        <v>https://ceds.ed.gov/cedselementdetails.aspx?termid=9825</v>
      </c>
      <c r="Q1924" s="18" t="str">
        <f>HYPERLINK("https://ceds.ed.gov/elementComment.aspx?elementName=Organization Identifier &amp;elementID=9825", "Click here to submit comment")</f>
        <v>Click here to submit comment</v>
      </c>
    </row>
    <row r="1925" spans="1:17" x14ac:dyDescent="0.25">
      <c r="A1925" s="18"/>
      <c r="B1925" s="18"/>
      <c r="C1925" s="18"/>
      <c r="D1925" s="18"/>
      <c r="E1925" s="18"/>
      <c r="F1925" s="18"/>
      <c r="G1925" s="18"/>
      <c r="H1925" s="18"/>
      <c r="I1925" s="18"/>
      <c r="J1925" s="18"/>
      <c r="K1925" s="18"/>
      <c r="L1925" s="12"/>
      <c r="M1925" s="18"/>
      <c r="N1925" s="18"/>
      <c r="O1925" s="18"/>
      <c r="P1925" s="18"/>
      <c r="Q1925" s="18"/>
    </row>
    <row r="1926" spans="1:17" ht="90" x14ac:dyDescent="0.25">
      <c r="A1926" s="18"/>
      <c r="B1926" s="18"/>
      <c r="C1926" s="18"/>
      <c r="D1926" s="18"/>
      <c r="E1926" s="18"/>
      <c r="F1926" s="18"/>
      <c r="G1926" s="18"/>
      <c r="H1926" s="18"/>
      <c r="I1926" s="18"/>
      <c r="J1926" s="18"/>
      <c r="K1926" s="18"/>
      <c r="L1926" s="12" t="s">
        <v>144</v>
      </c>
      <c r="M1926" s="18"/>
      <c r="N1926" s="18"/>
      <c r="O1926" s="18"/>
      <c r="P1926" s="18"/>
      <c r="Q1926" s="18"/>
    </row>
    <row r="1927" spans="1:17" ht="45" x14ac:dyDescent="0.25">
      <c r="A1927" s="12" t="s">
        <v>7242</v>
      </c>
      <c r="B1927" s="12" t="s">
        <v>7200</v>
      </c>
      <c r="C1927" s="12"/>
      <c r="D1927" s="12" t="s">
        <v>7172</v>
      </c>
      <c r="E1927" s="12" t="s">
        <v>4680</v>
      </c>
      <c r="F1927" s="12" t="s">
        <v>4681</v>
      </c>
      <c r="G1927" s="12" t="s">
        <v>12</v>
      </c>
      <c r="H1927" s="12" t="s">
        <v>205</v>
      </c>
      <c r="I1927" s="12"/>
      <c r="J1927" s="12" t="s">
        <v>99</v>
      </c>
      <c r="K1927" s="12"/>
      <c r="L1927" s="12"/>
      <c r="M1927" s="12" t="s">
        <v>4682</v>
      </c>
      <c r="N1927" s="12"/>
      <c r="O1927" s="12" t="s">
        <v>4683</v>
      </c>
      <c r="P1927" s="12" t="str">
        <f>HYPERLINK("https://ceds.ed.gov/cedselementdetails.aspx?termid=9204")</f>
        <v>https://ceds.ed.gov/cedselementdetails.aspx?termid=9204</v>
      </c>
      <c r="Q1927" s="12" t="str">
        <f>HYPERLINK("https://ceds.ed.gov/elementComment.aspx?elementName=Organization Name &amp;elementID=9204", "Click here to submit comment")</f>
        <v>Click here to submit comment</v>
      </c>
    </row>
    <row r="1928" spans="1:17" ht="60" x14ac:dyDescent="0.25">
      <c r="A1928" s="12" t="s">
        <v>7242</v>
      </c>
      <c r="B1928" s="12" t="s">
        <v>7200</v>
      </c>
      <c r="C1928" s="12"/>
      <c r="D1928" s="12" t="s">
        <v>7172</v>
      </c>
      <c r="E1928" s="12" t="s">
        <v>4684</v>
      </c>
      <c r="F1928" s="12" t="s">
        <v>4685</v>
      </c>
      <c r="G1928" s="13" t="s">
        <v>7044</v>
      </c>
      <c r="H1928" s="12"/>
      <c r="I1928" s="12"/>
      <c r="J1928" s="12"/>
      <c r="K1928" s="12"/>
      <c r="L1928" s="12"/>
      <c r="M1928" s="12" t="s">
        <v>4686</v>
      </c>
      <c r="N1928" s="12"/>
      <c r="O1928" s="12" t="s">
        <v>4687</v>
      </c>
      <c r="P1928" s="12" t="str">
        <f>HYPERLINK("https://ceds.ed.gov/cedselementdetails.aspx?termid=10387")</f>
        <v>https://ceds.ed.gov/cedselementdetails.aspx?termid=10387</v>
      </c>
      <c r="Q1928" s="12" t="str">
        <f>HYPERLINK("https://ceds.ed.gov/elementComment.aspx?elementName=Organization Operational Status &amp;elementID=10387", "Click here to submit comment")</f>
        <v>Click here to submit comment</v>
      </c>
    </row>
    <row r="1929" spans="1:17" ht="270" x14ac:dyDescent="0.25">
      <c r="A1929" s="12" t="s">
        <v>7242</v>
      </c>
      <c r="B1929" s="12" t="s">
        <v>7200</v>
      </c>
      <c r="C1929" s="12"/>
      <c r="D1929" s="12" t="s">
        <v>7172</v>
      </c>
      <c r="E1929" s="12" t="s">
        <v>5189</v>
      </c>
      <c r="F1929" s="12" t="s">
        <v>5190</v>
      </c>
      <c r="G1929" s="13" t="s">
        <v>7081</v>
      </c>
      <c r="H1929" s="12"/>
      <c r="I1929" s="12"/>
      <c r="J1929" s="12"/>
      <c r="K1929" s="12"/>
      <c r="L1929" s="12"/>
      <c r="M1929" s="12" t="s">
        <v>5191</v>
      </c>
      <c r="N1929" s="12"/>
      <c r="O1929" s="12" t="s">
        <v>5192</v>
      </c>
      <c r="P1929" s="12" t="str">
        <f>HYPERLINK("https://ceds.ed.gov/cedselementdetails.aspx?termid=9692")</f>
        <v>https://ceds.ed.gov/cedselementdetails.aspx?termid=9692</v>
      </c>
      <c r="Q1929" s="12" t="str">
        <f>HYPERLINK("https://ceds.ed.gov/elementComment.aspx?elementName=Program Sponsor Type &amp;elementID=9692", "Click here to submit comment")</f>
        <v>Click here to submit comment</v>
      </c>
    </row>
    <row r="1930" spans="1:17" ht="90" x14ac:dyDescent="0.25">
      <c r="A1930" s="12" t="s">
        <v>7242</v>
      </c>
      <c r="B1930" s="12" t="s">
        <v>7200</v>
      </c>
      <c r="C1930" s="12" t="s">
        <v>7214</v>
      </c>
      <c r="D1930" s="12" t="s">
        <v>7172</v>
      </c>
      <c r="E1930" s="12" t="s">
        <v>197</v>
      </c>
      <c r="F1930" s="12" t="s">
        <v>198</v>
      </c>
      <c r="G1930" s="13" t="s">
        <v>6727</v>
      </c>
      <c r="H1930" s="12" t="s">
        <v>6369</v>
      </c>
      <c r="I1930" s="12"/>
      <c r="J1930" s="12" t="s">
        <v>92</v>
      </c>
      <c r="K1930" s="12"/>
      <c r="L1930" s="12"/>
      <c r="M1930" s="12" t="s">
        <v>199</v>
      </c>
      <c r="N1930" s="12"/>
      <c r="O1930" s="12" t="s">
        <v>200</v>
      </c>
      <c r="P1930" s="12" t="str">
        <f>HYPERLINK("https://ceds.ed.gov/cedselementdetails.aspx?termid=9644")</f>
        <v>https://ceds.ed.gov/cedselementdetails.aspx?termid=9644</v>
      </c>
      <c r="Q1930" s="12" t="str">
        <f>HYPERLINK("https://ceds.ed.gov/elementComment.aspx?elementName=Address Type for Organization &amp;elementID=9644", "Click here to submit comment")</f>
        <v>Click here to submit comment</v>
      </c>
    </row>
    <row r="1931" spans="1:17" ht="225" x14ac:dyDescent="0.25">
      <c r="A1931" s="12" t="s">
        <v>7242</v>
      </c>
      <c r="B1931" s="12" t="s">
        <v>7200</v>
      </c>
      <c r="C1931" s="12" t="s">
        <v>7214</v>
      </c>
      <c r="D1931" s="12" t="s">
        <v>7172</v>
      </c>
      <c r="E1931" s="12" t="s">
        <v>189</v>
      </c>
      <c r="F1931" s="12" t="s">
        <v>190</v>
      </c>
      <c r="G1931" s="12" t="s">
        <v>12</v>
      </c>
      <c r="H1931" s="12" t="s">
        <v>6377</v>
      </c>
      <c r="I1931" s="12"/>
      <c r="J1931" s="12" t="s">
        <v>142</v>
      </c>
      <c r="K1931" s="12"/>
      <c r="L1931" s="12"/>
      <c r="M1931" s="12" t="s">
        <v>191</v>
      </c>
      <c r="N1931" s="12"/>
      <c r="O1931" s="12" t="s">
        <v>192</v>
      </c>
      <c r="P1931" s="12" t="str">
        <f>HYPERLINK("https://ceds.ed.gov/cedselementdetails.aspx?termid=9269")</f>
        <v>https://ceds.ed.gov/cedselementdetails.aspx?termid=9269</v>
      </c>
      <c r="Q1931" s="12" t="str">
        <f>HYPERLINK("https://ceds.ed.gov/elementComment.aspx?elementName=Address Street Number and Name &amp;elementID=9269", "Click here to submit comment")</f>
        <v>Click here to submit comment</v>
      </c>
    </row>
    <row r="1932" spans="1:17" ht="225" x14ac:dyDescent="0.25">
      <c r="A1932" s="12" t="s">
        <v>7242</v>
      </c>
      <c r="B1932" s="12" t="s">
        <v>7200</v>
      </c>
      <c r="C1932" s="12" t="s">
        <v>7214</v>
      </c>
      <c r="D1932" s="12" t="s">
        <v>7172</v>
      </c>
      <c r="E1932" s="12" t="s">
        <v>172</v>
      </c>
      <c r="F1932" s="12" t="s">
        <v>173</v>
      </c>
      <c r="G1932" s="12" t="s">
        <v>12</v>
      </c>
      <c r="H1932" s="12" t="s">
        <v>6377</v>
      </c>
      <c r="I1932" s="12"/>
      <c r="J1932" s="12" t="s">
        <v>92</v>
      </c>
      <c r="K1932" s="12"/>
      <c r="L1932" s="12"/>
      <c r="M1932" s="12" t="s">
        <v>174</v>
      </c>
      <c r="N1932" s="12"/>
      <c r="O1932" s="12" t="s">
        <v>175</v>
      </c>
      <c r="P1932" s="12" t="str">
        <f>HYPERLINK("https://ceds.ed.gov/cedselementdetails.aspx?termid=9019")</f>
        <v>https://ceds.ed.gov/cedselementdetails.aspx?termid=9019</v>
      </c>
      <c r="Q1932" s="12" t="str">
        <f>HYPERLINK("https://ceds.ed.gov/elementComment.aspx?elementName=Address Apartment Room or Suite Number &amp;elementID=9019", "Click here to submit comment")</f>
        <v>Click here to submit comment</v>
      </c>
    </row>
    <row r="1933" spans="1:17" ht="225" x14ac:dyDescent="0.25">
      <c r="A1933" s="12" t="s">
        <v>7242</v>
      </c>
      <c r="B1933" s="12" t="s">
        <v>7200</v>
      </c>
      <c r="C1933" s="12" t="s">
        <v>7214</v>
      </c>
      <c r="D1933" s="12" t="s">
        <v>7172</v>
      </c>
      <c r="E1933" s="12" t="s">
        <v>176</v>
      </c>
      <c r="F1933" s="12" t="s">
        <v>177</v>
      </c>
      <c r="G1933" s="12" t="s">
        <v>12</v>
      </c>
      <c r="H1933" s="12" t="s">
        <v>6377</v>
      </c>
      <c r="I1933" s="12"/>
      <c r="J1933" s="12" t="s">
        <v>92</v>
      </c>
      <c r="K1933" s="12"/>
      <c r="L1933" s="12"/>
      <c r="M1933" s="12" t="s">
        <v>178</v>
      </c>
      <c r="N1933" s="12"/>
      <c r="O1933" s="12" t="s">
        <v>179</v>
      </c>
      <c r="P1933" s="12" t="str">
        <f>HYPERLINK("https://ceds.ed.gov/cedselementdetails.aspx?termid=9040")</f>
        <v>https://ceds.ed.gov/cedselementdetails.aspx?termid=9040</v>
      </c>
      <c r="Q1933" s="12" t="str">
        <f>HYPERLINK("https://ceds.ed.gov/elementComment.aspx?elementName=Address City &amp;elementID=9040", "Click here to submit comment")</f>
        <v>Click here to submit comment</v>
      </c>
    </row>
    <row r="1934" spans="1:17" ht="409.5" x14ac:dyDescent="0.25">
      <c r="A1934" s="12" t="s">
        <v>7242</v>
      </c>
      <c r="B1934" s="12" t="s">
        <v>7200</v>
      </c>
      <c r="C1934" s="12" t="s">
        <v>7214</v>
      </c>
      <c r="D1934" s="12" t="s">
        <v>7172</v>
      </c>
      <c r="E1934" s="12" t="s">
        <v>5898</v>
      </c>
      <c r="F1934" s="12" t="s">
        <v>5899</v>
      </c>
      <c r="G1934" s="13" t="s">
        <v>7120</v>
      </c>
      <c r="H1934" s="12" t="s">
        <v>6678</v>
      </c>
      <c r="I1934" s="12"/>
      <c r="J1934" s="12"/>
      <c r="K1934" s="12"/>
      <c r="L1934" s="12"/>
      <c r="M1934" s="12" t="s">
        <v>5900</v>
      </c>
      <c r="N1934" s="12"/>
      <c r="O1934" s="12" t="s">
        <v>5901</v>
      </c>
      <c r="P1934" s="12" t="str">
        <f>HYPERLINK("https://ceds.ed.gov/cedselementdetails.aspx?termid=9267")</f>
        <v>https://ceds.ed.gov/cedselementdetails.aspx?termid=9267</v>
      </c>
      <c r="Q1934" s="12" t="str">
        <f>HYPERLINK("https://ceds.ed.gov/elementComment.aspx?elementName=State Abbreviation &amp;elementID=9267", "Click here to submit comment")</f>
        <v>Click here to submit comment</v>
      </c>
    </row>
    <row r="1935" spans="1:17" ht="225" x14ac:dyDescent="0.25">
      <c r="A1935" s="12" t="s">
        <v>7242</v>
      </c>
      <c r="B1935" s="12" t="s">
        <v>7200</v>
      </c>
      <c r="C1935" s="12" t="s">
        <v>7214</v>
      </c>
      <c r="D1935" s="12" t="s">
        <v>7172</v>
      </c>
      <c r="E1935" s="12" t="s">
        <v>184</v>
      </c>
      <c r="F1935" s="12" t="s">
        <v>185</v>
      </c>
      <c r="G1935" s="12" t="s">
        <v>12</v>
      </c>
      <c r="H1935" s="12" t="s">
        <v>6377</v>
      </c>
      <c r="I1935" s="12"/>
      <c r="J1935" s="12" t="s">
        <v>186</v>
      </c>
      <c r="K1935" s="12"/>
      <c r="L1935" s="12"/>
      <c r="M1935" s="12" t="s">
        <v>187</v>
      </c>
      <c r="N1935" s="12"/>
      <c r="O1935" s="12" t="s">
        <v>188</v>
      </c>
      <c r="P1935" s="12" t="str">
        <f>HYPERLINK("https://ceds.ed.gov/cedselementdetails.aspx?termid=9214")</f>
        <v>https://ceds.ed.gov/cedselementdetails.aspx?termid=9214</v>
      </c>
      <c r="Q1935" s="12" t="str">
        <f>HYPERLINK("https://ceds.ed.gov/elementComment.aspx?elementName=Address Postal Code &amp;elementID=9214", "Click here to submit comment")</f>
        <v>Click here to submit comment</v>
      </c>
    </row>
    <row r="1936" spans="1:17" ht="225" x14ac:dyDescent="0.25">
      <c r="A1936" s="12" t="s">
        <v>7242</v>
      </c>
      <c r="B1936" s="12" t="s">
        <v>7200</v>
      </c>
      <c r="C1936" s="12" t="s">
        <v>7214</v>
      </c>
      <c r="D1936" s="12" t="s">
        <v>7172</v>
      </c>
      <c r="E1936" s="12" t="s">
        <v>180</v>
      </c>
      <c r="F1936" s="12" t="s">
        <v>181</v>
      </c>
      <c r="G1936" s="12" t="s">
        <v>12</v>
      </c>
      <c r="H1936" s="12" t="s">
        <v>6377</v>
      </c>
      <c r="I1936" s="12"/>
      <c r="J1936" s="12" t="s">
        <v>92</v>
      </c>
      <c r="K1936" s="12"/>
      <c r="L1936" s="12"/>
      <c r="M1936" s="12" t="s">
        <v>182</v>
      </c>
      <c r="N1936" s="12"/>
      <c r="O1936" s="12" t="s">
        <v>183</v>
      </c>
      <c r="P1936" s="12" t="str">
        <f>HYPERLINK("https://ceds.ed.gov/cedselementdetails.aspx?termid=9190")</f>
        <v>https://ceds.ed.gov/cedselementdetails.aspx?termid=9190</v>
      </c>
      <c r="Q1936" s="12" t="str">
        <f>HYPERLINK("https://ceds.ed.gov/elementComment.aspx?elementName=Address County Name &amp;elementID=9190", "Click here to submit comment")</f>
        <v>Click here to submit comment</v>
      </c>
    </row>
    <row r="1937" spans="1:17" ht="75" x14ac:dyDescent="0.25">
      <c r="A1937" s="12" t="s">
        <v>7242</v>
      </c>
      <c r="B1937" s="12" t="s">
        <v>7200</v>
      </c>
      <c r="C1937" s="12" t="s">
        <v>7214</v>
      </c>
      <c r="D1937" s="12" t="s">
        <v>7176</v>
      </c>
      <c r="E1937" s="12" t="s">
        <v>3693</v>
      </c>
      <c r="F1937" s="12" t="s">
        <v>3694</v>
      </c>
      <c r="G1937" s="12" t="s">
        <v>12</v>
      </c>
      <c r="H1937" s="12"/>
      <c r="I1937" s="12"/>
      <c r="J1937" s="12" t="s">
        <v>1201</v>
      </c>
      <c r="K1937" s="12"/>
      <c r="L1937" s="12"/>
      <c r="M1937" s="12" t="s">
        <v>3695</v>
      </c>
      <c r="N1937" s="12"/>
      <c r="O1937" s="12" t="s">
        <v>3693</v>
      </c>
      <c r="P1937" s="12" t="str">
        <f>HYPERLINK("https://ceds.ed.gov/cedselementdetails.aspx?termid=9599")</f>
        <v>https://ceds.ed.gov/cedselementdetails.aspx?termid=9599</v>
      </c>
      <c r="Q1937" s="12" t="str">
        <f>HYPERLINK("https://ceds.ed.gov/elementComment.aspx?elementName=Latitude &amp;elementID=9599", "Click here to submit comment")</f>
        <v>Click here to submit comment</v>
      </c>
    </row>
    <row r="1938" spans="1:17" ht="75" x14ac:dyDescent="0.25">
      <c r="A1938" s="12" t="s">
        <v>7242</v>
      </c>
      <c r="B1938" s="12" t="s">
        <v>7200</v>
      </c>
      <c r="C1938" s="12" t="s">
        <v>7214</v>
      </c>
      <c r="D1938" s="12" t="s">
        <v>7176</v>
      </c>
      <c r="E1938" s="12" t="s">
        <v>4361</v>
      </c>
      <c r="F1938" s="12" t="s">
        <v>4362</v>
      </c>
      <c r="G1938" s="12" t="s">
        <v>12</v>
      </c>
      <c r="H1938" s="12"/>
      <c r="I1938" s="12"/>
      <c r="J1938" s="12" t="s">
        <v>1201</v>
      </c>
      <c r="K1938" s="12"/>
      <c r="L1938" s="12"/>
      <c r="M1938" s="12" t="s">
        <v>4363</v>
      </c>
      <c r="N1938" s="12"/>
      <c r="O1938" s="12" t="s">
        <v>4361</v>
      </c>
      <c r="P1938" s="12" t="str">
        <f>HYPERLINK("https://ceds.ed.gov/cedselementdetails.aspx?termid=9600")</f>
        <v>https://ceds.ed.gov/cedselementdetails.aspx?termid=9600</v>
      </c>
      <c r="Q1938" s="12" t="str">
        <f>HYPERLINK("https://ceds.ed.gov/elementComment.aspx?elementName=Longitude &amp;elementID=9600", "Click here to submit comment")</f>
        <v>Click here to submit comment</v>
      </c>
    </row>
    <row r="1939" spans="1:17" ht="105" x14ac:dyDescent="0.25">
      <c r="A1939" s="12" t="s">
        <v>7242</v>
      </c>
      <c r="B1939" s="12" t="s">
        <v>7200</v>
      </c>
      <c r="C1939" s="12" t="s">
        <v>7192</v>
      </c>
      <c r="D1939" s="12" t="s">
        <v>7172</v>
      </c>
      <c r="E1939" s="12" t="s">
        <v>2880</v>
      </c>
      <c r="F1939" s="12" t="s">
        <v>2881</v>
      </c>
      <c r="G1939" s="12" t="s">
        <v>12</v>
      </c>
      <c r="H1939" s="12"/>
      <c r="I1939" s="12" t="s">
        <v>98</v>
      </c>
      <c r="J1939" s="12" t="s">
        <v>92</v>
      </c>
      <c r="K1939" s="12"/>
      <c r="L1939" s="12"/>
      <c r="M1939" s="12" t="s">
        <v>2882</v>
      </c>
      <c r="N1939" s="12"/>
      <c r="O1939" s="12" t="s">
        <v>2883</v>
      </c>
      <c r="P1939" s="12" t="str">
        <f>HYPERLINK("https://ceds.ed.gov/cedselementdetails.aspx?termid=10530")</f>
        <v>https://ceds.ed.gov/cedselementdetails.aspx?termid=10530</v>
      </c>
      <c r="Q1939" s="12" t="str">
        <f>HYPERLINK("https://ceds.ed.gov/elementComment.aspx?elementName=Financial Account Number &amp;elementID=10530", "Click here to submit comment")</f>
        <v>Click here to submit comment</v>
      </c>
    </row>
    <row r="1940" spans="1:17" ht="45" x14ac:dyDescent="0.25">
      <c r="A1940" s="12" t="s">
        <v>7242</v>
      </c>
      <c r="B1940" s="12" t="s">
        <v>7200</v>
      </c>
      <c r="C1940" s="12" t="s">
        <v>7192</v>
      </c>
      <c r="D1940" s="12" t="s">
        <v>7172</v>
      </c>
      <c r="E1940" s="12" t="s">
        <v>2876</v>
      </c>
      <c r="F1940" s="12" t="s">
        <v>2877</v>
      </c>
      <c r="G1940" s="12" t="s">
        <v>12</v>
      </c>
      <c r="H1940" s="12"/>
      <c r="I1940" s="12"/>
      <c r="J1940" s="12" t="s">
        <v>794</v>
      </c>
      <c r="K1940" s="12"/>
      <c r="L1940" s="12"/>
      <c r="M1940" s="12" t="s">
        <v>2878</v>
      </c>
      <c r="N1940" s="12"/>
      <c r="O1940" s="12" t="s">
        <v>2879</v>
      </c>
      <c r="P1940" s="12" t="str">
        <f>HYPERLINK("https://ceds.ed.gov/cedselementdetails.aspx?termid=10315")</f>
        <v>https://ceds.ed.gov/cedselementdetails.aspx?termid=10315</v>
      </c>
      <c r="Q1940" s="12" t="str">
        <f>HYPERLINK("https://ceds.ed.gov/elementComment.aspx?elementName=Financial Account Name &amp;elementID=10315", "Click here to submit comment")</f>
        <v>Click here to submit comment</v>
      </c>
    </row>
    <row r="1941" spans="1:17" ht="45" x14ac:dyDescent="0.25">
      <c r="A1941" s="12" t="s">
        <v>7242</v>
      </c>
      <c r="B1941" s="12" t="s">
        <v>7200</v>
      </c>
      <c r="C1941" s="12" t="s">
        <v>7192</v>
      </c>
      <c r="D1941" s="12" t="s">
        <v>7172</v>
      </c>
      <c r="E1941" s="12" t="s">
        <v>2868</v>
      </c>
      <c r="F1941" s="12" t="s">
        <v>2869</v>
      </c>
      <c r="G1941" s="12" t="s">
        <v>12</v>
      </c>
      <c r="H1941" s="12"/>
      <c r="I1941" s="12"/>
      <c r="J1941" s="12" t="s">
        <v>68</v>
      </c>
      <c r="K1941" s="12"/>
      <c r="L1941" s="12"/>
      <c r="M1941" s="12" t="s">
        <v>2870</v>
      </c>
      <c r="N1941" s="12"/>
      <c r="O1941" s="12" t="s">
        <v>2871</v>
      </c>
      <c r="P1941" s="12" t="str">
        <f>HYPERLINK("https://ceds.ed.gov/cedselementdetails.aspx?termid=10313")</f>
        <v>https://ceds.ed.gov/cedselementdetails.aspx?termid=10313</v>
      </c>
      <c r="Q1941" s="12" t="str">
        <f>HYPERLINK("https://ceds.ed.gov/elementComment.aspx?elementName=Financial Account Description &amp;elementID=10313", "Click here to submit comment")</f>
        <v>Click here to submit comment</v>
      </c>
    </row>
    <row r="1942" spans="1:17" ht="105" x14ac:dyDescent="0.25">
      <c r="A1942" s="12" t="s">
        <v>7242</v>
      </c>
      <c r="B1942" s="12" t="s">
        <v>7200</v>
      </c>
      <c r="C1942" s="12" t="s">
        <v>7192</v>
      </c>
      <c r="D1942" s="12" t="s">
        <v>7172</v>
      </c>
      <c r="E1942" s="12" t="s">
        <v>2864</v>
      </c>
      <c r="F1942" s="12" t="s">
        <v>2865</v>
      </c>
      <c r="G1942" s="13" t="s">
        <v>6919</v>
      </c>
      <c r="H1942" s="12"/>
      <c r="I1942" s="12"/>
      <c r="J1942" s="12"/>
      <c r="K1942" s="12"/>
      <c r="L1942" s="12"/>
      <c r="M1942" s="12" t="s">
        <v>2866</v>
      </c>
      <c r="N1942" s="12"/>
      <c r="O1942" s="12" t="s">
        <v>2867</v>
      </c>
      <c r="P1942" s="12" t="str">
        <f>HYPERLINK("https://ceds.ed.gov/cedselementdetails.aspx?termid=10312")</f>
        <v>https://ceds.ed.gov/cedselementdetails.aspx?termid=10312</v>
      </c>
      <c r="Q1942" s="12" t="str">
        <f>HYPERLINK("https://ceds.ed.gov/elementComment.aspx?elementName=Financial Account Category &amp;elementID=10312", "Click here to submit comment")</f>
        <v>Click here to submit comment</v>
      </c>
    </row>
    <row r="1943" spans="1:17" ht="409.5" x14ac:dyDescent="0.25">
      <c r="A1943" s="12" t="s">
        <v>7242</v>
      </c>
      <c r="B1943" s="12" t="s">
        <v>7200</v>
      </c>
      <c r="C1943" s="12" t="s">
        <v>7192</v>
      </c>
      <c r="D1943" s="12" t="s">
        <v>7172</v>
      </c>
      <c r="E1943" s="12" t="s">
        <v>2859</v>
      </c>
      <c r="F1943" s="12" t="s">
        <v>2860</v>
      </c>
      <c r="G1943" s="13" t="s">
        <v>6918</v>
      </c>
      <c r="H1943" s="12"/>
      <c r="I1943" s="12" t="s">
        <v>98</v>
      </c>
      <c r="J1943" s="12"/>
      <c r="K1943" s="12"/>
      <c r="L1943" s="14" t="s">
        <v>2861</v>
      </c>
      <c r="M1943" s="12" t="s">
        <v>2862</v>
      </c>
      <c r="N1943" s="12"/>
      <c r="O1943" s="12" t="s">
        <v>2863</v>
      </c>
      <c r="P1943" s="12" t="str">
        <f>HYPERLINK("https://ceds.ed.gov/cedselementdetails.aspx?termid=10320")</f>
        <v>https://ceds.ed.gov/cedselementdetails.aspx?termid=10320</v>
      </c>
      <c r="Q1943" s="12" t="str">
        <f>HYPERLINK("https://ceds.ed.gov/elementComment.aspx?elementName=Financial Account Balance Sheet Code &amp;elementID=10320", "Click here to submit comment")</f>
        <v>Click here to submit comment</v>
      </c>
    </row>
    <row r="1944" spans="1:17" ht="45" x14ac:dyDescent="0.25">
      <c r="A1944" s="12" t="s">
        <v>7242</v>
      </c>
      <c r="B1944" s="12" t="s">
        <v>7200</v>
      </c>
      <c r="C1944" s="12" t="s">
        <v>7192</v>
      </c>
      <c r="D1944" s="12" t="s">
        <v>7172</v>
      </c>
      <c r="E1944" s="12" t="s">
        <v>2905</v>
      </c>
      <c r="F1944" s="12" t="s">
        <v>2906</v>
      </c>
      <c r="G1944" s="12" t="s">
        <v>12</v>
      </c>
      <c r="H1944" s="12"/>
      <c r="I1944" s="12" t="s">
        <v>98</v>
      </c>
      <c r="J1944" s="12" t="s">
        <v>1554</v>
      </c>
      <c r="K1944" s="12"/>
      <c r="L1944" s="12"/>
      <c r="M1944" s="12" t="s">
        <v>2907</v>
      </c>
      <c r="N1944" s="12"/>
      <c r="O1944" s="12" t="s">
        <v>2908</v>
      </c>
      <c r="P1944" s="12" t="str">
        <f>HYPERLINK("https://ceds.ed.gov/cedselementdetails.aspx?termid=10317")</f>
        <v>https://ceds.ed.gov/cedselementdetails.aspx?termid=10317</v>
      </c>
      <c r="Q1944" s="12" t="str">
        <f>HYPERLINK("https://ceds.ed.gov/elementComment.aspx?elementName=Financial Accounting Period Actual Value &amp;elementID=10317", "Click here to submit comment")</f>
        <v>Click here to submit comment</v>
      </c>
    </row>
    <row r="1945" spans="1:17" ht="45" x14ac:dyDescent="0.25">
      <c r="A1945" s="12" t="s">
        <v>7242</v>
      </c>
      <c r="B1945" s="12" t="s">
        <v>7200</v>
      </c>
      <c r="C1945" s="12" t="s">
        <v>7192</v>
      </c>
      <c r="D1945" s="12" t="s">
        <v>7172</v>
      </c>
      <c r="E1945" s="12" t="s">
        <v>2909</v>
      </c>
      <c r="F1945" s="12" t="s">
        <v>2910</v>
      </c>
      <c r="G1945" s="12" t="s">
        <v>12</v>
      </c>
      <c r="H1945" s="12"/>
      <c r="I1945" s="12" t="s">
        <v>98</v>
      </c>
      <c r="J1945" s="12" t="s">
        <v>1554</v>
      </c>
      <c r="K1945" s="12"/>
      <c r="L1945" s="12"/>
      <c r="M1945" s="12" t="s">
        <v>2911</v>
      </c>
      <c r="N1945" s="12"/>
      <c r="O1945" s="12" t="s">
        <v>2912</v>
      </c>
      <c r="P1945" s="12" t="str">
        <f>HYPERLINK("https://ceds.ed.gov/cedselementdetails.aspx?termid=10318")</f>
        <v>https://ceds.ed.gov/cedselementdetails.aspx?termid=10318</v>
      </c>
      <c r="Q1945" s="12" t="str">
        <f>HYPERLINK("https://ceds.ed.gov/elementComment.aspx?elementName=Financial Accounting Period Budgeted Value &amp;elementID=10318", "Click here to submit comment")</f>
        <v>Click here to submit comment</v>
      </c>
    </row>
    <row r="1946" spans="1:17" ht="60" x14ac:dyDescent="0.25">
      <c r="A1946" s="12" t="s">
        <v>7242</v>
      </c>
      <c r="B1946" s="12" t="s">
        <v>7200</v>
      </c>
      <c r="C1946" s="12" t="s">
        <v>7192</v>
      </c>
      <c r="D1946" s="12" t="s">
        <v>7172</v>
      </c>
      <c r="E1946" s="12" t="s">
        <v>2913</v>
      </c>
      <c r="F1946" s="12" t="s">
        <v>2914</v>
      </c>
      <c r="G1946" s="12" t="s">
        <v>12</v>
      </c>
      <c r="H1946" s="12"/>
      <c r="I1946" s="12" t="s">
        <v>1498</v>
      </c>
      <c r="J1946" s="12" t="s">
        <v>1554</v>
      </c>
      <c r="K1946" s="12"/>
      <c r="L1946" s="12" t="s">
        <v>2915</v>
      </c>
      <c r="M1946" s="12" t="s">
        <v>2916</v>
      </c>
      <c r="N1946" s="12"/>
      <c r="O1946" s="12" t="s">
        <v>2917</v>
      </c>
      <c r="P1946" s="12" t="str">
        <f>HYPERLINK("https://ceds.ed.gov/cedselementdetails.aspx?termid=10625")</f>
        <v>https://ceds.ed.gov/cedselementdetails.aspx?termid=10625</v>
      </c>
      <c r="Q1946" s="12" t="str">
        <f>HYPERLINK("https://ceds.ed.gov/elementComment.aspx?elementName=Financial Accounting Period Encumbered Value &amp;elementID=10625", "Click here to submit comment")</f>
        <v>Click here to submit comment</v>
      </c>
    </row>
    <row r="1947" spans="1:17" ht="30" x14ac:dyDescent="0.25">
      <c r="A1947" s="12" t="s">
        <v>7242</v>
      </c>
      <c r="B1947" s="12" t="s">
        <v>7200</v>
      </c>
      <c r="C1947" s="12" t="s">
        <v>7192</v>
      </c>
      <c r="D1947" s="12" t="s">
        <v>7172</v>
      </c>
      <c r="E1947" s="12" t="s">
        <v>3034</v>
      </c>
      <c r="F1947" s="12" t="s">
        <v>3035</v>
      </c>
      <c r="G1947" s="12" t="s">
        <v>12</v>
      </c>
      <c r="H1947" s="12"/>
      <c r="I1947" s="12" t="s">
        <v>1498</v>
      </c>
      <c r="J1947" s="12" t="s">
        <v>1861</v>
      </c>
      <c r="K1947" s="12"/>
      <c r="L1947" s="12"/>
      <c r="M1947" s="12" t="s">
        <v>3036</v>
      </c>
      <c r="N1947" s="12"/>
      <c r="O1947" s="12" t="s">
        <v>3037</v>
      </c>
      <c r="P1947" s="12" t="str">
        <f>HYPERLINK("https://ceds.ed.gov/cedselementdetails.aspx?termid=10620")</f>
        <v>https://ceds.ed.gov/cedselementdetails.aspx?termid=10620</v>
      </c>
      <c r="Q1947" s="12" t="str">
        <f>HYPERLINK("https://ceds.ed.gov/elementComment.aspx?elementName=Fiscal Year &amp;elementID=10620", "Click here to submit comment")</f>
        <v>Click here to submit comment</v>
      </c>
    </row>
    <row r="1948" spans="1:17" ht="30" x14ac:dyDescent="0.25">
      <c r="A1948" s="12" t="s">
        <v>7242</v>
      </c>
      <c r="B1948" s="12" t="s">
        <v>7200</v>
      </c>
      <c r="C1948" s="12" t="s">
        <v>7192</v>
      </c>
      <c r="D1948" s="12" t="s">
        <v>7172</v>
      </c>
      <c r="E1948" s="12" t="s">
        <v>3026</v>
      </c>
      <c r="F1948" s="12" t="s">
        <v>3027</v>
      </c>
      <c r="G1948" s="12" t="s">
        <v>12</v>
      </c>
      <c r="H1948" s="12"/>
      <c r="I1948" s="12" t="s">
        <v>1498</v>
      </c>
      <c r="J1948" s="12" t="s">
        <v>73</v>
      </c>
      <c r="K1948" s="12"/>
      <c r="L1948" s="12"/>
      <c r="M1948" s="12" t="s">
        <v>3028</v>
      </c>
      <c r="N1948" s="12"/>
      <c r="O1948" s="12" t="s">
        <v>3029</v>
      </c>
      <c r="P1948" s="12" t="str">
        <f>HYPERLINK("https://ceds.ed.gov/cedselementdetails.aspx?termid=10623")</f>
        <v>https://ceds.ed.gov/cedselementdetails.aspx?termid=10623</v>
      </c>
      <c r="Q1948" s="12" t="str">
        <f>HYPERLINK("https://ceds.ed.gov/elementComment.aspx?elementName=Fiscal Period Begin Date &amp;elementID=10623", "Click here to submit comment")</f>
        <v>Click here to submit comment</v>
      </c>
    </row>
    <row r="1949" spans="1:17" ht="30" x14ac:dyDescent="0.25">
      <c r="A1949" s="12" t="s">
        <v>7242</v>
      </c>
      <c r="B1949" s="12" t="s">
        <v>7200</v>
      </c>
      <c r="C1949" s="12" t="s">
        <v>7192</v>
      </c>
      <c r="D1949" s="12" t="s">
        <v>7172</v>
      </c>
      <c r="E1949" s="12" t="s">
        <v>3030</v>
      </c>
      <c r="F1949" s="12" t="s">
        <v>3031</v>
      </c>
      <c r="G1949" s="12" t="s">
        <v>12</v>
      </c>
      <c r="H1949" s="12"/>
      <c r="I1949" s="12" t="s">
        <v>1498</v>
      </c>
      <c r="J1949" s="12" t="s">
        <v>73</v>
      </c>
      <c r="K1949" s="12"/>
      <c r="L1949" s="12"/>
      <c r="M1949" s="12" t="s">
        <v>3032</v>
      </c>
      <c r="N1949" s="12"/>
      <c r="O1949" s="12" t="s">
        <v>3033</v>
      </c>
      <c r="P1949" s="12" t="str">
        <f>HYPERLINK("https://ceds.ed.gov/cedselementdetails.aspx?termid=10624")</f>
        <v>https://ceds.ed.gov/cedselementdetails.aspx?termid=10624</v>
      </c>
      <c r="Q1949" s="12" t="str">
        <f>HYPERLINK("https://ceds.ed.gov/elementComment.aspx?elementName=Fiscal Period End Date &amp;elementID=10624", "Click here to submit comment")</f>
        <v>Click here to submit comment</v>
      </c>
    </row>
    <row r="1950" spans="1:17" ht="135" x14ac:dyDescent="0.25">
      <c r="A1950" s="12" t="s">
        <v>7242</v>
      </c>
      <c r="B1950" s="12" t="s">
        <v>7200</v>
      </c>
      <c r="C1950" s="12" t="s">
        <v>7192</v>
      </c>
      <c r="D1950" s="12" t="s">
        <v>7172</v>
      </c>
      <c r="E1950" s="12" t="s">
        <v>2918</v>
      </c>
      <c r="F1950" s="12" t="s">
        <v>2919</v>
      </c>
      <c r="G1950" s="12" t="s">
        <v>12</v>
      </c>
      <c r="H1950" s="12"/>
      <c r="I1950" s="12" t="s">
        <v>1498</v>
      </c>
      <c r="J1950" s="12" t="s">
        <v>1554</v>
      </c>
      <c r="K1950" s="12"/>
      <c r="L1950" s="12" t="s">
        <v>2920</v>
      </c>
      <c r="M1950" s="12" t="s">
        <v>2921</v>
      </c>
      <c r="N1950" s="12"/>
      <c r="O1950" s="12" t="s">
        <v>2922</v>
      </c>
      <c r="P1950" s="12" t="str">
        <f>HYPERLINK("https://ceds.ed.gov/cedselementdetails.aspx?termid=10628")</f>
        <v>https://ceds.ed.gov/cedselementdetails.aspx?termid=10628</v>
      </c>
      <c r="Q1950" s="12" t="str">
        <f>HYPERLINK("https://ceds.ed.gov/elementComment.aspx?elementName=Financial Accounting Value &amp;elementID=10628", "Click here to submit comment")</f>
        <v>Click here to submit comment</v>
      </c>
    </row>
    <row r="1951" spans="1:17" ht="30" x14ac:dyDescent="0.25">
      <c r="A1951" s="12" t="s">
        <v>7242</v>
      </c>
      <c r="B1951" s="12" t="s">
        <v>7200</v>
      </c>
      <c r="C1951" s="12" t="s">
        <v>7192</v>
      </c>
      <c r="D1951" s="12" t="s">
        <v>7172</v>
      </c>
      <c r="E1951" s="12" t="s">
        <v>2901</v>
      </c>
      <c r="F1951" s="12" t="s">
        <v>2902</v>
      </c>
      <c r="G1951" s="12" t="s">
        <v>12</v>
      </c>
      <c r="H1951" s="12"/>
      <c r="I1951" s="12" t="s">
        <v>1498</v>
      </c>
      <c r="J1951" s="12" t="s">
        <v>73</v>
      </c>
      <c r="K1951" s="12"/>
      <c r="L1951" s="12"/>
      <c r="M1951" s="12" t="s">
        <v>2903</v>
      </c>
      <c r="N1951" s="12"/>
      <c r="O1951" s="12" t="s">
        <v>2904</v>
      </c>
      <c r="P1951" s="12" t="str">
        <f>HYPERLINK("https://ceds.ed.gov/cedselementdetails.aspx?termid=10629")</f>
        <v>https://ceds.ed.gov/cedselementdetails.aspx?termid=10629</v>
      </c>
      <c r="Q1951" s="12" t="str">
        <f>HYPERLINK("https://ceds.ed.gov/elementComment.aspx?elementName=Financial Accounting Date &amp;elementID=10629", "Click here to submit comment")</f>
        <v>Click here to submit comment</v>
      </c>
    </row>
    <row r="1952" spans="1:17" ht="150" x14ac:dyDescent="0.25">
      <c r="A1952" s="12" t="s">
        <v>7242</v>
      </c>
      <c r="B1952" s="12" t="s">
        <v>7200</v>
      </c>
      <c r="C1952" s="12" t="s">
        <v>7192</v>
      </c>
      <c r="D1952" s="12" t="s">
        <v>7172</v>
      </c>
      <c r="E1952" s="12" t="s">
        <v>2872</v>
      </c>
      <c r="F1952" s="12" t="s">
        <v>2873</v>
      </c>
      <c r="G1952" s="13" t="s">
        <v>6920</v>
      </c>
      <c r="H1952" s="12"/>
      <c r="I1952" s="12" t="s">
        <v>98</v>
      </c>
      <c r="J1952" s="12"/>
      <c r="K1952" s="12"/>
      <c r="L1952" s="14" t="s">
        <v>2861</v>
      </c>
      <c r="M1952" s="12" t="s">
        <v>2874</v>
      </c>
      <c r="N1952" s="12"/>
      <c r="O1952" s="12" t="s">
        <v>2875</v>
      </c>
      <c r="P1952" s="12" t="str">
        <f>HYPERLINK("https://ceds.ed.gov/cedselementdetails.aspx?termid=10314")</f>
        <v>https://ceds.ed.gov/cedselementdetails.aspx?termid=10314</v>
      </c>
      <c r="Q1952" s="12" t="str">
        <f>HYPERLINK("https://ceds.ed.gov/elementComment.aspx?elementName=Financial Account Fund Classification &amp;elementID=10314", "Click here to submit comment")</f>
        <v>Click here to submit comment</v>
      </c>
    </row>
    <row r="1953" spans="1:17" ht="240" x14ac:dyDescent="0.25">
      <c r="A1953" s="12" t="s">
        <v>7242</v>
      </c>
      <c r="B1953" s="12" t="s">
        <v>7200</v>
      </c>
      <c r="C1953" s="12" t="s">
        <v>7192</v>
      </c>
      <c r="D1953" s="12" t="s">
        <v>7172</v>
      </c>
      <c r="E1953" s="12" t="s">
        <v>2884</v>
      </c>
      <c r="F1953" s="12" t="s">
        <v>2885</v>
      </c>
      <c r="G1953" s="13" t="s">
        <v>6921</v>
      </c>
      <c r="H1953" s="12"/>
      <c r="I1953" s="12" t="s">
        <v>98</v>
      </c>
      <c r="J1953" s="12"/>
      <c r="K1953" s="12"/>
      <c r="L1953" s="14" t="s">
        <v>2861</v>
      </c>
      <c r="M1953" s="12" t="s">
        <v>2886</v>
      </c>
      <c r="N1953" s="12"/>
      <c r="O1953" s="12" t="s">
        <v>2887</v>
      </c>
      <c r="P1953" s="12" t="str">
        <f>HYPERLINK("https://ceds.ed.gov/cedselementdetails.aspx?termid=10316")</f>
        <v>https://ceds.ed.gov/cedselementdetails.aspx?termid=10316</v>
      </c>
      <c r="Q1953" s="12" t="str">
        <f>HYPERLINK("https://ceds.ed.gov/elementComment.aspx?elementName=Financial Account Program Code &amp;elementID=10316", "Click here to submit comment")</f>
        <v>Click here to submit comment</v>
      </c>
    </row>
    <row r="1954" spans="1:17" ht="45" x14ac:dyDescent="0.25">
      <c r="A1954" s="12" t="s">
        <v>7242</v>
      </c>
      <c r="B1954" s="12" t="s">
        <v>7200</v>
      </c>
      <c r="C1954" s="12" t="s">
        <v>7192</v>
      </c>
      <c r="D1954" s="12" t="s">
        <v>7172</v>
      </c>
      <c r="E1954" s="12" t="s">
        <v>2892</v>
      </c>
      <c r="F1954" s="12" t="s">
        <v>2893</v>
      </c>
      <c r="G1954" s="12" t="s">
        <v>12</v>
      </c>
      <c r="H1954" s="12"/>
      <c r="I1954" s="12" t="s">
        <v>1498</v>
      </c>
      <c r="J1954" s="12" t="s">
        <v>92</v>
      </c>
      <c r="K1954" s="12"/>
      <c r="L1954" s="12"/>
      <c r="M1954" s="12" t="s">
        <v>2894</v>
      </c>
      <c r="N1954" s="12"/>
      <c r="O1954" s="12" t="s">
        <v>2895</v>
      </c>
      <c r="P1954" s="12" t="str">
        <f>HYPERLINK("https://ceds.ed.gov/cedselementdetails.aspx?termid=10627")</f>
        <v>https://ceds.ed.gov/cedselementdetails.aspx?termid=10627</v>
      </c>
      <c r="Q1954" s="12" t="str">
        <f>HYPERLINK("https://ceds.ed.gov/elementComment.aspx?elementName=Financial Account Program Number &amp;elementID=10627", "Click here to submit comment")</f>
        <v>Click here to submit comment</v>
      </c>
    </row>
    <row r="1955" spans="1:17" ht="45" x14ac:dyDescent="0.25">
      <c r="A1955" s="12" t="s">
        <v>7242</v>
      </c>
      <c r="B1955" s="12" t="s">
        <v>7200</v>
      </c>
      <c r="C1955" s="12" t="s">
        <v>7192</v>
      </c>
      <c r="D1955" s="12" t="s">
        <v>7172</v>
      </c>
      <c r="E1955" s="12" t="s">
        <v>2888</v>
      </c>
      <c r="F1955" s="12" t="s">
        <v>2889</v>
      </c>
      <c r="G1955" s="12" t="s">
        <v>12</v>
      </c>
      <c r="H1955" s="12"/>
      <c r="I1955" s="12" t="s">
        <v>1498</v>
      </c>
      <c r="J1955" s="12" t="s">
        <v>794</v>
      </c>
      <c r="K1955" s="12"/>
      <c r="L1955" s="12"/>
      <c r="M1955" s="12" t="s">
        <v>2890</v>
      </c>
      <c r="N1955" s="12"/>
      <c r="O1955" s="12" t="s">
        <v>2891</v>
      </c>
      <c r="P1955" s="12" t="str">
        <f>HYPERLINK("https://ceds.ed.gov/cedselementdetails.aspx?termid=10626")</f>
        <v>https://ceds.ed.gov/cedselementdetails.aspx?termid=10626</v>
      </c>
      <c r="Q1955" s="12" t="str">
        <f>HYPERLINK("https://ceds.ed.gov/elementComment.aspx?elementName=Financial Account Program Name &amp;elementID=10626", "Click here to submit comment")</f>
        <v>Click here to submit comment</v>
      </c>
    </row>
    <row r="1956" spans="1:17" ht="60" x14ac:dyDescent="0.25">
      <c r="A1956" s="18" t="s">
        <v>7242</v>
      </c>
      <c r="B1956" s="18" t="s">
        <v>7200</v>
      </c>
      <c r="C1956" s="18" t="s">
        <v>7192</v>
      </c>
      <c r="D1956" s="18" t="s">
        <v>7172</v>
      </c>
      <c r="E1956" s="18" t="s">
        <v>2896</v>
      </c>
      <c r="F1956" s="18" t="s">
        <v>2897</v>
      </c>
      <c r="G1956" s="20" t="s">
        <v>6922</v>
      </c>
      <c r="H1956" s="18"/>
      <c r="I1956" s="18" t="s">
        <v>98</v>
      </c>
      <c r="J1956" s="18"/>
      <c r="K1956" s="18"/>
      <c r="L1956" s="14" t="s">
        <v>2861</v>
      </c>
      <c r="M1956" s="18" t="s">
        <v>2899</v>
      </c>
      <c r="N1956" s="18"/>
      <c r="O1956" s="18" t="s">
        <v>2900</v>
      </c>
      <c r="P1956" s="18" t="str">
        <f>HYPERLINK("https://ceds.ed.gov/cedselementdetails.aspx?termid=10440")</f>
        <v>https://ceds.ed.gov/cedselementdetails.aspx?termid=10440</v>
      </c>
      <c r="Q1956" s="18" t="str">
        <f>HYPERLINK("https://ceds.ed.gov/elementComment.aspx?elementName=Financial Account Revenue Code &amp;elementID=10440", "Click here to submit comment")</f>
        <v>Click here to submit comment</v>
      </c>
    </row>
    <row r="1957" spans="1:17" x14ac:dyDescent="0.25">
      <c r="A1957" s="18"/>
      <c r="B1957" s="18"/>
      <c r="C1957" s="18"/>
      <c r="D1957" s="18"/>
      <c r="E1957" s="18"/>
      <c r="F1957" s="18"/>
      <c r="G1957" s="18"/>
      <c r="H1957" s="18"/>
      <c r="I1957" s="18"/>
      <c r="J1957" s="18"/>
      <c r="K1957" s="18"/>
      <c r="L1957" s="12"/>
      <c r="M1957" s="18"/>
      <c r="N1957" s="18"/>
      <c r="O1957" s="18"/>
      <c r="P1957" s="18"/>
      <c r="Q1957" s="18"/>
    </row>
    <row r="1958" spans="1:17" ht="30" x14ac:dyDescent="0.25">
      <c r="A1958" s="18"/>
      <c r="B1958" s="18"/>
      <c r="C1958" s="18"/>
      <c r="D1958" s="18"/>
      <c r="E1958" s="18"/>
      <c r="F1958" s="18"/>
      <c r="G1958" s="18"/>
      <c r="H1958" s="18"/>
      <c r="I1958" s="18"/>
      <c r="J1958" s="18"/>
      <c r="K1958" s="18"/>
      <c r="L1958" s="12" t="s">
        <v>2898</v>
      </c>
      <c r="M1958" s="18"/>
      <c r="N1958" s="18"/>
      <c r="O1958" s="18"/>
      <c r="P1958" s="18"/>
      <c r="Q1958" s="18"/>
    </row>
    <row r="1959" spans="1:17" ht="409.5" x14ac:dyDescent="0.25">
      <c r="A1959" s="12" t="s">
        <v>7242</v>
      </c>
      <c r="B1959" s="12" t="s">
        <v>7200</v>
      </c>
      <c r="C1959" s="12" t="s">
        <v>7192</v>
      </c>
      <c r="D1959" s="12" t="s">
        <v>7172</v>
      </c>
      <c r="E1959" s="12" t="s">
        <v>2968</v>
      </c>
      <c r="F1959" s="12" t="s">
        <v>2969</v>
      </c>
      <c r="G1959" s="13" t="s">
        <v>6928</v>
      </c>
      <c r="H1959" s="12"/>
      <c r="I1959" s="12" t="s">
        <v>98</v>
      </c>
      <c r="J1959" s="12"/>
      <c r="K1959" s="12"/>
      <c r="L1959" s="14" t="s">
        <v>2861</v>
      </c>
      <c r="M1959" s="12" t="s">
        <v>2970</v>
      </c>
      <c r="N1959" s="12"/>
      <c r="O1959" s="12" t="s">
        <v>2971</v>
      </c>
      <c r="P1959" s="12" t="str">
        <f>HYPERLINK("https://ceds.ed.gov/cedselementdetails.aspx?termid=10321")</f>
        <v>https://ceds.ed.gov/cedselementdetails.aspx?termid=10321</v>
      </c>
      <c r="Q1959" s="12" t="str">
        <f>HYPERLINK("https://ceds.ed.gov/elementComment.aspx?elementName=Financial Expenditure Function Code &amp;elementID=10321", "Click here to submit comment")</f>
        <v>Click here to submit comment</v>
      </c>
    </row>
    <row r="1960" spans="1:17" ht="409.5" x14ac:dyDescent="0.25">
      <c r="A1960" s="12" t="s">
        <v>7242</v>
      </c>
      <c r="B1960" s="12" t="s">
        <v>7200</v>
      </c>
      <c r="C1960" s="12" t="s">
        <v>7192</v>
      </c>
      <c r="D1960" s="12" t="s">
        <v>7172</v>
      </c>
      <c r="E1960" s="12" t="s">
        <v>2976</v>
      </c>
      <c r="F1960" s="12" t="s">
        <v>2977</v>
      </c>
      <c r="G1960" s="13" t="s">
        <v>6930</v>
      </c>
      <c r="H1960" s="12"/>
      <c r="I1960" s="12" t="s">
        <v>98</v>
      </c>
      <c r="J1960" s="12"/>
      <c r="K1960" s="12"/>
      <c r="L1960" s="14" t="s">
        <v>2861</v>
      </c>
      <c r="M1960" s="12" t="s">
        <v>2978</v>
      </c>
      <c r="N1960" s="12"/>
      <c r="O1960" s="12" t="s">
        <v>2979</v>
      </c>
      <c r="P1960" s="12" t="str">
        <f>HYPERLINK("https://ceds.ed.gov/cedselementdetails.aspx?termid=10322")</f>
        <v>https://ceds.ed.gov/cedselementdetails.aspx?termid=10322</v>
      </c>
      <c r="Q1960" s="12" t="str">
        <f>HYPERLINK("https://ceds.ed.gov/elementComment.aspx?elementName=Financial Expenditure Object Code &amp;elementID=10322", "Click here to submit comment")</f>
        <v>Click here to submit comment</v>
      </c>
    </row>
    <row r="1961" spans="1:17" ht="195" x14ac:dyDescent="0.25">
      <c r="A1961" s="12" t="s">
        <v>7242</v>
      </c>
      <c r="B1961" s="12" t="s">
        <v>7200</v>
      </c>
      <c r="C1961" s="12" t="s">
        <v>7192</v>
      </c>
      <c r="D1961" s="12" t="s">
        <v>7172</v>
      </c>
      <c r="E1961" s="12" t="s">
        <v>2972</v>
      </c>
      <c r="F1961" s="12" t="s">
        <v>2973</v>
      </c>
      <c r="G1961" s="13" t="s">
        <v>6929</v>
      </c>
      <c r="H1961" s="12"/>
      <c r="I1961" s="12" t="s">
        <v>98</v>
      </c>
      <c r="J1961" s="12"/>
      <c r="K1961" s="12"/>
      <c r="L1961" s="14" t="s">
        <v>2861</v>
      </c>
      <c r="M1961" s="12" t="s">
        <v>2974</v>
      </c>
      <c r="N1961" s="12"/>
      <c r="O1961" s="12" t="s">
        <v>2975</v>
      </c>
      <c r="P1961" s="12" t="str">
        <f>HYPERLINK("https://ceds.ed.gov/cedselementdetails.aspx?termid=10531")</f>
        <v>https://ceds.ed.gov/cedselementdetails.aspx?termid=10531</v>
      </c>
      <c r="Q1961" s="12" t="str">
        <f>HYPERLINK("https://ceds.ed.gov/elementComment.aspx?elementName=Financial Expenditure Level of Instruction Code &amp;elementID=10531", "Click here to submit comment")</f>
        <v>Click here to submit comment</v>
      </c>
    </row>
    <row r="1962" spans="1:17" ht="75" x14ac:dyDescent="0.25">
      <c r="A1962" s="18" t="s">
        <v>7242</v>
      </c>
      <c r="B1962" s="18" t="s">
        <v>7200</v>
      </c>
      <c r="C1962" s="18" t="s">
        <v>7192</v>
      </c>
      <c r="D1962" s="18" t="s">
        <v>7172</v>
      </c>
      <c r="E1962" s="18" t="s">
        <v>2980</v>
      </c>
      <c r="F1962" s="18" t="s">
        <v>2981</v>
      </c>
      <c r="G1962" s="18"/>
      <c r="H1962" s="18"/>
      <c r="I1962" s="18" t="s">
        <v>98</v>
      </c>
      <c r="J1962" s="18" t="s">
        <v>157</v>
      </c>
      <c r="K1962" s="18"/>
      <c r="L1962" s="14" t="s">
        <v>2982</v>
      </c>
      <c r="M1962" s="18" t="s">
        <v>2987</v>
      </c>
      <c r="N1962" s="18"/>
      <c r="O1962" s="18" t="s">
        <v>2988</v>
      </c>
      <c r="P1962" s="18" t="str">
        <f>HYPERLINK("https://ceds.ed.gov/cedselementdetails.aspx?termid=10532")</f>
        <v>https://ceds.ed.gov/cedselementdetails.aspx?termid=10532</v>
      </c>
      <c r="Q1962" s="18" t="str">
        <f>HYPERLINK("https://ceds.ed.gov/elementComment.aspx?elementName=Financial Expenditure Project Reporting Code &amp;elementID=10532", "Click here to submit comment")</f>
        <v>Click here to submit comment</v>
      </c>
    </row>
    <row r="1963" spans="1:17" x14ac:dyDescent="0.25">
      <c r="A1963" s="18"/>
      <c r="B1963" s="18"/>
      <c r="C1963" s="18"/>
      <c r="D1963" s="18"/>
      <c r="E1963" s="18"/>
      <c r="F1963" s="18"/>
      <c r="G1963" s="18"/>
      <c r="H1963" s="18"/>
      <c r="I1963" s="18"/>
      <c r="J1963" s="18"/>
      <c r="K1963" s="18"/>
      <c r="L1963" s="12"/>
      <c r="M1963" s="18"/>
      <c r="N1963" s="18"/>
      <c r="O1963" s="18"/>
      <c r="P1963" s="18"/>
      <c r="Q1963" s="18"/>
    </row>
    <row r="1964" spans="1:17" ht="45" x14ac:dyDescent="0.25">
      <c r="A1964" s="18"/>
      <c r="B1964" s="18"/>
      <c r="C1964" s="18"/>
      <c r="D1964" s="18"/>
      <c r="E1964" s="18"/>
      <c r="F1964" s="18"/>
      <c r="G1964" s="18"/>
      <c r="H1964" s="18"/>
      <c r="I1964" s="18"/>
      <c r="J1964" s="18"/>
      <c r="K1964" s="18"/>
      <c r="L1964" s="12" t="s">
        <v>2983</v>
      </c>
      <c r="M1964" s="18"/>
      <c r="N1964" s="18"/>
      <c r="O1964" s="18"/>
      <c r="P1964" s="18"/>
      <c r="Q1964" s="18"/>
    </row>
    <row r="1965" spans="1:17" x14ac:dyDescent="0.25">
      <c r="A1965" s="18"/>
      <c r="B1965" s="18"/>
      <c r="C1965" s="18"/>
      <c r="D1965" s="18"/>
      <c r="E1965" s="18"/>
      <c r="F1965" s="18"/>
      <c r="G1965" s="18"/>
      <c r="H1965" s="18"/>
      <c r="I1965" s="18"/>
      <c r="J1965" s="18"/>
      <c r="K1965" s="18"/>
      <c r="L1965" s="12"/>
      <c r="M1965" s="18"/>
      <c r="N1965" s="18"/>
      <c r="O1965" s="18"/>
      <c r="P1965" s="18"/>
      <c r="Q1965" s="18"/>
    </row>
    <row r="1966" spans="1:17" ht="45" x14ac:dyDescent="0.25">
      <c r="A1966" s="18"/>
      <c r="B1966" s="18"/>
      <c r="C1966" s="18"/>
      <c r="D1966" s="18"/>
      <c r="E1966" s="18"/>
      <c r="F1966" s="18"/>
      <c r="G1966" s="18"/>
      <c r="H1966" s="18"/>
      <c r="I1966" s="18"/>
      <c r="J1966" s="18"/>
      <c r="K1966" s="18"/>
      <c r="L1966" s="12" t="s">
        <v>2984</v>
      </c>
      <c r="M1966" s="18"/>
      <c r="N1966" s="18"/>
      <c r="O1966" s="18"/>
      <c r="P1966" s="18"/>
      <c r="Q1966" s="18"/>
    </row>
    <row r="1967" spans="1:17" x14ac:dyDescent="0.25">
      <c r="A1967" s="18"/>
      <c r="B1967" s="18"/>
      <c r="C1967" s="18"/>
      <c r="D1967" s="18"/>
      <c r="E1967" s="18"/>
      <c r="F1967" s="18"/>
      <c r="G1967" s="18"/>
      <c r="H1967" s="18"/>
      <c r="I1967" s="18"/>
      <c r="J1967" s="18"/>
      <c r="K1967" s="18"/>
      <c r="L1967" s="12"/>
      <c r="M1967" s="18"/>
      <c r="N1967" s="18"/>
      <c r="O1967" s="18"/>
      <c r="P1967" s="18"/>
      <c r="Q1967" s="18"/>
    </row>
    <row r="1968" spans="1:17" ht="60" x14ac:dyDescent="0.25">
      <c r="A1968" s="18"/>
      <c r="B1968" s="18"/>
      <c r="C1968" s="18"/>
      <c r="D1968" s="18"/>
      <c r="E1968" s="18"/>
      <c r="F1968" s="18"/>
      <c r="G1968" s="18"/>
      <c r="H1968" s="18"/>
      <c r="I1968" s="18"/>
      <c r="J1968" s="18"/>
      <c r="K1968" s="18"/>
      <c r="L1968" s="12" t="s">
        <v>2985</v>
      </c>
      <c r="M1968" s="18"/>
      <c r="N1968" s="18"/>
      <c r="O1968" s="18"/>
      <c r="P1968" s="18"/>
      <c r="Q1968" s="18"/>
    </row>
    <row r="1969" spans="1:17" x14ac:dyDescent="0.25">
      <c r="A1969" s="18"/>
      <c r="B1969" s="18"/>
      <c r="C1969" s="18"/>
      <c r="D1969" s="18"/>
      <c r="E1969" s="18"/>
      <c r="F1969" s="18"/>
      <c r="G1969" s="18"/>
      <c r="H1969" s="18"/>
      <c r="I1969" s="18"/>
      <c r="J1969" s="18"/>
      <c r="K1969" s="18"/>
      <c r="L1969" s="12"/>
      <c r="M1969" s="18"/>
      <c r="N1969" s="18"/>
      <c r="O1969" s="18"/>
      <c r="P1969" s="18"/>
      <c r="Q1969" s="18"/>
    </row>
    <row r="1970" spans="1:17" ht="30" x14ac:dyDescent="0.25">
      <c r="A1970" s="18"/>
      <c r="B1970" s="18"/>
      <c r="C1970" s="18"/>
      <c r="D1970" s="18"/>
      <c r="E1970" s="18"/>
      <c r="F1970" s="18"/>
      <c r="G1970" s="18"/>
      <c r="H1970" s="18"/>
      <c r="I1970" s="18"/>
      <c r="J1970" s="18"/>
      <c r="K1970" s="18"/>
      <c r="L1970" s="12" t="s">
        <v>2986</v>
      </c>
      <c r="M1970" s="18"/>
      <c r="N1970" s="18"/>
      <c r="O1970" s="18"/>
      <c r="P1970" s="18"/>
      <c r="Q1970" s="18"/>
    </row>
    <row r="1971" spans="1:17" ht="105" x14ac:dyDescent="0.25">
      <c r="A1971" s="18" t="s">
        <v>7242</v>
      </c>
      <c r="B1971" s="18" t="s">
        <v>7286</v>
      </c>
      <c r="C1971" s="18"/>
      <c r="D1971" s="18" t="s">
        <v>7172</v>
      </c>
      <c r="E1971" s="18" t="s">
        <v>3350</v>
      </c>
      <c r="F1971" s="18" t="s">
        <v>3351</v>
      </c>
      <c r="G1971" s="18" t="s">
        <v>12</v>
      </c>
      <c r="H1971" s="18"/>
      <c r="I1971" s="18"/>
      <c r="J1971" s="18" t="s">
        <v>142</v>
      </c>
      <c r="K1971" s="18"/>
      <c r="L1971" s="12" t="s">
        <v>143</v>
      </c>
      <c r="M1971" s="18" t="s">
        <v>3352</v>
      </c>
      <c r="N1971" s="18"/>
      <c r="O1971" s="18" t="s">
        <v>3353</v>
      </c>
      <c r="P1971" s="18" t="str">
        <f>HYPERLINK("https://ceds.ed.gov/cedselementdetails.aspx?termid=9492")</f>
        <v>https://ceds.ed.gov/cedselementdetails.aspx?termid=9492</v>
      </c>
      <c r="Q1971" s="18" t="str">
        <f>HYPERLINK("https://ceds.ed.gov/elementComment.aspx?elementName=Incident Identifier &amp;elementID=9492", "Click here to submit comment")</f>
        <v>Click here to submit comment</v>
      </c>
    </row>
    <row r="1972" spans="1:17" x14ac:dyDescent="0.25">
      <c r="A1972" s="18"/>
      <c r="B1972" s="18"/>
      <c r="C1972" s="18"/>
      <c r="D1972" s="18"/>
      <c r="E1972" s="18"/>
      <c r="F1972" s="18"/>
      <c r="G1972" s="18"/>
      <c r="H1972" s="18"/>
      <c r="I1972" s="18"/>
      <c r="J1972" s="18"/>
      <c r="K1972" s="18"/>
      <c r="L1972" s="12"/>
      <c r="M1972" s="18"/>
      <c r="N1972" s="18"/>
      <c r="O1972" s="18"/>
      <c r="P1972" s="18"/>
      <c r="Q1972" s="18"/>
    </row>
    <row r="1973" spans="1:17" ht="90" x14ac:dyDescent="0.25">
      <c r="A1973" s="18"/>
      <c r="B1973" s="18"/>
      <c r="C1973" s="18"/>
      <c r="D1973" s="18"/>
      <c r="E1973" s="18"/>
      <c r="F1973" s="18"/>
      <c r="G1973" s="18"/>
      <c r="H1973" s="18"/>
      <c r="I1973" s="18"/>
      <c r="J1973" s="18"/>
      <c r="K1973" s="18"/>
      <c r="L1973" s="12" t="s">
        <v>144</v>
      </c>
      <c r="M1973" s="18"/>
      <c r="N1973" s="18"/>
      <c r="O1973" s="18"/>
      <c r="P1973" s="18"/>
      <c r="Q1973" s="18"/>
    </row>
    <row r="1974" spans="1:17" ht="30" x14ac:dyDescent="0.25">
      <c r="A1974" s="12" t="s">
        <v>7242</v>
      </c>
      <c r="B1974" s="12" t="s">
        <v>7286</v>
      </c>
      <c r="C1974" s="12"/>
      <c r="D1974" s="12" t="s">
        <v>7172</v>
      </c>
      <c r="E1974" s="12" t="s">
        <v>3342</v>
      </c>
      <c r="F1974" s="12" t="s">
        <v>3343</v>
      </c>
      <c r="G1974" s="12" t="s">
        <v>12</v>
      </c>
      <c r="H1974" s="12"/>
      <c r="I1974" s="12"/>
      <c r="J1974" s="12" t="s">
        <v>73</v>
      </c>
      <c r="K1974" s="12"/>
      <c r="L1974" s="12"/>
      <c r="M1974" s="12" t="s">
        <v>3344</v>
      </c>
      <c r="N1974" s="12"/>
      <c r="O1974" s="12" t="s">
        <v>3345</v>
      </c>
      <c r="P1974" s="12" t="str">
        <f>HYPERLINK("https://ceds.ed.gov/cedselementdetails.aspx?termid=9493")</f>
        <v>https://ceds.ed.gov/cedselementdetails.aspx?termid=9493</v>
      </c>
      <c r="Q1974" s="12" t="str">
        <f>HYPERLINK("https://ceds.ed.gov/elementComment.aspx?elementName=Incident Date &amp;elementID=9493", "Click here to submit comment")</f>
        <v>Click here to submit comment</v>
      </c>
    </row>
    <row r="1975" spans="1:17" ht="30" x14ac:dyDescent="0.25">
      <c r="A1975" s="12" t="s">
        <v>7242</v>
      </c>
      <c r="B1975" s="12" t="s">
        <v>7286</v>
      </c>
      <c r="C1975" s="12"/>
      <c r="D1975" s="12" t="s">
        <v>7172</v>
      </c>
      <c r="E1975" s="12" t="s">
        <v>3400</v>
      </c>
      <c r="F1975" s="12" t="s">
        <v>3401</v>
      </c>
      <c r="G1975" s="12" t="s">
        <v>12</v>
      </c>
      <c r="H1975" s="12"/>
      <c r="I1975" s="12"/>
      <c r="J1975" s="12" t="s">
        <v>437</v>
      </c>
      <c r="K1975" s="12"/>
      <c r="L1975" s="12"/>
      <c r="M1975" s="12" t="s">
        <v>3402</v>
      </c>
      <c r="N1975" s="12"/>
      <c r="O1975" s="12" t="s">
        <v>3403</v>
      </c>
      <c r="P1975" s="12" t="str">
        <f>HYPERLINK("https://ceds.ed.gov/cedselementdetails.aspx?termid=9494")</f>
        <v>https://ceds.ed.gov/cedselementdetails.aspx?termid=9494</v>
      </c>
      <c r="Q1975" s="12" t="str">
        <f>HYPERLINK("https://ceds.ed.gov/elementComment.aspx?elementName=Incident Time &amp;elementID=9494", "Click here to submit comment")</f>
        <v>Click here to submit comment</v>
      </c>
    </row>
    <row r="1976" spans="1:17" ht="409.5" x14ac:dyDescent="0.25">
      <c r="A1976" s="12" t="s">
        <v>7242</v>
      </c>
      <c r="B1976" s="12" t="s">
        <v>7286</v>
      </c>
      <c r="C1976" s="12"/>
      <c r="D1976" s="12" t="s">
        <v>7172</v>
      </c>
      <c r="E1976" s="12" t="s">
        <v>3359</v>
      </c>
      <c r="F1976" s="12" t="s">
        <v>3360</v>
      </c>
      <c r="G1976" s="13" t="s">
        <v>6961</v>
      </c>
      <c r="H1976" s="12"/>
      <c r="I1976" s="12"/>
      <c r="J1976" s="12"/>
      <c r="K1976" s="12"/>
      <c r="L1976" s="12"/>
      <c r="M1976" s="12" t="s">
        <v>3361</v>
      </c>
      <c r="N1976" s="12"/>
      <c r="O1976" s="12" t="s">
        <v>3362</v>
      </c>
      <c r="P1976" s="12" t="str">
        <f>HYPERLINK("https://ceds.ed.gov/cedselementdetails.aspx?termid=9610")</f>
        <v>https://ceds.ed.gov/cedselementdetails.aspx?termid=9610</v>
      </c>
      <c r="Q1976" s="12" t="str">
        <f>HYPERLINK("https://ceds.ed.gov/elementComment.aspx?elementName=Incident Location &amp;elementID=9610", "Click here to submit comment")</f>
        <v>Click here to submit comment</v>
      </c>
    </row>
    <row r="1977" spans="1:17" ht="409.5" x14ac:dyDescent="0.25">
      <c r="A1977" s="12" t="s">
        <v>7242</v>
      </c>
      <c r="B1977" s="12" t="s">
        <v>7286</v>
      </c>
      <c r="C1977" s="12"/>
      <c r="D1977" s="12" t="s">
        <v>7172</v>
      </c>
      <c r="E1977" s="12" t="s">
        <v>3396</v>
      </c>
      <c r="F1977" s="12" t="s">
        <v>3397</v>
      </c>
      <c r="G1977" s="13" t="s">
        <v>6965</v>
      </c>
      <c r="H1977" s="12"/>
      <c r="I1977" s="12"/>
      <c r="J1977" s="12"/>
      <c r="K1977" s="12"/>
      <c r="L1977" s="12"/>
      <c r="M1977" s="12" t="s">
        <v>3398</v>
      </c>
      <c r="N1977" s="12"/>
      <c r="O1977" s="12" t="s">
        <v>3399</v>
      </c>
      <c r="P1977" s="12" t="str">
        <f>HYPERLINK("https://ceds.ed.gov/cedselementdetails.aspx?termid=9497")</f>
        <v>https://ceds.ed.gov/cedselementdetails.aspx?termid=9497</v>
      </c>
      <c r="Q1977" s="12" t="str">
        <f>HYPERLINK("https://ceds.ed.gov/elementComment.aspx?elementName=Incident Reporter Type &amp;elementID=9497", "Click here to submit comment")</f>
        <v>Click here to submit comment</v>
      </c>
    </row>
    <row r="1978" spans="1:17" ht="105" x14ac:dyDescent="0.25">
      <c r="A1978" s="18" t="s">
        <v>7242</v>
      </c>
      <c r="B1978" s="18" t="s">
        <v>7286</v>
      </c>
      <c r="C1978" s="18"/>
      <c r="D1978" s="18" t="s">
        <v>7172</v>
      </c>
      <c r="E1978" s="18" t="s">
        <v>5370</v>
      </c>
      <c r="F1978" s="18" t="s">
        <v>5371</v>
      </c>
      <c r="G1978" s="18" t="s">
        <v>12</v>
      </c>
      <c r="H1978" s="18"/>
      <c r="I1978" s="18"/>
      <c r="J1978" s="18" t="s">
        <v>142</v>
      </c>
      <c r="K1978" s="18"/>
      <c r="L1978" s="12" t="s">
        <v>143</v>
      </c>
      <c r="M1978" s="18" t="s">
        <v>5372</v>
      </c>
      <c r="N1978" s="18"/>
      <c r="O1978" s="18" t="s">
        <v>5373</v>
      </c>
      <c r="P1978" s="18" t="str">
        <f>HYPERLINK("https://ceds.ed.gov/cedselementdetails.aspx?termid=9498")</f>
        <v>https://ceds.ed.gov/cedselementdetails.aspx?termid=9498</v>
      </c>
      <c r="Q1978" s="18" t="str">
        <f>HYPERLINK("https://ceds.ed.gov/elementComment.aspx?elementName=Reporter Identifier &amp;elementID=9498", "Click here to submit comment")</f>
        <v>Click here to submit comment</v>
      </c>
    </row>
    <row r="1979" spans="1:17" x14ac:dyDescent="0.25">
      <c r="A1979" s="18"/>
      <c r="B1979" s="18"/>
      <c r="C1979" s="18"/>
      <c r="D1979" s="18"/>
      <c r="E1979" s="18"/>
      <c r="F1979" s="18"/>
      <c r="G1979" s="18"/>
      <c r="H1979" s="18"/>
      <c r="I1979" s="18"/>
      <c r="J1979" s="18"/>
      <c r="K1979" s="18"/>
      <c r="L1979" s="12"/>
      <c r="M1979" s="18"/>
      <c r="N1979" s="18"/>
      <c r="O1979" s="18"/>
      <c r="P1979" s="18"/>
      <c r="Q1979" s="18"/>
    </row>
    <row r="1980" spans="1:17" ht="90" x14ac:dyDescent="0.25">
      <c r="A1980" s="18"/>
      <c r="B1980" s="18"/>
      <c r="C1980" s="18"/>
      <c r="D1980" s="18"/>
      <c r="E1980" s="18"/>
      <c r="F1980" s="18"/>
      <c r="G1980" s="18"/>
      <c r="H1980" s="18"/>
      <c r="I1980" s="18"/>
      <c r="J1980" s="18"/>
      <c r="K1980" s="18"/>
      <c r="L1980" s="12" t="s">
        <v>144</v>
      </c>
      <c r="M1980" s="18"/>
      <c r="N1980" s="18"/>
      <c r="O1980" s="18"/>
      <c r="P1980" s="18"/>
      <c r="Q1980" s="18"/>
    </row>
    <row r="1981" spans="1:17" ht="30" x14ac:dyDescent="0.25">
      <c r="A1981" s="12" t="s">
        <v>7242</v>
      </c>
      <c r="B1981" s="12" t="s">
        <v>7286</v>
      </c>
      <c r="C1981" s="12"/>
      <c r="D1981" s="12" t="s">
        <v>7172</v>
      </c>
      <c r="E1981" s="12" t="s">
        <v>3346</v>
      </c>
      <c r="F1981" s="12" t="s">
        <v>3347</v>
      </c>
      <c r="G1981" s="12" t="s">
        <v>12</v>
      </c>
      <c r="H1981" s="12"/>
      <c r="I1981" s="12"/>
      <c r="J1981" s="12" t="s">
        <v>327</v>
      </c>
      <c r="K1981" s="12"/>
      <c r="L1981" s="12"/>
      <c r="M1981" s="12" t="s">
        <v>3348</v>
      </c>
      <c r="N1981" s="12"/>
      <c r="O1981" s="12" t="s">
        <v>3349</v>
      </c>
      <c r="P1981" s="12" t="str">
        <f>HYPERLINK("https://ceds.ed.gov/cedselementdetails.aspx?termid=9499")</f>
        <v>https://ceds.ed.gov/cedselementdetails.aspx?termid=9499</v>
      </c>
      <c r="Q1981" s="12" t="str">
        <f>HYPERLINK("https://ceds.ed.gov/elementComment.aspx?elementName=Incident Description &amp;elementID=9499", "Click here to submit comment")</f>
        <v>Click here to submit comment</v>
      </c>
    </row>
    <row r="1982" spans="1:17" ht="409.5" x14ac:dyDescent="0.25">
      <c r="A1982" s="12" t="s">
        <v>7242</v>
      </c>
      <c r="B1982" s="12" t="s">
        <v>7286</v>
      </c>
      <c r="C1982" s="12"/>
      <c r="D1982" s="12" t="s">
        <v>7172</v>
      </c>
      <c r="E1982" s="12" t="s">
        <v>3334</v>
      </c>
      <c r="F1982" s="12" t="s">
        <v>3335</v>
      </c>
      <c r="G1982" s="13" t="s">
        <v>6959</v>
      </c>
      <c r="H1982" s="12"/>
      <c r="I1982" s="12"/>
      <c r="J1982" s="12"/>
      <c r="K1982" s="12"/>
      <c r="L1982" s="12"/>
      <c r="M1982" s="12" t="s">
        <v>3336</v>
      </c>
      <c r="N1982" s="12"/>
      <c r="O1982" s="12" t="s">
        <v>3337</v>
      </c>
      <c r="P1982" s="12" t="str">
        <f>HYPERLINK("https://ceds.ed.gov/cedselementdetails.aspx?termid=9500")</f>
        <v>https://ceds.ed.gov/cedselementdetails.aspx?termid=9500</v>
      </c>
      <c r="Q1982" s="12" t="str">
        <f>HYPERLINK("https://ceds.ed.gov/elementComment.aspx?elementName=Incident Behavior &amp;elementID=9500", "Click here to submit comment")</f>
        <v>Click here to submit comment</v>
      </c>
    </row>
    <row r="1983" spans="1:17" ht="105" x14ac:dyDescent="0.25">
      <c r="A1983" s="12" t="s">
        <v>7242</v>
      </c>
      <c r="B1983" s="12" t="s">
        <v>7286</v>
      </c>
      <c r="C1983" s="12"/>
      <c r="D1983" s="12" t="s">
        <v>7172</v>
      </c>
      <c r="E1983" s="12" t="s">
        <v>3354</v>
      </c>
      <c r="F1983" s="12" t="s">
        <v>3355</v>
      </c>
      <c r="G1983" s="13" t="s">
        <v>6960</v>
      </c>
      <c r="H1983" s="12"/>
      <c r="I1983" s="12"/>
      <c r="J1983" s="12"/>
      <c r="K1983" s="12"/>
      <c r="L1983" s="12" t="s">
        <v>3356</v>
      </c>
      <c r="M1983" s="12" t="s">
        <v>3357</v>
      </c>
      <c r="N1983" s="12"/>
      <c r="O1983" s="12" t="s">
        <v>3358</v>
      </c>
      <c r="P1983" s="12" t="str">
        <f>HYPERLINK("https://ceds.ed.gov/cedselementdetails.aspx?termid=9501")</f>
        <v>https://ceds.ed.gov/cedselementdetails.aspx?termid=9501</v>
      </c>
      <c r="Q1983" s="12" t="str">
        <f>HYPERLINK("https://ceds.ed.gov/elementComment.aspx?elementName=Incident Injury Type &amp;elementID=9501", "Click here to submit comment")</f>
        <v>Click here to submit comment</v>
      </c>
    </row>
    <row r="1984" spans="1:17" ht="75" x14ac:dyDescent="0.25">
      <c r="A1984" s="12" t="s">
        <v>7242</v>
      </c>
      <c r="B1984" s="12" t="s">
        <v>7286</v>
      </c>
      <c r="C1984" s="12"/>
      <c r="D1984" s="12" t="s">
        <v>7172</v>
      </c>
      <c r="E1984" s="12" t="s">
        <v>5366</v>
      </c>
      <c r="F1984" s="12" t="s">
        <v>5367</v>
      </c>
      <c r="G1984" s="12" t="s">
        <v>6364</v>
      </c>
      <c r="H1984" s="12"/>
      <c r="I1984" s="12"/>
      <c r="J1984" s="12"/>
      <c r="K1984" s="12"/>
      <c r="L1984" s="12"/>
      <c r="M1984" s="12" t="s">
        <v>5368</v>
      </c>
      <c r="N1984" s="12"/>
      <c r="O1984" s="12" t="s">
        <v>5369</v>
      </c>
      <c r="P1984" s="12" t="str">
        <f>HYPERLINK("https://ceds.ed.gov/cedselementdetails.aspx?termid=9503")</f>
        <v>https://ceds.ed.gov/cedselementdetails.aspx?termid=9503</v>
      </c>
      <c r="Q1984" s="12" t="str">
        <f>HYPERLINK("https://ceds.ed.gov/elementComment.aspx?elementName=Related to Zero Tolerance Policy &amp;elementID=9503", "Click here to submit comment")</f>
        <v>Click here to submit comment</v>
      </c>
    </row>
    <row r="1985" spans="1:17" ht="210" x14ac:dyDescent="0.25">
      <c r="A1985" s="12" t="s">
        <v>7242</v>
      </c>
      <c r="B1985" s="12" t="s">
        <v>7286</v>
      </c>
      <c r="C1985" s="12"/>
      <c r="D1985" s="12" t="s">
        <v>7172</v>
      </c>
      <c r="E1985" s="12" t="s">
        <v>3404</v>
      </c>
      <c r="F1985" s="12" t="s">
        <v>3405</v>
      </c>
      <c r="G1985" s="13" t="s">
        <v>6966</v>
      </c>
      <c r="H1985" s="12"/>
      <c r="I1985" s="12"/>
      <c r="J1985" s="12"/>
      <c r="K1985" s="12"/>
      <c r="L1985" s="12"/>
      <c r="M1985" s="12" t="s">
        <v>3406</v>
      </c>
      <c r="N1985" s="12"/>
      <c r="O1985" s="12" t="s">
        <v>3407</v>
      </c>
      <c r="P1985" s="12" t="str">
        <f>HYPERLINK("https://ceds.ed.gov/cedselementdetails.aspx?termid=9506")</f>
        <v>https://ceds.ed.gov/cedselementdetails.aspx?termid=9506</v>
      </c>
      <c r="Q1985" s="12" t="str">
        <f>HYPERLINK("https://ceds.ed.gov/elementComment.aspx?elementName=Incident Time Description Code &amp;elementID=9506", "Click here to submit comment")</f>
        <v>Click here to submit comment</v>
      </c>
    </row>
    <row r="1986" spans="1:17" ht="75" x14ac:dyDescent="0.25">
      <c r="A1986" s="12" t="s">
        <v>7242</v>
      </c>
      <c r="B1986" s="12" t="s">
        <v>7286</v>
      </c>
      <c r="C1986" s="12"/>
      <c r="D1986" s="12" t="s">
        <v>7172</v>
      </c>
      <c r="E1986" s="12" t="s">
        <v>3289</v>
      </c>
      <c r="F1986" s="12" t="s">
        <v>3290</v>
      </c>
      <c r="G1986" s="13" t="s">
        <v>6956</v>
      </c>
      <c r="H1986" s="12" t="s">
        <v>222</v>
      </c>
      <c r="I1986" s="12"/>
      <c r="J1986" s="12"/>
      <c r="K1986" s="12"/>
      <c r="L1986" s="12"/>
      <c r="M1986" s="12" t="s">
        <v>3291</v>
      </c>
      <c r="N1986" s="12"/>
      <c r="O1986" s="12" t="s">
        <v>3292</v>
      </c>
      <c r="P1986" s="12" t="str">
        <f>HYPERLINK("https://ceds.ed.gov/cedselementdetails.aspx?termid=9530")</f>
        <v>https://ceds.ed.gov/cedselementdetails.aspx?termid=9530</v>
      </c>
      <c r="Q1986" s="12" t="str">
        <f>HYPERLINK("https://ceds.ed.gov/elementComment.aspx?elementName=IDEA Interim Removal Reason &amp;elementID=9530", "Click here to submit comment")</f>
        <v>Click here to submit comment</v>
      </c>
    </row>
    <row r="1987" spans="1:17" ht="75" x14ac:dyDescent="0.25">
      <c r="A1987" s="12" t="s">
        <v>7242</v>
      </c>
      <c r="B1987" s="12" t="s">
        <v>7286</v>
      </c>
      <c r="C1987" s="12"/>
      <c r="D1987" s="12" t="s">
        <v>7172</v>
      </c>
      <c r="E1987" s="12" t="s">
        <v>3285</v>
      </c>
      <c r="F1987" s="12" t="s">
        <v>3286</v>
      </c>
      <c r="G1987" s="13" t="s">
        <v>6955</v>
      </c>
      <c r="H1987" s="12" t="s">
        <v>222</v>
      </c>
      <c r="I1987" s="12"/>
      <c r="J1987" s="12"/>
      <c r="K1987" s="12"/>
      <c r="L1987" s="12"/>
      <c r="M1987" s="12" t="s">
        <v>3287</v>
      </c>
      <c r="N1987" s="12"/>
      <c r="O1987" s="12" t="s">
        <v>3288</v>
      </c>
      <c r="P1987" s="12" t="str">
        <f>HYPERLINK("https://ceds.ed.gov/cedselementdetails.aspx?termid=9532")</f>
        <v>https://ceds.ed.gov/cedselementdetails.aspx?termid=9532</v>
      </c>
      <c r="Q1987" s="12" t="str">
        <f>HYPERLINK("https://ceds.ed.gov/elementComment.aspx?elementName=IDEA Interim Removal &amp;elementID=9532", "Click here to submit comment")</f>
        <v>Click here to submit comment</v>
      </c>
    </row>
    <row r="1988" spans="1:17" ht="180" x14ac:dyDescent="0.25">
      <c r="A1988" s="12" t="s">
        <v>7242</v>
      </c>
      <c r="B1988" s="12" t="s">
        <v>7286</v>
      </c>
      <c r="C1988" s="12"/>
      <c r="D1988" s="12" t="s">
        <v>7172</v>
      </c>
      <c r="E1988" s="12" t="s">
        <v>2383</v>
      </c>
      <c r="F1988" s="12" t="s">
        <v>2384</v>
      </c>
      <c r="G1988" s="13" t="s">
        <v>6869</v>
      </c>
      <c r="H1988" s="12" t="s">
        <v>222</v>
      </c>
      <c r="I1988" s="12"/>
      <c r="J1988" s="12"/>
      <c r="K1988" s="12"/>
      <c r="L1988" s="12"/>
      <c r="M1988" s="12" t="s">
        <v>2385</v>
      </c>
      <c r="N1988" s="12"/>
      <c r="O1988" s="12" t="s">
        <v>2386</v>
      </c>
      <c r="P1988" s="12" t="str">
        <f>HYPERLINK("https://ceds.ed.gov/cedselementdetails.aspx?termid=9536")</f>
        <v>https://ceds.ed.gov/cedselementdetails.aspx?termid=9536</v>
      </c>
      <c r="Q1988" s="12" t="str">
        <f>HYPERLINK("https://ceds.ed.gov/elementComment.aspx?elementName=Discipline Reason &amp;elementID=9536", "Click here to submit comment")</f>
        <v>Click here to submit comment</v>
      </c>
    </row>
    <row r="1989" spans="1:17" ht="90" x14ac:dyDescent="0.25">
      <c r="A1989" s="12" t="s">
        <v>7242</v>
      </c>
      <c r="B1989" s="12" t="s">
        <v>7286</v>
      </c>
      <c r="C1989" s="12"/>
      <c r="D1989" s="12" t="s">
        <v>7172</v>
      </c>
      <c r="E1989" s="12" t="s">
        <v>2999</v>
      </c>
      <c r="F1989" s="12" t="s">
        <v>3000</v>
      </c>
      <c r="G1989" s="13" t="s">
        <v>6932</v>
      </c>
      <c r="H1989" s="12" t="s">
        <v>222</v>
      </c>
      <c r="I1989" s="12"/>
      <c r="J1989" s="12"/>
      <c r="K1989" s="12"/>
      <c r="L1989" s="12"/>
      <c r="M1989" s="12" t="s">
        <v>3002</v>
      </c>
      <c r="N1989" s="12"/>
      <c r="O1989" s="12" t="s">
        <v>3003</v>
      </c>
      <c r="P1989" s="12" t="str">
        <f>HYPERLINK("https://ceds.ed.gov/cedselementdetails.aspx?termid=9548")</f>
        <v>https://ceds.ed.gov/cedselementdetails.aspx?termid=9548</v>
      </c>
      <c r="Q1989" s="12" t="str">
        <f>HYPERLINK("https://ceds.ed.gov/elementComment.aspx?elementName=Firearm Type &amp;elementID=9548", "Click here to submit comment")</f>
        <v>Click here to submit comment</v>
      </c>
    </row>
    <row r="1990" spans="1:17" ht="75" x14ac:dyDescent="0.25">
      <c r="A1990" s="12" t="s">
        <v>7242</v>
      </c>
      <c r="B1990" s="12" t="s">
        <v>7286</v>
      </c>
      <c r="C1990" s="12"/>
      <c r="D1990" s="12" t="s">
        <v>7172</v>
      </c>
      <c r="E1990" s="12" t="s">
        <v>2643</v>
      </c>
      <c r="F1990" s="12" t="s">
        <v>2644</v>
      </c>
      <c r="G1990" s="12" t="s">
        <v>6364</v>
      </c>
      <c r="H1990" s="12"/>
      <c r="I1990" s="12"/>
      <c r="J1990" s="12"/>
      <c r="K1990" s="12"/>
      <c r="L1990" s="12"/>
      <c r="M1990" s="12" t="s">
        <v>2645</v>
      </c>
      <c r="N1990" s="12"/>
      <c r="O1990" s="12" t="s">
        <v>2646</v>
      </c>
      <c r="P1990" s="12" t="str">
        <f>HYPERLINK("https://ceds.ed.gov/cedselementdetails.aspx?termid=9570")</f>
        <v>https://ceds.ed.gov/cedselementdetails.aspx?termid=9570</v>
      </c>
      <c r="Q1990" s="12" t="str">
        <f>HYPERLINK("https://ceds.ed.gov/elementComment.aspx?elementName=Educational Services After Removal &amp;elementID=9570", "Click here to submit comment")</f>
        <v>Click here to submit comment</v>
      </c>
    </row>
    <row r="1991" spans="1:17" ht="195" x14ac:dyDescent="0.25">
      <c r="A1991" s="12" t="s">
        <v>7242</v>
      </c>
      <c r="B1991" s="12" t="s">
        <v>7286</v>
      </c>
      <c r="C1991" s="12"/>
      <c r="D1991" s="12" t="s">
        <v>7172</v>
      </c>
      <c r="E1991" s="12" t="s">
        <v>3338</v>
      </c>
      <c r="F1991" s="12" t="s">
        <v>3339</v>
      </c>
      <c r="G1991" s="12" t="s">
        <v>12</v>
      </c>
      <c r="H1991" s="12"/>
      <c r="I1991" s="12"/>
      <c r="J1991" s="12" t="s">
        <v>92</v>
      </c>
      <c r="K1991" s="12"/>
      <c r="L1991" s="12"/>
      <c r="M1991" s="12" t="s">
        <v>3340</v>
      </c>
      <c r="N1991" s="12"/>
      <c r="O1991" s="12" t="s">
        <v>3341</v>
      </c>
      <c r="P1991" s="12" t="str">
        <f>HYPERLINK("https://ceds.ed.gov/cedselementdetails.aspx?termid=9496")</f>
        <v>https://ceds.ed.gov/cedselementdetails.aspx?termid=9496</v>
      </c>
      <c r="Q1991" s="12" t="str">
        <f>HYPERLINK("https://ceds.ed.gov/elementComment.aspx?elementName=Incident Cost &amp;elementID=9496", "Click here to submit comment")</f>
        <v>Click here to submit comment</v>
      </c>
    </row>
    <row r="1992" spans="1:17" ht="150" x14ac:dyDescent="0.25">
      <c r="A1992" s="12" t="s">
        <v>7242</v>
      </c>
      <c r="B1992" s="12" t="s">
        <v>7286</v>
      </c>
      <c r="C1992" s="12"/>
      <c r="D1992" s="12" t="s">
        <v>7172</v>
      </c>
      <c r="E1992" s="12" t="s">
        <v>5631</v>
      </c>
      <c r="F1992" s="12" t="s">
        <v>5632</v>
      </c>
      <c r="G1992" s="13" t="s">
        <v>7109</v>
      </c>
      <c r="H1992" s="12"/>
      <c r="I1992" s="12"/>
      <c r="J1992" s="12"/>
      <c r="K1992" s="12"/>
      <c r="L1992" s="12"/>
      <c r="M1992" s="12" t="s">
        <v>5633</v>
      </c>
      <c r="N1992" s="12"/>
      <c r="O1992" s="12" t="s">
        <v>5634</v>
      </c>
      <c r="P1992" s="12" t="str">
        <f>HYPERLINK("https://ceds.ed.gov/cedselementdetails.aspx?termid=9620")</f>
        <v>https://ceds.ed.gov/cedselementdetails.aspx?termid=9620</v>
      </c>
      <c r="Q1992" s="12" t="str">
        <f>HYPERLINK("https://ceds.ed.gov/elementComment.aspx?elementName=Secondary Incident Behavior &amp;elementID=9620", "Click here to submit comment")</f>
        <v>Click here to submit comment</v>
      </c>
    </row>
    <row r="1993" spans="1:17" ht="285" x14ac:dyDescent="0.25">
      <c r="A1993" s="12" t="s">
        <v>7242</v>
      </c>
      <c r="B1993" s="12" t="s">
        <v>7286</v>
      </c>
      <c r="C1993" s="12"/>
      <c r="D1993" s="12" t="s">
        <v>7172</v>
      </c>
      <c r="E1993" s="12" t="s">
        <v>6308</v>
      </c>
      <c r="F1993" s="12" t="s">
        <v>6309</v>
      </c>
      <c r="G1993" s="13" t="s">
        <v>7155</v>
      </c>
      <c r="H1993" s="12"/>
      <c r="I1993" s="12"/>
      <c r="J1993" s="12"/>
      <c r="K1993" s="12"/>
      <c r="L1993" s="12" t="s">
        <v>6310</v>
      </c>
      <c r="M1993" s="12" t="s">
        <v>6311</v>
      </c>
      <c r="N1993" s="12"/>
      <c r="O1993" s="12" t="s">
        <v>6312</v>
      </c>
      <c r="P1993" s="12" t="str">
        <f>HYPERLINK("https://ceds.ed.gov/cedselementdetails.aspx?termid=10178")</f>
        <v>https://ceds.ed.gov/cedselementdetails.aspx?termid=10178</v>
      </c>
      <c r="Q1993" s="12" t="str">
        <f>HYPERLINK("https://ceds.ed.gov/elementComment.aspx?elementName=Weapon Type &amp;elementID=10178", "Click here to submit comment")</f>
        <v>Click here to submit comment</v>
      </c>
    </row>
    <row r="1994" spans="1:17" ht="30" x14ac:dyDescent="0.25">
      <c r="A1994" s="12" t="s">
        <v>7242</v>
      </c>
      <c r="B1994" s="12" t="s">
        <v>7286</v>
      </c>
      <c r="C1994" s="12"/>
      <c r="D1994" s="12" t="s">
        <v>7172</v>
      </c>
      <c r="E1994" s="12" t="s">
        <v>2362</v>
      </c>
      <c r="F1994" s="12" t="s">
        <v>2363</v>
      </c>
      <c r="G1994" s="12" t="s">
        <v>12</v>
      </c>
      <c r="H1994" s="12" t="s">
        <v>4</v>
      </c>
      <c r="I1994" s="12"/>
      <c r="J1994" s="12" t="s">
        <v>73</v>
      </c>
      <c r="K1994" s="12"/>
      <c r="L1994" s="12"/>
      <c r="M1994" s="12" t="s">
        <v>2364</v>
      </c>
      <c r="N1994" s="12"/>
      <c r="O1994" s="12" t="s">
        <v>2365</v>
      </c>
      <c r="P1994" s="12" t="str">
        <f>HYPERLINK("https://ceds.ed.gov/cedselementdetails.aspx?termid=9083")</f>
        <v>https://ceds.ed.gov/cedselementdetails.aspx?termid=9083</v>
      </c>
      <c r="Q1994" s="12" t="str">
        <f>HYPERLINK("https://ceds.ed.gov/elementComment.aspx?elementName=Disciplinary Action Start Date &amp;elementID=9083", "Click here to submit comment")</f>
        <v>Click here to submit comment</v>
      </c>
    </row>
    <row r="1995" spans="1:17" ht="30" x14ac:dyDescent="0.25">
      <c r="A1995" s="12" t="s">
        <v>7242</v>
      </c>
      <c r="B1995" s="12" t="s">
        <v>7286</v>
      </c>
      <c r="C1995" s="12"/>
      <c r="D1995" s="12" t="s">
        <v>7172</v>
      </c>
      <c r="E1995" s="12" t="s">
        <v>2353</v>
      </c>
      <c r="F1995" s="12" t="s">
        <v>2354</v>
      </c>
      <c r="G1995" s="12" t="s">
        <v>12</v>
      </c>
      <c r="H1995" s="12" t="s">
        <v>4</v>
      </c>
      <c r="I1995" s="12"/>
      <c r="J1995" s="12" t="s">
        <v>73</v>
      </c>
      <c r="K1995" s="12"/>
      <c r="L1995" s="12"/>
      <c r="M1995" s="12" t="s">
        <v>2355</v>
      </c>
      <c r="N1995" s="12"/>
      <c r="O1995" s="12" t="s">
        <v>2356</v>
      </c>
      <c r="P1995" s="12" t="str">
        <f>HYPERLINK("https://ceds.ed.gov/cedselementdetails.aspx?termid=9082")</f>
        <v>https://ceds.ed.gov/cedselementdetails.aspx?termid=9082</v>
      </c>
      <c r="Q1995" s="12" t="str">
        <f>HYPERLINK("https://ceds.ed.gov/elementComment.aspx?elementName=Disciplinary Action End Date &amp;elementID=9082", "Click here to submit comment")</f>
        <v>Click here to submit comment</v>
      </c>
    </row>
    <row r="1996" spans="1:17" ht="409.5" x14ac:dyDescent="0.25">
      <c r="A1996" s="12" t="s">
        <v>7242</v>
      </c>
      <c r="B1996" s="12" t="s">
        <v>7286</v>
      </c>
      <c r="C1996" s="12"/>
      <c r="D1996" s="12" t="s">
        <v>7172</v>
      </c>
      <c r="E1996" s="12" t="s">
        <v>2366</v>
      </c>
      <c r="F1996" s="12" t="s">
        <v>2367</v>
      </c>
      <c r="G1996" s="13" t="s">
        <v>6865</v>
      </c>
      <c r="H1996" s="12" t="s">
        <v>4</v>
      </c>
      <c r="I1996" s="12"/>
      <c r="J1996" s="12"/>
      <c r="K1996" s="12"/>
      <c r="L1996" s="12"/>
      <c r="M1996" s="12" t="s">
        <v>2368</v>
      </c>
      <c r="N1996" s="12"/>
      <c r="O1996" s="12" t="s">
        <v>2369</v>
      </c>
      <c r="P1996" s="12" t="str">
        <f>HYPERLINK("https://ceds.ed.gov/cedselementdetails.aspx?termid=9479")</f>
        <v>https://ceds.ed.gov/cedselementdetails.aspx?termid=9479</v>
      </c>
      <c r="Q1996" s="12" t="str">
        <f>HYPERLINK("https://ceds.ed.gov/elementComment.aspx?elementName=Disciplinary Action Taken &amp;elementID=9479", "Click here to submit comment")</f>
        <v>Click here to submit comment</v>
      </c>
    </row>
    <row r="1997" spans="1:17" ht="30" x14ac:dyDescent="0.25">
      <c r="A1997" s="12" t="s">
        <v>7242</v>
      </c>
      <c r="B1997" s="12" t="s">
        <v>7286</v>
      </c>
      <c r="C1997" s="12"/>
      <c r="D1997" s="12" t="s">
        <v>7172</v>
      </c>
      <c r="E1997" s="12" t="s">
        <v>2434</v>
      </c>
      <c r="F1997" s="12" t="s">
        <v>2435</v>
      </c>
      <c r="G1997" s="12" t="s">
        <v>12</v>
      </c>
      <c r="H1997" s="12"/>
      <c r="I1997" s="12"/>
      <c r="J1997" s="12" t="s">
        <v>1554</v>
      </c>
      <c r="K1997" s="12"/>
      <c r="L1997" s="12"/>
      <c r="M1997" s="12" t="s">
        <v>2436</v>
      </c>
      <c r="N1997" s="12"/>
      <c r="O1997" s="12" t="s">
        <v>2437</v>
      </c>
      <c r="P1997" s="12" t="str">
        <f>HYPERLINK("https://ceds.ed.gov/cedselementdetails.aspx?termid=9502")</f>
        <v>https://ceds.ed.gov/cedselementdetails.aspx?termid=9502</v>
      </c>
      <c r="Q1997" s="12" t="str">
        <f>HYPERLINK("https://ceds.ed.gov/elementComment.aspx?elementName=Duration of Disciplinary Action &amp;elementID=9502", "Click here to submit comment")</f>
        <v>Click here to submit comment</v>
      </c>
    </row>
    <row r="1998" spans="1:17" ht="300" x14ac:dyDescent="0.25">
      <c r="A1998" s="12" t="s">
        <v>7242</v>
      </c>
      <c r="B1998" s="12" t="s">
        <v>7286</v>
      </c>
      <c r="C1998" s="12"/>
      <c r="D1998" s="12" t="s">
        <v>7172</v>
      </c>
      <c r="E1998" s="12" t="s">
        <v>2370</v>
      </c>
      <c r="F1998" s="12" t="s">
        <v>2371</v>
      </c>
      <c r="G1998" s="13" t="s">
        <v>6866</v>
      </c>
      <c r="H1998" s="12"/>
      <c r="I1998" s="12"/>
      <c r="J1998" s="12"/>
      <c r="K1998" s="12"/>
      <c r="L1998" s="12"/>
      <c r="M1998" s="12" t="s">
        <v>2372</v>
      </c>
      <c r="N1998" s="12"/>
      <c r="O1998" s="12" t="s">
        <v>2373</v>
      </c>
      <c r="P1998" s="12" t="str">
        <f>HYPERLINK("https://ceds.ed.gov/cedselementdetails.aspx?termid=9602")</f>
        <v>https://ceds.ed.gov/cedselementdetails.aspx?termid=9602</v>
      </c>
      <c r="Q1998" s="12" t="str">
        <f>HYPERLINK("https://ceds.ed.gov/elementComment.aspx?elementName=Discipline Action Length Difference Reason &amp;elementID=9602", "Click here to submit comment")</f>
        <v>Click here to submit comment</v>
      </c>
    </row>
    <row r="1999" spans="1:17" ht="45" x14ac:dyDescent="0.25">
      <c r="A1999" s="12" t="s">
        <v>7242</v>
      </c>
      <c r="B1999" s="12" t="s">
        <v>7286</v>
      </c>
      <c r="C1999" s="12"/>
      <c r="D1999" s="12" t="s">
        <v>7172</v>
      </c>
      <c r="E1999" s="12" t="s">
        <v>3055</v>
      </c>
      <c r="F1999" s="12" t="s">
        <v>3056</v>
      </c>
      <c r="G1999" s="12" t="s">
        <v>6364</v>
      </c>
      <c r="H1999" s="12"/>
      <c r="I1999" s="12"/>
      <c r="J1999" s="12"/>
      <c r="K1999" s="12"/>
      <c r="L1999" s="12"/>
      <c r="M1999" s="12" t="s">
        <v>3057</v>
      </c>
      <c r="N1999" s="12"/>
      <c r="O1999" s="12" t="s">
        <v>3058</v>
      </c>
      <c r="P1999" s="12" t="str">
        <f>HYPERLINK("https://ceds.ed.gov/cedselementdetails.aspx?termid=9504")</f>
        <v>https://ceds.ed.gov/cedselementdetails.aspx?termid=9504</v>
      </c>
      <c r="Q1999" s="12" t="str">
        <f>HYPERLINK("https://ceds.ed.gov/elementComment.aspx?elementName=Full Year Expulsion &amp;elementID=9504", "Click here to submit comment")</f>
        <v>Click here to submit comment</v>
      </c>
    </row>
    <row r="2000" spans="1:17" ht="60" x14ac:dyDescent="0.25">
      <c r="A2000" s="12" t="s">
        <v>7242</v>
      </c>
      <c r="B2000" s="12" t="s">
        <v>7286</v>
      </c>
      <c r="C2000" s="12"/>
      <c r="D2000" s="12" t="s">
        <v>7172</v>
      </c>
      <c r="E2000" s="12" t="s">
        <v>5724</v>
      </c>
      <c r="F2000" s="12" t="s">
        <v>5725</v>
      </c>
      <c r="G2000" s="12" t="s">
        <v>6364</v>
      </c>
      <c r="H2000" s="12"/>
      <c r="I2000" s="12"/>
      <c r="J2000" s="12"/>
      <c r="K2000" s="12"/>
      <c r="L2000" s="12"/>
      <c r="M2000" s="12" t="s">
        <v>5726</v>
      </c>
      <c r="N2000" s="12"/>
      <c r="O2000" s="12" t="s">
        <v>5727</v>
      </c>
      <c r="P2000" s="12" t="str">
        <f>HYPERLINK("https://ceds.ed.gov/cedselementdetails.aspx?termid=9505")</f>
        <v>https://ceds.ed.gov/cedselementdetails.aspx?termid=9505</v>
      </c>
      <c r="Q2000" s="12" t="str">
        <f>HYPERLINK("https://ceds.ed.gov/elementComment.aspx?elementName=Shortened Expulsion &amp;elementID=9505", "Click here to submit comment")</f>
        <v>Click here to submit comment</v>
      </c>
    </row>
    <row r="2001" spans="1:17" ht="60" x14ac:dyDescent="0.25">
      <c r="A2001" s="12" t="s">
        <v>7242</v>
      </c>
      <c r="B2001" s="12" t="s">
        <v>7286</v>
      </c>
      <c r="C2001" s="12"/>
      <c r="D2001" s="12" t="s">
        <v>7172</v>
      </c>
      <c r="E2001" s="12" t="s">
        <v>3363</v>
      </c>
      <c r="F2001" s="12" t="s">
        <v>3364</v>
      </c>
      <c r="G2001" s="13" t="s">
        <v>6962</v>
      </c>
      <c r="H2001" s="12"/>
      <c r="I2001" s="12"/>
      <c r="J2001" s="12"/>
      <c r="K2001" s="12"/>
      <c r="L2001" s="12"/>
      <c r="M2001" s="12" t="s">
        <v>3365</v>
      </c>
      <c r="N2001" s="12"/>
      <c r="O2001" s="12" t="s">
        <v>3366</v>
      </c>
      <c r="P2001" s="12" t="str">
        <f>HYPERLINK("https://ceds.ed.gov/cedselementdetails.aspx?termid=10337")</f>
        <v>https://ceds.ed.gov/cedselementdetails.aspx?termid=10337</v>
      </c>
      <c r="Q2001" s="12" t="str">
        <f>HYPERLINK("https://ceds.ed.gov/elementComment.aspx?elementName=Incident Multiple Offense Type &amp;elementID=10337", "Click here to submit comment")</f>
        <v>Click here to submit comment</v>
      </c>
    </row>
    <row r="2002" spans="1:17" ht="105" x14ac:dyDescent="0.25">
      <c r="A2002" s="18" t="s">
        <v>7242</v>
      </c>
      <c r="B2002" s="18" t="s">
        <v>7286</v>
      </c>
      <c r="C2002" s="18"/>
      <c r="D2002" s="18" t="s">
        <v>7172</v>
      </c>
      <c r="E2002" s="18" t="s">
        <v>3367</v>
      </c>
      <c r="F2002" s="18" t="s">
        <v>3368</v>
      </c>
      <c r="G2002" s="18" t="s">
        <v>12</v>
      </c>
      <c r="H2002" s="18"/>
      <c r="I2002" s="18"/>
      <c r="J2002" s="18" t="s">
        <v>142</v>
      </c>
      <c r="K2002" s="18"/>
      <c r="L2002" s="12" t="s">
        <v>143</v>
      </c>
      <c r="M2002" s="18" t="s">
        <v>3369</v>
      </c>
      <c r="N2002" s="18"/>
      <c r="O2002" s="18" t="s">
        <v>3370</v>
      </c>
      <c r="P2002" s="18" t="str">
        <f>HYPERLINK("https://ceds.ed.gov/cedselementdetails.aspx?termid=10338")</f>
        <v>https://ceds.ed.gov/cedselementdetails.aspx?termid=10338</v>
      </c>
      <c r="Q2002" s="18" t="str">
        <f>HYPERLINK("https://ceds.ed.gov/elementComment.aspx?elementName=Incident Perpetrator Identifier &amp;elementID=10338", "Click here to submit comment")</f>
        <v>Click here to submit comment</v>
      </c>
    </row>
    <row r="2003" spans="1:17" x14ac:dyDescent="0.25">
      <c r="A2003" s="18"/>
      <c r="B2003" s="18"/>
      <c r="C2003" s="18"/>
      <c r="D2003" s="18"/>
      <c r="E2003" s="18"/>
      <c r="F2003" s="18"/>
      <c r="G2003" s="18"/>
      <c r="H2003" s="18"/>
      <c r="I2003" s="18"/>
      <c r="J2003" s="18"/>
      <c r="K2003" s="18"/>
      <c r="L2003" s="12"/>
      <c r="M2003" s="18"/>
      <c r="N2003" s="18"/>
      <c r="O2003" s="18"/>
      <c r="P2003" s="18"/>
      <c r="Q2003" s="18"/>
    </row>
    <row r="2004" spans="1:17" ht="90" x14ac:dyDescent="0.25">
      <c r="A2004" s="18"/>
      <c r="B2004" s="18"/>
      <c r="C2004" s="18"/>
      <c r="D2004" s="18"/>
      <c r="E2004" s="18"/>
      <c r="F2004" s="18"/>
      <c r="G2004" s="18"/>
      <c r="H2004" s="18"/>
      <c r="I2004" s="18"/>
      <c r="J2004" s="18"/>
      <c r="K2004" s="18"/>
      <c r="L2004" s="12" t="s">
        <v>144</v>
      </c>
      <c r="M2004" s="18"/>
      <c r="N2004" s="18"/>
      <c r="O2004" s="18"/>
      <c r="P2004" s="18"/>
      <c r="Q2004" s="18"/>
    </row>
    <row r="2005" spans="1:17" ht="105" x14ac:dyDescent="0.25">
      <c r="A2005" s="12" t="s">
        <v>7242</v>
      </c>
      <c r="B2005" s="12" t="s">
        <v>7286</v>
      </c>
      <c r="C2005" s="12"/>
      <c r="D2005" s="12" t="s">
        <v>7172</v>
      </c>
      <c r="E2005" s="12" t="s">
        <v>3371</v>
      </c>
      <c r="F2005" s="12" t="s">
        <v>3372</v>
      </c>
      <c r="G2005" s="13" t="s">
        <v>6960</v>
      </c>
      <c r="H2005" s="12"/>
      <c r="I2005" s="12"/>
      <c r="J2005" s="12"/>
      <c r="K2005" s="12"/>
      <c r="L2005" s="12"/>
      <c r="M2005" s="12" t="s">
        <v>3373</v>
      </c>
      <c r="N2005" s="12"/>
      <c r="O2005" s="12" t="s">
        <v>3374</v>
      </c>
      <c r="P2005" s="12" t="str">
        <f>HYPERLINK("https://ceds.ed.gov/cedselementdetails.aspx?termid=10339")</f>
        <v>https://ceds.ed.gov/cedselementdetails.aspx?termid=10339</v>
      </c>
      <c r="Q2005" s="12" t="str">
        <f>HYPERLINK("https://ceds.ed.gov/elementComment.aspx?elementName=Incident Perpetrator Injury Type &amp;elementID=10339", "Click here to submit comment")</f>
        <v>Click here to submit comment</v>
      </c>
    </row>
    <row r="2006" spans="1:17" ht="409.5" x14ac:dyDescent="0.25">
      <c r="A2006" s="12" t="s">
        <v>7242</v>
      </c>
      <c r="B2006" s="12" t="s">
        <v>7286</v>
      </c>
      <c r="C2006" s="12"/>
      <c r="D2006" s="12" t="s">
        <v>7172</v>
      </c>
      <c r="E2006" s="12" t="s">
        <v>3375</v>
      </c>
      <c r="F2006" s="12" t="s">
        <v>3376</v>
      </c>
      <c r="G2006" s="13" t="s">
        <v>6963</v>
      </c>
      <c r="H2006" s="12"/>
      <c r="I2006" s="12"/>
      <c r="J2006" s="12"/>
      <c r="K2006" s="12"/>
      <c r="L2006" s="12"/>
      <c r="M2006" s="12" t="s">
        <v>3377</v>
      </c>
      <c r="N2006" s="12"/>
      <c r="O2006" s="12" t="s">
        <v>3378</v>
      </c>
      <c r="P2006" s="12" t="str">
        <f>HYPERLINK("https://ceds.ed.gov/cedselementdetails.aspx?termid=10340")</f>
        <v>https://ceds.ed.gov/cedselementdetails.aspx?termid=10340</v>
      </c>
      <c r="Q2006" s="12" t="str">
        <f>HYPERLINK("https://ceds.ed.gov/elementComment.aspx?elementName=Incident Perpetrator Type &amp;elementID=10340", "Click here to submit comment")</f>
        <v>Click here to submit comment</v>
      </c>
    </row>
    <row r="2007" spans="1:17" ht="75" x14ac:dyDescent="0.25">
      <c r="A2007" s="12" t="s">
        <v>7242</v>
      </c>
      <c r="B2007" s="12" t="s">
        <v>7286</v>
      </c>
      <c r="C2007" s="12"/>
      <c r="D2007" s="12" t="s">
        <v>7172</v>
      </c>
      <c r="E2007" s="12" t="s">
        <v>3379</v>
      </c>
      <c r="F2007" s="12" t="s">
        <v>3380</v>
      </c>
      <c r="G2007" s="13" t="s">
        <v>6964</v>
      </c>
      <c r="H2007" s="12"/>
      <c r="I2007" s="12"/>
      <c r="J2007" s="12"/>
      <c r="K2007" s="12"/>
      <c r="L2007" s="12"/>
      <c r="M2007" s="12" t="s">
        <v>3381</v>
      </c>
      <c r="N2007" s="12"/>
      <c r="O2007" s="12" t="s">
        <v>3382</v>
      </c>
      <c r="P2007" s="12" t="str">
        <f>HYPERLINK("https://ceds.ed.gov/cedselementdetails.aspx?termid=10341")</f>
        <v>https://ceds.ed.gov/cedselementdetails.aspx?termid=10341</v>
      </c>
      <c r="Q2007" s="12" t="str">
        <f>HYPERLINK("https://ceds.ed.gov/elementComment.aspx?elementName=Incident Person Role Type &amp;elementID=10341", "Click here to submit comment")</f>
        <v>Click here to submit comment</v>
      </c>
    </row>
    <row r="2008" spans="1:17" ht="90" x14ac:dyDescent="0.25">
      <c r="A2008" s="12" t="s">
        <v>7242</v>
      </c>
      <c r="B2008" s="12" t="s">
        <v>7286</v>
      </c>
      <c r="C2008" s="12"/>
      <c r="D2008" s="12" t="s">
        <v>7172</v>
      </c>
      <c r="E2008" s="12" t="s">
        <v>3383</v>
      </c>
      <c r="F2008" s="12" t="s">
        <v>3384</v>
      </c>
      <c r="G2008" s="12" t="s">
        <v>12</v>
      </c>
      <c r="H2008" s="12"/>
      <c r="I2008" s="12"/>
      <c r="J2008" s="12" t="s">
        <v>794</v>
      </c>
      <c r="K2008" s="12"/>
      <c r="L2008" s="12"/>
      <c r="M2008" s="12" t="s">
        <v>3385</v>
      </c>
      <c r="N2008" s="12"/>
      <c r="O2008" s="12" t="s">
        <v>3386</v>
      </c>
      <c r="P2008" s="12" t="str">
        <f>HYPERLINK("https://ceds.ed.gov/cedselementdetails.aspx?termid=10342")</f>
        <v>https://ceds.ed.gov/cedselementdetails.aspx?termid=10342</v>
      </c>
      <c r="Q2008" s="12" t="str">
        <f>HYPERLINK("https://ceds.ed.gov/elementComment.aspx?elementName=Incident Regulation Violated Description &amp;elementID=10342", "Click here to submit comment")</f>
        <v>Click here to submit comment</v>
      </c>
    </row>
    <row r="2009" spans="1:17" ht="90" x14ac:dyDescent="0.25">
      <c r="A2009" s="12" t="s">
        <v>7242</v>
      </c>
      <c r="B2009" s="12" t="s">
        <v>7286</v>
      </c>
      <c r="C2009" s="12"/>
      <c r="D2009" s="12" t="s">
        <v>7172</v>
      </c>
      <c r="E2009" s="12" t="s">
        <v>3387</v>
      </c>
      <c r="F2009" s="12" t="s">
        <v>3388</v>
      </c>
      <c r="G2009" s="12" t="s">
        <v>6364</v>
      </c>
      <c r="H2009" s="12"/>
      <c r="I2009" s="12"/>
      <c r="J2009" s="12"/>
      <c r="K2009" s="12"/>
      <c r="L2009" s="12" t="s">
        <v>3389</v>
      </c>
      <c r="M2009" s="12" t="s">
        <v>3390</v>
      </c>
      <c r="N2009" s="12"/>
      <c r="O2009" s="12" t="s">
        <v>3391</v>
      </c>
      <c r="P2009" s="12" t="str">
        <f>HYPERLINK("https://ceds.ed.gov/cedselementdetails.aspx?termid=10343")</f>
        <v>https://ceds.ed.gov/cedselementdetails.aspx?termid=10343</v>
      </c>
      <c r="Q2009" s="12" t="str">
        <f>HYPERLINK("https://ceds.ed.gov/elementComment.aspx?elementName=Incident Related to Disability Manifestation &amp;elementID=10343", "Click here to submit comment")</f>
        <v>Click here to submit comment</v>
      </c>
    </row>
    <row r="2010" spans="1:17" ht="75" x14ac:dyDescent="0.25">
      <c r="A2010" s="12" t="s">
        <v>7242</v>
      </c>
      <c r="B2010" s="12" t="s">
        <v>7286</v>
      </c>
      <c r="C2010" s="12"/>
      <c r="D2010" s="12" t="s">
        <v>7172</v>
      </c>
      <c r="E2010" s="12" t="s">
        <v>3392</v>
      </c>
      <c r="F2010" s="12" t="s">
        <v>3393</v>
      </c>
      <c r="G2010" s="12" t="s">
        <v>6364</v>
      </c>
      <c r="H2010" s="12"/>
      <c r="I2010" s="12"/>
      <c r="J2010" s="12"/>
      <c r="K2010" s="12"/>
      <c r="L2010" s="12"/>
      <c r="M2010" s="12" t="s">
        <v>3394</v>
      </c>
      <c r="N2010" s="12"/>
      <c r="O2010" s="12" t="s">
        <v>3395</v>
      </c>
      <c r="P2010" s="12" t="str">
        <f>HYPERLINK("https://ceds.ed.gov/cedselementdetails.aspx?termid=10345")</f>
        <v>https://ceds.ed.gov/cedselementdetails.aspx?termid=10345</v>
      </c>
      <c r="Q2010" s="12" t="str">
        <f>HYPERLINK("https://ceds.ed.gov/elementComment.aspx?elementName=Incident Reported to Law Enforcement Indicator &amp;elementID=10345", "Click here to submit comment")</f>
        <v>Click here to submit comment</v>
      </c>
    </row>
    <row r="2011" spans="1:17" ht="105" x14ac:dyDescent="0.25">
      <c r="A2011" s="18" t="s">
        <v>7242</v>
      </c>
      <c r="B2011" s="18" t="s">
        <v>7286</v>
      </c>
      <c r="C2011" s="18"/>
      <c r="D2011" s="18" t="s">
        <v>7172</v>
      </c>
      <c r="E2011" s="18" t="s">
        <v>3408</v>
      </c>
      <c r="F2011" s="18" t="s">
        <v>3409</v>
      </c>
      <c r="G2011" s="18" t="s">
        <v>12</v>
      </c>
      <c r="H2011" s="18"/>
      <c r="I2011" s="18"/>
      <c r="J2011" s="18" t="s">
        <v>142</v>
      </c>
      <c r="K2011" s="18"/>
      <c r="L2011" s="12" t="s">
        <v>143</v>
      </c>
      <c r="M2011" s="18" t="s">
        <v>3410</v>
      </c>
      <c r="N2011" s="18"/>
      <c r="O2011" s="18" t="s">
        <v>3411</v>
      </c>
      <c r="P2011" s="18" t="str">
        <f>HYPERLINK("https://ceds.ed.gov/cedselementdetails.aspx?termid=10346")</f>
        <v>https://ceds.ed.gov/cedselementdetails.aspx?termid=10346</v>
      </c>
      <c r="Q2011" s="18" t="str">
        <f>HYPERLINK("https://ceds.ed.gov/elementComment.aspx?elementName=Incident Victim Identifier &amp;elementID=10346", "Click here to submit comment")</f>
        <v>Click here to submit comment</v>
      </c>
    </row>
    <row r="2012" spans="1:17" x14ac:dyDescent="0.25">
      <c r="A2012" s="18"/>
      <c r="B2012" s="18"/>
      <c r="C2012" s="18"/>
      <c r="D2012" s="18"/>
      <c r="E2012" s="18"/>
      <c r="F2012" s="18"/>
      <c r="G2012" s="18"/>
      <c r="H2012" s="18"/>
      <c r="I2012" s="18"/>
      <c r="J2012" s="18"/>
      <c r="K2012" s="18"/>
      <c r="L2012" s="12"/>
      <c r="M2012" s="18"/>
      <c r="N2012" s="18"/>
      <c r="O2012" s="18"/>
      <c r="P2012" s="18"/>
      <c r="Q2012" s="18"/>
    </row>
    <row r="2013" spans="1:17" ht="90" x14ac:dyDescent="0.25">
      <c r="A2013" s="18"/>
      <c r="B2013" s="18"/>
      <c r="C2013" s="18"/>
      <c r="D2013" s="18"/>
      <c r="E2013" s="18"/>
      <c r="F2013" s="18"/>
      <c r="G2013" s="18"/>
      <c r="H2013" s="18"/>
      <c r="I2013" s="18"/>
      <c r="J2013" s="18"/>
      <c r="K2013" s="18"/>
      <c r="L2013" s="12" t="s">
        <v>144</v>
      </c>
      <c r="M2013" s="18"/>
      <c r="N2013" s="18"/>
      <c r="O2013" s="18"/>
      <c r="P2013" s="18"/>
      <c r="Q2013" s="18"/>
    </row>
    <row r="2014" spans="1:17" ht="409.5" x14ac:dyDescent="0.25">
      <c r="A2014" s="12" t="s">
        <v>7242</v>
      </c>
      <c r="B2014" s="12" t="s">
        <v>7286</v>
      </c>
      <c r="C2014" s="12"/>
      <c r="D2014" s="12" t="s">
        <v>7172</v>
      </c>
      <c r="E2014" s="12" t="s">
        <v>3412</v>
      </c>
      <c r="F2014" s="12" t="s">
        <v>3413</v>
      </c>
      <c r="G2014" s="13" t="s">
        <v>6963</v>
      </c>
      <c r="H2014" s="12"/>
      <c r="I2014" s="12"/>
      <c r="J2014" s="12"/>
      <c r="K2014" s="12"/>
      <c r="L2014" s="12"/>
      <c r="M2014" s="12" t="s">
        <v>3414</v>
      </c>
      <c r="N2014" s="12"/>
      <c r="O2014" s="12" t="s">
        <v>3415</v>
      </c>
      <c r="P2014" s="12" t="str">
        <f>HYPERLINK("https://ceds.ed.gov/cedselementdetails.aspx?termid=10347")</f>
        <v>https://ceds.ed.gov/cedselementdetails.aspx?termid=10347</v>
      </c>
      <c r="Q2014" s="12" t="str">
        <f>HYPERLINK("https://ceds.ed.gov/elementComment.aspx?elementName=Incident Victim Type &amp;elementID=10347", "Click here to submit comment")</f>
        <v>Click here to submit comment</v>
      </c>
    </row>
    <row r="2015" spans="1:17" ht="105" x14ac:dyDescent="0.25">
      <c r="A2015" s="18" t="s">
        <v>7242</v>
      </c>
      <c r="B2015" s="18" t="s">
        <v>7286</v>
      </c>
      <c r="C2015" s="18"/>
      <c r="D2015" s="18" t="s">
        <v>7172</v>
      </c>
      <c r="E2015" s="18" t="s">
        <v>3416</v>
      </c>
      <c r="F2015" s="18" t="s">
        <v>3417</v>
      </c>
      <c r="G2015" s="18" t="s">
        <v>12</v>
      </c>
      <c r="H2015" s="18"/>
      <c r="I2015" s="18"/>
      <c r="J2015" s="18" t="s">
        <v>142</v>
      </c>
      <c r="K2015" s="18"/>
      <c r="L2015" s="12" t="s">
        <v>143</v>
      </c>
      <c r="M2015" s="18" t="s">
        <v>3418</v>
      </c>
      <c r="N2015" s="18"/>
      <c r="O2015" s="18" t="s">
        <v>3419</v>
      </c>
      <c r="P2015" s="18" t="str">
        <f>HYPERLINK("https://ceds.ed.gov/cedselementdetails.aspx?termid=10348")</f>
        <v>https://ceds.ed.gov/cedselementdetails.aspx?termid=10348</v>
      </c>
      <c r="Q2015" s="18" t="str">
        <f>HYPERLINK("https://ceds.ed.gov/elementComment.aspx?elementName=Incident Witness Identifier &amp;elementID=10348", "Click here to submit comment")</f>
        <v>Click here to submit comment</v>
      </c>
    </row>
    <row r="2016" spans="1:17" x14ac:dyDescent="0.25">
      <c r="A2016" s="18"/>
      <c r="B2016" s="18"/>
      <c r="C2016" s="18"/>
      <c r="D2016" s="18"/>
      <c r="E2016" s="18"/>
      <c r="F2016" s="18"/>
      <c r="G2016" s="18"/>
      <c r="H2016" s="18"/>
      <c r="I2016" s="18"/>
      <c r="J2016" s="18"/>
      <c r="K2016" s="18"/>
      <c r="L2016" s="12"/>
      <c r="M2016" s="18"/>
      <c r="N2016" s="18"/>
      <c r="O2016" s="18"/>
      <c r="P2016" s="18"/>
      <c r="Q2016" s="18"/>
    </row>
    <row r="2017" spans="1:17" ht="90" x14ac:dyDescent="0.25">
      <c r="A2017" s="18"/>
      <c r="B2017" s="18"/>
      <c r="C2017" s="18"/>
      <c r="D2017" s="18"/>
      <c r="E2017" s="18"/>
      <c r="F2017" s="18"/>
      <c r="G2017" s="18"/>
      <c r="H2017" s="18"/>
      <c r="I2017" s="18"/>
      <c r="J2017" s="18"/>
      <c r="K2017" s="18"/>
      <c r="L2017" s="12" t="s">
        <v>144</v>
      </c>
      <c r="M2017" s="18"/>
      <c r="N2017" s="18"/>
      <c r="O2017" s="18"/>
      <c r="P2017" s="18"/>
      <c r="Q2017" s="18"/>
    </row>
    <row r="2018" spans="1:17" ht="409.5" x14ac:dyDescent="0.25">
      <c r="A2018" s="12" t="s">
        <v>7242</v>
      </c>
      <c r="B2018" s="12" t="s">
        <v>7286</v>
      </c>
      <c r="C2018" s="12"/>
      <c r="D2018" s="12" t="s">
        <v>7172</v>
      </c>
      <c r="E2018" s="12" t="s">
        <v>3420</v>
      </c>
      <c r="F2018" s="12" t="s">
        <v>3421</v>
      </c>
      <c r="G2018" s="13" t="s">
        <v>6963</v>
      </c>
      <c r="H2018" s="12"/>
      <c r="I2018" s="12"/>
      <c r="J2018" s="12"/>
      <c r="K2018" s="12"/>
      <c r="L2018" s="12"/>
      <c r="M2018" s="12" t="s">
        <v>3422</v>
      </c>
      <c r="N2018" s="12"/>
      <c r="O2018" s="12" t="s">
        <v>3423</v>
      </c>
      <c r="P2018" s="12" t="str">
        <f>HYPERLINK("https://ceds.ed.gov/cedselementdetails.aspx?termid=10349")</f>
        <v>https://ceds.ed.gov/cedselementdetails.aspx?termid=10349</v>
      </c>
      <c r="Q2018" s="12" t="str">
        <f>HYPERLINK("https://ceds.ed.gov/elementComment.aspx?elementName=Incident Witness Type &amp;elementID=10349", "Click here to submit comment")</f>
        <v>Click here to submit comment</v>
      </c>
    </row>
    <row r="2019" spans="1:17" ht="45" x14ac:dyDescent="0.25">
      <c r="A2019" s="12" t="s">
        <v>7242</v>
      </c>
      <c r="B2019" s="12" t="s">
        <v>7287</v>
      </c>
      <c r="C2019" s="12" t="s">
        <v>7249</v>
      </c>
      <c r="D2019" s="12" t="s">
        <v>7172</v>
      </c>
      <c r="E2019" s="12" t="s">
        <v>5622</v>
      </c>
      <c r="F2019" s="12" t="s">
        <v>5623</v>
      </c>
      <c r="G2019" s="12" t="s">
        <v>12</v>
      </c>
      <c r="H2019" s="12" t="s">
        <v>1907</v>
      </c>
      <c r="I2019" s="12"/>
      <c r="J2019" s="12" t="s">
        <v>1861</v>
      </c>
      <c r="K2019" s="12"/>
      <c r="L2019" s="12" t="s">
        <v>5624</v>
      </c>
      <c r="M2019" s="12" t="s">
        <v>5625</v>
      </c>
      <c r="N2019" s="12"/>
      <c r="O2019" s="12" t="s">
        <v>5626</v>
      </c>
      <c r="P2019" s="12" t="str">
        <f>HYPERLINK("https://ceds.ed.gov/cedselementdetails.aspx?termid=9243")</f>
        <v>https://ceds.ed.gov/cedselementdetails.aspx?termid=9243</v>
      </c>
      <c r="Q2019" s="12" t="str">
        <f>HYPERLINK("https://ceds.ed.gov/elementComment.aspx?elementName=School Year &amp;elementID=9243", "Click here to submit comment")</f>
        <v>Click here to submit comment</v>
      </c>
    </row>
    <row r="2020" spans="1:17" ht="30" x14ac:dyDescent="0.25">
      <c r="A2020" s="12" t="s">
        <v>7242</v>
      </c>
      <c r="B2020" s="12" t="s">
        <v>7287</v>
      </c>
      <c r="C2020" s="12" t="s">
        <v>7249</v>
      </c>
      <c r="D2020" s="12" t="s">
        <v>7172</v>
      </c>
      <c r="E2020" s="12" t="s">
        <v>1607</v>
      </c>
      <c r="F2020" s="12" t="s">
        <v>1608</v>
      </c>
      <c r="G2020" s="12" t="s">
        <v>12</v>
      </c>
      <c r="H2020" s="12"/>
      <c r="I2020" s="12"/>
      <c r="J2020" s="12" t="s">
        <v>92</v>
      </c>
      <c r="K2020" s="12"/>
      <c r="L2020" s="12"/>
      <c r="M2020" s="12" t="s">
        <v>1609</v>
      </c>
      <c r="N2020" s="12"/>
      <c r="O2020" s="12" t="s">
        <v>1610</v>
      </c>
      <c r="P2020" s="12" t="str">
        <f>HYPERLINK("https://ceds.ed.gov/cedselementdetails.aspx?termid=9485")</f>
        <v>https://ceds.ed.gov/cedselementdetails.aspx?termid=9485</v>
      </c>
      <c r="Q2020" s="12" t="str">
        <f>HYPERLINK("https://ceds.ed.gov/elementComment.aspx?elementName=Calendar Code &amp;elementID=9485", "Click here to submit comment")</f>
        <v>Click here to submit comment</v>
      </c>
    </row>
    <row r="2021" spans="1:17" ht="30" x14ac:dyDescent="0.25">
      <c r="A2021" s="12" t="s">
        <v>7242</v>
      </c>
      <c r="B2021" s="12" t="s">
        <v>7287</v>
      </c>
      <c r="C2021" s="12" t="s">
        <v>7249</v>
      </c>
      <c r="D2021" s="12" t="s">
        <v>7172</v>
      </c>
      <c r="E2021" s="12" t="s">
        <v>1611</v>
      </c>
      <c r="F2021" s="12" t="s">
        <v>1612</v>
      </c>
      <c r="G2021" s="12" t="s">
        <v>12</v>
      </c>
      <c r="H2021" s="12"/>
      <c r="I2021" s="12"/>
      <c r="J2021" s="12" t="s">
        <v>99</v>
      </c>
      <c r="K2021" s="12"/>
      <c r="L2021" s="12"/>
      <c r="M2021" s="12" t="s">
        <v>1613</v>
      </c>
      <c r="N2021" s="12"/>
      <c r="O2021" s="12" t="s">
        <v>1614</v>
      </c>
      <c r="P2021" s="12" t="str">
        <f>HYPERLINK("https://ceds.ed.gov/cedselementdetails.aspx?termid=9486")</f>
        <v>https://ceds.ed.gov/cedselementdetails.aspx?termid=9486</v>
      </c>
      <c r="Q2021" s="12" t="str">
        <f>HYPERLINK("https://ceds.ed.gov/elementComment.aspx?elementName=Calendar Description &amp;elementID=9486", "Click here to submit comment")</f>
        <v>Click here to submit comment</v>
      </c>
    </row>
    <row r="2022" spans="1:17" ht="45" x14ac:dyDescent="0.25">
      <c r="A2022" s="12" t="s">
        <v>7242</v>
      </c>
      <c r="B2022" s="12" t="s">
        <v>7287</v>
      </c>
      <c r="C2022" s="12" t="s">
        <v>7249</v>
      </c>
      <c r="D2022" s="12" t="s">
        <v>7172</v>
      </c>
      <c r="E2022" s="12" t="s">
        <v>344</v>
      </c>
      <c r="F2022" s="12" t="s">
        <v>345</v>
      </c>
      <c r="G2022" s="12" t="s">
        <v>12</v>
      </c>
      <c r="H2022" s="12"/>
      <c r="I2022" s="12"/>
      <c r="J2022" s="12" t="s">
        <v>92</v>
      </c>
      <c r="K2022" s="12"/>
      <c r="L2022" s="12"/>
      <c r="M2022" s="12" t="s">
        <v>347</v>
      </c>
      <c r="N2022" s="12"/>
      <c r="O2022" s="12" t="s">
        <v>348</v>
      </c>
      <c r="P2022" s="12" t="str">
        <f>HYPERLINK("https://ceds.ed.gov/cedselementdetails.aspx?termid=9591")</f>
        <v>https://ceds.ed.gov/cedselementdetails.aspx?termid=9591</v>
      </c>
      <c r="Q2022" s="12" t="str">
        <f>HYPERLINK("https://ceds.ed.gov/elementComment.aspx?elementName=Alternate Day Name &amp;elementID=9591", "Click here to submit comment")</f>
        <v>Click here to submit comment</v>
      </c>
    </row>
    <row r="2023" spans="1:17" ht="60" x14ac:dyDescent="0.25">
      <c r="A2023" s="12" t="s">
        <v>7242</v>
      </c>
      <c r="B2023" s="12" t="s">
        <v>7287</v>
      </c>
      <c r="C2023" s="12" t="s">
        <v>7249</v>
      </c>
      <c r="D2023" s="12" t="s">
        <v>7172</v>
      </c>
      <c r="E2023" s="12" t="s">
        <v>5675</v>
      </c>
      <c r="F2023" s="12" t="s">
        <v>5676</v>
      </c>
      <c r="G2023" s="12" t="s">
        <v>12</v>
      </c>
      <c r="H2023" s="12"/>
      <c r="I2023" s="12"/>
      <c r="J2023" s="12" t="s">
        <v>92</v>
      </c>
      <c r="K2023" s="12"/>
      <c r="L2023" s="12"/>
      <c r="M2023" s="12" t="s">
        <v>5677</v>
      </c>
      <c r="N2023" s="12"/>
      <c r="O2023" s="12" t="s">
        <v>5678</v>
      </c>
      <c r="P2023" s="12" t="str">
        <f>HYPERLINK("https://ceds.ed.gov/cedselementdetails.aspx?termid=10236")</f>
        <v>https://ceds.ed.gov/cedselementdetails.aspx?termid=10236</v>
      </c>
      <c r="Q2023" s="12" t="str">
        <f>HYPERLINK("https://ceds.ed.gov/elementComment.aspx?elementName=Session Code &amp;elementID=10236", "Click here to submit comment")</f>
        <v>Click here to submit comment</v>
      </c>
    </row>
    <row r="2024" spans="1:17" ht="30" x14ac:dyDescent="0.25">
      <c r="A2024" s="12" t="s">
        <v>7242</v>
      </c>
      <c r="B2024" s="12" t="s">
        <v>7287</v>
      </c>
      <c r="C2024" s="12" t="s">
        <v>7249</v>
      </c>
      <c r="D2024" s="12" t="s">
        <v>7172</v>
      </c>
      <c r="E2024" s="12" t="s">
        <v>5679</v>
      </c>
      <c r="F2024" s="12" t="s">
        <v>5680</v>
      </c>
      <c r="G2024" s="12" t="s">
        <v>12</v>
      </c>
      <c r="H2024" s="12"/>
      <c r="I2024" s="12"/>
      <c r="J2024" s="12" t="s">
        <v>327</v>
      </c>
      <c r="K2024" s="12"/>
      <c r="L2024" s="12"/>
      <c r="M2024" s="12" t="s">
        <v>5681</v>
      </c>
      <c r="N2024" s="12"/>
      <c r="O2024" s="12" t="s">
        <v>5682</v>
      </c>
      <c r="P2024" s="12" t="str">
        <f>HYPERLINK("https://ceds.ed.gov/cedselementdetails.aspx?termid=10237")</f>
        <v>https://ceds.ed.gov/cedselementdetails.aspx?termid=10237</v>
      </c>
      <c r="Q2024" s="12" t="str">
        <f>HYPERLINK("https://ceds.ed.gov/elementComment.aspx?elementName=Session Description &amp;elementID=10237", "Click here to submit comment")</f>
        <v>Click here to submit comment</v>
      </c>
    </row>
    <row r="2025" spans="1:17" ht="45" x14ac:dyDescent="0.25">
      <c r="A2025" s="12" t="s">
        <v>7242</v>
      </c>
      <c r="B2025" s="12" t="s">
        <v>7287</v>
      </c>
      <c r="C2025" s="12" t="s">
        <v>7249</v>
      </c>
      <c r="D2025" s="12" t="s">
        <v>7172</v>
      </c>
      <c r="E2025" s="12" t="s">
        <v>5695</v>
      </c>
      <c r="F2025" s="12" t="s">
        <v>5696</v>
      </c>
      <c r="G2025" s="12" t="s">
        <v>6364</v>
      </c>
      <c r="H2025" s="12"/>
      <c r="I2025" s="12"/>
      <c r="J2025" s="12"/>
      <c r="K2025" s="12"/>
      <c r="L2025" s="12"/>
      <c r="M2025" s="12" t="s">
        <v>5697</v>
      </c>
      <c r="N2025" s="12"/>
      <c r="O2025" s="12" t="s">
        <v>5698</v>
      </c>
      <c r="P2025" s="12" t="str">
        <f>HYPERLINK("https://ceds.ed.gov/cedselementdetails.aspx?termid=10238")</f>
        <v>https://ceds.ed.gov/cedselementdetails.aspx?termid=10238</v>
      </c>
      <c r="Q2025" s="12" t="str">
        <f>HYPERLINK("https://ceds.ed.gov/elementComment.aspx?elementName=Session Marking Term Indicator &amp;elementID=10238", "Click here to submit comment")</f>
        <v>Click here to submit comment</v>
      </c>
    </row>
    <row r="2026" spans="1:17" ht="45" x14ac:dyDescent="0.25">
      <c r="A2026" s="12" t="s">
        <v>7242</v>
      </c>
      <c r="B2026" s="12" t="s">
        <v>7287</v>
      </c>
      <c r="C2026" s="12" t="s">
        <v>7249</v>
      </c>
      <c r="D2026" s="12" t="s">
        <v>7172</v>
      </c>
      <c r="E2026" s="12" t="s">
        <v>5699</v>
      </c>
      <c r="F2026" s="12" t="s">
        <v>5700</v>
      </c>
      <c r="G2026" s="12" t="s">
        <v>6364</v>
      </c>
      <c r="H2026" s="12"/>
      <c r="I2026" s="12"/>
      <c r="J2026" s="12"/>
      <c r="K2026" s="12"/>
      <c r="L2026" s="12"/>
      <c r="M2026" s="12" t="s">
        <v>5701</v>
      </c>
      <c r="N2026" s="12"/>
      <c r="O2026" s="12" t="s">
        <v>5702</v>
      </c>
      <c r="P2026" s="12" t="str">
        <f>HYPERLINK("https://ceds.ed.gov/cedselementdetails.aspx?termid=10239")</f>
        <v>https://ceds.ed.gov/cedselementdetails.aspx?termid=10239</v>
      </c>
      <c r="Q2026" s="12" t="str">
        <f>HYPERLINK("https://ceds.ed.gov/elementComment.aspx?elementName=Session Scheduling Term Indicator &amp;elementID=10239", "Click here to submit comment")</f>
        <v>Click here to submit comment</v>
      </c>
    </row>
    <row r="2027" spans="1:17" ht="45" x14ac:dyDescent="0.25">
      <c r="A2027" s="12" t="s">
        <v>7242</v>
      </c>
      <c r="B2027" s="12" t="s">
        <v>7287</v>
      </c>
      <c r="C2027" s="12" t="s">
        <v>7249</v>
      </c>
      <c r="D2027" s="12" t="s">
        <v>7172</v>
      </c>
      <c r="E2027" s="12" t="s">
        <v>5667</v>
      </c>
      <c r="F2027" s="12" t="s">
        <v>5668</v>
      </c>
      <c r="G2027" s="12" t="s">
        <v>6364</v>
      </c>
      <c r="H2027" s="12"/>
      <c r="I2027" s="12"/>
      <c r="J2027" s="12"/>
      <c r="K2027" s="12"/>
      <c r="L2027" s="12"/>
      <c r="M2027" s="12" t="s">
        <v>5669</v>
      </c>
      <c r="N2027" s="12"/>
      <c r="O2027" s="12" t="s">
        <v>5670</v>
      </c>
      <c r="P2027" s="12" t="str">
        <f>HYPERLINK("https://ceds.ed.gov/cedselementdetails.aspx?termid=10240")</f>
        <v>https://ceds.ed.gov/cedselementdetails.aspx?termid=10240</v>
      </c>
      <c r="Q2027" s="12" t="str">
        <f>HYPERLINK("https://ceds.ed.gov/elementComment.aspx?elementName=Session Attendance Term Indicator &amp;elementID=10240", "Click here to submit comment")</f>
        <v>Click here to submit comment</v>
      </c>
    </row>
    <row r="2028" spans="1:17" ht="120" x14ac:dyDescent="0.25">
      <c r="A2028" s="12" t="s">
        <v>7242</v>
      </c>
      <c r="B2028" s="12" t="s">
        <v>7287</v>
      </c>
      <c r="C2028" s="12" t="s">
        <v>7249</v>
      </c>
      <c r="D2028" s="12" t="s">
        <v>7172</v>
      </c>
      <c r="E2028" s="12" t="s">
        <v>5671</v>
      </c>
      <c r="F2028" s="12" t="s">
        <v>5672</v>
      </c>
      <c r="G2028" s="12" t="s">
        <v>12</v>
      </c>
      <c r="H2028" s="12" t="s">
        <v>6429</v>
      </c>
      <c r="I2028" s="12"/>
      <c r="J2028" s="12" t="s">
        <v>73</v>
      </c>
      <c r="K2028" s="12"/>
      <c r="L2028" s="12"/>
      <c r="M2028" s="12" t="s">
        <v>5673</v>
      </c>
      <c r="N2028" s="12"/>
      <c r="O2028" s="12" t="s">
        <v>5674</v>
      </c>
      <c r="P2028" s="12" t="str">
        <f>HYPERLINK("https://ceds.ed.gov/cedselementdetails.aspx?termid=9251")</f>
        <v>https://ceds.ed.gov/cedselementdetails.aspx?termid=9251</v>
      </c>
      <c r="Q2028" s="12" t="str">
        <f>HYPERLINK("https://ceds.ed.gov/elementComment.aspx?elementName=Session Begin Date &amp;elementID=9251", "Click here to submit comment")</f>
        <v>Click here to submit comment</v>
      </c>
    </row>
    <row r="2029" spans="1:17" ht="120" x14ac:dyDescent="0.25">
      <c r="A2029" s="12" t="s">
        <v>7242</v>
      </c>
      <c r="B2029" s="12" t="s">
        <v>7287</v>
      </c>
      <c r="C2029" s="12" t="s">
        <v>7249</v>
      </c>
      <c r="D2029" s="12" t="s">
        <v>7172</v>
      </c>
      <c r="E2029" s="12" t="s">
        <v>5687</v>
      </c>
      <c r="F2029" s="12" t="s">
        <v>5688</v>
      </c>
      <c r="G2029" s="12" t="s">
        <v>12</v>
      </c>
      <c r="H2029" s="12" t="s">
        <v>6429</v>
      </c>
      <c r="I2029" s="12"/>
      <c r="J2029" s="12" t="s">
        <v>73</v>
      </c>
      <c r="K2029" s="12"/>
      <c r="L2029" s="12"/>
      <c r="M2029" s="12" t="s">
        <v>5689</v>
      </c>
      <c r="N2029" s="12"/>
      <c r="O2029" s="12" t="s">
        <v>5690</v>
      </c>
      <c r="P2029" s="12" t="str">
        <f>HYPERLINK("https://ceds.ed.gov/cedselementdetails.aspx?termid=9253")</f>
        <v>https://ceds.ed.gov/cedselementdetails.aspx?termid=9253</v>
      </c>
      <c r="Q2029" s="12" t="str">
        <f>HYPERLINK("https://ceds.ed.gov/elementComment.aspx?elementName=Session End Date &amp;elementID=9253", "Click here to submit comment")</f>
        <v>Click here to submit comment</v>
      </c>
    </row>
    <row r="2030" spans="1:17" ht="30" x14ac:dyDescent="0.25">
      <c r="A2030" s="12" t="s">
        <v>7242</v>
      </c>
      <c r="B2030" s="12" t="s">
        <v>7287</v>
      </c>
      <c r="C2030" s="12" t="s">
        <v>7249</v>
      </c>
      <c r="D2030" s="12" t="s">
        <v>7172</v>
      </c>
      <c r="E2030" s="12" t="s">
        <v>5691</v>
      </c>
      <c r="F2030" s="12" t="s">
        <v>5692</v>
      </c>
      <c r="G2030" s="12" t="s">
        <v>12</v>
      </c>
      <c r="H2030" s="12" t="s">
        <v>6453</v>
      </c>
      <c r="I2030" s="12"/>
      <c r="J2030" s="12" t="s">
        <v>437</v>
      </c>
      <c r="K2030" s="12"/>
      <c r="L2030" s="12"/>
      <c r="M2030" s="12" t="s">
        <v>5693</v>
      </c>
      <c r="N2030" s="12"/>
      <c r="O2030" s="12" t="s">
        <v>5694</v>
      </c>
      <c r="P2030" s="12" t="str">
        <f>HYPERLINK("https://ceds.ed.gov/cedselementdetails.aspx?termid=9988")</f>
        <v>https://ceds.ed.gov/cedselementdetails.aspx?termid=9988</v>
      </c>
      <c r="Q2030" s="12" t="str">
        <f>HYPERLINK("https://ceds.ed.gov/elementComment.aspx?elementName=Session End Time &amp;elementID=9988", "Click here to submit comment")</f>
        <v>Click here to submit comment</v>
      </c>
    </row>
    <row r="2031" spans="1:17" ht="30" x14ac:dyDescent="0.25">
      <c r="A2031" s="12" t="s">
        <v>7242</v>
      </c>
      <c r="B2031" s="12" t="s">
        <v>7287</v>
      </c>
      <c r="C2031" s="12" t="s">
        <v>7249</v>
      </c>
      <c r="D2031" s="12" t="s">
        <v>7172</v>
      </c>
      <c r="E2031" s="12" t="s">
        <v>5703</v>
      </c>
      <c r="F2031" s="12" t="s">
        <v>5704</v>
      </c>
      <c r="G2031" s="12" t="s">
        <v>12</v>
      </c>
      <c r="H2031" s="12" t="s">
        <v>6453</v>
      </c>
      <c r="I2031" s="12"/>
      <c r="J2031" s="12" t="s">
        <v>437</v>
      </c>
      <c r="K2031" s="12"/>
      <c r="L2031" s="12"/>
      <c r="M2031" s="12" t="s">
        <v>5705</v>
      </c>
      <c r="N2031" s="12"/>
      <c r="O2031" s="12" t="s">
        <v>5706</v>
      </c>
      <c r="P2031" s="12" t="str">
        <f>HYPERLINK("https://ceds.ed.gov/cedselementdetails.aspx?termid=9986")</f>
        <v>https://ceds.ed.gov/cedselementdetails.aspx?termid=9986</v>
      </c>
      <c r="Q2031" s="12" t="str">
        <f>HYPERLINK("https://ceds.ed.gov/elementComment.aspx?elementName=Session Start Time &amp;elementID=9986", "Click here to submit comment")</f>
        <v>Click here to submit comment</v>
      </c>
    </row>
    <row r="2032" spans="1:17" ht="195" x14ac:dyDescent="0.25">
      <c r="A2032" s="12" t="s">
        <v>7242</v>
      </c>
      <c r="B2032" s="12" t="s">
        <v>7287</v>
      </c>
      <c r="C2032" s="12" t="s">
        <v>7288</v>
      </c>
      <c r="D2032" s="12" t="s">
        <v>7172</v>
      </c>
      <c r="E2032" s="12" t="s">
        <v>2191</v>
      </c>
      <c r="F2032" s="12" t="s">
        <v>2192</v>
      </c>
      <c r="G2032" s="12" t="s">
        <v>12</v>
      </c>
      <c r="H2032" s="12"/>
      <c r="I2032" s="12"/>
      <c r="J2032" s="12" t="s">
        <v>92</v>
      </c>
      <c r="K2032" s="12"/>
      <c r="L2032" s="12"/>
      <c r="M2032" s="12" t="s">
        <v>2194</v>
      </c>
      <c r="N2032" s="12"/>
      <c r="O2032" s="12" t="s">
        <v>2195</v>
      </c>
      <c r="P2032" s="12" t="str">
        <f>HYPERLINK("https://ceds.ed.gov/cedselementdetails.aspx?termid=9604")</f>
        <v>https://ceds.ed.gov/cedselementdetails.aspx?termid=9604</v>
      </c>
      <c r="Q2032" s="12" t="str">
        <f>HYPERLINK("https://ceds.ed.gov/elementComment.aspx?elementName=Crisis Code &amp;elementID=9604", "Click here to submit comment")</f>
        <v>Click here to submit comment</v>
      </c>
    </row>
    <row r="2033" spans="1:17" ht="30" x14ac:dyDescent="0.25">
      <c r="A2033" s="12" t="s">
        <v>7242</v>
      </c>
      <c r="B2033" s="12" t="s">
        <v>7287</v>
      </c>
      <c r="C2033" s="12" t="s">
        <v>7288</v>
      </c>
      <c r="D2033" s="12" t="s">
        <v>7172</v>
      </c>
      <c r="E2033" s="12" t="s">
        <v>2204</v>
      </c>
      <c r="F2033" s="12" t="s">
        <v>2205</v>
      </c>
      <c r="G2033" s="12" t="s">
        <v>12</v>
      </c>
      <c r="H2033" s="12"/>
      <c r="I2033" s="12"/>
      <c r="J2033" s="12" t="s">
        <v>1386</v>
      </c>
      <c r="K2033" s="12"/>
      <c r="L2033" s="12"/>
      <c r="M2033" s="12" t="s">
        <v>2206</v>
      </c>
      <c r="N2033" s="12"/>
      <c r="O2033" s="12" t="s">
        <v>2207</v>
      </c>
      <c r="P2033" s="12" t="str">
        <f>HYPERLINK("https://ceds.ed.gov/cedselementdetails.aspx?termid=9605")</f>
        <v>https://ceds.ed.gov/cedselementdetails.aspx?termid=9605</v>
      </c>
      <c r="Q2033" s="12" t="str">
        <f>HYPERLINK("https://ceds.ed.gov/elementComment.aspx?elementName=Crisis Name &amp;elementID=9605", "Click here to submit comment")</f>
        <v>Click here to submit comment</v>
      </c>
    </row>
    <row r="2034" spans="1:17" ht="45" x14ac:dyDescent="0.25">
      <c r="A2034" s="12" t="s">
        <v>7242</v>
      </c>
      <c r="B2034" s="12" t="s">
        <v>7287</v>
      </c>
      <c r="C2034" s="12" t="s">
        <v>7288</v>
      </c>
      <c r="D2034" s="12" t="s">
        <v>7172</v>
      </c>
      <c r="E2034" s="12" t="s">
        <v>2212</v>
      </c>
      <c r="F2034" s="12" t="s">
        <v>2213</v>
      </c>
      <c r="G2034" s="12" t="s">
        <v>12</v>
      </c>
      <c r="H2034" s="12"/>
      <c r="I2034" s="12"/>
      <c r="J2034" s="12" t="s">
        <v>1386</v>
      </c>
      <c r="K2034" s="12"/>
      <c r="L2034" s="12"/>
      <c r="M2034" s="12" t="s">
        <v>2214</v>
      </c>
      <c r="N2034" s="12"/>
      <c r="O2034" s="12" t="s">
        <v>2215</v>
      </c>
      <c r="P2034" s="12" t="str">
        <f>HYPERLINK("https://ceds.ed.gov/cedselementdetails.aspx?termid=9606")</f>
        <v>https://ceds.ed.gov/cedselementdetails.aspx?termid=9606</v>
      </c>
      <c r="Q2034" s="12" t="str">
        <f>HYPERLINK("https://ceds.ed.gov/elementComment.aspx?elementName=Crisis Type &amp;elementID=9606", "Click here to submit comment")</f>
        <v>Click here to submit comment</v>
      </c>
    </row>
    <row r="2035" spans="1:17" ht="75" x14ac:dyDescent="0.25">
      <c r="A2035" s="12" t="s">
        <v>7242</v>
      </c>
      <c r="B2035" s="12" t="s">
        <v>7287</v>
      </c>
      <c r="C2035" s="12" t="s">
        <v>7288</v>
      </c>
      <c r="D2035" s="12" t="s">
        <v>7172</v>
      </c>
      <c r="E2035" s="12" t="s">
        <v>2208</v>
      </c>
      <c r="F2035" s="12" t="s">
        <v>2209</v>
      </c>
      <c r="G2035" s="12" t="s">
        <v>12</v>
      </c>
      <c r="H2035" s="12"/>
      <c r="I2035" s="12"/>
      <c r="J2035" s="12" t="s">
        <v>73</v>
      </c>
      <c r="K2035" s="12"/>
      <c r="L2035" s="12"/>
      <c r="M2035" s="12" t="s">
        <v>2210</v>
      </c>
      <c r="N2035" s="12"/>
      <c r="O2035" s="12" t="s">
        <v>2211</v>
      </c>
      <c r="P2035" s="12" t="str">
        <f>HYPERLINK("https://ceds.ed.gov/cedselementdetails.aspx?termid=9607")</f>
        <v>https://ceds.ed.gov/cedselementdetails.aspx?termid=9607</v>
      </c>
      <c r="Q2035" s="12" t="str">
        <f>HYPERLINK("https://ceds.ed.gov/elementComment.aspx?elementName=Crisis Start Date &amp;elementID=9607", "Click here to submit comment")</f>
        <v>Click here to submit comment</v>
      </c>
    </row>
    <row r="2036" spans="1:17" ht="30" x14ac:dyDescent="0.25">
      <c r="A2036" s="12" t="s">
        <v>7242</v>
      </c>
      <c r="B2036" s="12" t="s">
        <v>7287</v>
      </c>
      <c r="C2036" s="12" t="s">
        <v>7288</v>
      </c>
      <c r="D2036" s="12" t="s">
        <v>7172</v>
      </c>
      <c r="E2036" s="12" t="s">
        <v>2196</v>
      </c>
      <c r="F2036" s="12" t="s">
        <v>2197</v>
      </c>
      <c r="G2036" s="12" t="s">
        <v>12</v>
      </c>
      <c r="H2036" s="12"/>
      <c r="I2036" s="12"/>
      <c r="J2036" s="12" t="s">
        <v>68</v>
      </c>
      <c r="K2036" s="12"/>
      <c r="L2036" s="12"/>
      <c r="M2036" s="12" t="s">
        <v>2198</v>
      </c>
      <c r="N2036" s="12"/>
      <c r="O2036" s="12" t="s">
        <v>2199</v>
      </c>
      <c r="P2036" s="12" t="str">
        <f>HYPERLINK("https://ceds.ed.gov/cedselementdetails.aspx?termid=10526")</f>
        <v>https://ceds.ed.gov/cedselementdetails.aspx?termid=10526</v>
      </c>
      <c r="Q2036" s="12" t="str">
        <f>HYPERLINK("https://ceds.ed.gov/elementComment.aspx?elementName=Crisis Description &amp;elementID=10526", "Click here to submit comment")</f>
        <v>Click here to submit comment</v>
      </c>
    </row>
    <row r="2037" spans="1:17" ht="30" x14ac:dyDescent="0.25">
      <c r="A2037" s="12" t="s">
        <v>7242</v>
      </c>
      <c r="B2037" s="12" t="s">
        <v>7287</v>
      </c>
      <c r="C2037" s="12" t="s">
        <v>7288</v>
      </c>
      <c r="D2037" s="12" t="s">
        <v>7172</v>
      </c>
      <c r="E2037" s="12" t="s">
        <v>2200</v>
      </c>
      <c r="F2037" s="12" t="s">
        <v>2201</v>
      </c>
      <c r="G2037" s="12" t="s">
        <v>12</v>
      </c>
      <c r="H2037" s="12"/>
      <c r="I2037" s="12"/>
      <c r="J2037" s="12" t="s">
        <v>73</v>
      </c>
      <c r="K2037" s="12"/>
      <c r="L2037" s="12"/>
      <c r="M2037" s="12" t="s">
        <v>2202</v>
      </c>
      <c r="N2037" s="12"/>
      <c r="O2037" s="12" t="s">
        <v>2203</v>
      </c>
      <c r="P2037" s="12" t="str">
        <f>HYPERLINK("https://ceds.ed.gov/cedselementdetails.aspx?termid=10528")</f>
        <v>https://ceds.ed.gov/cedselementdetails.aspx?termid=10528</v>
      </c>
      <c r="Q2037" s="12" t="str">
        <f>HYPERLINK("https://ceds.ed.gov/elementComment.aspx?elementName=Crisis End Date &amp;elementID=10528", "Click here to submit comment")</f>
        <v>Click here to submit comment</v>
      </c>
    </row>
    <row r="2038" spans="1:17" ht="120" x14ac:dyDescent="0.25">
      <c r="A2038" s="12" t="s">
        <v>7242</v>
      </c>
      <c r="B2038" s="12" t="s">
        <v>7287</v>
      </c>
      <c r="C2038" s="12" t="s">
        <v>7289</v>
      </c>
      <c r="D2038" s="12" t="s">
        <v>7172</v>
      </c>
      <c r="E2038" s="12" t="s">
        <v>1624</v>
      </c>
      <c r="F2038" s="12" t="s">
        <v>1625</v>
      </c>
      <c r="G2038" s="13" t="s">
        <v>6804</v>
      </c>
      <c r="H2038" s="12"/>
      <c r="I2038" s="12"/>
      <c r="J2038" s="12"/>
      <c r="K2038" s="12"/>
      <c r="L2038" s="12"/>
      <c r="M2038" s="12" t="s">
        <v>1626</v>
      </c>
      <c r="N2038" s="12"/>
      <c r="O2038" s="12" t="s">
        <v>1627</v>
      </c>
      <c r="P2038" s="12" t="str">
        <f>HYPERLINK("https://ceds.ed.gov/cedselementdetails.aspx?termid=9596")</f>
        <v>https://ceds.ed.gov/cedselementdetails.aspx?termid=9596</v>
      </c>
      <c r="Q2038" s="12" t="str">
        <f>HYPERLINK("https://ceds.ed.gov/elementComment.aspx?elementName=Calendar Event Type &amp;elementID=9596", "Click here to submit comment")</f>
        <v>Click here to submit comment</v>
      </c>
    </row>
    <row r="2039" spans="1:17" ht="30" x14ac:dyDescent="0.25">
      <c r="A2039" s="12" t="s">
        <v>7242</v>
      </c>
      <c r="B2039" s="12" t="s">
        <v>7287</v>
      </c>
      <c r="C2039" s="12" t="s">
        <v>7289</v>
      </c>
      <c r="D2039" s="12" t="s">
        <v>7172</v>
      </c>
      <c r="E2039" s="12" t="s">
        <v>1615</v>
      </c>
      <c r="F2039" s="12" t="s">
        <v>1616</v>
      </c>
      <c r="G2039" s="12" t="s">
        <v>12</v>
      </c>
      <c r="H2039" s="12"/>
      <c r="I2039" s="12" t="s">
        <v>98</v>
      </c>
      <c r="J2039" s="12" t="s">
        <v>73</v>
      </c>
      <c r="K2039" s="12"/>
      <c r="L2039" s="12"/>
      <c r="M2039" s="12" t="s">
        <v>1618</v>
      </c>
      <c r="N2039" s="12"/>
      <c r="O2039" s="12" t="s">
        <v>1619</v>
      </c>
      <c r="P2039" s="12" t="str">
        <f>HYPERLINK("https://ceds.ed.gov/cedselementdetails.aspx?termid=10241")</f>
        <v>https://ceds.ed.gov/cedselementdetails.aspx?termid=10241</v>
      </c>
      <c r="Q2039" s="12" t="str">
        <f>HYPERLINK("https://ceds.ed.gov/elementComment.aspx?elementName=Calendar Event Date &amp;elementID=10241", "Click here to submit comment")</f>
        <v>Click here to submit comment</v>
      </c>
    </row>
    <row r="2040" spans="1:17" ht="30" x14ac:dyDescent="0.25">
      <c r="A2040" s="12" t="s">
        <v>7242</v>
      </c>
      <c r="B2040" s="12" t="s">
        <v>7287</v>
      </c>
      <c r="C2040" s="12" t="s">
        <v>7289</v>
      </c>
      <c r="D2040" s="12" t="s">
        <v>7172</v>
      </c>
      <c r="E2040" s="12" t="s">
        <v>1620</v>
      </c>
      <c r="F2040" s="12" t="s">
        <v>1621</v>
      </c>
      <c r="G2040" s="12" t="s">
        <v>12</v>
      </c>
      <c r="H2040" s="12"/>
      <c r="I2040" s="12"/>
      <c r="J2040" s="12" t="s">
        <v>92</v>
      </c>
      <c r="K2040" s="12"/>
      <c r="L2040" s="12"/>
      <c r="M2040" s="12" t="s">
        <v>1622</v>
      </c>
      <c r="N2040" s="12"/>
      <c r="O2040" s="12" t="s">
        <v>1623</v>
      </c>
      <c r="P2040" s="12" t="str">
        <f>HYPERLINK("https://ceds.ed.gov/cedselementdetails.aspx?termid=10242")</f>
        <v>https://ceds.ed.gov/cedselementdetails.aspx?termid=10242</v>
      </c>
      <c r="Q2040" s="12" t="str">
        <f>HYPERLINK("https://ceds.ed.gov/elementComment.aspx?elementName=Calendar Event Day Name &amp;elementID=10242", "Click here to submit comment")</f>
        <v>Click here to submit comment</v>
      </c>
    </row>
    <row r="2041" spans="1:17" ht="225" x14ac:dyDescent="0.25">
      <c r="A2041" s="12" t="s">
        <v>7242</v>
      </c>
      <c r="B2041" s="12" t="s">
        <v>7290</v>
      </c>
      <c r="C2041" s="12"/>
      <c r="D2041" s="12" t="s">
        <v>7172</v>
      </c>
      <c r="E2041" s="12" t="s">
        <v>3810</v>
      </c>
      <c r="F2041" s="12" t="s">
        <v>3811</v>
      </c>
      <c r="G2041" s="13" t="s">
        <v>6992</v>
      </c>
      <c r="H2041" s="12"/>
      <c r="I2041" s="12"/>
      <c r="J2041" s="12"/>
      <c r="K2041" s="12"/>
      <c r="L2041" s="12" t="s">
        <v>3812</v>
      </c>
      <c r="M2041" s="12" t="s">
        <v>3813</v>
      </c>
      <c r="N2041" s="12"/>
      <c r="O2041" s="12" t="s">
        <v>3814</v>
      </c>
      <c r="P2041" s="12" t="str">
        <f>HYPERLINK("https://ceds.ed.gov/cedselementdetails.aspx?termid=10358")</f>
        <v>https://ceds.ed.gov/cedselementdetails.aspx?termid=10358</v>
      </c>
      <c r="Q2041" s="12" t="str">
        <f>HYPERLINK("https://ceds.ed.gov/elementComment.aspx?elementName=Learning Resource Access API Type &amp;elementID=10358", "Click here to submit comment")</f>
        <v>Click here to submit comment</v>
      </c>
    </row>
    <row r="2042" spans="1:17" ht="60" x14ac:dyDescent="0.25">
      <c r="A2042" s="12" t="s">
        <v>7242</v>
      </c>
      <c r="B2042" s="12" t="s">
        <v>7290</v>
      </c>
      <c r="C2042" s="12"/>
      <c r="D2042" s="12" t="s">
        <v>7172</v>
      </c>
      <c r="E2042" s="12" t="s">
        <v>3815</v>
      </c>
      <c r="F2042" s="12" t="s">
        <v>3816</v>
      </c>
      <c r="G2042" s="13" t="s">
        <v>6993</v>
      </c>
      <c r="H2042" s="12"/>
      <c r="I2042" s="12"/>
      <c r="J2042" s="12"/>
      <c r="K2042" s="12"/>
      <c r="L2042" s="12"/>
      <c r="M2042" s="12" t="s">
        <v>3817</v>
      </c>
      <c r="N2042" s="12"/>
      <c r="O2042" s="12" t="s">
        <v>3818</v>
      </c>
      <c r="P2042" s="12" t="str">
        <f>HYPERLINK("https://ceds.ed.gov/cedselementdetails.aspx?termid=10359")</f>
        <v>https://ceds.ed.gov/cedselementdetails.aspx?termid=10359</v>
      </c>
      <c r="Q2042" s="12" t="str">
        <f>HYPERLINK("https://ceds.ed.gov/elementComment.aspx?elementName=Learning Resource Access Hazard Type &amp;elementID=10359", "Click here to submit comment")</f>
        <v>Click here to submit comment</v>
      </c>
    </row>
    <row r="2043" spans="1:17" ht="105" x14ac:dyDescent="0.25">
      <c r="A2043" s="12" t="s">
        <v>7242</v>
      </c>
      <c r="B2043" s="12" t="s">
        <v>7290</v>
      </c>
      <c r="C2043" s="12"/>
      <c r="D2043" s="12" t="s">
        <v>7172</v>
      </c>
      <c r="E2043" s="12" t="s">
        <v>3819</v>
      </c>
      <c r="F2043" s="12" t="s">
        <v>3820</v>
      </c>
      <c r="G2043" s="13" t="s">
        <v>6994</v>
      </c>
      <c r="H2043" s="12"/>
      <c r="I2043" s="12"/>
      <c r="J2043" s="12"/>
      <c r="K2043" s="12"/>
      <c r="L2043" s="12" t="s">
        <v>3821</v>
      </c>
      <c r="M2043" s="12" t="s">
        <v>3822</v>
      </c>
      <c r="N2043" s="12"/>
      <c r="O2043" s="12" t="s">
        <v>3823</v>
      </c>
      <c r="P2043" s="12" t="str">
        <f>HYPERLINK("https://ceds.ed.gov/cedselementdetails.aspx?termid=10360")</f>
        <v>https://ceds.ed.gov/cedselementdetails.aspx?termid=10360</v>
      </c>
      <c r="Q2043" s="12" t="str">
        <f>HYPERLINK("https://ceds.ed.gov/elementComment.aspx?elementName=Learning Resource Access Mode Type &amp;elementID=10360", "Click here to submit comment")</f>
        <v>Click here to submit comment</v>
      </c>
    </row>
    <row r="2044" spans="1:17" ht="45" x14ac:dyDescent="0.25">
      <c r="A2044" s="12" t="s">
        <v>7242</v>
      </c>
      <c r="B2044" s="12" t="s">
        <v>7290</v>
      </c>
      <c r="C2044" s="12"/>
      <c r="D2044" s="12" t="s">
        <v>7172</v>
      </c>
      <c r="E2044" s="12" t="s">
        <v>3829</v>
      </c>
      <c r="F2044" s="12" t="s">
        <v>3830</v>
      </c>
      <c r="G2044" s="12" t="s">
        <v>12</v>
      </c>
      <c r="H2044" s="12"/>
      <c r="I2044" s="12"/>
      <c r="J2044" s="12" t="s">
        <v>68</v>
      </c>
      <c r="K2044" s="12"/>
      <c r="L2044" s="12"/>
      <c r="M2044" s="12" t="s">
        <v>3831</v>
      </c>
      <c r="N2044" s="12"/>
      <c r="O2044" s="12" t="s">
        <v>3832</v>
      </c>
      <c r="P2044" s="12" t="str">
        <f>HYPERLINK("https://ceds.ed.gov/cedselementdetails.aspx?termid=10361")</f>
        <v>https://ceds.ed.gov/cedselementdetails.aspx?termid=10361</v>
      </c>
      <c r="Q2044" s="12" t="str">
        <f>HYPERLINK("https://ceds.ed.gov/elementComment.aspx?elementName=Learning Resource Adaptation URL &amp;elementID=10361", "Click here to submit comment")</f>
        <v>Click here to submit comment</v>
      </c>
    </row>
    <row r="2045" spans="1:17" ht="30" x14ac:dyDescent="0.25">
      <c r="A2045" s="12" t="s">
        <v>7242</v>
      </c>
      <c r="B2045" s="12" t="s">
        <v>7290</v>
      </c>
      <c r="C2045" s="12"/>
      <c r="D2045" s="12" t="s">
        <v>7172</v>
      </c>
      <c r="E2045" s="12" t="s">
        <v>3833</v>
      </c>
      <c r="F2045" s="12" t="s">
        <v>3834</v>
      </c>
      <c r="G2045" s="12" t="s">
        <v>12</v>
      </c>
      <c r="H2045" s="12"/>
      <c r="I2045" s="12"/>
      <c r="J2045" s="12" t="s">
        <v>68</v>
      </c>
      <c r="K2045" s="12"/>
      <c r="L2045" s="12"/>
      <c r="M2045" s="12" t="s">
        <v>3835</v>
      </c>
      <c r="N2045" s="12"/>
      <c r="O2045" s="12" t="s">
        <v>3836</v>
      </c>
      <c r="P2045" s="12" t="str">
        <f>HYPERLINK("https://ceds.ed.gov/cedselementdetails.aspx?termid=10367")</f>
        <v>https://ceds.ed.gov/cedselementdetails.aspx?termid=10367</v>
      </c>
      <c r="Q2045" s="12" t="str">
        <f>HYPERLINK("https://ceds.ed.gov/elementComment.aspx?elementName=Learning Resource Adapted From URL &amp;elementID=10367", "Click here to submit comment")</f>
        <v>Click here to submit comment</v>
      </c>
    </row>
    <row r="2046" spans="1:17" ht="75" x14ac:dyDescent="0.25">
      <c r="A2046" s="12" t="s">
        <v>7242</v>
      </c>
      <c r="B2046" s="12" t="s">
        <v>7290</v>
      </c>
      <c r="C2046" s="12"/>
      <c r="D2046" s="12" t="s">
        <v>7172</v>
      </c>
      <c r="E2046" s="12" t="s">
        <v>3837</v>
      </c>
      <c r="F2046" s="12" t="s">
        <v>3838</v>
      </c>
      <c r="G2046" s="12" t="s">
        <v>6364</v>
      </c>
      <c r="H2046" s="12"/>
      <c r="I2046" s="12"/>
      <c r="J2046" s="12"/>
      <c r="K2046" s="12"/>
      <c r="L2046" s="12" t="s">
        <v>3839</v>
      </c>
      <c r="M2046" s="12" t="s">
        <v>3840</v>
      </c>
      <c r="N2046" s="12"/>
      <c r="O2046" s="12" t="s">
        <v>3841</v>
      </c>
      <c r="P2046" s="12" t="str">
        <f>HYPERLINK("https://ceds.ed.gov/cedselementdetails.aspx?termid=10362")</f>
        <v>https://ceds.ed.gov/cedselementdetails.aspx?termid=10362</v>
      </c>
      <c r="Q2046" s="12" t="str">
        <f>HYPERLINK("https://ceds.ed.gov/elementComment.aspx?elementName=Learning Resource Assistive Technologies Compatible Indicator &amp;elementID=10362", "Click here to submit comment")</f>
        <v>Click here to submit comment</v>
      </c>
    </row>
    <row r="2047" spans="1:17" ht="45" x14ac:dyDescent="0.25">
      <c r="A2047" s="12" t="s">
        <v>7242</v>
      </c>
      <c r="B2047" s="12" t="s">
        <v>7290</v>
      </c>
      <c r="C2047" s="12"/>
      <c r="D2047" s="12" t="s">
        <v>7172</v>
      </c>
      <c r="E2047" s="12" t="s">
        <v>3854</v>
      </c>
      <c r="F2047" s="12" t="s">
        <v>3855</v>
      </c>
      <c r="G2047" s="12" t="s">
        <v>12</v>
      </c>
      <c r="H2047" s="12"/>
      <c r="I2047" s="12"/>
      <c r="J2047" s="12" t="s">
        <v>68</v>
      </c>
      <c r="K2047" s="12"/>
      <c r="L2047" s="12" t="s">
        <v>3856</v>
      </c>
      <c r="M2047" s="12" t="s">
        <v>3857</v>
      </c>
      <c r="N2047" s="12"/>
      <c r="O2047" s="12" t="s">
        <v>3858</v>
      </c>
      <c r="P2047" s="12" t="str">
        <f>HYPERLINK("https://ceds.ed.gov/cedselementdetails.aspx?termid=9923")</f>
        <v>https://ceds.ed.gov/cedselementdetails.aspx?termid=9923</v>
      </c>
      <c r="Q2047" s="12" t="str">
        <f>HYPERLINK("https://ceds.ed.gov/elementComment.aspx?elementName=Learning Resource Based On URL &amp;elementID=9923", "Click here to submit comment")</f>
        <v>Click here to submit comment</v>
      </c>
    </row>
    <row r="2048" spans="1:17" ht="135" x14ac:dyDescent="0.25">
      <c r="A2048" s="12" t="s">
        <v>7242</v>
      </c>
      <c r="B2048" s="12" t="s">
        <v>7290</v>
      </c>
      <c r="C2048" s="12"/>
      <c r="D2048" s="12" t="s">
        <v>7172</v>
      </c>
      <c r="E2048" s="12" t="s">
        <v>3859</v>
      </c>
      <c r="F2048" s="12" t="s">
        <v>3860</v>
      </c>
      <c r="G2048" s="13" t="s">
        <v>6997</v>
      </c>
      <c r="H2048" s="12"/>
      <c r="I2048" s="12"/>
      <c r="J2048" s="12"/>
      <c r="K2048" s="12"/>
      <c r="L2048" s="12"/>
      <c r="M2048" s="12" t="s">
        <v>3861</v>
      </c>
      <c r="N2048" s="12"/>
      <c r="O2048" s="12" t="s">
        <v>3862</v>
      </c>
      <c r="P2048" s="12" t="str">
        <f>HYPERLINK("https://ceds.ed.gov/cedselementdetails.aspx?termid=10363")</f>
        <v>https://ceds.ed.gov/cedselementdetails.aspx?termid=10363</v>
      </c>
      <c r="Q2048" s="12" t="str">
        <f>HYPERLINK("https://ceds.ed.gov/elementComment.aspx?elementName=Learning Resource Book Format Type &amp;elementID=10363", "Click here to submit comment")</f>
        <v>Click here to submit comment</v>
      </c>
    </row>
    <row r="2049" spans="1:17" ht="45" x14ac:dyDescent="0.25">
      <c r="A2049" s="12" t="s">
        <v>7242</v>
      </c>
      <c r="B2049" s="12" t="s">
        <v>7290</v>
      </c>
      <c r="C2049" s="12"/>
      <c r="D2049" s="12" t="s">
        <v>7172</v>
      </c>
      <c r="E2049" s="12" t="s">
        <v>3868</v>
      </c>
      <c r="F2049" s="12" t="s">
        <v>3869</v>
      </c>
      <c r="G2049" s="12" t="s">
        <v>12</v>
      </c>
      <c r="H2049" s="12"/>
      <c r="I2049" s="12"/>
      <c r="J2049" s="12" t="s">
        <v>68</v>
      </c>
      <c r="K2049" s="12"/>
      <c r="L2049" s="12"/>
      <c r="M2049" s="12" t="s">
        <v>3870</v>
      </c>
      <c r="N2049" s="12"/>
      <c r="O2049" s="12" t="s">
        <v>3871</v>
      </c>
      <c r="P2049" s="12" t="str">
        <f>HYPERLINK("https://ceds.ed.gov/cedselementdetails.aspx?termid=10159")</f>
        <v>https://ceds.ed.gov/cedselementdetails.aspx?termid=10159</v>
      </c>
      <c r="Q2049" s="12" t="str">
        <f>HYPERLINK("https://ceds.ed.gov/elementComment.aspx?elementName=Learning Resource Concept Keyword &amp;elementID=10159", "Click here to submit comment")</f>
        <v>Click here to submit comment</v>
      </c>
    </row>
    <row r="2050" spans="1:17" ht="105" x14ac:dyDescent="0.25">
      <c r="A2050" s="12" t="s">
        <v>7242</v>
      </c>
      <c r="B2050" s="12" t="s">
        <v>7290</v>
      </c>
      <c r="C2050" s="12"/>
      <c r="D2050" s="12" t="s">
        <v>7172</v>
      </c>
      <c r="E2050" s="12" t="s">
        <v>3872</v>
      </c>
      <c r="F2050" s="12" t="s">
        <v>3873</v>
      </c>
      <c r="G2050" s="13" t="s">
        <v>6999</v>
      </c>
      <c r="H2050" s="12"/>
      <c r="I2050" s="12"/>
      <c r="J2050" s="12"/>
      <c r="K2050" s="12"/>
      <c r="L2050" s="12"/>
      <c r="M2050" s="12" t="s">
        <v>3874</v>
      </c>
      <c r="N2050" s="12"/>
      <c r="O2050" s="12" t="s">
        <v>3875</v>
      </c>
      <c r="P2050" s="12" t="str">
        <f>HYPERLINK("https://ceds.ed.gov/cedselementdetails.aspx?termid=10364")</f>
        <v>https://ceds.ed.gov/cedselementdetails.aspx?termid=10364</v>
      </c>
      <c r="Q2050" s="12" t="str">
        <f>HYPERLINK("https://ceds.ed.gov/elementComment.aspx?elementName=Learning Resource Control Flexibility Type &amp;elementID=10364", "Click here to submit comment")</f>
        <v>Click here to submit comment</v>
      </c>
    </row>
    <row r="2051" spans="1:17" ht="45" x14ac:dyDescent="0.25">
      <c r="A2051" s="12" t="s">
        <v>7242</v>
      </c>
      <c r="B2051" s="12" t="s">
        <v>7290</v>
      </c>
      <c r="C2051" s="12"/>
      <c r="D2051" s="12" t="s">
        <v>7172</v>
      </c>
      <c r="E2051" s="12" t="s">
        <v>3876</v>
      </c>
      <c r="F2051" s="12" t="s">
        <v>3877</v>
      </c>
      <c r="G2051" s="12" t="s">
        <v>12</v>
      </c>
      <c r="H2051" s="12"/>
      <c r="I2051" s="12"/>
      <c r="J2051" s="12" t="s">
        <v>99</v>
      </c>
      <c r="K2051" s="12"/>
      <c r="L2051" s="12"/>
      <c r="M2051" s="12" t="s">
        <v>3878</v>
      </c>
      <c r="N2051" s="12"/>
      <c r="O2051" s="12" t="s">
        <v>3879</v>
      </c>
      <c r="P2051" s="12" t="str">
        <f>HYPERLINK("https://ceds.ed.gov/cedselementdetails.aspx?termid=10157")</f>
        <v>https://ceds.ed.gov/cedselementdetails.aspx?termid=10157</v>
      </c>
      <c r="Q2051" s="12" t="str">
        <f>HYPERLINK("https://ceds.ed.gov/elementComment.aspx?elementName=Learning Resource Copyright Holder Name &amp;elementID=10157", "Click here to submit comment")</f>
        <v>Click here to submit comment</v>
      </c>
    </row>
    <row r="2052" spans="1:17" ht="30" x14ac:dyDescent="0.25">
      <c r="A2052" s="12" t="s">
        <v>7242</v>
      </c>
      <c r="B2052" s="12" t="s">
        <v>7290</v>
      </c>
      <c r="C2052" s="12"/>
      <c r="D2052" s="12" t="s">
        <v>7172</v>
      </c>
      <c r="E2052" s="12" t="s">
        <v>3880</v>
      </c>
      <c r="F2052" s="12" t="s">
        <v>3881</v>
      </c>
      <c r="G2052" s="12" t="s">
        <v>12</v>
      </c>
      <c r="H2052" s="12"/>
      <c r="I2052" s="12"/>
      <c r="J2052" s="12" t="s">
        <v>1861</v>
      </c>
      <c r="K2052" s="12"/>
      <c r="L2052" s="12"/>
      <c r="M2052" s="12" t="s">
        <v>3882</v>
      </c>
      <c r="N2052" s="12"/>
      <c r="O2052" s="12" t="s">
        <v>3883</v>
      </c>
      <c r="P2052" s="12" t="str">
        <f>HYPERLINK("https://ceds.ed.gov/cedselementdetails.aspx?termid=10158")</f>
        <v>https://ceds.ed.gov/cedselementdetails.aspx?termid=10158</v>
      </c>
      <c r="Q2052" s="12" t="str">
        <f>HYPERLINK("https://ceds.ed.gov/elementComment.aspx?elementName=Learning Resource Copyright Year &amp;elementID=10158", "Click here to submit comment")</f>
        <v>Click here to submit comment</v>
      </c>
    </row>
    <row r="2053" spans="1:17" ht="45" x14ac:dyDescent="0.25">
      <c r="A2053" s="12" t="s">
        <v>7242</v>
      </c>
      <c r="B2053" s="12" t="s">
        <v>7290</v>
      </c>
      <c r="C2053" s="12"/>
      <c r="D2053" s="12" t="s">
        <v>7172</v>
      </c>
      <c r="E2053" s="12" t="s">
        <v>3884</v>
      </c>
      <c r="F2053" s="12" t="s">
        <v>3885</v>
      </c>
      <c r="G2053" s="12" t="s">
        <v>12</v>
      </c>
      <c r="H2053" s="12"/>
      <c r="I2053" s="12"/>
      <c r="J2053" s="12" t="s">
        <v>99</v>
      </c>
      <c r="K2053" s="12"/>
      <c r="L2053" s="12"/>
      <c r="M2053" s="12" t="s">
        <v>3886</v>
      </c>
      <c r="N2053" s="12"/>
      <c r="O2053" s="12" t="s">
        <v>3887</v>
      </c>
      <c r="P2053" s="12" t="str">
        <f>HYPERLINK("https://ceds.ed.gov/cedselementdetails.aspx?termid=9918")</f>
        <v>https://ceds.ed.gov/cedselementdetails.aspx?termid=9918</v>
      </c>
      <c r="Q2053" s="12" t="str">
        <f>HYPERLINK("https://ceds.ed.gov/elementComment.aspx?elementName=Learning Resource Creator &amp;elementID=9918", "Click here to submit comment")</f>
        <v>Click here to submit comment</v>
      </c>
    </row>
    <row r="2054" spans="1:17" ht="30" x14ac:dyDescent="0.25">
      <c r="A2054" s="12" t="s">
        <v>7242</v>
      </c>
      <c r="B2054" s="12" t="s">
        <v>7290</v>
      </c>
      <c r="C2054" s="12"/>
      <c r="D2054" s="12" t="s">
        <v>7172</v>
      </c>
      <c r="E2054" s="12" t="s">
        <v>3888</v>
      </c>
      <c r="F2054" s="12" t="s">
        <v>3889</v>
      </c>
      <c r="G2054" s="12" t="s">
        <v>12</v>
      </c>
      <c r="H2054" s="12"/>
      <c r="I2054" s="12"/>
      <c r="J2054" s="12" t="s">
        <v>73</v>
      </c>
      <c r="K2054" s="12"/>
      <c r="L2054" s="12"/>
      <c r="M2054" s="12" t="s">
        <v>3890</v>
      </c>
      <c r="N2054" s="12"/>
      <c r="O2054" s="12" t="s">
        <v>3891</v>
      </c>
      <c r="P2054" s="12" t="str">
        <f>HYPERLINK("https://ceds.ed.gov/cedselementdetails.aspx?termid=9916")</f>
        <v>https://ceds.ed.gov/cedselementdetails.aspx?termid=9916</v>
      </c>
      <c r="Q2054" s="12" t="str">
        <f>HYPERLINK("https://ceds.ed.gov/elementComment.aspx?elementName=Learning Resource Date Created &amp;elementID=9916", "Click here to submit comment")</f>
        <v>Click here to submit comment</v>
      </c>
    </row>
    <row r="2055" spans="1:17" ht="30" x14ac:dyDescent="0.25">
      <c r="A2055" s="12" t="s">
        <v>7242</v>
      </c>
      <c r="B2055" s="12" t="s">
        <v>7290</v>
      </c>
      <c r="C2055" s="12"/>
      <c r="D2055" s="12" t="s">
        <v>7172</v>
      </c>
      <c r="E2055" s="12" t="s">
        <v>3896</v>
      </c>
      <c r="F2055" s="12" t="s">
        <v>3897</v>
      </c>
      <c r="G2055" s="12" t="s">
        <v>12</v>
      </c>
      <c r="H2055" s="12"/>
      <c r="I2055" s="12"/>
      <c r="J2055" s="12" t="s">
        <v>68</v>
      </c>
      <c r="K2055" s="12"/>
      <c r="L2055" s="12"/>
      <c r="M2055" s="12" t="s">
        <v>3898</v>
      </c>
      <c r="N2055" s="12"/>
      <c r="O2055" s="12" t="s">
        <v>3899</v>
      </c>
      <c r="P2055" s="12" t="str">
        <f>HYPERLINK("https://ceds.ed.gov/cedselementdetails.aspx?termid=10156")</f>
        <v>https://ceds.ed.gov/cedselementdetails.aspx?termid=10156</v>
      </c>
      <c r="Q2055" s="12" t="str">
        <f>HYPERLINK("https://ceds.ed.gov/elementComment.aspx?elementName=Learning Resource Description &amp;elementID=10156", "Click here to submit comment")</f>
        <v>Click here to submit comment</v>
      </c>
    </row>
    <row r="2056" spans="1:17" ht="105" x14ac:dyDescent="0.25">
      <c r="A2056" s="12" t="s">
        <v>7242</v>
      </c>
      <c r="B2056" s="12" t="s">
        <v>7290</v>
      </c>
      <c r="C2056" s="12"/>
      <c r="D2056" s="12" t="s">
        <v>7172</v>
      </c>
      <c r="E2056" s="12" t="s">
        <v>3900</v>
      </c>
      <c r="F2056" s="12" t="s">
        <v>3901</v>
      </c>
      <c r="G2056" s="12" t="s">
        <v>3902</v>
      </c>
      <c r="H2056" s="12"/>
      <c r="I2056" s="12"/>
      <c r="J2056" s="12"/>
      <c r="K2056" s="12"/>
      <c r="L2056" s="12"/>
      <c r="M2056" s="12" t="s">
        <v>3903</v>
      </c>
      <c r="N2056" s="12"/>
      <c r="O2056" s="12" t="s">
        <v>3904</v>
      </c>
      <c r="P2056" s="12" t="str">
        <f>HYPERLINK("https://ceds.ed.gov/cedselementdetails.aspx?termid=10365")</f>
        <v>https://ceds.ed.gov/cedselementdetails.aspx?termid=10365</v>
      </c>
      <c r="Q2056" s="12" t="str">
        <f>HYPERLINK("https://ceds.ed.gov/elementComment.aspx?elementName=Learning Resource Digital Media Sub Type &amp;elementID=10365", "Click here to submit comment")</f>
        <v>Click here to submit comment</v>
      </c>
    </row>
    <row r="2057" spans="1:17" ht="150" x14ac:dyDescent="0.25">
      <c r="A2057" s="12" t="s">
        <v>7242</v>
      </c>
      <c r="B2057" s="12" t="s">
        <v>7290</v>
      </c>
      <c r="C2057" s="12"/>
      <c r="D2057" s="12" t="s">
        <v>7172</v>
      </c>
      <c r="E2057" s="12" t="s">
        <v>3905</v>
      </c>
      <c r="F2057" s="12" t="s">
        <v>3906</v>
      </c>
      <c r="G2057" s="13" t="s">
        <v>7000</v>
      </c>
      <c r="H2057" s="12"/>
      <c r="I2057" s="12"/>
      <c r="J2057" s="12"/>
      <c r="K2057" s="12"/>
      <c r="L2057" s="12"/>
      <c r="M2057" s="12" t="s">
        <v>3907</v>
      </c>
      <c r="N2057" s="12"/>
      <c r="O2057" s="12" t="s">
        <v>3908</v>
      </c>
      <c r="P2057" s="12" t="str">
        <f>HYPERLINK("https://ceds.ed.gov/cedselementdetails.aspx?termid=10366")</f>
        <v>https://ceds.ed.gov/cedselementdetails.aspx?termid=10366</v>
      </c>
      <c r="Q2057" s="12" t="str">
        <f>HYPERLINK("https://ceds.ed.gov/elementComment.aspx?elementName=Learning Resource Digital Media Type &amp;elementID=10366", "Click here to submit comment")</f>
        <v>Click here to submit comment</v>
      </c>
    </row>
    <row r="2058" spans="1:17" ht="409.5" x14ac:dyDescent="0.25">
      <c r="A2058" s="12" t="s">
        <v>7242</v>
      </c>
      <c r="B2058" s="12" t="s">
        <v>7290</v>
      </c>
      <c r="C2058" s="12"/>
      <c r="D2058" s="12" t="s">
        <v>7172</v>
      </c>
      <c r="E2058" s="12" t="s">
        <v>3909</v>
      </c>
      <c r="F2058" s="12" t="s">
        <v>3910</v>
      </c>
      <c r="G2058" s="13" t="s">
        <v>6831</v>
      </c>
      <c r="H2058" s="12"/>
      <c r="I2058" s="12"/>
      <c r="J2058" s="12"/>
      <c r="K2058" s="12"/>
      <c r="L2058" s="12"/>
      <c r="M2058" s="12" t="s">
        <v>3911</v>
      </c>
      <c r="N2058" s="12"/>
      <c r="O2058" s="12" t="s">
        <v>3912</v>
      </c>
      <c r="P2058" s="12" t="str">
        <f>HYPERLINK("https://ceds.ed.gov/cedselementdetails.aspx?termid=10212")</f>
        <v>https://ceds.ed.gov/cedselementdetails.aspx?termid=10212</v>
      </c>
      <c r="Q2058" s="12" t="str">
        <f>HYPERLINK("https://ceds.ed.gov/elementComment.aspx?elementName=Learning Resource Education Level  &amp;elementID=10212", "Click here to submit comment")</f>
        <v>Click here to submit comment</v>
      </c>
    </row>
    <row r="2059" spans="1:17" ht="105" x14ac:dyDescent="0.25">
      <c r="A2059" s="12" t="s">
        <v>7242</v>
      </c>
      <c r="B2059" s="12" t="s">
        <v>7290</v>
      </c>
      <c r="C2059" s="12"/>
      <c r="D2059" s="12" t="s">
        <v>7172</v>
      </c>
      <c r="E2059" s="12" t="s">
        <v>3913</v>
      </c>
      <c r="F2059" s="12" t="s">
        <v>3914</v>
      </c>
      <c r="G2059" s="13" t="s">
        <v>7001</v>
      </c>
      <c r="H2059" s="12"/>
      <c r="I2059" s="12"/>
      <c r="J2059" s="12"/>
      <c r="K2059" s="12"/>
      <c r="L2059" s="12"/>
      <c r="M2059" s="12" t="s">
        <v>3915</v>
      </c>
      <c r="N2059" s="12"/>
      <c r="O2059" s="12" t="s">
        <v>3916</v>
      </c>
      <c r="P2059" s="12" t="str">
        <f>HYPERLINK("https://ceds.ed.gov/cedselementdetails.aspx?termid=10005")</f>
        <v>https://ceds.ed.gov/cedselementdetails.aspx?termid=10005</v>
      </c>
      <c r="Q2059" s="12" t="str">
        <f>HYPERLINK("https://ceds.ed.gov/elementComment.aspx?elementName=Learning Resource Educational Use &amp;elementID=10005", "Click here to submit comment")</f>
        <v>Click here to submit comment</v>
      </c>
    </row>
    <row r="2060" spans="1:17" ht="150" x14ac:dyDescent="0.25">
      <c r="A2060" s="12" t="s">
        <v>7242</v>
      </c>
      <c r="B2060" s="12" t="s">
        <v>7290</v>
      </c>
      <c r="C2060" s="12"/>
      <c r="D2060" s="12" t="s">
        <v>7172</v>
      </c>
      <c r="E2060" s="12" t="s">
        <v>3917</v>
      </c>
      <c r="F2060" s="12" t="s">
        <v>3918</v>
      </c>
      <c r="G2060" s="13" t="s">
        <v>7002</v>
      </c>
      <c r="H2060" s="12"/>
      <c r="I2060" s="12"/>
      <c r="J2060" s="12"/>
      <c r="K2060" s="12"/>
      <c r="L2060" s="12"/>
      <c r="M2060" s="12" t="s">
        <v>3919</v>
      </c>
      <c r="N2060" s="12"/>
      <c r="O2060" s="12" t="s">
        <v>3920</v>
      </c>
      <c r="P2060" s="12" t="str">
        <f>HYPERLINK("https://ceds.ed.gov/cedselementdetails.aspx?termid=9924")</f>
        <v>https://ceds.ed.gov/cedselementdetails.aspx?termid=9924</v>
      </c>
      <c r="Q2060" s="12" t="str">
        <f>HYPERLINK("https://ceds.ed.gov/elementComment.aspx?elementName=Learning Resource Intended End User Role &amp;elementID=9924", "Click here to submit comment")</f>
        <v>Click here to submit comment</v>
      </c>
    </row>
    <row r="2061" spans="1:17" ht="60" x14ac:dyDescent="0.25">
      <c r="A2061" s="12" t="s">
        <v>7242</v>
      </c>
      <c r="B2061" s="12" t="s">
        <v>7290</v>
      </c>
      <c r="C2061" s="12"/>
      <c r="D2061" s="12" t="s">
        <v>7172</v>
      </c>
      <c r="E2061" s="12" t="s">
        <v>3925</v>
      </c>
      <c r="F2061" s="12" t="s">
        <v>3926</v>
      </c>
      <c r="G2061" s="13" t="s">
        <v>7004</v>
      </c>
      <c r="H2061" s="12"/>
      <c r="I2061" s="12"/>
      <c r="J2061" s="12"/>
      <c r="K2061" s="12"/>
      <c r="L2061" s="12"/>
      <c r="M2061" s="12" t="s">
        <v>3927</v>
      </c>
      <c r="N2061" s="12"/>
      <c r="O2061" s="12" t="s">
        <v>3928</v>
      </c>
      <c r="P2061" s="12" t="str">
        <f>HYPERLINK("https://ceds.ed.gov/cedselementdetails.aspx?termid=9928")</f>
        <v>https://ceds.ed.gov/cedselementdetails.aspx?termid=9928</v>
      </c>
      <c r="Q2061" s="12" t="str">
        <f>HYPERLINK("https://ceds.ed.gov/elementComment.aspx?elementName=Learning Resource Interactivity Type &amp;elementID=9928", "Click here to submit comment")</f>
        <v>Click here to submit comment</v>
      </c>
    </row>
    <row r="2062" spans="1:17" ht="90" x14ac:dyDescent="0.25">
      <c r="A2062" s="18" t="s">
        <v>7242</v>
      </c>
      <c r="B2062" s="18" t="s">
        <v>7290</v>
      </c>
      <c r="C2062" s="18"/>
      <c r="D2062" s="18" t="s">
        <v>7172</v>
      </c>
      <c r="E2062" s="18" t="s">
        <v>3929</v>
      </c>
      <c r="F2062" s="18" t="s">
        <v>3930</v>
      </c>
      <c r="G2062" s="21" t="s">
        <v>999</v>
      </c>
      <c r="H2062" s="18"/>
      <c r="I2062" s="18" t="s">
        <v>98</v>
      </c>
      <c r="J2062" s="18"/>
      <c r="K2062" s="18"/>
      <c r="L2062" s="14" t="s">
        <v>1000</v>
      </c>
      <c r="M2062" s="18" t="s">
        <v>3932</v>
      </c>
      <c r="N2062" s="18"/>
      <c r="O2062" s="18" t="s">
        <v>3933</v>
      </c>
      <c r="P2062" s="18" t="str">
        <f>HYPERLINK("https://ceds.ed.gov/cedselementdetails.aspx?termid=9920")</f>
        <v>https://ceds.ed.gov/cedselementdetails.aspx?termid=9920</v>
      </c>
      <c r="Q2062" s="18" t="str">
        <f>HYPERLINK("https://ceds.ed.gov/elementComment.aspx?elementName=Learning Resource Language &amp;elementID=9920", "Click here to submit comment")</f>
        <v>Click here to submit comment</v>
      </c>
    </row>
    <row r="2063" spans="1:17" ht="75" x14ac:dyDescent="0.25">
      <c r="A2063" s="18"/>
      <c r="B2063" s="18"/>
      <c r="C2063" s="18"/>
      <c r="D2063" s="18"/>
      <c r="E2063" s="18"/>
      <c r="F2063" s="18"/>
      <c r="G2063" s="21"/>
      <c r="H2063" s="18"/>
      <c r="I2063" s="18"/>
      <c r="J2063" s="18"/>
      <c r="K2063" s="18"/>
      <c r="L2063" s="12" t="s">
        <v>3931</v>
      </c>
      <c r="M2063" s="18"/>
      <c r="N2063" s="18"/>
      <c r="O2063" s="18"/>
      <c r="P2063" s="18"/>
      <c r="Q2063" s="18"/>
    </row>
    <row r="2064" spans="1:17" ht="45" x14ac:dyDescent="0.25">
      <c r="A2064" s="12" t="s">
        <v>7242</v>
      </c>
      <c r="B2064" s="12" t="s">
        <v>7290</v>
      </c>
      <c r="C2064" s="12"/>
      <c r="D2064" s="12" t="s">
        <v>7172</v>
      </c>
      <c r="E2064" s="12" t="s">
        <v>3934</v>
      </c>
      <c r="F2064" s="12" t="s">
        <v>3935</v>
      </c>
      <c r="G2064" s="12" t="s">
        <v>12</v>
      </c>
      <c r="H2064" s="12"/>
      <c r="I2064" s="12"/>
      <c r="J2064" s="12" t="s">
        <v>68</v>
      </c>
      <c r="K2064" s="12"/>
      <c r="L2064" s="12" t="s">
        <v>3936</v>
      </c>
      <c r="M2064" s="12" t="s">
        <v>3937</v>
      </c>
      <c r="N2064" s="12"/>
      <c r="O2064" s="12" t="s">
        <v>3938</v>
      </c>
      <c r="P2064" s="12" t="str">
        <f>HYPERLINK("https://ceds.ed.gov/cedselementdetails.aspx?termid=9922")</f>
        <v>https://ceds.ed.gov/cedselementdetails.aspx?termid=9922</v>
      </c>
      <c r="Q2064" s="12" t="str">
        <f>HYPERLINK("https://ceds.ed.gov/elementComment.aspx?elementName=Learning Resource License URL &amp;elementID=9922", "Click here to submit comment")</f>
        <v>Click here to submit comment</v>
      </c>
    </row>
    <row r="2065" spans="1:17" ht="345" x14ac:dyDescent="0.25">
      <c r="A2065" s="12" t="s">
        <v>7242</v>
      </c>
      <c r="B2065" s="12" t="s">
        <v>7290</v>
      </c>
      <c r="C2065" s="12"/>
      <c r="D2065" s="12" t="s">
        <v>7172</v>
      </c>
      <c r="E2065" s="12" t="s">
        <v>3939</v>
      </c>
      <c r="F2065" s="12" t="s">
        <v>3940</v>
      </c>
      <c r="G2065" s="13" t="s">
        <v>7005</v>
      </c>
      <c r="H2065" s="12"/>
      <c r="I2065" s="12"/>
      <c r="J2065" s="12"/>
      <c r="K2065" s="12"/>
      <c r="L2065" s="12" t="s">
        <v>3941</v>
      </c>
      <c r="M2065" s="12" t="s">
        <v>3942</v>
      </c>
      <c r="N2065" s="12"/>
      <c r="O2065" s="12" t="s">
        <v>3943</v>
      </c>
      <c r="P2065" s="12" t="str">
        <f>HYPERLINK("https://ceds.ed.gov/cedselementdetails.aspx?termid=10368")</f>
        <v>https://ceds.ed.gov/cedselementdetails.aspx?termid=10368</v>
      </c>
      <c r="Q2065" s="12" t="str">
        <f>HYPERLINK("https://ceds.ed.gov/elementComment.aspx?elementName=Learning Resource Media Feature Type &amp;elementID=10368", "Click here to submit comment")</f>
        <v>Click here to submit comment</v>
      </c>
    </row>
    <row r="2066" spans="1:17" ht="60" x14ac:dyDescent="0.25">
      <c r="A2066" s="12" t="s">
        <v>7242</v>
      </c>
      <c r="B2066" s="12" t="s">
        <v>7290</v>
      </c>
      <c r="C2066" s="12"/>
      <c r="D2066" s="12" t="s">
        <v>7172</v>
      </c>
      <c r="E2066" s="12" t="s">
        <v>3944</v>
      </c>
      <c r="F2066" s="12" t="s">
        <v>3945</v>
      </c>
      <c r="G2066" s="12" t="s">
        <v>12</v>
      </c>
      <c r="H2066" s="12"/>
      <c r="I2066" s="12"/>
      <c r="J2066" s="12" t="s">
        <v>620</v>
      </c>
      <c r="K2066" s="12"/>
      <c r="L2066" s="12"/>
      <c r="M2066" s="12" t="s">
        <v>3946</v>
      </c>
      <c r="N2066" s="12"/>
      <c r="O2066" s="12" t="s">
        <v>3947</v>
      </c>
      <c r="P2066" s="12" t="str">
        <f>HYPERLINK("https://ceds.ed.gov/cedselementdetails.aspx?termid=10369")</f>
        <v>https://ceds.ed.gov/cedselementdetails.aspx?termid=10369</v>
      </c>
      <c r="Q2066" s="12" t="str">
        <f>HYPERLINK("https://ceds.ed.gov/elementComment.aspx?elementName=Learning Resource Peer Rating Sample Size &amp;elementID=10369", "Click here to submit comment")</f>
        <v>Click here to submit comment</v>
      </c>
    </row>
    <row r="2067" spans="1:17" ht="90" x14ac:dyDescent="0.25">
      <c r="A2067" s="12" t="s">
        <v>7242</v>
      </c>
      <c r="B2067" s="12" t="s">
        <v>7290</v>
      </c>
      <c r="C2067" s="12"/>
      <c r="D2067" s="12" t="s">
        <v>7172</v>
      </c>
      <c r="E2067" s="12" t="s">
        <v>3948</v>
      </c>
      <c r="F2067" s="12" t="s">
        <v>3949</v>
      </c>
      <c r="G2067" s="12" t="s">
        <v>12</v>
      </c>
      <c r="H2067" s="12"/>
      <c r="I2067" s="12"/>
      <c r="J2067" s="12" t="s">
        <v>1021</v>
      </c>
      <c r="K2067" s="12"/>
      <c r="L2067" s="12"/>
      <c r="M2067" s="12" t="s">
        <v>3950</v>
      </c>
      <c r="N2067" s="12"/>
      <c r="O2067" s="12" t="s">
        <v>3951</v>
      </c>
      <c r="P2067" s="12" t="str">
        <f>HYPERLINK("https://ceds.ed.gov/cedselementdetails.aspx?termid=10161")</f>
        <v>https://ceds.ed.gov/cedselementdetails.aspx?termid=10161</v>
      </c>
      <c r="Q2067" s="12" t="str">
        <f>HYPERLINK("https://ceds.ed.gov/elementComment.aspx?elementName=Learning Resource Peer Rating Value &amp;elementID=10161", "Click here to submit comment")</f>
        <v>Click here to submit comment</v>
      </c>
    </row>
    <row r="2068" spans="1:17" ht="409.5" x14ac:dyDescent="0.25">
      <c r="A2068" s="12" t="s">
        <v>7242</v>
      </c>
      <c r="B2068" s="12" t="s">
        <v>7290</v>
      </c>
      <c r="C2068" s="12"/>
      <c r="D2068" s="12" t="s">
        <v>7172</v>
      </c>
      <c r="E2068" s="12" t="s">
        <v>3952</v>
      </c>
      <c r="F2068" s="12" t="s">
        <v>3953</v>
      </c>
      <c r="G2068" s="13" t="s">
        <v>7006</v>
      </c>
      <c r="H2068" s="12"/>
      <c r="I2068" s="12"/>
      <c r="J2068" s="12"/>
      <c r="K2068" s="12"/>
      <c r="L2068" s="12"/>
      <c r="M2068" s="12" t="s">
        <v>3954</v>
      </c>
      <c r="N2068" s="12"/>
      <c r="O2068" s="12" t="s">
        <v>3955</v>
      </c>
      <c r="P2068" s="12" t="str">
        <f>HYPERLINK("https://ceds.ed.gov/cedselementdetails.aspx?termid=10370")</f>
        <v>https://ceds.ed.gov/cedselementdetails.aspx?termid=10370</v>
      </c>
      <c r="Q2068" s="12" t="str">
        <f>HYPERLINK("https://ceds.ed.gov/elementComment.aspx?elementName=Learning Resource Physical Media Type &amp;elementID=10370", "Click here to submit comment")</f>
        <v>Click here to submit comment</v>
      </c>
    </row>
    <row r="2069" spans="1:17" ht="30" x14ac:dyDescent="0.25">
      <c r="A2069" s="12" t="s">
        <v>7242</v>
      </c>
      <c r="B2069" s="12" t="s">
        <v>7290</v>
      </c>
      <c r="C2069" s="12"/>
      <c r="D2069" s="12" t="s">
        <v>7172</v>
      </c>
      <c r="E2069" s="12" t="s">
        <v>3964</v>
      </c>
      <c r="F2069" s="12" t="s">
        <v>3965</v>
      </c>
      <c r="G2069" s="12" t="s">
        <v>12</v>
      </c>
      <c r="H2069" s="12"/>
      <c r="I2069" s="12"/>
      <c r="J2069" s="12" t="s">
        <v>99</v>
      </c>
      <c r="K2069" s="12"/>
      <c r="L2069" s="12"/>
      <c r="M2069" s="12" t="s">
        <v>3966</v>
      </c>
      <c r="N2069" s="12"/>
      <c r="O2069" s="12" t="s">
        <v>3967</v>
      </c>
      <c r="P2069" s="12" t="str">
        <f>HYPERLINK("https://ceds.ed.gov/cedselementdetails.aspx?termid=9919")</f>
        <v>https://ceds.ed.gov/cedselementdetails.aspx?termid=9919</v>
      </c>
      <c r="Q2069" s="12" t="str">
        <f>HYPERLINK("https://ceds.ed.gov/elementComment.aspx?elementName=Learning Resource Publisher Name &amp;elementID=9919", "Click here to submit comment")</f>
        <v>Click here to submit comment</v>
      </c>
    </row>
    <row r="2070" spans="1:17" ht="210" x14ac:dyDescent="0.25">
      <c r="A2070" s="12" t="s">
        <v>7242</v>
      </c>
      <c r="B2070" s="12" t="s">
        <v>7290</v>
      </c>
      <c r="C2070" s="12"/>
      <c r="D2070" s="12" t="s">
        <v>7172</v>
      </c>
      <c r="E2070" s="12" t="s">
        <v>3972</v>
      </c>
      <c r="F2070" s="12" t="s">
        <v>3973</v>
      </c>
      <c r="G2070" s="12" t="s">
        <v>12</v>
      </c>
      <c r="H2070" s="12"/>
      <c r="I2070" s="12"/>
      <c r="J2070" s="12" t="s">
        <v>92</v>
      </c>
      <c r="K2070" s="12"/>
      <c r="L2070" s="12" t="s">
        <v>3974</v>
      </c>
      <c r="M2070" s="12" t="s">
        <v>3975</v>
      </c>
      <c r="N2070" s="12"/>
      <c r="O2070" s="12" t="s">
        <v>3976</v>
      </c>
      <c r="P2070" s="12" t="str">
        <f>HYPERLINK("https://ceds.ed.gov/cedselementdetails.aspx?termid=9914")</f>
        <v>https://ceds.ed.gov/cedselementdetails.aspx?termid=9914</v>
      </c>
      <c r="Q2070" s="12" t="str">
        <f>HYPERLINK("https://ceds.ed.gov/elementComment.aspx?elementName=Learning Resource Subject Code &amp;elementID=9914", "Click here to submit comment")</f>
        <v>Click here to submit comment</v>
      </c>
    </row>
    <row r="2071" spans="1:17" ht="240" x14ac:dyDescent="0.25">
      <c r="A2071" s="12" t="s">
        <v>7242</v>
      </c>
      <c r="B2071" s="12" t="s">
        <v>7290</v>
      </c>
      <c r="C2071" s="12"/>
      <c r="D2071" s="12" t="s">
        <v>7172</v>
      </c>
      <c r="E2071" s="12" t="s">
        <v>3977</v>
      </c>
      <c r="F2071" s="12" t="s">
        <v>3978</v>
      </c>
      <c r="G2071" s="12" t="s">
        <v>12</v>
      </c>
      <c r="H2071" s="12"/>
      <c r="I2071" s="12"/>
      <c r="J2071" s="12" t="s">
        <v>92</v>
      </c>
      <c r="K2071" s="12"/>
      <c r="L2071" s="12" t="s">
        <v>3979</v>
      </c>
      <c r="M2071" s="12" t="s">
        <v>3980</v>
      </c>
      <c r="N2071" s="12"/>
      <c r="O2071" s="12" t="s">
        <v>3981</v>
      </c>
      <c r="P2071" s="12" t="str">
        <f>HYPERLINK("https://ceds.ed.gov/cedselementdetails.aspx?termid=9915")</f>
        <v>https://ceds.ed.gov/cedselementdetails.aspx?termid=9915</v>
      </c>
      <c r="Q2071" s="12" t="str">
        <f>HYPERLINK("https://ceds.ed.gov/elementComment.aspx?elementName=Learning Resource Subject Code System &amp;elementID=9915", "Click here to submit comment")</f>
        <v>Click here to submit comment</v>
      </c>
    </row>
    <row r="2072" spans="1:17" ht="30" x14ac:dyDescent="0.25">
      <c r="A2072" s="12" t="s">
        <v>7242</v>
      </c>
      <c r="B2072" s="12" t="s">
        <v>7290</v>
      </c>
      <c r="C2072" s="12"/>
      <c r="D2072" s="12" t="s">
        <v>7172</v>
      </c>
      <c r="E2072" s="12" t="s">
        <v>3982</v>
      </c>
      <c r="F2072" s="12" t="s">
        <v>3983</v>
      </c>
      <c r="G2072" s="12" t="s">
        <v>12</v>
      </c>
      <c r="H2072" s="12"/>
      <c r="I2072" s="12"/>
      <c r="J2072" s="12" t="s">
        <v>92</v>
      </c>
      <c r="K2072" s="12"/>
      <c r="L2072" s="12"/>
      <c r="M2072" s="12" t="s">
        <v>3984</v>
      </c>
      <c r="N2072" s="12"/>
      <c r="O2072" s="12" t="s">
        <v>3985</v>
      </c>
      <c r="P2072" s="12" t="str">
        <f>HYPERLINK("https://ceds.ed.gov/cedselementdetails.aspx?termid=9913")</f>
        <v>https://ceds.ed.gov/cedselementdetails.aspx?termid=9913</v>
      </c>
      <c r="Q2072" s="12" t="str">
        <f>HYPERLINK("https://ceds.ed.gov/elementComment.aspx?elementName=Learning Resource Subject Name &amp;elementID=9913", "Click here to submit comment")</f>
        <v>Click here to submit comment</v>
      </c>
    </row>
    <row r="2073" spans="1:17" ht="45" x14ac:dyDescent="0.25">
      <c r="A2073" s="12" t="s">
        <v>7242</v>
      </c>
      <c r="B2073" s="12" t="s">
        <v>7290</v>
      </c>
      <c r="C2073" s="12"/>
      <c r="D2073" s="12" t="s">
        <v>7172</v>
      </c>
      <c r="E2073" s="12" t="s">
        <v>3986</v>
      </c>
      <c r="F2073" s="12" t="s">
        <v>3987</v>
      </c>
      <c r="G2073" s="12" t="s">
        <v>12</v>
      </c>
      <c r="H2073" s="12"/>
      <c r="I2073" s="12"/>
      <c r="J2073" s="12" t="s">
        <v>92</v>
      </c>
      <c r="K2073" s="12"/>
      <c r="L2073" s="12"/>
      <c r="M2073" s="12" t="s">
        <v>3988</v>
      </c>
      <c r="N2073" s="12"/>
      <c r="O2073" s="12" t="s">
        <v>3989</v>
      </c>
      <c r="P2073" s="12" t="str">
        <f>HYPERLINK("https://ceds.ed.gov/cedselementdetails.aspx?termid=9931")</f>
        <v>https://ceds.ed.gov/cedselementdetails.aspx?termid=9931</v>
      </c>
      <c r="Q2073" s="12" t="str">
        <f>HYPERLINK("https://ceds.ed.gov/elementComment.aspx?elementName=Learning Resource Text Complexity System &amp;elementID=9931", "Click here to submit comment")</f>
        <v>Click here to submit comment</v>
      </c>
    </row>
    <row r="2074" spans="1:17" ht="45" x14ac:dyDescent="0.25">
      <c r="A2074" s="12" t="s">
        <v>7242</v>
      </c>
      <c r="B2074" s="12" t="s">
        <v>7290</v>
      </c>
      <c r="C2074" s="12"/>
      <c r="D2074" s="12" t="s">
        <v>7172</v>
      </c>
      <c r="E2074" s="12" t="s">
        <v>3990</v>
      </c>
      <c r="F2074" s="12" t="s">
        <v>3991</v>
      </c>
      <c r="G2074" s="12" t="s">
        <v>12</v>
      </c>
      <c r="H2074" s="12"/>
      <c r="I2074" s="12"/>
      <c r="J2074" s="12" t="s">
        <v>92</v>
      </c>
      <c r="K2074" s="12"/>
      <c r="L2074" s="12"/>
      <c r="M2074" s="12" t="s">
        <v>3992</v>
      </c>
      <c r="N2074" s="12"/>
      <c r="O2074" s="12" t="s">
        <v>3993</v>
      </c>
      <c r="P2074" s="12" t="str">
        <f>HYPERLINK("https://ceds.ed.gov/cedselementdetails.aspx?termid=9930")</f>
        <v>https://ceds.ed.gov/cedselementdetails.aspx?termid=9930</v>
      </c>
      <c r="Q2074" s="12" t="str">
        <f>HYPERLINK("https://ceds.ed.gov/elementComment.aspx?elementName=Learning Resource Text Complexity Value &amp;elementID=9930", "Click here to submit comment")</f>
        <v>Click here to submit comment</v>
      </c>
    </row>
    <row r="2075" spans="1:17" ht="60" x14ac:dyDescent="0.25">
      <c r="A2075" s="12" t="s">
        <v>7242</v>
      </c>
      <c r="B2075" s="12" t="s">
        <v>7290</v>
      </c>
      <c r="C2075" s="12"/>
      <c r="D2075" s="12" t="s">
        <v>7172</v>
      </c>
      <c r="E2075" s="12" t="s">
        <v>3994</v>
      </c>
      <c r="F2075" s="12" t="s">
        <v>3995</v>
      </c>
      <c r="G2075" s="12" t="s">
        <v>12</v>
      </c>
      <c r="H2075" s="12"/>
      <c r="I2075" s="12"/>
      <c r="J2075" s="12" t="s">
        <v>3996</v>
      </c>
      <c r="K2075" s="12"/>
      <c r="L2075" s="12"/>
      <c r="M2075" s="12" t="s">
        <v>3997</v>
      </c>
      <c r="N2075" s="12"/>
      <c r="O2075" s="12" t="s">
        <v>3998</v>
      </c>
      <c r="P2075" s="12" t="str">
        <f>HYPERLINK("https://ceds.ed.gov/cedselementdetails.aspx?termid=9925")</f>
        <v>https://ceds.ed.gov/cedselementdetails.aspx?termid=9925</v>
      </c>
      <c r="Q2075" s="12" t="str">
        <f>HYPERLINK("https://ceds.ed.gov/elementComment.aspx?elementName=Learning Resource Time Required &amp;elementID=9925", "Click here to submit comment")</f>
        <v>Click here to submit comment</v>
      </c>
    </row>
    <row r="2076" spans="1:17" ht="30" x14ac:dyDescent="0.25">
      <c r="A2076" s="12" t="s">
        <v>7242</v>
      </c>
      <c r="B2076" s="12" t="s">
        <v>7290</v>
      </c>
      <c r="C2076" s="12"/>
      <c r="D2076" s="12" t="s">
        <v>7172</v>
      </c>
      <c r="E2076" s="12" t="s">
        <v>3999</v>
      </c>
      <c r="F2076" s="12" t="s">
        <v>4000</v>
      </c>
      <c r="G2076" s="12" t="s">
        <v>12</v>
      </c>
      <c r="H2076" s="12"/>
      <c r="I2076" s="12"/>
      <c r="J2076" s="12" t="s">
        <v>92</v>
      </c>
      <c r="K2076" s="12"/>
      <c r="L2076" s="12"/>
      <c r="M2076" s="12" t="s">
        <v>4001</v>
      </c>
      <c r="N2076" s="12"/>
      <c r="O2076" s="12" t="s">
        <v>4002</v>
      </c>
      <c r="P2076" s="12" t="str">
        <f>HYPERLINK("https://ceds.ed.gov/cedselementdetails.aspx?termid=9912")</f>
        <v>https://ceds.ed.gov/cedselementdetails.aspx?termid=9912</v>
      </c>
      <c r="Q2076" s="12" t="str">
        <f>HYPERLINK("https://ceds.ed.gov/elementComment.aspx?elementName=Learning Resource Title &amp;elementID=9912", "Click here to submit comment")</f>
        <v>Click here to submit comment</v>
      </c>
    </row>
    <row r="2077" spans="1:17" ht="360" x14ac:dyDescent="0.25">
      <c r="A2077" s="12" t="s">
        <v>7242</v>
      </c>
      <c r="B2077" s="12" t="s">
        <v>7290</v>
      </c>
      <c r="C2077" s="12"/>
      <c r="D2077" s="12" t="s">
        <v>7172</v>
      </c>
      <c r="E2077" s="12" t="s">
        <v>4003</v>
      </c>
      <c r="F2077" s="12" t="s">
        <v>4004</v>
      </c>
      <c r="G2077" s="13" t="s">
        <v>7007</v>
      </c>
      <c r="H2077" s="12"/>
      <c r="I2077" s="12"/>
      <c r="J2077" s="12"/>
      <c r="K2077" s="12"/>
      <c r="L2077" s="12" t="s">
        <v>4005</v>
      </c>
      <c r="M2077" s="12" t="s">
        <v>4006</v>
      </c>
      <c r="N2077" s="12"/>
      <c r="O2077" s="12" t="s">
        <v>4007</v>
      </c>
      <c r="P2077" s="12" t="str">
        <f>HYPERLINK("https://ceds.ed.gov/cedselementdetails.aspx?termid=9929")</f>
        <v>https://ceds.ed.gov/cedselementdetails.aspx?termid=9929</v>
      </c>
      <c r="Q2077" s="12" t="str">
        <f>HYPERLINK("https://ceds.ed.gov/elementComment.aspx?elementName=Learning Resource Type &amp;elementID=9929", "Click here to submit comment")</f>
        <v>Click here to submit comment</v>
      </c>
    </row>
    <row r="2078" spans="1:17" ht="45" x14ac:dyDescent="0.25">
      <c r="A2078" s="12" t="s">
        <v>7242</v>
      </c>
      <c r="B2078" s="12" t="s">
        <v>7290</v>
      </c>
      <c r="C2078" s="12"/>
      <c r="D2078" s="12" t="s">
        <v>7172</v>
      </c>
      <c r="E2078" s="12" t="s">
        <v>4008</v>
      </c>
      <c r="F2078" s="12" t="s">
        <v>4009</v>
      </c>
      <c r="G2078" s="12" t="s">
        <v>12</v>
      </c>
      <c r="H2078" s="12"/>
      <c r="I2078" s="12"/>
      <c r="J2078" s="12" t="s">
        <v>317</v>
      </c>
      <c r="K2078" s="12"/>
      <c r="L2078" s="12"/>
      <c r="M2078" s="12" t="s">
        <v>4010</v>
      </c>
      <c r="N2078" s="12"/>
      <c r="O2078" s="12" t="s">
        <v>4011</v>
      </c>
      <c r="P2078" s="12" t="str">
        <f>HYPERLINK("https://ceds.ed.gov/cedselementdetails.aspx?termid=9927")</f>
        <v>https://ceds.ed.gov/cedselementdetails.aspx?termid=9927</v>
      </c>
      <c r="Q2078" s="12" t="str">
        <f>HYPERLINK("https://ceds.ed.gov/elementComment.aspx?elementName=Learning Resource Typical Age Range Maximum &amp;elementID=9927", "Click here to submit comment")</f>
        <v>Click here to submit comment</v>
      </c>
    </row>
    <row r="2079" spans="1:17" ht="45" x14ac:dyDescent="0.25">
      <c r="A2079" s="12" t="s">
        <v>7242</v>
      </c>
      <c r="B2079" s="12" t="s">
        <v>7290</v>
      </c>
      <c r="C2079" s="12"/>
      <c r="D2079" s="12" t="s">
        <v>7172</v>
      </c>
      <c r="E2079" s="12" t="s">
        <v>4012</v>
      </c>
      <c r="F2079" s="12" t="s">
        <v>4013</v>
      </c>
      <c r="G2079" s="12" t="s">
        <v>12</v>
      </c>
      <c r="H2079" s="12"/>
      <c r="I2079" s="12"/>
      <c r="J2079" s="12" t="s">
        <v>317</v>
      </c>
      <c r="K2079" s="12"/>
      <c r="L2079" s="12"/>
      <c r="M2079" s="12" t="s">
        <v>4014</v>
      </c>
      <c r="N2079" s="12"/>
      <c r="O2079" s="12" t="s">
        <v>4015</v>
      </c>
      <c r="P2079" s="12" t="str">
        <f>HYPERLINK("https://ceds.ed.gov/cedselementdetails.aspx?termid=9926")</f>
        <v>https://ceds.ed.gov/cedselementdetails.aspx?termid=9926</v>
      </c>
      <c r="Q2079" s="12" t="str">
        <f>HYPERLINK("https://ceds.ed.gov/elementComment.aspx?elementName=Learning Resource Typical Age Range Minimum &amp;elementID=9926", "Click here to submit comment")</f>
        <v>Click here to submit comment</v>
      </c>
    </row>
    <row r="2080" spans="1:17" ht="75" x14ac:dyDescent="0.25">
      <c r="A2080" s="12" t="s">
        <v>7242</v>
      </c>
      <c r="B2080" s="12" t="s">
        <v>7290</v>
      </c>
      <c r="C2080" s="12"/>
      <c r="D2080" s="12" t="s">
        <v>7172</v>
      </c>
      <c r="E2080" s="12" t="s">
        <v>4016</v>
      </c>
      <c r="F2080" s="12" t="s">
        <v>4017</v>
      </c>
      <c r="G2080" s="12" t="s">
        <v>12</v>
      </c>
      <c r="H2080" s="12"/>
      <c r="I2080" s="12"/>
      <c r="J2080" s="12" t="s">
        <v>68</v>
      </c>
      <c r="K2080" s="12"/>
      <c r="L2080" s="12"/>
      <c r="M2080" s="12" t="s">
        <v>4018</v>
      </c>
      <c r="N2080" s="12"/>
      <c r="O2080" s="12" t="s">
        <v>4019</v>
      </c>
      <c r="P2080" s="12" t="str">
        <f>HYPERLINK("https://ceds.ed.gov/cedselementdetails.aspx?termid=9911")</f>
        <v>https://ceds.ed.gov/cedselementdetails.aspx?termid=9911</v>
      </c>
      <c r="Q2080" s="12" t="str">
        <f>HYPERLINK("https://ceds.ed.gov/elementComment.aspx?elementName=Learning Resource URL &amp;elementID=9911", "Click here to submit comment")</f>
        <v>Click here to submit comment</v>
      </c>
    </row>
    <row r="2081" spans="1:17" ht="30" x14ac:dyDescent="0.25">
      <c r="A2081" s="12" t="s">
        <v>7242</v>
      </c>
      <c r="B2081" s="12" t="s">
        <v>7290</v>
      </c>
      <c r="C2081" s="12"/>
      <c r="D2081" s="12" t="s">
        <v>7172</v>
      </c>
      <c r="E2081" s="12" t="s">
        <v>4020</v>
      </c>
      <c r="F2081" s="12" t="s">
        <v>4021</v>
      </c>
      <c r="G2081" s="12" t="s">
        <v>12</v>
      </c>
      <c r="H2081" s="12"/>
      <c r="I2081" s="12"/>
      <c r="J2081" s="12" t="s">
        <v>92</v>
      </c>
      <c r="K2081" s="12"/>
      <c r="L2081" s="12"/>
      <c r="M2081" s="12" t="s">
        <v>4022</v>
      </c>
      <c r="N2081" s="12"/>
      <c r="O2081" s="12" t="s">
        <v>4023</v>
      </c>
      <c r="P2081" s="12" t="str">
        <f>HYPERLINK("https://ceds.ed.gov/cedselementdetails.aspx?termid=10182")</f>
        <v>https://ceds.ed.gov/cedselementdetails.aspx?termid=10182</v>
      </c>
      <c r="Q2081" s="12" t="str">
        <f>HYPERLINK("https://ceds.ed.gov/elementComment.aspx?elementName=Learning Resource Version &amp;elementID=10182", "Click here to submit comment")</f>
        <v>Click here to submit comment</v>
      </c>
    </row>
    <row r="2082" spans="1:17" ht="30" x14ac:dyDescent="0.25">
      <c r="A2082" s="12" t="s">
        <v>7242</v>
      </c>
      <c r="B2082" s="12" t="s">
        <v>7290</v>
      </c>
      <c r="C2082" s="12" t="s">
        <v>7291</v>
      </c>
      <c r="D2082" s="12" t="s">
        <v>7172</v>
      </c>
      <c r="E2082" s="12" t="s">
        <v>4769</v>
      </c>
      <c r="F2082" s="12" t="s">
        <v>4770</v>
      </c>
      <c r="G2082" s="12" t="s">
        <v>12</v>
      </c>
      <c r="H2082" s="12"/>
      <c r="I2082" s="12"/>
      <c r="J2082" s="12" t="s">
        <v>73</v>
      </c>
      <c r="K2082" s="12"/>
      <c r="L2082" s="12"/>
      <c r="M2082" s="12" t="s">
        <v>4771</v>
      </c>
      <c r="N2082" s="12"/>
      <c r="O2082" s="12" t="s">
        <v>4772</v>
      </c>
      <c r="P2082" s="12" t="str">
        <f>HYPERLINK("https://ceds.ed.gov/cedselementdetails.aspx?termid=10171")</f>
        <v>https://ceds.ed.gov/cedselementdetails.aspx?termid=10171</v>
      </c>
      <c r="Q2082" s="12" t="str">
        <f>HYPERLINK("https://ceds.ed.gov/elementComment.aspx?elementName=Peer Rating Date &amp;elementID=10171", "Click here to submit comment")</f>
        <v>Click here to submit comment</v>
      </c>
    </row>
    <row r="2083" spans="1:17" ht="30" x14ac:dyDescent="0.25">
      <c r="A2083" s="12" t="s">
        <v>7242</v>
      </c>
      <c r="B2083" s="12" t="s">
        <v>7290</v>
      </c>
      <c r="C2083" s="12" t="s">
        <v>7292</v>
      </c>
      <c r="D2083" s="12" t="s">
        <v>7172</v>
      </c>
      <c r="E2083" s="12" t="s">
        <v>4773</v>
      </c>
      <c r="F2083" s="12" t="s">
        <v>4774</v>
      </c>
      <c r="G2083" s="12" t="s">
        <v>12</v>
      </c>
      <c r="H2083" s="12"/>
      <c r="I2083" s="12"/>
      <c r="J2083" s="12" t="s">
        <v>1021</v>
      </c>
      <c r="K2083" s="12"/>
      <c r="L2083" s="12"/>
      <c r="M2083" s="12" t="s">
        <v>4775</v>
      </c>
      <c r="N2083" s="12"/>
      <c r="O2083" s="12" t="s">
        <v>4776</v>
      </c>
      <c r="P2083" s="12" t="str">
        <f>HYPERLINK("https://ceds.ed.gov/cedselementdetails.aspx?termid=10162")</f>
        <v>https://ceds.ed.gov/cedselementdetails.aspx?termid=10162</v>
      </c>
      <c r="Q2083" s="12" t="str">
        <f>HYPERLINK("https://ceds.ed.gov/elementComment.aspx?elementName=Peer Rating System Maximum Value &amp;elementID=10162", "Click here to submit comment")</f>
        <v>Click here to submit comment</v>
      </c>
    </row>
    <row r="2084" spans="1:17" ht="30" x14ac:dyDescent="0.25">
      <c r="A2084" s="12" t="s">
        <v>7242</v>
      </c>
      <c r="B2084" s="12" t="s">
        <v>7290</v>
      </c>
      <c r="C2084" s="12" t="s">
        <v>7292</v>
      </c>
      <c r="D2084" s="12" t="s">
        <v>7172</v>
      </c>
      <c r="E2084" s="12" t="s">
        <v>4777</v>
      </c>
      <c r="F2084" s="12" t="s">
        <v>4778</v>
      </c>
      <c r="G2084" s="12" t="s">
        <v>12</v>
      </c>
      <c r="H2084" s="12"/>
      <c r="I2084" s="12"/>
      <c r="J2084" s="12" t="s">
        <v>1021</v>
      </c>
      <c r="K2084" s="12"/>
      <c r="L2084" s="12"/>
      <c r="M2084" s="12" t="s">
        <v>4779</v>
      </c>
      <c r="N2084" s="12"/>
      <c r="O2084" s="12" t="s">
        <v>4780</v>
      </c>
      <c r="P2084" s="12" t="str">
        <f>HYPERLINK("https://ceds.ed.gov/cedselementdetails.aspx?termid=10163")</f>
        <v>https://ceds.ed.gov/cedselementdetails.aspx?termid=10163</v>
      </c>
      <c r="Q2084" s="12" t="str">
        <f>HYPERLINK("https://ceds.ed.gov/elementComment.aspx?elementName=Peer Rating System Minimum Value &amp;elementID=10163", "Click here to submit comment")</f>
        <v>Click here to submit comment</v>
      </c>
    </row>
    <row r="2085" spans="1:17" ht="30" x14ac:dyDescent="0.25">
      <c r="A2085" s="12" t="s">
        <v>7242</v>
      </c>
      <c r="B2085" s="12" t="s">
        <v>7290</v>
      </c>
      <c r="C2085" s="12" t="s">
        <v>7292</v>
      </c>
      <c r="D2085" s="12" t="s">
        <v>7172</v>
      </c>
      <c r="E2085" s="12" t="s">
        <v>4781</v>
      </c>
      <c r="F2085" s="12" t="s">
        <v>4782</v>
      </c>
      <c r="G2085" s="12" t="s">
        <v>12</v>
      </c>
      <c r="H2085" s="12"/>
      <c r="I2085" s="12"/>
      <c r="J2085" s="12" t="s">
        <v>99</v>
      </c>
      <c r="K2085" s="12"/>
      <c r="L2085" s="12"/>
      <c r="M2085" s="12" t="s">
        <v>4783</v>
      </c>
      <c r="N2085" s="12"/>
      <c r="O2085" s="12" t="s">
        <v>4784</v>
      </c>
      <c r="P2085" s="12" t="str">
        <f>HYPERLINK("https://ceds.ed.gov/cedselementdetails.aspx?termid=10160")</f>
        <v>https://ceds.ed.gov/cedselementdetails.aspx?termid=10160</v>
      </c>
      <c r="Q2085" s="12" t="str">
        <f>HYPERLINK("https://ceds.ed.gov/elementComment.aspx?elementName=Peer Rating System Name &amp;elementID=10160", "Click here to submit comment")</f>
        <v>Click here to submit comment</v>
      </c>
    </row>
    <row r="2086" spans="1:17" ht="75" x14ac:dyDescent="0.25">
      <c r="A2086" s="12" t="s">
        <v>7242</v>
      </c>
      <c r="B2086" s="12" t="s">
        <v>7290</v>
      </c>
      <c r="C2086" s="12" t="s">
        <v>7292</v>
      </c>
      <c r="D2086" s="12" t="s">
        <v>7172</v>
      </c>
      <c r="E2086" s="12" t="s">
        <v>4785</v>
      </c>
      <c r="F2086" s="12" t="s">
        <v>4786</v>
      </c>
      <c r="G2086" s="12" t="s">
        <v>12</v>
      </c>
      <c r="H2086" s="12"/>
      <c r="I2086" s="12"/>
      <c r="J2086" s="12" t="s">
        <v>1021</v>
      </c>
      <c r="K2086" s="12"/>
      <c r="L2086" s="12"/>
      <c r="M2086" s="12" t="s">
        <v>4787</v>
      </c>
      <c r="N2086" s="12"/>
      <c r="O2086" s="12" t="s">
        <v>4788</v>
      </c>
      <c r="P2086" s="12" t="str">
        <f>HYPERLINK("https://ceds.ed.gov/cedselementdetails.aspx?termid=10164")</f>
        <v>https://ceds.ed.gov/cedselementdetails.aspx?termid=10164</v>
      </c>
      <c r="Q2086" s="12" t="str">
        <f>HYPERLINK("https://ceds.ed.gov/elementComment.aspx?elementName=Peer Rating System Optimum Value &amp;elementID=10164", "Click here to submit comment")</f>
        <v>Click here to submit comment</v>
      </c>
    </row>
    <row r="2087" spans="1:17" ht="45" x14ac:dyDescent="0.25">
      <c r="A2087" s="12" t="s">
        <v>7242</v>
      </c>
      <c r="B2087" s="12" t="s">
        <v>7293</v>
      </c>
      <c r="C2087" s="12"/>
      <c r="D2087" s="12" t="s">
        <v>7172</v>
      </c>
      <c r="E2087" s="12" t="s">
        <v>3793</v>
      </c>
      <c r="F2087" s="12" t="s">
        <v>3794</v>
      </c>
      <c r="G2087" s="12" t="s">
        <v>12</v>
      </c>
      <c r="H2087" s="12"/>
      <c r="I2087" s="12"/>
      <c r="J2087" s="12" t="s">
        <v>68</v>
      </c>
      <c r="K2087" s="12"/>
      <c r="L2087" s="12"/>
      <c r="M2087" s="12" t="s">
        <v>3795</v>
      </c>
      <c r="N2087" s="12"/>
      <c r="O2087" s="12" t="s">
        <v>3796</v>
      </c>
      <c r="P2087" s="12" t="str">
        <f>HYPERLINK("https://ceds.ed.gov/cedselementdetails.aspx?termid=9903")</f>
        <v>https://ceds.ed.gov/cedselementdetails.aspx?termid=9903</v>
      </c>
      <c r="Q2087" s="12" t="str">
        <f>HYPERLINK("https://ceds.ed.gov/elementComment.aspx?elementName=Learning Goal Description &amp;elementID=9903", "Click here to submit comment")</f>
        <v>Click here to submit comment</v>
      </c>
    </row>
    <row r="2088" spans="1:17" ht="45" x14ac:dyDescent="0.25">
      <c r="A2088" s="12" t="s">
        <v>7242</v>
      </c>
      <c r="B2088" s="12" t="s">
        <v>7293</v>
      </c>
      <c r="C2088" s="12"/>
      <c r="D2088" s="12" t="s">
        <v>7172</v>
      </c>
      <c r="E2088" s="12" t="s">
        <v>3797</v>
      </c>
      <c r="F2088" s="12" t="s">
        <v>3798</v>
      </c>
      <c r="G2088" s="12" t="s">
        <v>12</v>
      </c>
      <c r="H2088" s="12"/>
      <c r="I2088" s="12"/>
      <c r="J2088" s="12" t="s">
        <v>73</v>
      </c>
      <c r="K2088" s="12"/>
      <c r="L2088" s="12" t="s">
        <v>3799</v>
      </c>
      <c r="M2088" s="12" t="s">
        <v>3800</v>
      </c>
      <c r="N2088" s="12"/>
      <c r="O2088" s="12" t="s">
        <v>3801</v>
      </c>
      <c r="P2088" s="12" t="str">
        <f>HYPERLINK("https://ceds.ed.gov/cedselementdetails.aspx?termid=10170")</f>
        <v>https://ceds.ed.gov/cedselementdetails.aspx?termid=10170</v>
      </c>
      <c r="Q2088" s="12" t="str">
        <f>HYPERLINK("https://ceds.ed.gov/elementComment.aspx?elementName=Learning Goal End Date &amp;elementID=10170", "Click here to submit comment")</f>
        <v>Click here to submit comment</v>
      </c>
    </row>
    <row r="2089" spans="1:17" ht="30" x14ac:dyDescent="0.25">
      <c r="A2089" s="12" t="s">
        <v>7242</v>
      </c>
      <c r="B2089" s="12" t="s">
        <v>7293</v>
      </c>
      <c r="C2089" s="12"/>
      <c r="D2089" s="12" t="s">
        <v>7172</v>
      </c>
      <c r="E2089" s="12" t="s">
        <v>3802</v>
      </c>
      <c r="F2089" s="12" t="s">
        <v>3803</v>
      </c>
      <c r="G2089" s="12" t="s">
        <v>12</v>
      </c>
      <c r="H2089" s="12"/>
      <c r="I2089" s="12"/>
      <c r="J2089" s="12" t="s">
        <v>73</v>
      </c>
      <c r="K2089" s="12"/>
      <c r="L2089" s="12"/>
      <c r="M2089" s="12" t="s">
        <v>3804</v>
      </c>
      <c r="N2089" s="12"/>
      <c r="O2089" s="12" t="s">
        <v>3805</v>
      </c>
      <c r="P2089" s="12" t="str">
        <f>HYPERLINK("https://ceds.ed.gov/cedselementdetails.aspx?termid=10169")</f>
        <v>https://ceds.ed.gov/cedselementdetails.aspx?termid=10169</v>
      </c>
      <c r="Q2089" s="12" t="str">
        <f>HYPERLINK("https://ceds.ed.gov/elementComment.aspx?elementName=Learning Goal Start Date &amp;elementID=10169", "Click here to submit comment")</f>
        <v>Click here to submit comment</v>
      </c>
    </row>
    <row r="2090" spans="1:17" ht="30" x14ac:dyDescent="0.25">
      <c r="A2090" s="12" t="s">
        <v>7242</v>
      </c>
      <c r="B2090" s="12" t="s">
        <v>7294</v>
      </c>
      <c r="C2090" s="12"/>
      <c r="D2090" s="12" t="s">
        <v>7172</v>
      </c>
      <c r="E2090" s="12" t="s">
        <v>132</v>
      </c>
      <c r="F2090" s="12" t="s">
        <v>133</v>
      </c>
      <c r="G2090" s="12" t="s">
        <v>12</v>
      </c>
      <c r="H2090" s="12"/>
      <c r="I2090" s="12"/>
      <c r="J2090" s="12" t="s">
        <v>68</v>
      </c>
      <c r="K2090" s="12"/>
      <c r="L2090" s="12"/>
      <c r="M2090" s="12" t="s">
        <v>134</v>
      </c>
      <c r="N2090" s="12"/>
      <c r="O2090" s="12" t="s">
        <v>135</v>
      </c>
      <c r="P2090" s="12" t="str">
        <f>HYPERLINK("https://ceds.ed.gov/cedselementdetails.aspx?termid=9893")</f>
        <v>https://ceds.ed.gov/cedselementdetails.aspx?termid=9893</v>
      </c>
      <c r="Q2090" s="12" t="str">
        <f>HYPERLINK("https://ceds.ed.gov/elementComment.aspx?elementName=Achievement Title &amp;elementID=9893", "Click here to submit comment")</f>
        <v>Click here to submit comment</v>
      </c>
    </row>
    <row r="2091" spans="1:17" ht="30" x14ac:dyDescent="0.25">
      <c r="A2091" s="12" t="s">
        <v>7242</v>
      </c>
      <c r="B2091" s="12" t="s">
        <v>7294</v>
      </c>
      <c r="C2091" s="12"/>
      <c r="D2091" s="12" t="s">
        <v>7172</v>
      </c>
      <c r="E2091" s="12" t="s">
        <v>111</v>
      </c>
      <c r="F2091" s="12" t="s">
        <v>112</v>
      </c>
      <c r="G2091" s="12" t="s">
        <v>12</v>
      </c>
      <c r="H2091" s="12"/>
      <c r="I2091" s="12"/>
      <c r="J2091" s="12" t="s">
        <v>68</v>
      </c>
      <c r="K2091" s="12"/>
      <c r="L2091" s="12"/>
      <c r="M2091" s="12" t="s">
        <v>113</v>
      </c>
      <c r="N2091" s="12"/>
      <c r="O2091" s="12" t="s">
        <v>114</v>
      </c>
      <c r="P2091" s="12" t="str">
        <f>HYPERLINK("https://ceds.ed.gov/cedselementdetails.aspx?termid=9895")</f>
        <v>https://ceds.ed.gov/cedselementdetails.aspx?termid=9895</v>
      </c>
      <c r="Q2091" s="12" t="str">
        <f>HYPERLINK("https://ceds.ed.gov/elementComment.aspx?elementName=Achievement Description &amp;elementID=9895", "Click here to submit comment")</f>
        <v>Click here to submit comment</v>
      </c>
    </row>
    <row r="2092" spans="1:17" ht="30" x14ac:dyDescent="0.25">
      <c r="A2092" s="12" t="s">
        <v>7242</v>
      </c>
      <c r="B2092" s="12" t="s">
        <v>7294</v>
      </c>
      <c r="C2092" s="12"/>
      <c r="D2092" s="12" t="s">
        <v>7172</v>
      </c>
      <c r="E2092" s="12" t="s">
        <v>128</v>
      </c>
      <c r="F2092" s="12" t="s">
        <v>129</v>
      </c>
      <c r="G2092" s="12" t="s">
        <v>12</v>
      </c>
      <c r="H2092" s="12"/>
      <c r="I2092" s="12"/>
      <c r="J2092" s="12" t="s">
        <v>73</v>
      </c>
      <c r="K2092" s="12"/>
      <c r="L2092" s="12"/>
      <c r="M2092" s="12" t="s">
        <v>130</v>
      </c>
      <c r="N2092" s="12"/>
      <c r="O2092" s="12" t="s">
        <v>131</v>
      </c>
      <c r="P2092" s="12" t="str">
        <f>HYPERLINK("https://ceds.ed.gov/cedselementdetails.aspx?termid=10120")</f>
        <v>https://ceds.ed.gov/cedselementdetails.aspx?termid=10120</v>
      </c>
      <c r="Q2092" s="12" t="str">
        <f>HYPERLINK("https://ceds.ed.gov/elementComment.aspx?elementName=Achievement Start Date &amp;elementID=10120", "Click here to submit comment")</f>
        <v>Click here to submit comment</v>
      </c>
    </row>
    <row r="2093" spans="1:17" ht="45" x14ac:dyDescent="0.25">
      <c r="A2093" s="12" t="s">
        <v>7242</v>
      </c>
      <c r="B2093" s="12" t="s">
        <v>7294</v>
      </c>
      <c r="C2093" s="12"/>
      <c r="D2093" s="12" t="s">
        <v>7172</v>
      </c>
      <c r="E2093" s="12" t="s">
        <v>115</v>
      </c>
      <c r="F2093" s="12" t="s">
        <v>116</v>
      </c>
      <c r="G2093" s="12" t="s">
        <v>12</v>
      </c>
      <c r="H2093" s="12"/>
      <c r="I2093" s="12"/>
      <c r="J2093" s="12" t="s">
        <v>73</v>
      </c>
      <c r="K2093" s="12"/>
      <c r="L2093" s="12"/>
      <c r="M2093" s="12" t="s">
        <v>117</v>
      </c>
      <c r="N2093" s="12"/>
      <c r="O2093" s="12" t="s">
        <v>118</v>
      </c>
      <c r="P2093" s="12" t="str">
        <f>HYPERLINK("https://ceds.ed.gov/cedselementdetails.aspx?termid=10121")</f>
        <v>https://ceds.ed.gov/cedselementdetails.aspx?termid=10121</v>
      </c>
      <c r="Q2093" s="12" t="str">
        <f>HYPERLINK("https://ceds.ed.gov/elementComment.aspx?elementName=Achievement End Date &amp;elementID=10121", "Click here to submit comment")</f>
        <v>Click here to submit comment</v>
      </c>
    </row>
    <row r="2094" spans="1:17" ht="30" x14ac:dyDescent="0.25">
      <c r="A2094" s="12" t="s">
        <v>7242</v>
      </c>
      <c r="B2094" s="12" t="s">
        <v>7294</v>
      </c>
      <c r="C2094" s="12"/>
      <c r="D2094" s="12" t="s">
        <v>7172</v>
      </c>
      <c r="E2094" s="12" t="s">
        <v>80</v>
      </c>
      <c r="F2094" s="12" t="s">
        <v>81</v>
      </c>
      <c r="G2094" s="12" t="s">
        <v>12</v>
      </c>
      <c r="H2094" s="12"/>
      <c r="I2094" s="12"/>
      <c r="J2094" s="12" t="s">
        <v>82</v>
      </c>
      <c r="K2094" s="12"/>
      <c r="L2094" s="12"/>
      <c r="M2094" s="12" t="s">
        <v>83</v>
      </c>
      <c r="N2094" s="12"/>
      <c r="O2094" s="12" t="s">
        <v>84</v>
      </c>
      <c r="P2094" s="12" t="str">
        <f>HYPERLINK("https://ceds.ed.gov/cedselementdetails.aspx?termid=9898")</f>
        <v>https://ceds.ed.gov/cedselementdetails.aspx?termid=9898</v>
      </c>
      <c r="Q2094" s="12" t="str">
        <f>HYPERLINK("https://ceds.ed.gov/elementComment.aspx?elementName=Achievement Award Issuer Name &amp;elementID=9898", "Click here to submit comment")</f>
        <v>Click here to submit comment</v>
      </c>
    </row>
    <row r="2095" spans="1:17" ht="30" x14ac:dyDescent="0.25">
      <c r="A2095" s="12" t="s">
        <v>7242</v>
      </c>
      <c r="B2095" s="12" t="s">
        <v>7294</v>
      </c>
      <c r="C2095" s="12"/>
      <c r="D2095" s="12" t="s">
        <v>7172</v>
      </c>
      <c r="E2095" s="12" t="s">
        <v>85</v>
      </c>
      <c r="F2095" s="12" t="s">
        <v>86</v>
      </c>
      <c r="G2095" s="12" t="s">
        <v>12</v>
      </c>
      <c r="H2095" s="12"/>
      <c r="I2095" s="12"/>
      <c r="J2095" s="12" t="s">
        <v>68</v>
      </c>
      <c r="K2095" s="12"/>
      <c r="L2095" s="12" t="s">
        <v>87</v>
      </c>
      <c r="M2095" s="12" t="s">
        <v>88</v>
      </c>
      <c r="N2095" s="12"/>
      <c r="O2095" s="12" t="s">
        <v>89</v>
      </c>
      <c r="P2095" s="12" t="str">
        <f>HYPERLINK("https://ceds.ed.gov/cedselementdetails.aspx?termid=9900")</f>
        <v>https://ceds.ed.gov/cedselementdetails.aspx?termid=9900</v>
      </c>
      <c r="Q2095" s="12" t="str">
        <f>HYPERLINK("https://ceds.ed.gov/elementComment.aspx?elementName=Achievement Award Issuer Origin URL &amp;elementID=9900", "Click here to submit comment")</f>
        <v>Click here to submit comment</v>
      </c>
    </row>
    <row r="2096" spans="1:17" ht="75" x14ac:dyDescent="0.25">
      <c r="A2096" s="12" t="s">
        <v>7242</v>
      </c>
      <c r="B2096" s="12" t="s">
        <v>7294</v>
      </c>
      <c r="C2096" s="12"/>
      <c r="D2096" s="12" t="s">
        <v>7172</v>
      </c>
      <c r="E2096" s="12" t="s">
        <v>90</v>
      </c>
      <c r="F2096" s="12" t="s">
        <v>91</v>
      </c>
      <c r="G2096" s="12" t="s">
        <v>12</v>
      </c>
      <c r="H2096" s="12"/>
      <c r="I2096" s="12"/>
      <c r="J2096" s="12" t="s">
        <v>92</v>
      </c>
      <c r="K2096" s="12"/>
      <c r="L2096" s="12" t="s">
        <v>93</v>
      </c>
      <c r="M2096" s="12" t="s">
        <v>94</v>
      </c>
      <c r="N2096" s="12"/>
      <c r="O2096" s="12" t="s">
        <v>95</v>
      </c>
      <c r="P2096" s="12" t="str">
        <f>HYPERLINK("https://ceds.ed.gov/cedselementdetails.aspx?termid=10211")</f>
        <v>https://ceds.ed.gov/cedselementdetails.aspx?termid=10211</v>
      </c>
      <c r="Q2096" s="12" t="str">
        <f>HYPERLINK("https://ceds.ed.gov/elementComment.aspx?elementName=Achievement Category System &amp;elementID=10211", "Click here to submit comment")</f>
        <v>Click here to submit comment</v>
      </c>
    </row>
    <row r="2097" spans="1:17" ht="285" x14ac:dyDescent="0.25">
      <c r="A2097" s="12" t="s">
        <v>7242</v>
      </c>
      <c r="B2097" s="12" t="s">
        <v>7294</v>
      </c>
      <c r="C2097" s="12"/>
      <c r="D2097" s="12" t="s">
        <v>7172</v>
      </c>
      <c r="E2097" s="12" t="s">
        <v>96</v>
      </c>
      <c r="F2097" s="12" t="s">
        <v>97</v>
      </c>
      <c r="G2097" s="12" t="s">
        <v>12</v>
      </c>
      <c r="H2097" s="12"/>
      <c r="I2097" s="12" t="s">
        <v>98</v>
      </c>
      <c r="J2097" s="12" t="s">
        <v>99</v>
      </c>
      <c r="K2097" s="12"/>
      <c r="L2097" s="12" t="s">
        <v>100</v>
      </c>
      <c r="M2097" s="12" t="s">
        <v>101</v>
      </c>
      <c r="N2097" s="12"/>
      <c r="O2097" s="12" t="s">
        <v>102</v>
      </c>
      <c r="P2097" s="12" t="str">
        <f>HYPERLINK("https://ceds.ed.gov/cedselementdetails.aspx?termid=9892")</f>
        <v>https://ceds.ed.gov/cedselementdetails.aspx?termid=9892</v>
      </c>
      <c r="Q2097" s="12" t="str">
        <f>HYPERLINK("https://ceds.ed.gov/elementComment.aspx?elementName=Achievement Category Type &amp;elementID=9892", "Click here to submit comment")</f>
        <v>Click here to submit comment</v>
      </c>
    </row>
    <row r="2098" spans="1:17" ht="60" x14ac:dyDescent="0.25">
      <c r="A2098" s="12" t="s">
        <v>7242</v>
      </c>
      <c r="B2098" s="12" t="s">
        <v>7294</v>
      </c>
      <c r="C2098" s="12"/>
      <c r="D2098" s="12" t="s">
        <v>7172</v>
      </c>
      <c r="E2098" s="12" t="s">
        <v>123</v>
      </c>
      <c r="F2098" s="12" t="s">
        <v>124</v>
      </c>
      <c r="G2098" s="12" t="s">
        <v>12</v>
      </c>
      <c r="H2098" s="12"/>
      <c r="I2098" s="12"/>
      <c r="J2098" s="12" t="s">
        <v>68</v>
      </c>
      <c r="K2098" s="12"/>
      <c r="L2098" s="12" t="s">
        <v>125</v>
      </c>
      <c r="M2098" s="12" t="s">
        <v>126</v>
      </c>
      <c r="N2098" s="12"/>
      <c r="O2098" s="12" t="s">
        <v>127</v>
      </c>
      <c r="P2098" s="12" t="str">
        <f>HYPERLINK("https://ceds.ed.gov/cedselementdetails.aspx?termid=9894")</f>
        <v>https://ceds.ed.gov/cedselementdetails.aspx?termid=9894</v>
      </c>
      <c r="Q2098" s="12" t="str">
        <f>HYPERLINK("https://ceds.ed.gov/elementComment.aspx?elementName=Achievement Image URL &amp;elementID=9894", "Click here to submit comment")</f>
        <v>Click here to submit comment</v>
      </c>
    </row>
    <row r="2099" spans="1:17" ht="30" x14ac:dyDescent="0.25">
      <c r="A2099" s="12" t="s">
        <v>7242</v>
      </c>
      <c r="B2099" s="12" t="s">
        <v>7294</v>
      </c>
      <c r="C2099" s="12"/>
      <c r="D2099" s="12" t="s">
        <v>7172</v>
      </c>
      <c r="E2099" s="12" t="s">
        <v>103</v>
      </c>
      <c r="F2099" s="12" t="s">
        <v>104</v>
      </c>
      <c r="G2099" s="12" t="s">
        <v>12</v>
      </c>
      <c r="H2099" s="12"/>
      <c r="I2099" s="12"/>
      <c r="J2099" s="12" t="s">
        <v>68</v>
      </c>
      <c r="K2099" s="12"/>
      <c r="L2099" s="12"/>
      <c r="M2099" s="12" t="s">
        <v>105</v>
      </c>
      <c r="N2099" s="12"/>
      <c r="O2099" s="12" t="s">
        <v>106</v>
      </c>
      <c r="P2099" s="12" t="str">
        <f>HYPERLINK("https://ceds.ed.gov/cedselementdetails.aspx?termid=9896")</f>
        <v>https://ceds.ed.gov/cedselementdetails.aspx?termid=9896</v>
      </c>
      <c r="Q2099" s="12" t="str">
        <f>HYPERLINK("https://ceds.ed.gov/elementComment.aspx?elementName=Achievement Criteria &amp;elementID=9896", "Click here to submit comment")</f>
        <v>Click here to submit comment</v>
      </c>
    </row>
    <row r="2100" spans="1:17" ht="75" x14ac:dyDescent="0.25">
      <c r="A2100" s="12" t="s">
        <v>7242</v>
      </c>
      <c r="B2100" s="12" t="s">
        <v>7294</v>
      </c>
      <c r="C2100" s="12"/>
      <c r="D2100" s="12" t="s">
        <v>7172</v>
      </c>
      <c r="E2100" s="12" t="s">
        <v>107</v>
      </c>
      <c r="F2100" s="12" t="s">
        <v>108</v>
      </c>
      <c r="G2100" s="12" t="s">
        <v>12</v>
      </c>
      <c r="H2100" s="12"/>
      <c r="I2100" s="12"/>
      <c r="J2100" s="12" t="s">
        <v>68</v>
      </c>
      <c r="K2100" s="12"/>
      <c r="L2100" s="12"/>
      <c r="M2100" s="12" t="s">
        <v>109</v>
      </c>
      <c r="N2100" s="12"/>
      <c r="O2100" s="12" t="s">
        <v>110</v>
      </c>
      <c r="P2100" s="12" t="str">
        <f>HYPERLINK("https://ceds.ed.gov/cedselementdetails.aspx?termid=10113")</f>
        <v>https://ceds.ed.gov/cedselementdetails.aspx?termid=10113</v>
      </c>
      <c r="Q2100" s="12" t="str">
        <f>HYPERLINK("https://ceds.ed.gov/elementComment.aspx?elementName=Achievement Criteria URL &amp;elementID=10113", "Click here to submit comment")</f>
        <v>Click here to submit comment</v>
      </c>
    </row>
    <row r="2101" spans="1:17" ht="60" x14ac:dyDescent="0.25">
      <c r="A2101" s="12" t="s">
        <v>7242</v>
      </c>
      <c r="B2101" s="12" t="s">
        <v>7294</v>
      </c>
      <c r="C2101" s="12"/>
      <c r="D2101" s="12" t="s">
        <v>7172</v>
      </c>
      <c r="E2101" s="12" t="s">
        <v>119</v>
      </c>
      <c r="F2101" s="12" t="s">
        <v>120</v>
      </c>
      <c r="G2101" s="12" t="s">
        <v>12</v>
      </c>
      <c r="H2101" s="12"/>
      <c r="I2101" s="12"/>
      <c r="J2101" s="12" t="s">
        <v>68</v>
      </c>
      <c r="K2101" s="12"/>
      <c r="L2101" s="12"/>
      <c r="M2101" s="12" t="s">
        <v>121</v>
      </c>
      <c r="N2101" s="12"/>
      <c r="O2101" s="12" t="s">
        <v>122</v>
      </c>
      <c r="P2101" s="12" t="str">
        <f>HYPERLINK("https://ceds.ed.gov/cedselementdetails.aspx?termid=9901")</f>
        <v>https://ceds.ed.gov/cedselementdetails.aspx?termid=9901</v>
      </c>
      <c r="Q2101" s="12" t="str">
        <f>HYPERLINK("https://ceds.ed.gov/elementComment.aspx?elementName=Achievement Evidence Statement &amp;elementID=9901", "Click here to submit comment")</f>
        <v>Click here to submit comment</v>
      </c>
    </row>
    <row r="2102" spans="1:17" ht="105" x14ac:dyDescent="0.25">
      <c r="A2102" s="18" t="s">
        <v>7242</v>
      </c>
      <c r="B2102" s="18" t="s">
        <v>7219</v>
      </c>
      <c r="C2102" s="18"/>
      <c r="D2102" s="18" t="s">
        <v>7172</v>
      </c>
      <c r="E2102" s="18" t="s">
        <v>2792</v>
      </c>
      <c r="F2102" s="18" t="s">
        <v>2793</v>
      </c>
      <c r="G2102" s="18" t="s">
        <v>12</v>
      </c>
      <c r="H2102" s="18"/>
      <c r="I2102" s="18"/>
      <c r="J2102" s="18" t="s">
        <v>142</v>
      </c>
      <c r="K2102" s="18"/>
      <c r="L2102" s="12" t="s">
        <v>143</v>
      </c>
      <c r="M2102" s="18" t="s">
        <v>2794</v>
      </c>
      <c r="N2102" s="18"/>
      <c r="O2102" s="18" t="s">
        <v>2795</v>
      </c>
      <c r="P2102" s="18" t="str">
        <f>HYPERLINK("https://ceds.ed.gov/cedselementdetails.aspx?termid=9495")</f>
        <v>https://ceds.ed.gov/cedselementdetails.aspx?termid=9495</v>
      </c>
      <c r="Q2102" s="18" t="str">
        <f>HYPERLINK("https://ceds.ed.gov/elementComment.aspx?elementName=Facilities Identifier &amp;elementID=9495", "Click here to submit comment")</f>
        <v>Click here to submit comment</v>
      </c>
    </row>
    <row r="2103" spans="1:17" x14ac:dyDescent="0.25">
      <c r="A2103" s="18"/>
      <c r="B2103" s="18"/>
      <c r="C2103" s="18"/>
      <c r="D2103" s="18"/>
      <c r="E2103" s="18"/>
      <c r="F2103" s="18"/>
      <c r="G2103" s="18"/>
      <c r="H2103" s="18"/>
      <c r="I2103" s="18"/>
      <c r="J2103" s="18"/>
      <c r="K2103" s="18"/>
      <c r="L2103" s="12"/>
      <c r="M2103" s="18"/>
      <c r="N2103" s="18"/>
      <c r="O2103" s="18"/>
      <c r="P2103" s="18"/>
      <c r="Q2103" s="18"/>
    </row>
    <row r="2104" spans="1:17" ht="90" x14ac:dyDescent="0.25">
      <c r="A2104" s="18"/>
      <c r="B2104" s="18"/>
      <c r="C2104" s="18"/>
      <c r="D2104" s="18"/>
      <c r="E2104" s="18"/>
      <c r="F2104" s="18"/>
      <c r="G2104" s="18"/>
      <c r="H2104" s="18"/>
      <c r="I2104" s="18"/>
      <c r="J2104" s="18"/>
      <c r="K2104" s="18"/>
      <c r="L2104" s="12" t="s">
        <v>144</v>
      </c>
      <c r="M2104" s="18"/>
      <c r="N2104" s="18"/>
      <c r="O2104" s="18"/>
      <c r="P2104" s="18"/>
      <c r="Q2104" s="18"/>
    </row>
    <row r="2105" spans="1:17" ht="45" x14ac:dyDescent="0.25">
      <c r="A2105" s="12" t="s">
        <v>7242</v>
      </c>
      <c r="B2105" s="12" t="s">
        <v>7219</v>
      </c>
      <c r="C2105" s="12"/>
      <c r="D2105" s="12" t="s">
        <v>7172</v>
      </c>
      <c r="E2105" s="12" t="s">
        <v>4680</v>
      </c>
      <c r="F2105" s="12" t="s">
        <v>4681</v>
      </c>
      <c r="G2105" s="12" t="s">
        <v>12</v>
      </c>
      <c r="H2105" s="12" t="s">
        <v>205</v>
      </c>
      <c r="I2105" s="12"/>
      <c r="J2105" s="12" t="s">
        <v>99</v>
      </c>
      <c r="K2105" s="12"/>
      <c r="L2105" s="12"/>
      <c r="M2105" s="12" t="s">
        <v>4682</v>
      </c>
      <c r="N2105" s="12"/>
      <c r="O2105" s="12" t="s">
        <v>4683</v>
      </c>
      <c r="P2105" s="12" t="str">
        <f>HYPERLINK("https://ceds.ed.gov/cedselementdetails.aspx?termid=9204")</f>
        <v>https://ceds.ed.gov/cedselementdetails.aspx?termid=9204</v>
      </c>
      <c r="Q2105" s="12" t="str">
        <f>HYPERLINK("https://ceds.ed.gov/elementComment.aspx?elementName=Organization Name &amp;elementID=9204", "Click here to submit comment")</f>
        <v>Click here to submit comment</v>
      </c>
    </row>
    <row r="2106" spans="1:17" ht="105" x14ac:dyDescent="0.25">
      <c r="A2106" s="18" t="s">
        <v>7242</v>
      </c>
      <c r="B2106" s="18" t="s">
        <v>7219</v>
      </c>
      <c r="C2106" s="18"/>
      <c r="D2106" s="18" t="s">
        <v>7172</v>
      </c>
      <c r="E2106" s="18" t="s">
        <v>4672</v>
      </c>
      <c r="F2106" s="18" t="s">
        <v>4673</v>
      </c>
      <c r="G2106" s="18" t="s">
        <v>12</v>
      </c>
      <c r="H2106" s="18" t="s">
        <v>64</v>
      </c>
      <c r="I2106" s="18"/>
      <c r="J2106" s="18" t="s">
        <v>142</v>
      </c>
      <c r="K2106" s="18"/>
      <c r="L2106" s="12" t="s">
        <v>143</v>
      </c>
      <c r="M2106" s="18" t="s">
        <v>4674</v>
      </c>
      <c r="N2106" s="18"/>
      <c r="O2106" s="18" t="s">
        <v>4675</v>
      </c>
      <c r="P2106" s="18" t="str">
        <f>HYPERLINK("https://ceds.ed.gov/cedselementdetails.aspx?termid=9825")</f>
        <v>https://ceds.ed.gov/cedselementdetails.aspx?termid=9825</v>
      </c>
      <c r="Q2106" s="18" t="str">
        <f>HYPERLINK("https://ceds.ed.gov/elementComment.aspx?elementName=Organization Identifier &amp;elementID=9825", "Click here to submit comment")</f>
        <v>Click here to submit comment</v>
      </c>
    </row>
    <row r="2107" spans="1:17" x14ac:dyDescent="0.25">
      <c r="A2107" s="18"/>
      <c r="B2107" s="18"/>
      <c r="C2107" s="18"/>
      <c r="D2107" s="18"/>
      <c r="E2107" s="18"/>
      <c r="F2107" s="18"/>
      <c r="G2107" s="18"/>
      <c r="H2107" s="18"/>
      <c r="I2107" s="18"/>
      <c r="J2107" s="18"/>
      <c r="K2107" s="18"/>
      <c r="L2107" s="12"/>
      <c r="M2107" s="18"/>
      <c r="N2107" s="18"/>
      <c r="O2107" s="18"/>
      <c r="P2107" s="18"/>
      <c r="Q2107" s="18"/>
    </row>
    <row r="2108" spans="1:17" ht="90" x14ac:dyDescent="0.25">
      <c r="A2108" s="18"/>
      <c r="B2108" s="18"/>
      <c r="C2108" s="18"/>
      <c r="D2108" s="18"/>
      <c r="E2108" s="18"/>
      <c r="F2108" s="18"/>
      <c r="G2108" s="18"/>
      <c r="H2108" s="18"/>
      <c r="I2108" s="18"/>
      <c r="J2108" s="18"/>
      <c r="K2108" s="18"/>
      <c r="L2108" s="12" t="s">
        <v>144</v>
      </c>
      <c r="M2108" s="18"/>
      <c r="N2108" s="18"/>
      <c r="O2108" s="18"/>
      <c r="P2108" s="18"/>
      <c r="Q2108" s="18"/>
    </row>
    <row r="2109" spans="1:17" ht="240" x14ac:dyDescent="0.25">
      <c r="A2109" s="12" t="s">
        <v>7242</v>
      </c>
      <c r="B2109" s="12" t="s">
        <v>7219</v>
      </c>
      <c r="C2109" s="12"/>
      <c r="D2109" s="12" t="s">
        <v>7172</v>
      </c>
      <c r="E2109" s="12" t="s">
        <v>4668</v>
      </c>
      <c r="F2109" s="12" t="s">
        <v>4669</v>
      </c>
      <c r="G2109" s="13" t="s">
        <v>6739</v>
      </c>
      <c r="H2109" s="12" t="s">
        <v>64</v>
      </c>
      <c r="I2109" s="12"/>
      <c r="J2109" s="12"/>
      <c r="K2109" s="12"/>
      <c r="L2109" s="12"/>
      <c r="M2109" s="12" t="s">
        <v>4670</v>
      </c>
      <c r="N2109" s="12"/>
      <c r="O2109" s="12" t="s">
        <v>4671</v>
      </c>
      <c r="P2109" s="12" t="str">
        <f>HYPERLINK("https://ceds.ed.gov/cedselementdetails.aspx?termid=9827")</f>
        <v>https://ceds.ed.gov/cedselementdetails.aspx?termid=9827</v>
      </c>
      <c r="Q2109" s="12" t="str">
        <f>HYPERLINK("https://ceds.ed.gov/elementComment.aspx?elementName=Organization Identification System &amp;elementID=9827", "Click here to submit comment")</f>
        <v>Click here to submit comment</v>
      </c>
    </row>
    <row r="2110" spans="1:17" ht="90" x14ac:dyDescent="0.25">
      <c r="A2110" s="12" t="s">
        <v>7242</v>
      </c>
      <c r="B2110" s="12" t="s">
        <v>7219</v>
      </c>
      <c r="C2110" s="12"/>
      <c r="D2110" s="12" t="s">
        <v>7172</v>
      </c>
      <c r="E2110" s="12" t="s">
        <v>197</v>
      </c>
      <c r="F2110" s="12" t="s">
        <v>198</v>
      </c>
      <c r="G2110" s="13" t="s">
        <v>6727</v>
      </c>
      <c r="H2110" s="12" t="s">
        <v>6369</v>
      </c>
      <c r="I2110" s="12"/>
      <c r="J2110" s="12" t="s">
        <v>92</v>
      </c>
      <c r="K2110" s="12"/>
      <c r="L2110" s="12"/>
      <c r="M2110" s="12" t="s">
        <v>199</v>
      </c>
      <c r="N2110" s="12"/>
      <c r="O2110" s="12" t="s">
        <v>200</v>
      </c>
      <c r="P2110" s="12" t="str">
        <f>HYPERLINK("https://ceds.ed.gov/cedselementdetails.aspx?termid=9644")</f>
        <v>https://ceds.ed.gov/cedselementdetails.aspx?termid=9644</v>
      </c>
      <c r="Q2110" s="12" t="str">
        <f>HYPERLINK("https://ceds.ed.gov/elementComment.aspx?elementName=Address Type for Organization &amp;elementID=9644", "Click here to submit comment")</f>
        <v>Click here to submit comment</v>
      </c>
    </row>
    <row r="2111" spans="1:17" ht="225" x14ac:dyDescent="0.25">
      <c r="A2111" s="12" t="s">
        <v>7242</v>
      </c>
      <c r="B2111" s="12" t="s">
        <v>7219</v>
      </c>
      <c r="C2111" s="12"/>
      <c r="D2111" s="12" t="s">
        <v>7172</v>
      </c>
      <c r="E2111" s="12" t="s">
        <v>189</v>
      </c>
      <c r="F2111" s="12" t="s">
        <v>190</v>
      </c>
      <c r="G2111" s="12" t="s">
        <v>12</v>
      </c>
      <c r="H2111" s="12" t="s">
        <v>6377</v>
      </c>
      <c r="I2111" s="12"/>
      <c r="J2111" s="12" t="s">
        <v>142</v>
      </c>
      <c r="K2111" s="12"/>
      <c r="L2111" s="12"/>
      <c r="M2111" s="12" t="s">
        <v>191</v>
      </c>
      <c r="N2111" s="12"/>
      <c r="O2111" s="12" t="s">
        <v>192</v>
      </c>
      <c r="P2111" s="12" t="str">
        <f>HYPERLINK("https://ceds.ed.gov/cedselementdetails.aspx?termid=9269")</f>
        <v>https://ceds.ed.gov/cedselementdetails.aspx?termid=9269</v>
      </c>
      <c r="Q2111" s="12" t="str">
        <f>HYPERLINK("https://ceds.ed.gov/elementComment.aspx?elementName=Address Street Number and Name &amp;elementID=9269", "Click here to submit comment")</f>
        <v>Click here to submit comment</v>
      </c>
    </row>
    <row r="2112" spans="1:17" ht="225" x14ac:dyDescent="0.25">
      <c r="A2112" s="12" t="s">
        <v>7242</v>
      </c>
      <c r="B2112" s="12" t="s">
        <v>7219</v>
      </c>
      <c r="C2112" s="12"/>
      <c r="D2112" s="12" t="s">
        <v>7172</v>
      </c>
      <c r="E2112" s="12" t="s">
        <v>172</v>
      </c>
      <c r="F2112" s="12" t="s">
        <v>173</v>
      </c>
      <c r="G2112" s="12" t="s">
        <v>12</v>
      </c>
      <c r="H2112" s="12" t="s">
        <v>6377</v>
      </c>
      <c r="I2112" s="12"/>
      <c r="J2112" s="12" t="s">
        <v>92</v>
      </c>
      <c r="K2112" s="12"/>
      <c r="L2112" s="12"/>
      <c r="M2112" s="12" t="s">
        <v>174</v>
      </c>
      <c r="N2112" s="12"/>
      <c r="O2112" s="12" t="s">
        <v>175</v>
      </c>
      <c r="P2112" s="12" t="str">
        <f>HYPERLINK("https://ceds.ed.gov/cedselementdetails.aspx?termid=9019")</f>
        <v>https://ceds.ed.gov/cedselementdetails.aspx?termid=9019</v>
      </c>
      <c r="Q2112" s="12" t="str">
        <f>HYPERLINK("https://ceds.ed.gov/elementComment.aspx?elementName=Address Apartment Room or Suite Number &amp;elementID=9019", "Click here to submit comment")</f>
        <v>Click here to submit comment</v>
      </c>
    </row>
    <row r="2113" spans="1:17" ht="225" x14ac:dyDescent="0.25">
      <c r="A2113" s="12" t="s">
        <v>7242</v>
      </c>
      <c r="B2113" s="12" t="s">
        <v>7219</v>
      </c>
      <c r="C2113" s="12"/>
      <c r="D2113" s="12" t="s">
        <v>7172</v>
      </c>
      <c r="E2113" s="12" t="s">
        <v>176</v>
      </c>
      <c r="F2113" s="12" t="s">
        <v>177</v>
      </c>
      <c r="G2113" s="12" t="s">
        <v>12</v>
      </c>
      <c r="H2113" s="12" t="s">
        <v>6377</v>
      </c>
      <c r="I2113" s="12"/>
      <c r="J2113" s="12" t="s">
        <v>92</v>
      </c>
      <c r="K2113" s="12"/>
      <c r="L2113" s="12"/>
      <c r="M2113" s="12" t="s">
        <v>178</v>
      </c>
      <c r="N2113" s="12"/>
      <c r="O2113" s="12" t="s">
        <v>179</v>
      </c>
      <c r="P2113" s="12" t="str">
        <f>HYPERLINK("https://ceds.ed.gov/cedselementdetails.aspx?termid=9040")</f>
        <v>https://ceds.ed.gov/cedselementdetails.aspx?termid=9040</v>
      </c>
      <c r="Q2113" s="12" t="str">
        <f>HYPERLINK("https://ceds.ed.gov/elementComment.aspx?elementName=Address City &amp;elementID=9040", "Click here to submit comment")</f>
        <v>Click here to submit comment</v>
      </c>
    </row>
    <row r="2114" spans="1:17" ht="409.5" x14ac:dyDescent="0.25">
      <c r="A2114" s="12" t="s">
        <v>7242</v>
      </c>
      <c r="B2114" s="12" t="s">
        <v>7219</v>
      </c>
      <c r="C2114" s="12"/>
      <c r="D2114" s="12" t="s">
        <v>7172</v>
      </c>
      <c r="E2114" s="12" t="s">
        <v>5898</v>
      </c>
      <c r="F2114" s="12" t="s">
        <v>5899</v>
      </c>
      <c r="G2114" s="13" t="s">
        <v>7120</v>
      </c>
      <c r="H2114" s="12" t="s">
        <v>6678</v>
      </c>
      <c r="I2114" s="12"/>
      <c r="J2114" s="12"/>
      <c r="K2114" s="12"/>
      <c r="L2114" s="12"/>
      <c r="M2114" s="12" t="s">
        <v>5900</v>
      </c>
      <c r="N2114" s="12"/>
      <c r="O2114" s="12" t="s">
        <v>5901</v>
      </c>
      <c r="P2114" s="12" t="str">
        <f>HYPERLINK("https://ceds.ed.gov/cedselementdetails.aspx?termid=9267")</f>
        <v>https://ceds.ed.gov/cedselementdetails.aspx?termid=9267</v>
      </c>
      <c r="Q2114" s="12" t="str">
        <f>HYPERLINK("https://ceds.ed.gov/elementComment.aspx?elementName=State Abbreviation &amp;elementID=9267", "Click here to submit comment")</f>
        <v>Click here to submit comment</v>
      </c>
    </row>
    <row r="2115" spans="1:17" ht="225" x14ac:dyDescent="0.25">
      <c r="A2115" s="12" t="s">
        <v>7242</v>
      </c>
      <c r="B2115" s="12" t="s">
        <v>7219</v>
      </c>
      <c r="C2115" s="12"/>
      <c r="D2115" s="12" t="s">
        <v>7172</v>
      </c>
      <c r="E2115" s="12" t="s">
        <v>184</v>
      </c>
      <c r="F2115" s="12" t="s">
        <v>185</v>
      </c>
      <c r="G2115" s="12" t="s">
        <v>12</v>
      </c>
      <c r="H2115" s="12" t="s">
        <v>6377</v>
      </c>
      <c r="I2115" s="12"/>
      <c r="J2115" s="12" t="s">
        <v>186</v>
      </c>
      <c r="K2115" s="12"/>
      <c r="L2115" s="12"/>
      <c r="M2115" s="12" t="s">
        <v>187</v>
      </c>
      <c r="N2115" s="12"/>
      <c r="O2115" s="12" t="s">
        <v>188</v>
      </c>
      <c r="P2115" s="12" t="str">
        <f>HYPERLINK("https://ceds.ed.gov/cedselementdetails.aspx?termid=9214")</f>
        <v>https://ceds.ed.gov/cedselementdetails.aspx?termid=9214</v>
      </c>
      <c r="Q2115" s="12" t="str">
        <f>HYPERLINK("https://ceds.ed.gov/elementComment.aspx?elementName=Address Postal Code &amp;elementID=9214", "Click here to submit comment")</f>
        <v>Click here to submit comment</v>
      </c>
    </row>
    <row r="2116" spans="1:17" ht="225" x14ac:dyDescent="0.25">
      <c r="A2116" s="12" t="s">
        <v>7242</v>
      </c>
      <c r="B2116" s="12" t="s">
        <v>7219</v>
      </c>
      <c r="C2116" s="12"/>
      <c r="D2116" s="12" t="s">
        <v>7172</v>
      </c>
      <c r="E2116" s="12" t="s">
        <v>180</v>
      </c>
      <c r="F2116" s="12" t="s">
        <v>181</v>
      </c>
      <c r="G2116" s="12" t="s">
        <v>12</v>
      </c>
      <c r="H2116" s="12" t="s">
        <v>6377</v>
      </c>
      <c r="I2116" s="12"/>
      <c r="J2116" s="12" t="s">
        <v>92</v>
      </c>
      <c r="K2116" s="12"/>
      <c r="L2116" s="12"/>
      <c r="M2116" s="12" t="s">
        <v>182</v>
      </c>
      <c r="N2116" s="12"/>
      <c r="O2116" s="12" t="s">
        <v>183</v>
      </c>
      <c r="P2116" s="12" t="str">
        <f>HYPERLINK("https://ceds.ed.gov/cedselementdetails.aspx?termid=9190")</f>
        <v>https://ceds.ed.gov/cedselementdetails.aspx?termid=9190</v>
      </c>
      <c r="Q2116" s="12" t="str">
        <f>HYPERLINK("https://ceds.ed.gov/elementComment.aspx?elementName=Address County Name &amp;elementID=9190", "Click here to submit comment")</f>
        <v>Click here to submit comment</v>
      </c>
    </row>
    <row r="2117" spans="1:17" ht="30" x14ac:dyDescent="0.25">
      <c r="A2117" s="12" t="s">
        <v>7242</v>
      </c>
      <c r="B2117" s="12" t="s">
        <v>7219</v>
      </c>
      <c r="C2117" s="12"/>
      <c r="D2117" s="12" t="s">
        <v>7172</v>
      </c>
      <c r="E2117" s="12" t="s">
        <v>2796</v>
      </c>
      <c r="F2117" s="12" t="s">
        <v>2797</v>
      </c>
      <c r="G2117" s="12" t="s">
        <v>12</v>
      </c>
      <c r="H2117" s="12"/>
      <c r="I2117" s="12"/>
      <c r="J2117" s="12" t="s">
        <v>99</v>
      </c>
      <c r="K2117" s="12"/>
      <c r="L2117" s="12"/>
      <c r="M2117" s="12" t="s">
        <v>2798</v>
      </c>
      <c r="N2117" s="12"/>
      <c r="O2117" s="12" t="s">
        <v>2799</v>
      </c>
      <c r="P2117" s="12" t="str">
        <f>HYPERLINK("https://ceds.ed.gov/cedselementdetails.aspx?termid=10172")</f>
        <v>https://ceds.ed.gov/cedselementdetails.aspx?termid=10172</v>
      </c>
      <c r="Q2117" s="12" t="str">
        <f>HYPERLINK("https://ceds.ed.gov/elementComment.aspx?elementName=Facility Building Name &amp;elementID=10172", "Click here to submit comment")</f>
        <v>Click here to submit comment</v>
      </c>
    </row>
    <row r="2118" spans="1:17" ht="360" x14ac:dyDescent="0.25">
      <c r="A2118" s="12" t="s">
        <v>7242</v>
      </c>
      <c r="B2118" s="12" t="s">
        <v>7219</v>
      </c>
      <c r="C2118" s="12"/>
      <c r="D2118" s="12" t="s">
        <v>7172</v>
      </c>
      <c r="E2118" s="12" t="s">
        <v>1602</v>
      </c>
      <c r="F2118" s="12" t="s">
        <v>1603</v>
      </c>
      <c r="G2118" s="13" t="s">
        <v>6803</v>
      </c>
      <c r="H2118" s="12"/>
      <c r="I2118" s="12"/>
      <c r="J2118" s="12"/>
      <c r="K2118" s="12"/>
      <c r="L2118" s="12"/>
      <c r="M2118" s="12" t="s">
        <v>1605</v>
      </c>
      <c r="N2118" s="12"/>
      <c r="O2118" s="12" t="s">
        <v>1606</v>
      </c>
      <c r="P2118" s="12" t="str">
        <f>HYPERLINK("https://ceds.ed.gov/cedselementdetails.aspx?termid=10173")</f>
        <v>https://ceds.ed.gov/cedselementdetails.aspx?termid=10173</v>
      </c>
      <c r="Q2118" s="12" t="str">
        <f>HYPERLINK("https://ceds.ed.gov/elementComment.aspx?elementName=Building Use Type &amp;elementID=10173", "Click here to submit comment")</f>
        <v>Click here to submit comment</v>
      </c>
    </row>
    <row r="2119" spans="1:17" ht="45" x14ac:dyDescent="0.25">
      <c r="A2119" s="12" t="s">
        <v>7242</v>
      </c>
      <c r="B2119" s="12" t="s">
        <v>7219</v>
      </c>
      <c r="C2119" s="12"/>
      <c r="D2119" s="12" t="s">
        <v>7172</v>
      </c>
      <c r="E2119" s="12" t="s">
        <v>2809</v>
      </c>
      <c r="F2119" s="12" t="s">
        <v>2810</v>
      </c>
      <c r="G2119" s="12" t="s">
        <v>12</v>
      </c>
      <c r="H2119" s="12"/>
      <c r="I2119" s="12"/>
      <c r="J2119" s="12" t="s">
        <v>68</v>
      </c>
      <c r="K2119" s="12"/>
      <c r="L2119" s="12"/>
      <c r="M2119" s="12" t="s">
        <v>2811</v>
      </c>
      <c r="N2119" s="12"/>
      <c r="O2119" s="12" t="s">
        <v>2812</v>
      </c>
      <c r="P2119" s="12" t="str">
        <f>HYPERLINK("https://ceds.ed.gov/cedselementdetails.aspx?termid=10174")</f>
        <v>https://ceds.ed.gov/cedselementdetails.aspx?termid=10174</v>
      </c>
      <c r="Q2119" s="12" t="str">
        <f>HYPERLINK("https://ceds.ed.gov/elementComment.aspx?elementName=Facility Space Description &amp;elementID=10174", "Click here to submit comment")</f>
        <v>Click here to submit comment</v>
      </c>
    </row>
    <row r="2120" spans="1:17" ht="255" x14ac:dyDescent="0.25">
      <c r="A2120" s="12" t="s">
        <v>7242</v>
      </c>
      <c r="B2120" s="12" t="s">
        <v>7219</v>
      </c>
      <c r="C2120" s="12"/>
      <c r="D2120" s="12" t="s">
        <v>7172</v>
      </c>
      <c r="E2120" s="12" t="s">
        <v>2813</v>
      </c>
      <c r="F2120" s="12" t="s">
        <v>2814</v>
      </c>
      <c r="G2120" s="13" t="s">
        <v>6915</v>
      </c>
      <c r="H2120" s="12"/>
      <c r="I2120" s="12"/>
      <c r="J2120" s="12"/>
      <c r="K2120" s="12"/>
      <c r="L2120" s="12"/>
      <c r="M2120" s="12" t="s">
        <v>2815</v>
      </c>
      <c r="N2120" s="12"/>
      <c r="O2120" s="12" t="s">
        <v>2816</v>
      </c>
      <c r="P2120" s="12" t="str">
        <f>HYPERLINK("https://ceds.ed.gov/cedselementdetails.aspx?termid=10175")</f>
        <v>https://ceds.ed.gov/cedselementdetails.aspx?termid=10175</v>
      </c>
      <c r="Q2120" s="12" t="str">
        <f>HYPERLINK("https://ceds.ed.gov/elementComment.aspx?elementName=Facility Space Use Type &amp;elementID=10175", "Click here to submit comment")</f>
        <v>Click here to submit comment</v>
      </c>
    </row>
    <row r="2121" spans="1:17" ht="75" x14ac:dyDescent="0.25">
      <c r="A2121" s="12" t="s">
        <v>7242</v>
      </c>
      <c r="B2121" s="12" t="s">
        <v>7219</v>
      </c>
      <c r="C2121" s="12"/>
      <c r="D2121" s="12" t="s">
        <v>7176</v>
      </c>
      <c r="E2121" s="12" t="s">
        <v>3693</v>
      </c>
      <c r="F2121" s="12" t="s">
        <v>3694</v>
      </c>
      <c r="G2121" s="12" t="s">
        <v>12</v>
      </c>
      <c r="H2121" s="12"/>
      <c r="I2121" s="12"/>
      <c r="J2121" s="12" t="s">
        <v>1201</v>
      </c>
      <c r="K2121" s="12"/>
      <c r="L2121" s="12"/>
      <c r="M2121" s="12" t="s">
        <v>3695</v>
      </c>
      <c r="N2121" s="12"/>
      <c r="O2121" s="12" t="s">
        <v>3693</v>
      </c>
      <c r="P2121" s="12" t="str">
        <f>HYPERLINK("https://ceds.ed.gov/cedselementdetails.aspx?termid=9599")</f>
        <v>https://ceds.ed.gov/cedselementdetails.aspx?termid=9599</v>
      </c>
      <c r="Q2121" s="12" t="str">
        <f>HYPERLINK("https://ceds.ed.gov/elementComment.aspx?elementName=Latitude &amp;elementID=9599", "Click here to submit comment")</f>
        <v>Click here to submit comment</v>
      </c>
    </row>
    <row r="2122" spans="1:17" ht="75" x14ac:dyDescent="0.25">
      <c r="A2122" s="12" t="s">
        <v>7242</v>
      </c>
      <c r="B2122" s="12" t="s">
        <v>7219</v>
      </c>
      <c r="C2122" s="12"/>
      <c r="D2122" s="12" t="s">
        <v>7176</v>
      </c>
      <c r="E2122" s="12" t="s">
        <v>4361</v>
      </c>
      <c r="F2122" s="12" t="s">
        <v>4362</v>
      </c>
      <c r="G2122" s="12" t="s">
        <v>12</v>
      </c>
      <c r="H2122" s="12"/>
      <c r="I2122" s="12"/>
      <c r="J2122" s="12" t="s">
        <v>1201</v>
      </c>
      <c r="K2122" s="12"/>
      <c r="L2122" s="12"/>
      <c r="M2122" s="12" t="s">
        <v>4363</v>
      </c>
      <c r="N2122" s="12"/>
      <c r="O2122" s="12" t="s">
        <v>4361</v>
      </c>
      <c r="P2122" s="12" t="str">
        <f>HYPERLINK("https://ceds.ed.gov/cedselementdetails.aspx?termid=9600")</f>
        <v>https://ceds.ed.gov/cedselementdetails.aspx?termid=9600</v>
      </c>
      <c r="Q2122" s="12" t="str">
        <f>HYPERLINK("https://ceds.ed.gov/elementComment.aspx?elementName=Longitude &amp;elementID=9600", "Click here to submit comment")</f>
        <v>Click here to submit comment</v>
      </c>
    </row>
    <row r="2123" spans="1:17" ht="225" x14ac:dyDescent="0.25">
      <c r="A2123" s="12" t="s">
        <v>7295</v>
      </c>
      <c r="B2123" s="12" t="s">
        <v>7296</v>
      </c>
      <c r="C2123" s="12" t="s">
        <v>7217</v>
      </c>
      <c r="D2123" s="12" t="s">
        <v>7172</v>
      </c>
      <c r="E2123" s="12" t="s">
        <v>4518</v>
      </c>
      <c r="F2123" s="12" t="s">
        <v>4519</v>
      </c>
      <c r="G2123" s="12" t="s">
        <v>12</v>
      </c>
      <c r="H2123" s="12" t="s">
        <v>6604</v>
      </c>
      <c r="I2123" s="12"/>
      <c r="J2123" s="12" t="s">
        <v>99</v>
      </c>
      <c r="K2123" s="12"/>
      <c r="L2123" s="12"/>
      <c r="M2123" s="12" t="s">
        <v>4520</v>
      </c>
      <c r="N2123" s="12"/>
      <c r="O2123" s="12" t="s">
        <v>4521</v>
      </c>
      <c r="P2123" s="12" t="str">
        <f>HYPERLINK("https://ceds.ed.gov/cedselementdetails.aspx?termid=9191")</f>
        <v>https://ceds.ed.gov/cedselementdetails.aspx?termid=9191</v>
      </c>
      <c r="Q2123" s="12" t="str">
        <f>HYPERLINK("https://ceds.ed.gov/elementComment.aspx?elementName=Name of Institution &amp;elementID=9191", "Click here to submit comment")</f>
        <v>Click here to submit comment</v>
      </c>
    </row>
    <row r="2124" spans="1:17" ht="180" x14ac:dyDescent="0.25">
      <c r="A2124" s="12" t="s">
        <v>7295</v>
      </c>
      <c r="B2124" s="12" t="s">
        <v>7296</v>
      </c>
      <c r="C2124" s="12" t="s">
        <v>7217</v>
      </c>
      <c r="D2124" s="12" t="s">
        <v>7172</v>
      </c>
      <c r="E2124" s="12" t="s">
        <v>4643</v>
      </c>
      <c r="F2124" s="12" t="s">
        <v>4644</v>
      </c>
      <c r="G2124" s="12" t="s">
        <v>12</v>
      </c>
      <c r="H2124" s="12"/>
      <c r="I2124" s="12"/>
      <c r="J2124" s="12" t="s">
        <v>4645</v>
      </c>
      <c r="K2124" s="12"/>
      <c r="L2124" s="12"/>
      <c r="M2124" s="12" t="s">
        <v>4646</v>
      </c>
      <c r="N2124" s="12" t="s">
        <v>4647</v>
      </c>
      <c r="O2124" s="12" t="s">
        <v>4647</v>
      </c>
      <c r="P2124" s="12" t="str">
        <f>HYPERLINK("https://ceds.ed.gov/cedselementdetails.aspx?termid=9203")</f>
        <v>https://ceds.ed.gov/cedselementdetails.aspx?termid=9203</v>
      </c>
      <c r="Q2124" s="12" t="str">
        <f>HYPERLINK("https://ceds.ed.gov/elementComment.aspx?elementName=Office of Postsecondary Education Identifier &amp;elementID=9203", "Click here to submit comment")</f>
        <v>Click here to submit comment</v>
      </c>
    </row>
    <row r="2125" spans="1:17" ht="135" x14ac:dyDescent="0.25">
      <c r="A2125" s="12" t="s">
        <v>7295</v>
      </c>
      <c r="B2125" s="12" t="s">
        <v>7296</v>
      </c>
      <c r="C2125" s="12" t="s">
        <v>7217</v>
      </c>
      <c r="D2125" s="12" t="s">
        <v>7172</v>
      </c>
      <c r="E2125" s="12" t="s">
        <v>2854</v>
      </c>
      <c r="F2125" s="12" t="s">
        <v>2855</v>
      </c>
      <c r="G2125" s="12" t="s">
        <v>2856</v>
      </c>
      <c r="H2125" s="12" t="s">
        <v>239</v>
      </c>
      <c r="I2125" s="12"/>
      <c r="J2125" s="12"/>
      <c r="K2125" s="12"/>
      <c r="L2125" s="12"/>
      <c r="M2125" s="12" t="s">
        <v>2857</v>
      </c>
      <c r="N2125" s="12"/>
      <c r="O2125" s="12" t="s">
        <v>2858</v>
      </c>
      <c r="P2125" s="12" t="str">
        <f>HYPERLINK("https://ceds.ed.gov/cedselementdetails.aspx?termid=9111")</f>
        <v>https://ceds.ed.gov/cedselementdetails.aspx?termid=9111</v>
      </c>
      <c r="Q2125" s="12" t="str">
        <f>HYPERLINK("https://ceds.ed.gov/elementComment.aspx?elementName=Federal School Code &amp;elementID=9111", "Click here to submit comment")</f>
        <v>Click here to submit comment</v>
      </c>
    </row>
    <row r="2126" spans="1:17" ht="90" x14ac:dyDescent="0.25">
      <c r="A2126" s="12" t="s">
        <v>7295</v>
      </c>
      <c r="B2126" s="12" t="s">
        <v>7296</v>
      </c>
      <c r="C2126" s="12" t="s">
        <v>7217</v>
      </c>
      <c r="D2126" s="12" t="s">
        <v>7172</v>
      </c>
      <c r="E2126" s="12" t="s">
        <v>4268</v>
      </c>
      <c r="F2126" s="12" t="s">
        <v>4269</v>
      </c>
      <c r="G2126" s="13" t="s">
        <v>7015</v>
      </c>
      <c r="H2126" s="12" t="s">
        <v>6446</v>
      </c>
      <c r="I2126" s="12"/>
      <c r="J2126" s="12"/>
      <c r="K2126" s="12"/>
      <c r="L2126" s="12"/>
      <c r="M2126" s="12" t="s">
        <v>4270</v>
      </c>
      <c r="N2126" s="12"/>
      <c r="O2126" s="12" t="s">
        <v>4271</v>
      </c>
      <c r="P2126" s="12" t="str">
        <f>HYPERLINK("https://ceds.ed.gov/cedselementdetails.aspx?termid=9178")</f>
        <v>https://ceds.ed.gov/cedselementdetails.aspx?termid=9178</v>
      </c>
      <c r="Q2126" s="12" t="str">
        <f>HYPERLINK("https://ceds.ed.gov/elementComment.aspx?elementName=Level of Institution &amp;elementID=9178", "Click here to submit comment")</f>
        <v>Click here to submit comment</v>
      </c>
    </row>
    <row r="2127" spans="1:17" ht="105" x14ac:dyDescent="0.25">
      <c r="A2127" s="12" t="s">
        <v>7295</v>
      </c>
      <c r="B2127" s="12" t="s">
        <v>7296</v>
      </c>
      <c r="C2127" s="12" t="s">
        <v>7217</v>
      </c>
      <c r="D2127" s="12" t="s">
        <v>7172</v>
      </c>
      <c r="E2127" s="12" t="s">
        <v>1913</v>
      </c>
      <c r="F2127" s="12" t="s">
        <v>1914</v>
      </c>
      <c r="G2127" s="13" t="s">
        <v>6826</v>
      </c>
      <c r="H2127" s="12" t="s">
        <v>6446</v>
      </c>
      <c r="I2127" s="12"/>
      <c r="J2127" s="12"/>
      <c r="K2127" s="12"/>
      <c r="L2127" s="12"/>
      <c r="M2127" s="12" t="s">
        <v>1915</v>
      </c>
      <c r="N2127" s="12"/>
      <c r="O2127" s="12" t="s">
        <v>1916</v>
      </c>
      <c r="P2127" s="12" t="str">
        <f>HYPERLINK("https://ceds.ed.gov/cedselementdetails.aspx?termid=9048")</f>
        <v>https://ceds.ed.gov/cedselementdetails.aspx?termid=9048</v>
      </c>
      <c r="Q2127" s="12" t="str">
        <f>HYPERLINK("https://ceds.ed.gov/elementComment.aspx?elementName=Control of Institution &amp;elementID=9048", "Click here to submit comment")</f>
        <v>Click here to submit comment</v>
      </c>
    </row>
    <row r="2128" spans="1:17" ht="409.5" x14ac:dyDescent="0.25">
      <c r="A2128" s="12" t="s">
        <v>7295</v>
      </c>
      <c r="B2128" s="12" t="s">
        <v>7296</v>
      </c>
      <c r="C2128" s="12" t="s">
        <v>7217</v>
      </c>
      <c r="D2128" s="12" t="s">
        <v>7172</v>
      </c>
      <c r="E2128" s="12" t="s">
        <v>1706</v>
      </c>
      <c r="F2128" s="12" t="s">
        <v>1707</v>
      </c>
      <c r="G2128" s="13" t="s">
        <v>6810</v>
      </c>
      <c r="H2128" s="12" t="s">
        <v>6446</v>
      </c>
      <c r="I2128" s="12"/>
      <c r="J2128" s="12"/>
      <c r="K2128" s="12"/>
      <c r="L2128" s="12"/>
      <c r="M2128" s="12" t="s">
        <v>1709</v>
      </c>
      <c r="N2128" s="12"/>
      <c r="O2128" s="12" t="s">
        <v>1710</v>
      </c>
      <c r="P2128" s="12" t="str">
        <f>HYPERLINK("https://ceds.ed.gov/cedselementdetails.aspx?termid=9038")</f>
        <v>https://ceds.ed.gov/cedselementdetails.aspx?termid=9038</v>
      </c>
      <c r="Q2128" s="12" t="str">
        <f>HYPERLINK("https://ceds.ed.gov/elementComment.aspx?elementName=Carnegie Basic Classification &amp;elementID=9038", "Click here to submit comment")</f>
        <v>Click here to submit comment</v>
      </c>
    </row>
    <row r="2129" spans="1:17" ht="30" x14ac:dyDescent="0.25">
      <c r="A2129" s="12" t="s">
        <v>7295</v>
      </c>
      <c r="B2129" s="12" t="s">
        <v>7296</v>
      </c>
      <c r="C2129" s="12" t="s">
        <v>7217</v>
      </c>
      <c r="D2129" s="12" t="s">
        <v>7172</v>
      </c>
      <c r="E2129" s="12" t="s">
        <v>5683</v>
      </c>
      <c r="F2129" s="12" t="s">
        <v>5684</v>
      </c>
      <c r="G2129" s="12" t="s">
        <v>12</v>
      </c>
      <c r="H2129" s="12" t="s">
        <v>6446</v>
      </c>
      <c r="I2129" s="12"/>
      <c r="J2129" s="12" t="s">
        <v>2328</v>
      </c>
      <c r="K2129" s="12"/>
      <c r="L2129" s="12"/>
      <c r="M2129" s="12" t="s">
        <v>5685</v>
      </c>
      <c r="N2129" s="12"/>
      <c r="O2129" s="12" t="s">
        <v>5686</v>
      </c>
      <c r="P2129" s="12" t="str">
        <f>HYPERLINK("https://ceds.ed.gov/cedselementdetails.aspx?termid=9252")</f>
        <v>https://ceds.ed.gov/cedselementdetails.aspx?termid=9252</v>
      </c>
      <c r="Q2129" s="12" t="str">
        <f>HYPERLINK("https://ceds.ed.gov/elementComment.aspx?elementName=Session Designator &amp;elementID=9252", "Click here to submit comment")</f>
        <v>Click here to submit comment</v>
      </c>
    </row>
    <row r="2130" spans="1:17" ht="120" x14ac:dyDescent="0.25">
      <c r="A2130" s="12" t="s">
        <v>7295</v>
      </c>
      <c r="B2130" s="12" t="s">
        <v>7296</v>
      </c>
      <c r="C2130" s="12" t="s">
        <v>7217</v>
      </c>
      <c r="D2130" s="12" t="s">
        <v>7172</v>
      </c>
      <c r="E2130" s="12" t="s">
        <v>4897</v>
      </c>
      <c r="F2130" s="12" t="s">
        <v>4898</v>
      </c>
      <c r="G2130" s="13" t="s">
        <v>7060</v>
      </c>
      <c r="H2130" s="12" t="s">
        <v>6631</v>
      </c>
      <c r="I2130" s="12"/>
      <c r="J2130" s="12"/>
      <c r="K2130" s="12"/>
      <c r="L2130" s="12" t="s">
        <v>4899</v>
      </c>
      <c r="M2130" s="12" t="s">
        <v>4900</v>
      </c>
      <c r="N2130" s="12"/>
      <c r="O2130" s="12" t="s">
        <v>4901</v>
      </c>
      <c r="P2130" s="12" t="str">
        <f>HYPERLINK("https://ceds.ed.gov/cedselementdetails.aspx?termid=9705")</f>
        <v>https://ceds.ed.gov/cedselementdetails.aspx?termid=9705</v>
      </c>
      <c r="Q2130" s="12" t="str">
        <f>HYPERLINK("https://ceds.ed.gov/elementComment.aspx?elementName=Predominant Calendar System &amp;elementID=9705", "Click here to submit comment")</f>
        <v>Click here to submit comment</v>
      </c>
    </row>
    <row r="2131" spans="1:17" ht="45" x14ac:dyDescent="0.25">
      <c r="A2131" s="12" t="s">
        <v>7295</v>
      </c>
      <c r="B2131" s="12" t="s">
        <v>7296</v>
      </c>
      <c r="C2131" s="12" t="s">
        <v>7217</v>
      </c>
      <c r="D2131" s="12" t="s">
        <v>7172</v>
      </c>
      <c r="E2131" s="12" t="s">
        <v>6111</v>
      </c>
      <c r="F2131" s="12" t="s">
        <v>6112</v>
      </c>
      <c r="G2131" s="12" t="s">
        <v>6364</v>
      </c>
      <c r="H2131" s="12" t="s">
        <v>37</v>
      </c>
      <c r="I2131" s="12"/>
      <c r="J2131" s="12"/>
      <c r="K2131" s="12"/>
      <c r="L2131" s="12"/>
      <c r="M2131" s="12" t="s">
        <v>6113</v>
      </c>
      <c r="N2131" s="12"/>
      <c r="O2131" s="12" t="s">
        <v>6114</v>
      </c>
      <c r="P2131" s="12" t="str">
        <f>HYPERLINK("https://ceds.ed.gov/cedselementdetails.aspx?termid=9715")</f>
        <v>https://ceds.ed.gov/cedselementdetails.aspx?termid=9715</v>
      </c>
      <c r="Q2131" s="12" t="str">
        <f>HYPERLINK("https://ceds.ed.gov/elementComment.aspx?elementName=Tenure System &amp;elementID=9715", "Click here to submit comment")</f>
        <v>Click here to submit comment</v>
      </c>
    </row>
    <row r="2132" spans="1:17" ht="90" x14ac:dyDescent="0.25">
      <c r="A2132" s="12" t="s">
        <v>7295</v>
      </c>
      <c r="B2132" s="12" t="s">
        <v>7296</v>
      </c>
      <c r="C2132" s="12" t="s">
        <v>7217</v>
      </c>
      <c r="D2132" s="12" t="s">
        <v>7172</v>
      </c>
      <c r="E2132" s="12" t="s">
        <v>5719</v>
      </c>
      <c r="F2132" s="12" t="s">
        <v>5720</v>
      </c>
      <c r="G2132" s="12" t="s">
        <v>12</v>
      </c>
      <c r="H2132" s="12"/>
      <c r="I2132" s="12"/>
      <c r="J2132" s="12" t="s">
        <v>92</v>
      </c>
      <c r="K2132" s="12"/>
      <c r="L2132" s="12" t="s">
        <v>5721</v>
      </c>
      <c r="M2132" s="12" t="s">
        <v>5722</v>
      </c>
      <c r="N2132" s="12"/>
      <c r="O2132" s="12" t="s">
        <v>5723</v>
      </c>
      <c r="P2132" s="12" t="str">
        <f>HYPERLINK("https://ceds.ed.gov/cedselementdetails.aspx?termid=10459")</f>
        <v>https://ceds.ed.gov/cedselementdetails.aspx?termid=10459</v>
      </c>
      <c r="Q2132" s="12" t="str">
        <f>HYPERLINK("https://ceds.ed.gov/elementComment.aspx?elementName=Short Name of Institution &amp;elementID=10459", "Click here to submit comment")</f>
        <v>Click here to submit comment</v>
      </c>
    </row>
    <row r="2133" spans="1:17" ht="105" x14ac:dyDescent="0.25">
      <c r="A2133" s="12" t="s">
        <v>7295</v>
      </c>
      <c r="B2133" s="12" t="s">
        <v>7296</v>
      </c>
      <c r="C2133" s="12" t="s">
        <v>7217</v>
      </c>
      <c r="D2133" s="12" t="s">
        <v>7172</v>
      </c>
      <c r="E2133" s="12" t="s">
        <v>6280</v>
      </c>
      <c r="F2133" s="12" t="s">
        <v>6281</v>
      </c>
      <c r="G2133" s="12" t="s">
        <v>6364</v>
      </c>
      <c r="H2133" s="12"/>
      <c r="I2133" s="12"/>
      <c r="J2133" s="12"/>
      <c r="K2133" s="12"/>
      <c r="L2133" s="12"/>
      <c r="M2133" s="12" t="s">
        <v>6282</v>
      </c>
      <c r="N2133" s="12"/>
      <c r="O2133" s="12" t="s">
        <v>6283</v>
      </c>
      <c r="P2133" s="12" t="str">
        <f>HYPERLINK("https://ceds.ed.gov/cedselementdetails.aspx?termid=10167")</f>
        <v>https://ceds.ed.gov/cedselementdetails.aspx?termid=10167</v>
      </c>
      <c r="Q2133" s="12" t="str">
        <f>HYPERLINK("https://ceds.ed.gov/elementComment.aspx?elementName=Virtual Indicator &amp;elementID=10167", "Click here to submit comment")</f>
        <v>Click here to submit comment</v>
      </c>
    </row>
    <row r="2134" spans="1:17" ht="30" x14ac:dyDescent="0.25">
      <c r="A2134" s="12" t="s">
        <v>7295</v>
      </c>
      <c r="B2134" s="12" t="s">
        <v>7296</v>
      </c>
      <c r="C2134" s="12" t="s">
        <v>7217</v>
      </c>
      <c r="D2134" s="12" t="s">
        <v>7172</v>
      </c>
      <c r="E2134" s="12" t="s">
        <v>6313</v>
      </c>
      <c r="F2134" s="12" t="s">
        <v>6314</v>
      </c>
      <c r="G2134" s="12" t="s">
        <v>12</v>
      </c>
      <c r="H2134" s="12" t="s">
        <v>222</v>
      </c>
      <c r="I2134" s="12"/>
      <c r="J2134" s="12" t="s">
        <v>68</v>
      </c>
      <c r="K2134" s="12"/>
      <c r="L2134" s="12"/>
      <c r="M2134" s="12" t="s">
        <v>6315</v>
      </c>
      <c r="N2134" s="12"/>
      <c r="O2134" s="12" t="s">
        <v>6316</v>
      </c>
      <c r="P2134" s="12" t="str">
        <f>HYPERLINK("https://ceds.ed.gov/cedselementdetails.aspx?termid=9300")</f>
        <v>https://ceds.ed.gov/cedselementdetails.aspx?termid=9300</v>
      </c>
      <c r="Q2134" s="12" t="str">
        <f>HYPERLINK("https://ceds.ed.gov/elementComment.aspx?elementName=Web Site Address &amp;elementID=9300", "Click here to submit comment")</f>
        <v>Click here to submit comment</v>
      </c>
    </row>
    <row r="2135" spans="1:17" ht="90" x14ac:dyDescent="0.25">
      <c r="A2135" s="12" t="s">
        <v>7295</v>
      </c>
      <c r="B2135" s="12" t="s">
        <v>7296</v>
      </c>
      <c r="C2135" s="12" t="s">
        <v>7214</v>
      </c>
      <c r="D2135" s="12" t="s">
        <v>7172</v>
      </c>
      <c r="E2135" s="12" t="s">
        <v>197</v>
      </c>
      <c r="F2135" s="12" t="s">
        <v>198</v>
      </c>
      <c r="G2135" s="13" t="s">
        <v>6727</v>
      </c>
      <c r="H2135" s="12" t="s">
        <v>6369</v>
      </c>
      <c r="I2135" s="12"/>
      <c r="J2135" s="12" t="s">
        <v>92</v>
      </c>
      <c r="K2135" s="12"/>
      <c r="L2135" s="12"/>
      <c r="M2135" s="12" t="s">
        <v>199</v>
      </c>
      <c r="N2135" s="12"/>
      <c r="O2135" s="12" t="s">
        <v>200</v>
      </c>
      <c r="P2135" s="12" t="str">
        <f>HYPERLINK("https://ceds.ed.gov/cedselementdetails.aspx?termid=9644")</f>
        <v>https://ceds.ed.gov/cedselementdetails.aspx?termid=9644</v>
      </c>
      <c r="Q2135" s="12" t="str">
        <f>HYPERLINK("https://ceds.ed.gov/elementComment.aspx?elementName=Address Type for Organization &amp;elementID=9644", "Click here to submit comment")</f>
        <v>Click here to submit comment</v>
      </c>
    </row>
    <row r="2136" spans="1:17" ht="225" x14ac:dyDescent="0.25">
      <c r="A2136" s="12" t="s">
        <v>7295</v>
      </c>
      <c r="B2136" s="12" t="s">
        <v>7296</v>
      </c>
      <c r="C2136" s="12" t="s">
        <v>7214</v>
      </c>
      <c r="D2136" s="12" t="s">
        <v>7172</v>
      </c>
      <c r="E2136" s="12" t="s">
        <v>189</v>
      </c>
      <c r="F2136" s="12" t="s">
        <v>190</v>
      </c>
      <c r="G2136" s="12" t="s">
        <v>12</v>
      </c>
      <c r="H2136" s="12" t="s">
        <v>6377</v>
      </c>
      <c r="I2136" s="12"/>
      <c r="J2136" s="12" t="s">
        <v>142</v>
      </c>
      <c r="K2136" s="12"/>
      <c r="L2136" s="12"/>
      <c r="M2136" s="12" t="s">
        <v>191</v>
      </c>
      <c r="N2136" s="12"/>
      <c r="O2136" s="12" t="s">
        <v>192</v>
      </c>
      <c r="P2136" s="12" t="str">
        <f>HYPERLINK("https://ceds.ed.gov/cedselementdetails.aspx?termid=9269")</f>
        <v>https://ceds.ed.gov/cedselementdetails.aspx?termid=9269</v>
      </c>
      <c r="Q2136" s="12" t="str">
        <f>HYPERLINK("https://ceds.ed.gov/elementComment.aspx?elementName=Address Street Number and Name &amp;elementID=9269", "Click here to submit comment")</f>
        <v>Click here to submit comment</v>
      </c>
    </row>
    <row r="2137" spans="1:17" ht="225" x14ac:dyDescent="0.25">
      <c r="A2137" s="12" t="s">
        <v>7295</v>
      </c>
      <c r="B2137" s="12" t="s">
        <v>7296</v>
      </c>
      <c r="C2137" s="12" t="s">
        <v>7214</v>
      </c>
      <c r="D2137" s="12" t="s">
        <v>7172</v>
      </c>
      <c r="E2137" s="12" t="s">
        <v>172</v>
      </c>
      <c r="F2137" s="12" t="s">
        <v>173</v>
      </c>
      <c r="G2137" s="12" t="s">
        <v>12</v>
      </c>
      <c r="H2137" s="12" t="s">
        <v>6377</v>
      </c>
      <c r="I2137" s="12"/>
      <c r="J2137" s="12" t="s">
        <v>92</v>
      </c>
      <c r="K2137" s="12"/>
      <c r="L2137" s="12"/>
      <c r="M2137" s="12" t="s">
        <v>174</v>
      </c>
      <c r="N2137" s="12"/>
      <c r="O2137" s="12" t="s">
        <v>175</v>
      </c>
      <c r="P2137" s="12" t="str">
        <f>HYPERLINK("https://ceds.ed.gov/cedselementdetails.aspx?termid=9019")</f>
        <v>https://ceds.ed.gov/cedselementdetails.aspx?termid=9019</v>
      </c>
      <c r="Q2137" s="12" t="str">
        <f>HYPERLINK("https://ceds.ed.gov/elementComment.aspx?elementName=Address Apartment Room or Suite Number &amp;elementID=9019", "Click here to submit comment")</f>
        <v>Click here to submit comment</v>
      </c>
    </row>
    <row r="2138" spans="1:17" ht="225" x14ac:dyDescent="0.25">
      <c r="A2138" s="12" t="s">
        <v>7295</v>
      </c>
      <c r="B2138" s="12" t="s">
        <v>7296</v>
      </c>
      <c r="C2138" s="12" t="s">
        <v>7214</v>
      </c>
      <c r="D2138" s="12" t="s">
        <v>7172</v>
      </c>
      <c r="E2138" s="12" t="s">
        <v>176</v>
      </c>
      <c r="F2138" s="12" t="s">
        <v>177</v>
      </c>
      <c r="G2138" s="12" t="s">
        <v>12</v>
      </c>
      <c r="H2138" s="12" t="s">
        <v>6377</v>
      </c>
      <c r="I2138" s="12"/>
      <c r="J2138" s="12" t="s">
        <v>92</v>
      </c>
      <c r="K2138" s="12"/>
      <c r="L2138" s="12"/>
      <c r="M2138" s="12" t="s">
        <v>178</v>
      </c>
      <c r="N2138" s="12"/>
      <c r="O2138" s="12" t="s">
        <v>179</v>
      </c>
      <c r="P2138" s="12" t="str">
        <f>HYPERLINK("https://ceds.ed.gov/cedselementdetails.aspx?termid=9040")</f>
        <v>https://ceds.ed.gov/cedselementdetails.aspx?termid=9040</v>
      </c>
      <c r="Q2138" s="12" t="str">
        <f>HYPERLINK("https://ceds.ed.gov/elementComment.aspx?elementName=Address City &amp;elementID=9040", "Click here to submit comment")</f>
        <v>Click here to submit comment</v>
      </c>
    </row>
    <row r="2139" spans="1:17" ht="409.5" x14ac:dyDescent="0.25">
      <c r="A2139" s="12" t="s">
        <v>7295</v>
      </c>
      <c r="B2139" s="12" t="s">
        <v>7296</v>
      </c>
      <c r="C2139" s="12" t="s">
        <v>7214</v>
      </c>
      <c r="D2139" s="12" t="s">
        <v>7172</v>
      </c>
      <c r="E2139" s="12" t="s">
        <v>5898</v>
      </c>
      <c r="F2139" s="12" t="s">
        <v>5899</v>
      </c>
      <c r="G2139" s="13" t="s">
        <v>7120</v>
      </c>
      <c r="H2139" s="12" t="s">
        <v>6678</v>
      </c>
      <c r="I2139" s="12"/>
      <c r="J2139" s="12"/>
      <c r="K2139" s="12"/>
      <c r="L2139" s="12"/>
      <c r="M2139" s="12" t="s">
        <v>5900</v>
      </c>
      <c r="N2139" s="12"/>
      <c r="O2139" s="12" t="s">
        <v>5901</v>
      </c>
      <c r="P2139" s="12" t="str">
        <f>HYPERLINK("https://ceds.ed.gov/cedselementdetails.aspx?termid=9267")</f>
        <v>https://ceds.ed.gov/cedselementdetails.aspx?termid=9267</v>
      </c>
      <c r="Q2139" s="12" t="str">
        <f>HYPERLINK("https://ceds.ed.gov/elementComment.aspx?elementName=State Abbreviation &amp;elementID=9267", "Click here to submit comment")</f>
        <v>Click here to submit comment</v>
      </c>
    </row>
    <row r="2140" spans="1:17" ht="225" x14ac:dyDescent="0.25">
      <c r="A2140" s="12" t="s">
        <v>7295</v>
      </c>
      <c r="B2140" s="12" t="s">
        <v>7296</v>
      </c>
      <c r="C2140" s="12" t="s">
        <v>7214</v>
      </c>
      <c r="D2140" s="12" t="s">
        <v>7172</v>
      </c>
      <c r="E2140" s="12" t="s">
        <v>184</v>
      </c>
      <c r="F2140" s="12" t="s">
        <v>185</v>
      </c>
      <c r="G2140" s="12" t="s">
        <v>12</v>
      </c>
      <c r="H2140" s="12" t="s">
        <v>6377</v>
      </c>
      <c r="I2140" s="12"/>
      <c r="J2140" s="12" t="s">
        <v>186</v>
      </c>
      <c r="K2140" s="12"/>
      <c r="L2140" s="12"/>
      <c r="M2140" s="12" t="s">
        <v>187</v>
      </c>
      <c r="N2140" s="12"/>
      <c r="O2140" s="12" t="s">
        <v>188</v>
      </c>
      <c r="P2140" s="12" t="str">
        <f>HYPERLINK("https://ceds.ed.gov/cedselementdetails.aspx?termid=9214")</f>
        <v>https://ceds.ed.gov/cedselementdetails.aspx?termid=9214</v>
      </c>
      <c r="Q2140" s="12" t="str">
        <f>HYPERLINK("https://ceds.ed.gov/elementComment.aspx?elementName=Address Postal Code &amp;elementID=9214", "Click here to submit comment")</f>
        <v>Click here to submit comment</v>
      </c>
    </row>
    <row r="2141" spans="1:17" ht="225" x14ac:dyDescent="0.25">
      <c r="A2141" s="12" t="s">
        <v>7295</v>
      </c>
      <c r="B2141" s="12" t="s">
        <v>7296</v>
      </c>
      <c r="C2141" s="12" t="s">
        <v>7214</v>
      </c>
      <c r="D2141" s="12" t="s">
        <v>7172</v>
      </c>
      <c r="E2141" s="12" t="s">
        <v>180</v>
      </c>
      <c r="F2141" s="12" t="s">
        <v>181</v>
      </c>
      <c r="G2141" s="12" t="s">
        <v>12</v>
      </c>
      <c r="H2141" s="12" t="s">
        <v>6377</v>
      </c>
      <c r="I2141" s="12"/>
      <c r="J2141" s="12" t="s">
        <v>92</v>
      </c>
      <c r="K2141" s="12"/>
      <c r="L2141" s="12"/>
      <c r="M2141" s="12" t="s">
        <v>182</v>
      </c>
      <c r="N2141" s="12"/>
      <c r="O2141" s="12" t="s">
        <v>183</v>
      </c>
      <c r="P2141" s="12" t="str">
        <f>HYPERLINK("https://ceds.ed.gov/cedselementdetails.aspx?termid=9190")</f>
        <v>https://ceds.ed.gov/cedselementdetails.aspx?termid=9190</v>
      </c>
      <c r="Q2141" s="12" t="str">
        <f>HYPERLINK("https://ceds.ed.gov/elementComment.aspx?elementName=Address County Name &amp;elementID=9190", "Click here to submit comment")</f>
        <v>Click here to submit comment</v>
      </c>
    </row>
    <row r="2142" spans="1:17" ht="180" x14ac:dyDescent="0.25">
      <c r="A2142" s="12" t="s">
        <v>7295</v>
      </c>
      <c r="B2142" s="12" t="s">
        <v>7296</v>
      </c>
      <c r="C2142" s="12" t="s">
        <v>7214</v>
      </c>
      <c r="D2142" s="12" t="s">
        <v>7172</v>
      </c>
      <c r="E2142" s="12" t="s">
        <v>1943</v>
      </c>
      <c r="F2142" s="12" t="s">
        <v>1944</v>
      </c>
      <c r="G2142" s="12" t="s">
        <v>12</v>
      </c>
      <c r="H2142" s="12"/>
      <c r="I2142" s="12"/>
      <c r="J2142" s="12" t="s">
        <v>1945</v>
      </c>
      <c r="K2142" s="12"/>
      <c r="L2142" s="12"/>
      <c r="M2142" s="12" t="s">
        <v>1946</v>
      </c>
      <c r="N2142" s="12"/>
      <c r="O2142" s="12" t="s">
        <v>1947</v>
      </c>
      <c r="P2142" s="12" t="str">
        <f>HYPERLINK("https://ceds.ed.gov/cedselementdetails.aspx?termid=10176")</f>
        <v>https://ceds.ed.gov/cedselementdetails.aspx?termid=10176</v>
      </c>
      <c r="Q2142" s="12" t="str">
        <f>HYPERLINK("https://ceds.ed.gov/elementComment.aspx?elementName=County ANSI Code &amp;elementID=10176", "Click here to submit comment")</f>
        <v>Click here to submit comment</v>
      </c>
    </row>
    <row r="2143" spans="1:17" ht="75" x14ac:dyDescent="0.25">
      <c r="A2143" s="12" t="s">
        <v>7295</v>
      </c>
      <c r="B2143" s="12" t="s">
        <v>7296</v>
      </c>
      <c r="C2143" s="12" t="s">
        <v>7214</v>
      </c>
      <c r="D2143" s="12" t="s">
        <v>7172</v>
      </c>
      <c r="E2143" s="12" t="s">
        <v>3693</v>
      </c>
      <c r="F2143" s="12" t="s">
        <v>3694</v>
      </c>
      <c r="G2143" s="12" t="s">
        <v>12</v>
      </c>
      <c r="H2143" s="12"/>
      <c r="I2143" s="12"/>
      <c r="J2143" s="12" t="s">
        <v>1201</v>
      </c>
      <c r="K2143" s="12"/>
      <c r="L2143" s="12"/>
      <c r="M2143" s="12" t="s">
        <v>3695</v>
      </c>
      <c r="N2143" s="12"/>
      <c r="O2143" s="12" t="s">
        <v>3693</v>
      </c>
      <c r="P2143" s="12" t="str">
        <f>HYPERLINK("https://ceds.ed.gov/cedselementdetails.aspx?termid=9599")</f>
        <v>https://ceds.ed.gov/cedselementdetails.aspx?termid=9599</v>
      </c>
      <c r="Q2143" s="12" t="str">
        <f>HYPERLINK("https://ceds.ed.gov/elementComment.aspx?elementName=Latitude &amp;elementID=9599", "Click here to submit comment")</f>
        <v>Click here to submit comment</v>
      </c>
    </row>
    <row r="2144" spans="1:17" ht="75" x14ac:dyDescent="0.25">
      <c r="A2144" s="12" t="s">
        <v>7295</v>
      </c>
      <c r="B2144" s="12" t="s">
        <v>7296</v>
      </c>
      <c r="C2144" s="12" t="s">
        <v>7214</v>
      </c>
      <c r="D2144" s="12" t="s">
        <v>7172</v>
      </c>
      <c r="E2144" s="12" t="s">
        <v>4361</v>
      </c>
      <c r="F2144" s="12" t="s">
        <v>4362</v>
      </c>
      <c r="G2144" s="12" t="s">
        <v>12</v>
      </c>
      <c r="H2144" s="12"/>
      <c r="I2144" s="12"/>
      <c r="J2144" s="12" t="s">
        <v>1201</v>
      </c>
      <c r="K2144" s="12"/>
      <c r="L2144" s="12"/>
      <c r="M2144" s="12" t="s">
        <v>4363</v>
      </c>
      <c r="N2144" s="12"/>
      <c r="O2144" s="12" t="s">
        <v>4361</v>
      </c>
      <c r="P2144" s="12" t="str">
        <f>HYPERLINK("https://ceds.ed.gov/cedselementdetails.aspx?termid=9600")</f>
        <v>https://ceds.ed.gov/cedselementdetails.aspx?termid=9600</v>
      </c>
      <c r="Q2144" s="12" t="str">
        <f>HYPERLINK("https://ceds.ed.gov/elementComment.aspx?elementName=Longitude &amp;elementID=9600", "Click here to submit comment")</f>
        <v>Click here to submit comment</v>
      </c>
    </row>
    <row r="2145" spans="1:17" ht="75" x14ac:dyDescent="0.25">
      <c r="A2145" s="12" t="s">
        <v>7295</v>
      </c>
      <c r="B2145" s="12" t="s">
        <v>7296</v>
      </c>
      <c r="C2145" s="12" t="s">
        <v>7297</v>
      </c>
      <c r="D2145" s="12" t="s">
        <v>7172</v>
      </c>
      <c r="E2145" s="12" t="s">
        <v>3525</v>
      </c>
      <c r="F2145" s="12" t="s">
        <v>3526</v>
      </c>
      <c r="G2145" s="12" t="s">
        <v>12</v>
      </c>
      <c r="H2145" s="12" t="s">
        <v>6380</v>
      </c>
      <c r="I2145" s="12"/>
      <c r="J2145" s="12" t="s">
        <v>3527</v>
      </c>
      <c r="K2145" s="12"/>
      <c r="L2145" s="12"/>
      <c r="M2145" s="12" t="s">
        <v>3528</v>
      </c>
      <c r="N2145" s="12" t="s">
        <v>3529</v>
      </c>
      <c r="O2145" s="12" t="s">
        <v>3530</v>
      </c>
      <c r="P2145" s="12" t="str">
        <f>HYPERLINK("https://ceds.ed.gov/cedselementdetails.aspx?termid=9166")</f>
        <v>https://ceds.ed.gov/cedselementdetails.aspx?termid=9166</v>
      </c>
      <c r="Q2145" s="12" t="str">
        <f>HYPERLINK("https://ceds.ed.gov/elementComment.aspx?elementName=Institution IPEDS UnitID &amp;elementID=9166", "Click here to submit comment")</f>
        <v>Click here to submit comment</v>
      </c>
    </row>
    <row r="2146" spans="1:17" ht="90" x14ac:dyDescent="0.25">
      <c r="A2146" s="12" t="s">
        <v>7295</v>
      </c>
      <c r="B2146" s="12" t="s">
        <v>7296</v>
      </c>
      <c r="C2146" s="12" t="s">
        <v>7297</v>
      </c>
      <c r="D2146" s="12" t="s">
        <v>7172</v>
      </c>
      <c r="E2146" s="12" t="s">
        <v>6241</v>
      </c>
      <c r="F2146" s="12" t="s">
        <v>6242</v>
      </c>
      <c r="G2146" s="12" t="s">
        <v>12</v>
      </c>
      <c r="H2146" s="12" t="s">
        <v>1593</v>
      </c>
      <c r="I2146" s="12"/>
      <c r="J2146" s="12" t="s">
        <v>1554</v>
      </c>
      <c r="K2146" s="12"/>
      <c r="L2146" s="12" t="s">
        <v>6243</v>
      </c>
      <c r="M2146" s="12" t="s">
        <v>6244</v>
      </c>
      <c r="N2146" s="12"/>
      <c r="O2146" s="12" t="s">
        <v>6245</v>
      </c>
      <c r="P2146" s="12" t="str">
        <f>HYPERLINK("https://ceds.ed.gov/cedselementdetails.aspx?termid=9723")</f>
        <v>https://ceds.ed.gov/cedselementdetails.aspx?termid=9723</v>
      </c>
      <c r="Q2146" s="12" t="str">
        <f>HYPERLINK("https://ceds.ed.gov/elementComment.aspx?elementName=Tuition - Published &amp;elementID=9723", "Click here to submit comment")</f>
        <v>Click here to submit comment</v>
      </c>
    </row>
    <row r="2147" spans="1:17" ht="90" x14ac:dyDescent="0.25">
      <c r="A2147" s="12" t="s">
        <v>7295</v>
      </c>
      <c r="B2147" s="12" t="s">
        <v>7296</v>
      </c>
      <c r="C2147" s="12" t="s">
        <v>7297</v>
      </c>
      <c r="D2147" s="12" t="s">
        <v>7172</v>
      </c>
      <c r="E2147" s="12" t="s">
        <v>6255</v>
      </c>
      <c r="F2147" s="12" t="s">
        <v>6256</v>
      </c>
      <c r="G2147" s="13" t="s">
        <v>7148</v>
      </c>
      <c r="H2147" s="12" t="s">
        <v>1593</v>
      </c>
      <c r="I2147" s="12"/>
      <c r="J2147" s="12"/>
      <c r="K2147" s="12"/>
      <c r="L2147" s="12" t="s">
        <v>369</v>
      </c>
      <c r="M2147" s="12" t="s">
        <v>6257</v>
      </c>
      <c r="N2147" s="12"/>
      <c r="O2147" s="12" t="s">
        <v>6258</v>
      </c>
      <c r="P2147" s="12" t="str">
        <f>HYPERLINK("https://ceds.ed.gov/cedselementdetails.aspx?termid=9725")</f>
        <v>https://ceds.ed.gov/cedselementdetails.aspx?termid=9725</v>
      </c>
      <c r="Q2147" s="12" t="str">
        <f>HYPERLINK("https://ceds.ed.gov/elementComment.aspx?elementName=Tuition Unit &amp;elementID=9725", "Click here to submit comment")</f>
        <v>Click here to submit comment</v>
      </c>
    </row>
    <row r="2148" spans="1:17" ht="45" x14ac:dyDescent="0.25">
      <c r="A2148" s="12" t="s">
        <v>7295</v>
      </c>
      <c r="B2148" s="12" t="s">
        <v>7296</v>
      </c>
      <c r="C2148" s="12" t="s">
        <v>7297</v>
      </c>
      <c r="D2148" s="12" t="s">
        <v>7172</v>
      </c>
      <c r="E2148" s="12" t="s">
        <v>1589</v>
      </c>
      <c r="F2148" s="12" t="s">
        <v>1590</v>
      </c>
      <c r="G2148" s="12" t="s">
        <v>12</v>
      </c>
      <c r="H2148" s="12" t="s">
        <v>1593</v>
      </c>
      <c r="I2148" s="12"/>
      <c r="J2148" s="12" t="s">
        <v>1554</v>
      </c>
      <c r="K2148" s="12"/>
      <c r="L2148" s="12" t="s">
        <v>369</v>
      </c>
      <c r="M2148" s="12" t="s">
        <v>1591</v>
      </c>
      <c r="N2148" s="12"/>
      <c r="O2148" s="12" t="s">
        <v>1592</v>
      </c>
      <c r="P2148" s="12" t="str">
        <f>HYPERLINK("https://ceds.ed.gov/cedselementdetails.aspx?termid=9729")</f>
        <v>https://ceds.ed.gov/cedselementdetails.aspx?termid=9729</v>
      </c>
      <c r="Q2148" s="12" t="str">
        <f>HYPERLINK("https://ceds.ed.gov/elementComment.aspx?elementName=Board Charges &amp;elementID=9729", "Click here to submit comment")</f>
        <v>Click here to submit comment</v>
      </c>
    </row>
    <row r="2149" spans="1:17" ht="60" x14ac:dyDescent="0.25">
      <c r="A2149" s="12" t="s">
        <v>7295</v>
      </c>
      <c r="B2149" s="12" t="s">
        <v>7296</v>
      </c>
      <c r="C2149" s="12" t="s">
        <v>7297</v>
      </c>
      <c r="D2149" s="12" t="s">
        <v>7172</v>
      </c>
      <c r="E2149" s="12" t="s">
        <v>5421</v>
      </c>
      <c r="F2149" s="12" t="s">
        <v>5422</v>
      </c>
      <c r="G2149" s="12" t="s">
        <v>12</v>
      </c>
      <c r="H2149" s="12" t="s">
        <v>1593</v>
      </c>
      <c r="I2149" s="12"/>
      <c r="J2149" s="12" t="s">
        <v>1554</v>
      </c>
      <c r="K2149" s="12"/>
      <c r="L2149" s="12" t="s">
        <v>369</v>
      </c>
      <c r="M2149" s="12" t="s">
        <v>5423</v>
      </c>
      <c r="N2149" s="12"/>
      <c r="O2149" s="12" t="s">
        <v>5424</v>
      </c>
      <c r="P2149" s="12" t="str">
        <f>HYPERLINK("https://ceds.ed.gov/cedselementdetails.aspx?termid=9728")</f>
        <v>https://ceds.ed.gov/cedselementdetails.aspx?termid=9728</v>
      </c>
      <c r="Q2149" s="12" t="str">
        <f>HYPERLINK("https://ceds.ed.gov/elementComment.aspx?elementName=Room Charges &amp;elementID=9728", "Click here to submit comment")</f>
        <v>Click here to submit comment</v>
      </c>
    </row>
    <row r="2150" spans="1:17" ht="120" x14ac:dyDescent="0.25">
      <c r="A2150" s="12" t="s">
        <v>7295</v>
      </c>
      <c r="B2150" s="12" t="s">
        <v>7296</v>
      </c>
      <c r="C2150" s="12" t="s">
        <v>7297</v>
      </c>
      <c r="D2150" s="12" t="s">
        <v>7172</v>
      </c>
      <c r="E2150" s="12" t="s">
        <v>1594</v>
      </c>
      <c r="F2150" s="12" t="s">
        <v>1595</v>
      </c>
      <c r="G2150" s="12" t="s">
        <v>12</v>
      </c>
      <c r="H2150" s="12" t="s">
        <v>1593</v>
      </c>
      <c r="I2150" s="12"/>
      <c r="J2150" s="12" t="s">
        <v>1554</v>
      </c>
      <c r="K2150" s="12"/>
      <c r="L2150" s="12" t="s">
        <v>369</v>
      </c>
      <c r="M2150" s="12" t="s">
        <v>1596</v>
      </c>
      <c r="N2150" s="12"/>
      <c r="O2150" s="12" t="s">
        <v>1597</v>
      </c>
      <c r="P2150" s="12" t="str">
        <f>HYPERLINK("https://ceds.ed.gov/cedselementdetails.aspx?termid=9730")</f>
        <v>https://ceds.ed.gov/cedselementdetails.aspx?termid=9730</v>
      </c>
      <c r="Q2150" s="12" t="str">
        <f>HYPERLINK("https://ceds.ed.gov/elementComment.aspx?elementName=Books and Supplies Costs &amp;elementID=9730", "Click here to submit comment")</f>
        <v>Click here to submit comment</v>
      </c>
    </row>
    <row r="2151" spans="1:17" ht="75" x14ac:dyDescent="0.25">
      <c r="A2151" s="12" t="s">
        <v>7295</v>
      </c>
      <c r="B2151" s="12" t="s">
        <v>7296</v>
      </c>
      <c r="C2151" s="12" t="s">
        <v>7297</v>
      </c>
      <c r="D2151" s="12" t="s">
        <v>7172</v>
      </c>
      <c r="E2151" s="12" t="s">
        <v>5378</v>
      </c>
      <c r="F2151" s="12" t="s">
        <v>5379</v>
      </c>
      <c r="G2151" s="12" t="s">
        <v>12</v>
      </c>
      <c r="H2151" s="12" t="s">
        <v>1593</v>
      </c>
      <c r="I2151" s="12"/>
      <c r="J2151" s="12" t="s">
        <v>1554</v>
      </c>
      <c r="K2151" s="12"/>
      <c r="L2151" s="12" t="s">
        <v>369</v>
      </c>
      <c r="M2151" s="12" t="s">
        <v>5380</v>
      </c>
      <c r="N2151" s="12"/>
      <c r="O2151" s="12" t="s">
        <v>5381</v>
      </c>
      <c r="P2151" s="12" t="str">
        <f>HYPERLINK("https://ceds.ed.gov/cedselementdetails.aspx?termid=9726")</f>
        <v>https://ceds.ed.gov/cedselementdetails.aspx?termid=9726</v>
      </c>
      <c r="Q2151" s="12" t="str">
        <f>HYPERLINK("https://ceds.ed.gov/elementComment.aspx?elementName=Required Student Fees &amp;elementID=9726", "Click here to submit comment")</f>
        <v>Click here to submit comment</v>
      </c>
    </row>
    <row r="2152" spans="1:17" ht="90" x14ac:dyDescent="0.25">
      <c r="A2152" s="12" t="s">
        <v>7295</v>
      </c>
      <c r="B2152" s="12" t="s">
        <v>7296</v>
      </c>
      <c r="C2152" s="12" t="s">
        <v>7297</v>
      </c>
      <c r="D2152" s="12" t="s">
        <v>7172</v>
      </c>
      <c r="E2152" s="12" t="s">
        <v>1882</v>
      </c>
      <c r="F2152" s="12" t="s">
        <v>1883</v>
      </c>
      <c r="G2152" s="12" t="s">
        <v>12</v>
      </c>
      <c r="H2152" s="12" t="s">
        <v>1593</v>
      </c>
      <c r="I2152" s="12"/>
      <c r="J2152" s="12" t="s">
        <v>1554</v>
      </c>
      <c r="K2152" s="12"/>
      <c r="L2152" s="12" t="s">
        <v>369</v>
      </c>
      <c r="M2152" s="12" t="s">
        <v>1884</v>
      </c>
      <c r="N2152" s="12"/>
      <c r="O2152" s="12" t="s">
        <v>1885</v>
      </c>
      <c r="P2152" s="12" t="str">
        <f>HYPERLINK("https://ceds.ed.gov/cedselementdetails.aspx?termid=9733")</f>
        <v>https://ceds.ed.gov/cedselementdetails.aspx?termid=9733</v>
      </c>
      <c r="Q2152" s="12" t="str">
        <f>HYPERLINK("https://ceds.ed.gov/elementComment.aspx?elementName=Comprehensive Fee &amp;elementID=9733", "Click here to submit comment")</f>
        <v>Click here to submit comment</v>
      </c>
    </row>
    <row r="2153" spans="1:17" ht="75" x14ac:dyDescent="0.25">
      <c r="A2153" s="12" t="s">
        <v>7295</v>
      </c>
      <c r="B2153" s="12" t="s">
        <v>7296</v>
      </c>
      <c r="C2153" s="12" t="s">
        <v>7297</v>
      </c>
      <c r="D2153" s="12" t="s">
        <v>7172</v>
      </c>
      <c r="E2153" s="12" t="s">
        <v>4733</v>
      </c>
      <c r="F2153" s="12" t="s">
        <v>4734</v>
      </c>
      <c r="G2153" s="12" t="s">
        <v>12</v>
      </c>
      <c r="H2153" s="12" t="s">
        <v>1593</v>
      </c>
      <c r="I2153" s="12"/>
      <c r="J2153" s="12" t="s">
        <v>1554</v>
      </c>
      <c r="K2153" s="12"/>
      <c r="L2153" s="12" t="s">
        <v>369</v>
      </c>
      <c r="M2153" s="12" t="s">
        <v>4735</v>
      </c>
      <c r="N2153" s="12"/>
      <c r="O2153" s="12" t="s">
        <v>4736</v>
      </c>
      <c r="P2153" s="12" t="str">
        <f>HYPERLINK("https://ceds.ed.gov/cedselementdetails.aspx?termid=9731")</f>
        <v>https://ceds.ed.gov/cedselementdetails.aspx?termid=9731</v>
      </c>
      <c r="Q2153" s="12" t="str">
        <f>HYPERLINK("https://ceds.ed.gov/elementComment.aspx?elementName=Other Student Expenses &amp;elementID=9731", "Click here to submit comment")</f>
        <v>Click here to submit comment</v>
      </c>
    </row>
    <row r="2154" spans="1:17" ht="180" x14ac:dyDescent="0.25">
      <c r="A2154" s="12" t="s">
        <v>7295</v>
      </c>
      <c r="B2154" s="12" t="s">
        <v>7296</v>
      </c>
      <c r="C2154" s="12" t="s">
        <v>7297</v>
      </c>
      <c r="D2154" s="12" t="s">
        <v>7172</v>
      </c>
      <c r="E2154" s="12" t="s">
        <v>4918</v>
      </c>
      <c r="F2154" s="12" t="s">
        <v>4919</v>
      </c>
      <c r="G2154" s="12" t="s">
        <v>12</v>
      </c>
      <c r="H2154" s="12" t="s">
        <v>1593</v>
      </c>
      <c r="I2154" s="12"/>
      <c r="J2154" s="12" t="s">
        <v>1554</v>
      </c>
      <c r="K2154" s="12"/>
      <c r="L2154" s="12" t="s">
        <v>369</v>
      </c>
      <c r="M2154" s="12" t="s">
        <v>4920</v>
      </c>
      <c r="N2154" s="12"/>
      <c r="O2154" s="12" t="s">
        <v>4921</v>
      </c>
      <c r="P2154" s="12" t="str">
        <f>HYPERLINK("https://ceds.ed.gov/cedselementdetails.aspx?termid=9732")</f>
        <v>https://ceds.ed.gov/cedselementdetails.aspx?termid=9732</v>
      </c>
      <c r="Q2154" s="12" t="str">
        <f>HYPERLINK("https://ceds.ed.gov/elementComment.aspx?elementName=Price of Attendance &amp;elementID=9732", "Click here to submit comment")</f>
        <v>Click here to submit comment</v>
      </c>
    </row>
    <row r="2155" spans="1:17" ht="105" x14ac:dyDescent="0.25">
      <c r="A2155" s="12" t="s">
        <v>7295</v>
      </c>
      <c r="B2155" s="12" t="s">
        <v>7296</v>
      </c>
      <c r="C2155" s="12" t="s">
        <v>7297</v>
      </c>
      <c r="D2155" s="12" t="s">
        <v>7172</v>
      </c>
      <c r="E2155" s="12" t="s">
        <v>3535</v>
      </c>
      <c r="F2155" s="12" t="s">
        <v>3536</v>
      </c>
      <c r="G2155" s="12" t="s">
        <v>6364</v>
      </c>
      <c r="H2155" s="12" t="s">
        <v>1593</v>
      </c>
      <c r="I2155" s="12"/>
      <c r="J2155" s="12"/>
      <c r="K2155" s="12"/>
      <c r="L2155" s="12" t="s">
        <v>369</v>
      </c>
      <c r="M2155" s="12" t="s">
        <v>3537</v>
      </c>
      <c r="N2155" s="12"/>
      <c r="O2155" s="12" t="s">
        <v>3538</v>
      </c>
      <c r="P2155" s="12" t="str">
        <f>HYPERLINK("https://ceds.ed.gov/cedselementdetails.aspx?termid=9727")</f>
        <v>https://ceds.ed.gov/cedselementdetails.aspx?termid=9727</v>
      </c>
      <c r="Q2155" s="12" t="str">
        <f>HYPERLINK("https://ceds.ed.gov/elementComment.aspx?elementName=Institutionally Controlled Housing Status &amp;elementID=9727", "Click here to submit comment")</f>
        <v>Click here to submit comment</v>
      </c>
    </row>
    <row r="2156" spans="1:17" ht="90" x14ac:dyDescent="0.25">
      <c r="A2156" s="12" t="s">
        <v>7295</v>
      </c>
      <c r="B2156" s="12" t="s">
        <v>7296</v>
      </c>
      <c r="C2156" s="12" t="s">
        <v>7297</v>
      </c>
      <c r="D2156" s="12" t="s">
        <v>7172</v>
      </c>
      <c r="E2156" s="12" t="s">
        <v>234</v>
      </c>
      <c r="F2156" s="12" t="s">
        <v>235</v>
      </c>
      <c r="G2156" s="13" t="s">
        <v>6732</v>
      </c>
      <c r="H2156" s="12" t="s">
        <v>239</v>
      </c>
      <c r="I2156" s="12"/>
      <c r="J2156" s="12"/>
      <c r="K2156" s="12"/>
      <c r="L2156" s="12"/>
      <c r="M2156" s="12" t="s">
        <v>237</v>
      </c>
      <c r="N2156" s="12"/>
      <c r="O2156" s="12" t="s">
        <v>238</v>
      </c>
      <c r="P2156" s="12" t="str">
        <f>HYPERLINK("https://ceds.ed.gov/cedselementdetails.aspx?termid=10558")</f>
        <v>https://ceds.ed.gov/cedselementdetails.aspx?termid=10558</v>
      </c>
      <c r="Q2156" s="12" t="str">
        <f>HYPERLINK("https://ceds.ed.gov/elementComment.aspx?elementName=Admission Consideration Level &amp;elementID=10558", "Click here to submit comment")</f>
        <v>Click here to submit comment</v>
      </c>
    </row>
    <row r="2157" spans="1:17" ht="345" x14ac:dyDescent="0.25">
      <c r="A2157" s="12" t="s">
        <v>7295</v>
      </c>
      <c r="B2157" s="12" t="s">
        <v>7296</v>
      </c>
      <c r="C2157" s="12" t="s">
        <v>7297</v>
      </c>
      <c r="D2157" s="12" t="s">
        <v>7172</v>
      </c>
      <c r="E2157" s="12" t="s">
        <v>240</v>
      </c>
      <c r="F2157" s="12" t="s">
        <v>241</v>
      </c>
      <c r="G2157" s="13" t="s">
        <v>6733</v>
      </c>
      <c r="H2157" s="12" t="s">
        <v>239</v>
      </c>
      <c r="I2157" s="12"/>
      <c r="J2157" s="12"/>
      <c r="K2157" s="12"/>
      <c r="L2157" s="12"/>
      <c r="M2157" s="12" t="s">
        <v>242</v>
      </c>
      <c r="N2157" s="12"/>
      <c r="O2157" s="12" t="s">
        <v>243</v>
      </c>
      <c r="P2157" s="12" t="str">
        <f>HYPERLINK("https://ceds.ed.gov/cedselementdetails.aspx?termid=10559")</f>
        <v>https://ceds.ed.gov/cedselementdetails.aspx?termid=10559</v>
      </c>
      <c r="Q2157" s="12" t="str">
        <f>HYPERLINK("https://ceds.ed.gov/elementComment.aspx?elementName=Admission Consideration Type &amp;elementID=10559", "Click here to submit comment")</f>
        <v>Click here to submit comment</v>
      </c>
    </row>
    <row r="2158" spans="1:17" ht="150" x14ac:dyDescent="0.25">
      <c r="A2158" s="12" t="s">
        <v>7295</v>
      </c>
      <c r="B2158" s="12" t="s">
        <v>7296</v>
      </c>
      <c r="C2158" s="12" t="s">
        <v>7297</v>
      </c>
      <c r="D2158" s="12" t="s">
        <v>7172</v>
      </c>
      <c r="E2158" s="12" t="s">
        <v>3622</v>
      </c>
      <c r="F2158" s="12" t="s">
        <v>3623</v>
      </c>
      <c r="G2158" s="12" t="s">
        <v>12</v>
      </c>
      <c r="H2158" s="12" t="s">
        <v>239</v>
      </c>
      <c r="I2158" s="12"/>
      <c r="J2158" s="12" t="s">
        <v>45</v>
      </c>
      <c r="K2158" s="12"/>
      <c r="L2158" s="12"/>
      <c r="M2158" s="12" t="s">
        <v>3624</v>
      </c>
      <c r="N2158" s="12"/>
      <c r="O2158" s="12" t="s">
        <v>3625</v>
      </c>
      <c r="P2158" s="12" t="str">
        <f>HYPERLINK("https://ceds.ed.gov/cedselementdetails.aspx?termid=10592")</f>
        <v>https://ceds.ed.gov/cedselementdetails.aspx?termid=10592</v>
      </c>
      <c r="Q2158" s="12" t="str">
        <f>HYPERLINK("https://ceds.ed.gov/elementComment.aspx?elementName=IPEDS Collection Year Designator &amp;elementID=10592", "Click here to submit comment")</f>
        <v>Click here to submit comment</v>
      </c>
    </row>
    <row r="2159" spans="1:17" ht="75" x14ac:dyDescent="0.25">
      <c r="A2159" s="12" t="s">
        <v>7295</v>
      </c>
      <c r="B2159" s="12" t="s">
        <v>7296</v>
      </c>
      <c r="C2159" s="12" t="s">
        <v>7200</v>
      </c>
      <c r="D2159" s="12" t="s">
        <v>7172</v>
      </c>
      <c r="E2159" s="12" t="s">
        <v>5149</v>
      </c>
      <c r="F2159" s="12" t="s">
        <v>5150</v>
      </c>
      <c r="G2159" s="12" t="s">
        <v>12</v>
      </c>
      <c r="H2159" s="12" t="s">
        <v>239</v>
      </c>
      <c r="I2159" s="12"/>
      <c r="J2159" s="12" t="s">
        <v>1554</v>
      </c>
      <c r="K2159" s="12"/>
      <c r="L2159" s="12"/>
      <c r="M2159" s="12" t="s">
        <v>5151</v>
      </c>
      <c r="N2159" s="12"/>
      <c r="O2159" s="12" t="s">
        <v>5152</v>
      </c>
      <c r="P2159" s="12" t="str">
        <f>HYPERLINK("https://ceds.ed.gov/cedselementdetails.aspx?termid=9223")</f>
        <v>https://ceds.ed.gov/cedselementdetails.aspx?termid=9223</v>
      </c>
      <c r="Q2159" s="12" t="str">
        <f>HYPERLINK("https://ceds.ed.gov/elementComment.aspx?elementName=Program Length Hours &amp;elementID=9223", "Click here to submit comment")</f>
        <v>Click here to submit comment</v>
      </c>
    </row>
    <row r="2160" spans="1:17" ht="45" x14ac:dyDescent="0.25">
      <c r="A2160" s="12" t="s">
        <v>7295</v>
      </c>
      <c r="B2160" s="12" t="s">
        <v>7296</v>
      </c>
      <c r="C2160" s="12" t="s">
        <v>7200</v>
      </c>
      <c r="D2160" s="12" t="s">
        <v>7172</v>
      </c>
      <c r="E2160" s="12" t="s">
        <v>5153</v>
      </c>
      <c r="F2160" s="12" t="s">
        <v>5154</v>
      </c>
      <c r="G2160" s="13" t="s">
        <v>6977</v>
      </c>
      <c r="H2160" s="12" t="s">
        <v>239</v>
      </c>
      <c r="I2160" s="12"/>
      <c r="J2160" s="12"/>
      <c r="K2160" s="12"/>
      <c r="L2160" s="12"/>
      <c r="M2160" s="12" t="s">
        <v>5155</v>
      </c>
      <c r="N2160" s="12"/>
      <c r="O2160" s="12" t="s">
        <v>5156</v>
      </c>
      <c r="P2160" s="12" t="str">
        <f>HYPERLINK("https://ceds.ed.gov/cedselementdetails.aspx?termid=9224")</f>
        <v>https://ceds.ed.gov/cedselementdetails.aspx?termid=9224</v>
      </c>
      <c r="Q2160" s="12" t="str">
        <f>HYPERLINK("https://ceds.ed.gov/elementComment.aspx?elementName=Program Length Hours Type &amp;elementID=9224", "Click here to submit comment")</f>
        <v>Click here to submit comment</v>
      </c>
    </row>
    <row r="2161" spans="1:17" ht="75" x14ac:dyDescent="0.25">
      <c r="A2161" s="12" t="s">
        <v>7295</v>
      </c>
      <c r="B2161" s="12" t="s">
        <v>7296</v>
      </c>
      <c r="C2161" s="12" t="s">
        <v>7200</v>
      </c>
      <c r="D2161" s="12" t="s">
        <v>7172</v>
      </c>
      <c r="E2161" s="12" t="s">
        <v>1826</v>
      </c>
      <c r="F2161" s="12" t="s">
        <v>1827</v>
      </c>
      <c r="G2161" s="14" t="s">
        <v>1828</v>
      </c>
      <c r="H2161" s="12" t="s">
        <v>6368</v>
      </c>
      <c r="I2161" s="12"/>
      <c r="J2161" s="12"/>
      <c r="K2161" s="12"/>
      <c r="L2161" s="12"/>
      <c r="M2161" s="12" t="s">
        <v>1829</v>
      </c>
      <c r="N2161" s="12" t="s">
        <v>1830</v>
      </c>
      <c r="O2161" s="12" t="s">
        <v>1831</v>
      </c>
      <c r="P2161" s="12" t="str">
        <f>HYPERLINK("https://ceds.ed.gov/cedselementdetails.aspx?termid=9043")</f>
        <v>https://ceds.ed.gov/cedselementdetails.aspx?termid=9043</v>
      </c>
      <c r="Q2161" s="12" t="str">
        <f>HYPERLINK("https://ceds.ed.gov/elementComment.aspx?elementName=Classification of Instructional Program Code &amp;elementID=9043", "Click here to submit comment")</f>
        <v>Click here to submit comment</v>
      </c>
    </row>
    <row r="2162" spans="1:17" ht="135" x14ac:dyDescent="0.25">
      <c r="A2162" s="12" t="s">
        <v>7295</v>
      </c>
      <c r="B2162" s="12" t="s">
        <v>7296</v>
      </c>
      <c r="C2162" s="12" t="s">
        <v>7200</v>
      </c>
      <c r="D2162" s="12" t="s">
        <v>7172</v>
      </c>
      <c r="E2162" s="12" t="s">
        <v>1832</v>
      </c>
      <c r="F2162" s="12" t="s">
        <v>1833</v>
      </c>
      <c r="G2162" s="13" t="s">
        <v>6818</v>
      </c>
      <c r="H2162" s="12" t="s">
        <v>6380</v>
      </c>
      <c r="I2162" s="12"/>
      <c r="J2162" s="12"/>
      <c r="K2162" s="12"/>
      <c r="L2162" s="12"/>
      <c r="M2162" s="12" t="s">
        <v>1834</v>
      </c>
      <c r="N2162" s="12" t="s">
        <v>1835</v>
      </c>
      <c r="O2162" s="12" t="s">
        <v>1836</v>
      </c>
      <c r="P2162" s="12" t="str">
        <f>HYPERLINK("https://ceds.ed.gov/cedselementdetails.aspx?termid=9044")</f>
        <v>https://ceds.ed.gov/cedselementdetails.aspx?termid=9044</v>
      </c>
      <c r="Q2162" s="12" t="str">
        <f>HYPERLINK("https://ceds.ed.gov/elementComment.aspx?elementName=Classification of Instructional Program Use &amp;elementID=9044", "Click here to submit comment")</f>
        <v>Click here to submit comment</v>
      </c>
    </row>
    <row r="2163" spans="1:17" ht="90" x14ac:dyDescent="0.25">
      <c r="A2163" s="12" t="s">
        <v>7295</v>
      </c>
      <c r="B2163" s="12" t="s">
        <v>7296</v>
      </c>
      <c r="C2163" s="12" t="s">
        <v>7200</v>
      </c>
      <c r="D2163" s="12" t="s">
        <v>7172</v>
      </c>
      <c r="E2163" s="12" t="s">
        <v>1837</v>
      </c>
      <c r="F2163" s="12" t="s">
        <v>1838</v>
      </c>
      <c r="G2163" s="13" t="s">
        <v>6819</v>
      </c>
      <c r="H2163" s="12" t="s">
        <v>6380</v>
      </c>
      <c r="I2163" s="12"/>
      <c r="J2163" s="12"/>
      <c r="K2163" s="12"/>
      <c r="L2163" s="12"/>
      <c r="M2163" s="12" t="s">
        <v>1839</v>
      </c>
      <c r="N2163" s="12" t="s">
        <v>1840</v>
      </c>
      <c r="O2163" s="12" t="s">
        <v>1841</v>
      </c>
      <c r="P2163" s="12" t="str">
        <f>HYPERLINK("https://ceds.ed.gov/cedselementdetails.aspx?termid=9045")</f>
        <v>https://ceds.ed.gov/cedselementdetails.aspx?termid=9045</v>
      </c>
      <c r="Q2163" s="12" t="str">
        <f>HYPERLINK("https://ceds.ed.gov/elementComment.aspx?elementName=Classification of Instructional Program Version &amp;elementID=9045", "Click here to submit comment")</f>
        <v>Click here to submit comment</v>
      </c>
    </row>
    <row r="2164" spans="1:17" ht="180" x14ac:dyDescent="0.25">
      <c r="A2164" s="12" t="s">
        <v>7295</v>
      </c>
      <c r="B2164" s="12" t="s">
        <v>7296</v>
      </c>
      <c r="C2164" s="12" t="s">
        <v>7200</v>
      </c>
      <c r="D2164" s="12" t="s">
        <v>7172</v>
      </c>
      <c r="E2164" s="12" t="s">
        <v>2404</v>
      </c>
      <c r="F2164" s="12" t="s">
        <v>2405</v>
      </c>
      <c r="G2164" s="12" t="s">
        <v>6364</v>
      </c>
      <c r="H2164" s="12"/>
      <c r="I2164" s="12"/>
      <c r="J2164" s="12"/>
      <c r="K2164" s="12"/>
      <c r="L2164" s="12" t="s">
        <v>2400</v>
      </c>
      <c r="M2164" s="12" t="s">
        <v>2406</v>
      </c>
      <c r="N2164" s="12"/>
      <c r="O2164" s="12" t="s">
        <v>2407</v>
      </c>
      <c r="P2164" s="12" t="str">
        <f>HYPERLINK("https://ceds.ed.gov/cedselementdetails.aspx?termid=10289")</f>
        <v>https://ceds.ed.gov/cedselementdetails.aspx?termid=10289</v>
      </c>
      <c r="Q2164" s="12" t="str">
        <f>HYPERLINK("https://ceds.ed.gov/elementComment.aspx?elementName=Distance Education Program Enrollment Indicator &amp;elementID=10289", "Click here to submit comment")</f>
        <v>Click here to submit comment</v>
      </c>
    </row>
    <row r="2165" spans="1:17" ht="210" x14ac:dyDescent="0.25">
      <c r="A2165" s="12" t="s">
        <v>7295</v>
      </c>
      <c r="B2165" s="12" t="s">
        <v>7296</v>
      </c>
      <c r="C2165" s="12" t="s">
        <v>7200</v>
      </c>
      <c r="D2165" s="12" t="s">
        <v>7172</v>
      </c>
      <c r="E2165" s="12" t="s">
        <v>4572</v>
      </c>
      <c r="F2165" s="12" t="s">
        <v>4573</v>
      </c>
      <c r="G2165" s="12" t="s">
        <v>12</v>
      </c>
      <c r="H2165" s="12" t="s">
        <v>6380</v>
      </c>
      <c r="I2165" s="12"/>
      <c r="J2165" s="12" t="s">
        <v>99</v>
      </c>
      <c r="K2165" s="12"/>
      <c r="L2165" s="12"/>
      <c r="M2165" s="12" t="s">
        <v>4574</v>
      </c>
      <c r="N2165" s="12"/>
      <c r="O2165" s="12" t="s">
        <v>4575</v>
      </c>
      <c r="P2165" s="12" t="str">
        <f>HYPERLINK("https://ceds.ed.gov/cedselementdetails.aspx?termid=9197")</f>
        <v>https://ceds.ed.gov/cedselementdetails.aspx?termid=9197</v>
      </c>
      <c r="Q2165" s="12" t="str">
        <f>HYPERLINK("https://ceds.ed.gov/elementComment.aspx?elementName=Normal Length of Time for Completion &amp;elementID=9197", "Click here to submit comment")</f>
        <v>Click here to submit comment</v>
      </c>
    </row>
    <row r="2166" spans="1:17" ht="90" x14ac:dyDescent="0.25">
      <c r="A2166" s="12" t="s">
        <v>7295</v>
      </c>
      <c r="B2166" s="12" t="s">
        <v>7296</v>
      </c>
      <c r="C2166" s="12" t="s">
        <v>7200</v>
      </c>
      <c r="D2166" s="12" t="s">
        <v>7172</v>
      </c>
      <c r="E2166" s="12" t="s">
        <v>4576</v>
      </c>
      <c r="F2166" s="12" t="s">
        <v>4577</v>
      </c>
      <c r="G2166" s="13" t="s">
        <v>7042</v>
      </c>
      <c r="H2166" s="12" t="s">
        <v>6380</v>
      </c>
      <c r="I2166" s="12"/>
      <c r="J2166" s="12"/>
      <c r="K2166" s="12"/>
      <c r="L2166" s="12"/>
      <c r="M2166" s="12" t="s">
        <v>4578</v>
      </c>
      <c r="N2166" s="12"/>
      <c r="O2166" s="12" t="s">
        <v>4579</v>
      </c>
      <c r="P2166" s="12" t="str">
        <f>HYPERLINK("https://ceds.ed.gov/cedselementdetails.aspx?termid=9198")</f>
        <v>https://ceds.ed.gov/cedselementdetails.aspx?termid=9198</v>
      </c>
      <c r="Q2166" s="12" t="str">
        <f>HYPERLINK("https://ceds.ed.gov/elementComment.aspx?elementName=Normal Length of Time for Completion Units &amp;elementID=9198", "Click here to submit comment")</f>
        <v>Click here to submit comment</v>
      </c>
    </row>
    <row r="2167" spans="1:17" ht="75" x14ac:dyDescent="0.25">
      <c r="A2167" s="12" t="s">
        <v>7295</v>
      </c>
      <c r="B2167" s="12" t="s">
        <v>7296</v>
      </c>
      <c r="C2167" s="12" t="s">
        <v>7200</v>
      </c>
      <c r="D2167" s="12" t="s">
        <v>7172</v>
      </c>
      <c r="E2167" s="12" t="s">
        <v>4880</v>
      </c>
      <c r="F2167" s="12" t="s">
        <v>4881</v>
      </c>
      <c r="G2167" s="13" t="s">
        <v>7058</v>
      </c>
      <c r="H2167" s="12" t="s">
        <v>6630</v>
      </c>
      <c r="I2167" s="12"/>
      <c r="J2167" s="12"/>
      <c r="K2167" s="12"/>
      <c r="L2167" s="12"/>
      <c r="M2167" s="12" t="s">
        <v>4882</v>
      </c>
      <c r="N2167" s="12"/>
      <c r="O2167" s="12" t="s">
        <v>4883</v>
      </c>
      <c r="P2167" s="12" t="str">
        <f>HYPERLINK("https://ceds.ed.gov/cedselementdetails.aspx?termid=10595")</f>
        <v>https://ceds.ed.gov/cedselementdetails.aspx?termid=10595</v>
      </c>
      <c r="Q2167" s="12" t="str">
        <f>HYPERLINK("https://ceds.ed.gov/elementComment.aspx?elementName=Postsecondary Program Level &amp;elementID=10595", "Click here to submit comment")</f>
        <v>Click here to submit comment</v>
      </c>
    </row>
    <row r="2168" spans="1:17" ht="105" x14ac:dyDescent="0.25">
      <c r="A2168" s="18" t="s">
        <v>7295</v>
      </c>
      <c r="B2168" s="18" t="s">
        <v>7296</v>
      </c>
      <c r="C2168" s="18" t="s">
        <v>7200</v>
      </c>
      <c r="D2168" s="18" t="s">
        <v>7172</v>
      </c>
      <c r="E2168" s="18" t="s">
        <v>5141</v>
      </c>
      <c r="F2168" s="18" t="s">
        <v>5142</v>
      </c>
      <c r="G2168" s="18" t="s">
        <v>12</v>
      </c>
      <c r="H2168" s="18" t="s">
        <v>2017</v>
      </c>
      <c r="I2168" s="18"/>
      <c r="J2168" s="18" t="s">
        <v>142</v>
      </c>
      <c r="K2168" s="18"/>
      <c r="L2168" s="12" t="s">
        <v>143</v>
      </c>
      <c r="M2168" s="18" t="s">
        <v>5143</v>
      </c>
      <c r="N2168" s="18"/>
      <c r="O2168" s="18" t="s">
        <v>5144</v>
      </c>
      <c r="P2168" s="18" t="str">
        <f>HYPERLINK("https://ceds.ed.gov/cedselementdetails.aspx?termid=9618")</f>
        <v>https://ceds.ed.gov/cedselementdetails.aspx?termid=9618</v>
      </c>
      <c r="Q2168" s="18" t="str">
        <f>HYPERLINK("https://ceds.ed.gov/elementComment.aspx?elementName=Program Identifier &amp;elementID=9618", "Click here to submit comment")</f>
        <v>Click here to submit comment</v>
      </c>
    </row>
    <row r="2169" spans="1:17" x14ac:dyDescent="0.25">
      <c r="A2169" s="18"/>
      <c r="B2169" s="18"/>
      <c r="C2169" s="18"/>
      <c r="D2169" s="18"/>
      <c r="E2169" s="18"/>
      <c r="F2169" s="18"/>
      <c r="G2169" s="18"/>
      <c r="H2169" s="18"/>
      <c r="I2169" s="18"/>
      <c r="J2169" s="18"/>
      <c r="K2169" s="18"/>
      <c r="L2169" s="12"/>
      <c r="M2169" s="18"/>
      <c r="N2169" s="18"/>
      <c r="O2169" s="18"/>
      <c r="P2169" s="18"/>
      <c r="Q2169" s="18"/>
    </row>
    <row r="2170" spans="1:17" ht="90" x14ac:dyDescent="0.25">
      <c r="A2170" s="18"/>
      <c r="B2170" s="18"/>
      <c r="C2170" s="18"/>
      <c r="D2170" s="18"/>
      <c r="E2170" s="18"/>
      <c r="F2170" s="18"/>
      <c r="G2170" s="18"/>
      <c r="H2170" s="18"/>
      <c r="I2170" s="18"/>
      <c r="J2170" s="18"/>
      <c r="K2170" s="18"/>
      <c r="L2170" s="12" t="s">
        <v>144</v>
      </c>
      <c r="M2170" s="18"/>
      <c r="N2170" s="18"/>
      <c r="O2170" s="18"/>
      <c r="P2170" s="18"/>
      <c r="Q2170" s="18"/>
    </row>
    <row r="2171" spans="1:17" ht="60" x14ac:dyDescent="0.25">
      <c r="A2171" s="12" t="s">
        <v>7295</v>
      </c>
      <c r="B2171" s="12" t="s">
        <v>7296</v>
      </c>
      <c r="C2171" s="12" t="s">
        <v>7200</v>
      </c>
      <c r="D2171" s="12" t="s">
        <v>7172</v>
      </c>
      <c r="E2171" s="12" t="s">
        <v>5157</v>
      </c>
      <c r="F2171" s="12" t="s">
        <v>5158</v>
      </c>
      <c r="G2171" s="12" t="s">
        <v>12</v>
      </c>
      <c r="H2171" s="12" t="s">
        <v>2017</v>
      </c>
      <c r="I2171" s="12"/>
      <c r="J2171" s="12" t="s">
        <v>99</v>
      </c>
      <c r="K2171" s="12"/>
      <c r="L2171" s="12"/>
      <c r="M2171" s="12" t="s">
        <v>5159</v>
      </c>
      <c r="N2171" s="12"/>
      <c r="O2171" s="12" t="s">
        <v>5160</v>
      </c>
      <c r="P2171" s="12" t="str">
        <f>HYPERLINK("https://ceds.ed.gov/cedselementdetails.aspx?termid=9619")</f>
        <v>https://ceds.ed.gov/cedselementdetails.aspx?termid=9619</v>
      </c>
      <c r="Q2171" s="12" t="str">
        <f>HYPERLINK("https://ceds.ed.gov/elementComment.aspx?elementName=Program Name &amp;elementID=9619", "Click here to submit comment")</f>
        <v>Click here to submit comment</v>
      </c>
    </row>
    <row r="2172" spans="1:17" ht="105" x14ac:dyDescent="0.25">
      <c r="A2172" s="12" t="s">
        <v>7295</v>
      </c>
      <c r="B2172" s="12" t="s">
        <v>7298</v>
      </c>
      <c r="C2172" s="12"/>
      <c r="D2172" s="12" t="s">
        <v>7172</v>
      </c>
      <c r="E2172" s="12" t="s">
        <v>4870</v>
      </c>
      <c r="F2172" s="12" t="s">
        <v>4871</v>
      </c>
      <c r="G2172" s="12" t="s">
        <v>6364</v>
      </c>
      <c r="H2172" s="12"/>
      <c r="I2172" s="12"/>
      <c r="J2172" s="12"/>
      <c r="K2172" s="12"/>
      <c r="L2172" s="12" t="s">
        <v>4873</v>
      </c>
      <c r="M2172" s="12" t="s">
        <v>4874</v>
      </c>
      <c r="N2172" s="12"/>
      <c r="O2172" s="12" t="s">
        <v>4875</v>
      </c>
      <c r="P2172" s="12" t="str">
        <f>HYPERLINK("https://ceds.ed.gov/cedselementdetails.aspx?termid=10395")</f>
        <v>https://ceds.ed.gov/cedselementdetails.aspx?termid=10395</v>
      </c>
      <c r="Q2172" s="12" t="str">
        <f>HYPERLINK("https://ceds.ed.gov/elementComment.aspx?elementName=Postsecondary Entering Student Indicator &amp;elementID=10395", "Click here to submit comment")</f>
        <v>Click here to submit comment</v>
      </c>
    </row>
    <row r="2173" spans="1:17" ht="120" x14ac:dyDescent="0.25">
      <c r="A2173" s="12" t="s">
        <v>7295</v>
      </c>
      <c r="B2173" s="12" t="s">
        <v>7298</v>
      </c>
      <c r="C2173" s="12"/>
      <c r="D2173" s="12" t="s">
        <v>7172</v>
      </c>
      <c r="E2173" s="12" t="s">
        <v>4884</v>
      </c>
      <c r="F2173" s="12" t="s">
        <v>4885</v>
      </c>
      <c r="G2173" s="12" t="s">
        <v>12</v>
      </c>
      <c r="H2173" s="12"/>
      <c r="I2173" s="12"/>
      <c r="J2173" s="12" t="s">
        <v>92</v>
      </c>
      <c r="K2173" s="12"/>
      <c r="L2173" s="12" t="s">
        <v>4873</v>
      </c>
      <c r="M2173" s="12" t="s">
        <v>4886</v>
      </c>
      <c r="N2173" s="12"/>
      <c r="O2173" s="12" t="s">
        <v>4887</v>
      </c>
      <c r="P2173" s="12" t="str">
        <f>HYPERLINK("https://ceds.ed.gov/cedselementdetails.aspx?termid=10396")</f>
        <v>https://ceds.ed.gov/cedselementdetails.aspx?termid=10396</v>
      </c>
      <c r="Q2173" s="12" t="str">
        <f>HYPERLINK("https://ceds.ed.gov/elementComment.aspx?elementName=Postsecondary Student Entering Term &amp;elementID=10396", "Click here to submit comment")</f>
        <v>Click here to submit comment</v>
      </c>
    </row>
    <row r="2174" spans="1:17" ht="195" x14ac:dyDescent="0.25">
      <c r="A2174" s="12" t="s">
        <v>7295</v>
      </c>
      <c r="B2174" s="12" t="s">
        <v>7298</v>
      </c>
      <c r="C2174" s="12" t="s">
        <v>7171</v>
      </c>
      <c r="D2174" s="12" t="s">
        <v>7172</v>
      </c>
      <c r="E2174" s="12" t="s">
        <v>3017</v>
      </c>
      <c r="F2174" s="12" t="s">
        <v>3018</v>
      </c>
      <c r="G2174" s="12" t="s">
        <v>12</v>
      </c>
      <c r="H2174" s="12" t="s">
        <v>6540</v>
      </c>
      <c r="I2174" s="12"/>
      <c r="J2174" s="12" t="s">
        <v>1349</v>
      </c>
      <c r="K2174" s="12"/>
      <c r="L2174" s="12" t="s">
        <v>3019</v>
      </c>
      <c r="M2174" s="12" t="s">
        <v>3020</v>
      </c>
      <c r="N2174" s="12"/>
      <c r="O2174" s="12" t="s">
        <v>3021</v>
      </c>
      <c r="P2174" s="12" t="str">
        <f>HYPERLINK("https://ceds.ed.gov/cedselementdetails.aspx?termid=9115")</f>
        <v>https://ceds.ed.gov/cedselementdetails.aspx?termid=9115</v>
      </c>
      <c r="Q2174" s="12" t="str">
        <f>HYPERLINK("https://ceds.ed.gov/elementComment.aspx?elementName=First Name &amp;elementID=9115", "Click here to submit comment")</f>
        <v>Click here to submit comment</v>
      </c>
    </row>
    <row r="2175" spans="1:17" x14ac:dyDescent="0.25">
      <c r="A2175" s="18" t="s">
        <v>7295</v>
      </c>
      <c r="B2175" s="18" t="s">
        <v>7298</v>
      </c>
      <c r="C2175" s="18" t="s">
        <v>7171</v>
      </c>
      <c r="D2175" s="18" t="s">
        <v>7172</v>
      </c>
      <c r="E2175" s="18" t="s">
        <v>4405</v>
      </c>
      <c r="F2175" s="18" t="s">
        <v>4406</v>
      </c>
      <c r="G2175" s="18" t="s">
        <v>12</v>
      </c>
      <c r="H2175" s="18" t="s">
        <v>6540</v>
      </c>
      <c r="I2175" s="18"/>
      <c r="J2175" s="18" t="s">
        <v>1349</v>
      </c>
      <c r="K2175" s="18"/>
      <c r="L2175" s="12" t="s">
        <v>3078</v>
      </c>
      <c r="M2175" s="18" t="s">
        <v>4407</v>
      </c>
      <c r="N2175" s="18"/>
      <c r="O2175" s="18" t="s">
        <v>4408</v>
      </c>
      <c r="P2175" s="18" t="str">
        <f>HYPERLINK("https://ceds.ed.gov/cedselementdetails.aspx?termid=9184")</f>
        <v>https://ceds.ed.gov/cedselementdetails.aspx?termid=9184</v>
      </c>
      <c r="Q2175" s="18" t="str">
        <f>HYPERLINK("https://ceds.ed.gov/elementComment.aspx?elementName=Middle Name &amp;elementID=9184", "Click here to submit comment")</f>
        <v>Click here to submit comment</v>
      </c>
    </row>
    <row r="2176" spans="1:17" ht="90" x14ac:dyDescent="0.25">
      <c r="A2176" s="18"/>
      <c r="B2176" s="18"/>
      <c r="C2176" s="18"/>
      <c r="D2176" s="18"/>
      <c r="E2176" s="18"/>
      <c r="F2176" s="18"/>
      <c r="G2176" s="18"/>
      <c r="H2176" s="18"/>
      <c r="I2176" s="18"/>
      <c r="J2176" s="18"/>
      <c r="K2176" s="18"/>
      <c r="L2176" s="12" t="s">
        <v>3079</v>
      </c>
      <c r="M2176" s="18"/>
      <c r="N2176" s="18"/>
      <c r="O2176" s="18"/>
      <c r="P2176" s="18"/>
      <c r="Q2176" s="18"/>
    </row>
    <row r="2177" spans="1:17" x14ac:dyDescent="0.25">
      <c r="A2177" s="18" t="s">
        <v>7295</v>
      </c>
      <c r="B2177" s="18" t="s">
        <v>7298</v>
      </c>
      <c r="C2177" s="18" t="s">
        <v>7171</v>
      </c>
      <c r="D2177" s="18" t="s">
        <v>7172</v>
      </c>
      <c r="E2177" s="18" t="s">
        <v>3684</v>
      </c>
      <c r="F2177" s="18" t="s">
        <v>3685</v>
      </c>
      <c r="G2177" s="18" t="s">
        <v>12</v>
      </c>
      <c r="H2177" s="18" t="s">
        <v>6540</v>
      </c>
      <c r="I2177" s="18"/>
      <c r="J2177" s="18" t="s">
        <v>1349</v>
      </c>
      <c r="K2177" s="18"/>
      <c r="L2177" s="12" t="s">
        <v>3078</v>
      </c>
      <c r="M2177" s="18" t="s">
        <v>3686</v>
      </c>
      <c r="N2177" s="18" t="s">
        <v>3687</v>
      </c>
      <c r="O2177" s="18" t="s">
        <v>3688</v>
      </c>
      <c r="P2177" s="18" t="str">
        <f>HYPERLINK("https://ceds.ed.gov/cedselementdetails.aspx?termid=9172")</f>
        <v>https://ceds.ed.gov/cedselementdetails.aspx?termid=9172</v>
      </c>
      <c r="Q2177" s="18" t="str">
        <f>HYPERLINK("https://ceds.ed.gov/elementComment.aspx?elementName=Last or Surname &amp;elementID=9172", "Click here to submit comment")</f>
        <v>Click here to submit comment</v>
      </c>
    </row>
    <row r="2178" spans="1:17" ht="90" x14ac:dyDescent="0.25">
      <c r="A2178" s="18"/>
      <c r="B2178" s="18"/>
      <c r="C2178" s="18"/>
      <c r="D2178" s="18"/>
      <c r="E2178" s="18"/>
      <c r="F2178" s="18"/>
      <c r="G2178" s="18"/>
      <c r="H2178" s="18"/>
      <c r="I2178" s="18"/>
      <c r="J2178" s="18"/>
      <c r="K2178" s="18"/>
      <c r="L2178" s="12" t="s">
        <v>3079</v>
      </c>
      <c r="M2178" s="18"/>
      <c r="N2178" s="18"/>
      <c r="O2178" s="18"/>
      <c r="P2178" s="18"/>
      <c r="Q2178" s="18"/>
    </row>
    <row r="2179" spans="1:17" x14ac:dyDescent="0.25">
      <c r="A2179" s="18" t="s">
        <v>7295</v>
      </c>
      <c r="B2179" s="18" t="s">
        <v>7298</v>
      </c>
      <c r="C2179" s="18" t="s">
        <v>7171</v>
      </c>
      <c r="D2179" s="18" t="s">
        <v>7172</v>
      </c>
      <c r="E2179" s="18" t="s">
        <v>3076</v>
      </c>
      <c r="F2179" s="18" t="s">
        <v>3077</v>
      </c>
      <c r="G2179" s="18" t="s">
        <v>12</v>
      </c>
      <c r="H2179" s="18" t="s">
        <v>6543</v>
      </c>
      <c r="I2179" s="18"/>
      <c r="J2179" s="18" t="s">
        <v>2143</v>
      </c>
      <c r="K2179" s="18"/>
      <c r="L2179" s="12" t="s">
        <v>3078</v>
      </c>
      <c r="M2179" s="18" t="s">
        <v>3080</v>
      </c>
      <c r="N2179" s="18"/>
      <c r="O2179" s="18" t="s">
        <v>3081</v>
      </c>
      <c r="P2179" s="18" t="str">
        <f>HYPERLINK("https://ceds.ed.gov/cedselementdetails.aspx?termid=9121")</f>
        <v>https://ceds.ed.gov/cedselementdetails.aspx?termid=9121</v>
      </c>
      <c r="Q2179" s="18" t="str">
        <f>HYPERLINK("https://ceds.ed.gov/elementComment.aspx?elementName=Generation Code or Suffix &amp;elementID=9121", "Click here to submit comment")</f>
        <v>Click here to submit comment</v>
      </c>
    </row>
    <row r="2180" spans="1:17" ht="90" x14ac:dyDescent="0.25">
      <c r="A2180" s="18"/>
      <c r="B2180" s="18"/>
      <c r="C2180" s="18"/>
      <c r="D2180" s="18"/>
      <c r="E2180" s="18"/>
      <c r="F2180" s="18"/>
      <c r="G2180" s="18"/>
      <c r="H2180" s="18"/>
      <c r="I2180" s="18"/>
      <c r="J2180" s="18"/>
      <c r="K2180" s="18"/>
      <c r="L2180" s="12" t="s">
        <v>3079</v>
      </c>
      <c r="M2180" s="18"/>
      <c r="N2180" s="18"/>
      <c r="O2180" s="18"/>
      <c r="P2180" s="18"/>
      <c r="Q2180" s="18"/>
    </row>
    <row r="2181" spans="1:17" ht="105" x14ac:dyDescent="0.25">
      <c r="A2181" s="12" t="s">
        <v>7295</v>
      </c>
      <c r="B2181" s="12" t="s">
        <v>7298</v>
      </c>
      <c r="C2181" s="12" t="s">
        <v>7171</v>
      </c>
      <c r="D2181" s="12" t="s">
        <v>7172</v>
      </c>
      <c r="E2181" s="12" t="s">
        <v>4835</v>
      </c>
      <c r="F2181" s="12" t="s">
        <v>4836</v>
      </c>
      <c r="G2181" s="12" t="s">
        <v>12</v>
      </c>
      <c r="H2181" s="12" t="s">
        <v>6627</v>
      </c>
      <c r="I2181" s="12"/>
      <c r="J2181" s="12" t="s">
        <v>92</v>
      </c>
      <c r="K2181" s="12"/>
      <c r="L2181" s="12"/>
      <c r="M2181" s="12" t="s">
        <v>4837</v>
      </c>
      <c r="N2181" s="12" t="s">
        <v>4838</v>
      </c>
      <c r="O2181" s="12" t="s">
        <v>4839</v>
      </c>
      <c r="P2181" s="12" t="str">
        <f>HYPERLINK("https://ceds.ed.gov/cedselementdetails.aspx?termid=9212")</f>
        <v>https://ceds.ed.gov/cedselementdetails.aspx?termid=9212</v>
      </c>
      <c r="Q2181" s="12" t="str">
        <f>HYPERLINK("https://ceds.ed.gov/elementComment.aspx?elementName=Personal Title or Prefix &amp;elementID=9212", "Click here to submit comment")</f>
        <v>Click here to submit comment</v>
      </c>
    </row>
    <row r="2182" spans="1:17" ht="30" x14ac:dyDescent="0.25">
      <c r="A2182" s="12" t="s">
        <v>7295</v>
      </c>
      <c r="B2182" s="12" t="s">
        <v>7298</v>
      </c>
      <c r="C2182" s="12" t="s">
        <v>7173</v>
      </c>
      <c r="D2182" s="12" t="s">
        <v>7172</v>
      </c>
      <c r="E2182" s="12" t="s">
        <v>4705</v>
      </c>
      <c r="F2182" s="12" t="s">
        <v>4706</v>
      </c>
      <c r="G2182" s="12" t="s">
        <v>12</v>
      </c>
      <c r="H2182" s="12"/>
      <c r="I2182" s="12"/>
      <c r="J2182" s="12" t="s">
        <v>1349</v>
      </c>
      <c r="K2182" s="12"/>
      <c r="L2182" s="12" t="s">
        <v>4707</v>
      </c>
      <c r="M2182" s="12" t="s">
        <v>4708</v>
      </c>
      <c r="N2182" s="12"/>
      <c r="O2182" s="12" t="s">
        <v>4709</v>
      </c>
      <c r="P2182" s="12" t="str">
        <f>HYPERLINK("https://ceds.ed.gov/cedselementdetails.aspx?termid=10486")</f>
        <v>https://ceds.ed.gov/cedselementdetails.aspx?termid=10486</v>
      </c>
      <c r="Q2182" s="12" t="str">
        <f>HYPERLINK("https://ceds.ed.gov/elementComment.aspx?elementName=Other First Name &amp;elementID=10486", "Click here to submit comment")</f>
        <v>Click here to submit comment</v>
      </c>
    </row>
    <row r="2183" spans="1:17" ht="30" x14ac:dyDescent="0.25">
      <c r="A2183" s="12" t="s">
        <v>7295</v>
      </c>
      <c r="B2183" s="12" t="s">
        <v>7298</v>
      </c>
      <c r="C2183" s="12" t="s">
        <v>7173</v>
      </c>
      <c r="D2183" s="12" t="s">
        <v>7172</v>
      </c>
      <c r="E2183" s="12" t="s">
        <v>4710</v>
      </c>
      <c r="F2183" s="12" t="s">
        <v>4711</v>
      </c>
      <c r="G2183" s="12" t="s">
        <v>12</v>
      </c>
      <c r="H2183" s="12"/>
      <c r="I2183" s="12"/>
      <c r="J2183" s="12" t="s">
        <v>1349</v>
      </c>
      <c r="K2183" s="12"/>
      <c r="L2183" s="12" t="s">
        <v>4712</v>
      </c>
      <c r="M2183" s="12" t="s">
        <v>4713</v>
      </c>
      <c r="N2183" s="12"/>
      <c r="O2183" s="12" t="s">
        <v>4714</v>
      </c>
      <c r="P2183" s="12" t="str">
        <f>HYPERLINK("https://ceds.ed.gov/cedselementdetails.aspx?termid=10485")</f>
        <v>https://ceds.ed.gov/cedselementdetails.aspx?termid=10485</v>
      </c>
      <c r="Q2183" s="12" t="str">
        <f>HYPERLINK("https://ceds.ed.gov/elementComment.aspx?elementName=Other Last Name &amp;elementID=10485", "Click here to submit comment")</f>
        <v>Click here to submit comment</v>
      </c>
    </row>
    <row r="2184" spans="1:17" ht="30" x14ac:dyDescent="0.25">
      <c r="A2184" s="12" t="s">
        <v>7295</v>
      </c>
      <c r="B2184" s="12" t="s">
        <v>7298</v>
      </c>
      <c r="C2184" s="12" t="s">
        <v>7173</v>
      </c>
      <c r="D2184" s="12" t="s">
        <v>7172</v>
      </c>
      <c r="E2184" s="12" t="s">
        <v>4715</v>
      </c>
      <c r="F2184" s="12" t="s">
        <v>4716</v>
      </c>
      <c r="G2184" s="12" t="s">
        <v>12</v>
      </c>
      <c r="H2184" s="12"/>
      <c r="I2184" s="12"/>
      <c r="J2184" s="12" t="s">
        <v>1349</v>
      </c>
      <c r="K2184" s="12"/>
      <c r="L2184" s="12" t="s">
        <v>4717</v>
      </c>
      <c r="M2184" s="12" t="s">
        <v>4718</v>
      </c>
      <c r="N2184" s="12"/>
      <c r="O2184" s="12" t="s">
        <v>4719</v>
      </c>
      <c r="P2184" s="12" t="str">
        <f>HYPERLINK("https://ceds.ed.gov/cedselementdetails.aspx?termid=10487")</f>
        <v>https://ceds.ed.gov/cedselementdetails.aspx?termid=10487</v>
      </c>
      <c r="Q2184" s="12" t="str">
        <f>HYPERLINK("https://ceds.ed.gov/elementComment.aspx?elementName=Other Middle Name &amp;elementID=10487", "Click here to submit comment")</f>
        <v>Click here to submit comment</v>
      </c>
    </row>
    <row r="2185" spans="1:17" ht="150" x14ac:dyDescent="0.25">
      <c r="A2185" s="12" t="s">
        <v>7295</v>
      </c>
      <c r="B2185" s="12" t="s">
        <v>7298</v>
      </c>
      <c r="C2185" s="12" t="s">
        <v>7173</v>
      </c>
      <c r="D2185" s="12" t="s">
        <v>7172</v>
      </c>
      <c r="E2185" s="12" t="s">
        <v>4720</v>
      </c>
      <c r="F2185" s="12" t="s">
        <v>4721</v>
      </c>
      <c r="G2185" s="12" t="s">
        <v>12</v>
      </c>
      <c r="H2185" s="12" t="s">
        <v>6543</v>
      </c>
      <c r="I2185" s="12"/>
      <c r="J2185" s="12" t="s">
        <v>142</v>
      </c>
      <c r="K2185" s="12"/>
      <c r="L2185" s="12"/>
      <c r="M2185" s="12" t="s">
        <v>4722</v>
      </c>
      <c r="N2185" s="12"/>
      <c r="O2185" s="12" t="s">
        <v>4723</v>
      </c>
      <c r="P2185" s="12" t="str">
        <f>HYPERLINK("https://ceds.ed.gov/cedselementdetails.aspx?termid=9206")</f>
        <v>https://ceds.ed.gov/cedselementdetails.aspx?termid=9206</v>
      </c>
      <c r="Q2185" s="12" t="str">
        <f>HYPERLINK("https://ceds.ed.gov/elementComment.aspx?elementName=Other Name &amp;elementID=9206", "Click here to submit comment")</f>
        <v>Click here to submit comment</v>
      </c>
    </row>
    <row r="2186" spans="1:17" ht="165" x14ac:dyDescent="0.25">
      <c r="A2186" s="12" t="s">
        <v>7295</v>
      </c>
      <c r="B2186" s="12" t="s">
        <v>7298</v>
      </c>
      <c r="C2186" s="12" t="s">
        <v>7173</v>
      </c>
      <c r="D2186" s="12" t="s">
        <v>7172</v>
      </c>
      <c r="E2186" s="12" t="s">
        <v>4724</v>
      </c>
      <c r="F2186" s="12" t="s">
        <v>4725</v>
      </c>
      <c r="G2186" s="13" t="s">
        <v>7046</v>
      </c>
      <c r="H2186" s="12" t="s">
        <v>6619</v>
      </c>
      <c r="I2186" s="12"/>
      <c r="J2186" s="12" t="s">
        <v>92</v>
      </c>
      <c r="K2186" s="12"/>
      <c r="L2186" s="12"/>
      <c r="M2186" s="12" t="s">
        <v>4726</v>
      </c>
      <c r="N2186" s="12"/>
      <c r="O2186" s="12" t="s">
        <v>4727</v>
      </c>
      <c r="P2186" s="12" t="str">
        <f>HYPERLINK("https://ceds.ed.gov/cedselementdetails.aspx?termid=9627")</f>
        <v>https://ceds.ed.gov/cedselementdetails.aspx?termid=9627</v>
      </c>
      <c r="Q2186" s="12" t="str">
        <f>HYPERLINK("https://ceds.ed.gov/elementComment.aspx?elementName=Other Name Type &amp;elementID=9627", "Click here to submit comment")</f>
        <v>Click here to submit comment</v>
      </c>
    </row>
    <row r="2187" spans="1:17" ht="105" x14ac:dyDescent="0.25">
      <c r="A2187" s="18" t="s">
        <v>7295</v>
      </c>
      <c r="B2187" s="18" t="s">
        <v>7298</v>
      </c>
      <c r="C2187" s="18" t="s">
        <v>7174</v>
      </c>
      <c r="D2187" s="18" t="s">
        <v>7172</v>
      </c>
      <c r="E2187" s="18" t="s">
        <v>5984</v>
      </c>
      <c r="F2187" s="18" t="s">
        <v>5985</v>
      </c>
      <c r="G2187" s="18" t="s">
        <v>12</v>
      </c>
      <c r="H2187" s="18" t="s">
        <v>6687</v>
      </c>
      <c r="I2187" s="18"/>
      <c r="J2187" s="18" t="s">
        <v>142</v>
      </c>
      <c r="K2187" s="18"/>
      <c r="L2187" s="12" t="s">
        <v>143</v>
      </c>
      <c r="M2187" s="18" t="s">
        <v>5986</v>
      </c>
      <c r="N2187" s="18"/>
      <c r="O2187" s="18" t="s">
        <v>5987</v>
      </c>
      <c r="P2187" s="18" t="str">
        <f>HYPERLINK("https://ceds.ed.gov/cedselementdetails.aspx?termid=9157")</f>
        <v>https://ceds.ed.gov/cedselementdetails.aspx?termid=9157</v>
      </c>
      <c r="Q2187" s="18" t="str">
        <f>HYPERLINK("https://ceds.ed.gov/elementComment.aspx?elementName=Student Identifier &amp;elementID=9157", "Click here to submit comment")</f>
        <v>Click here to submit comment</v>
      </c>
    </row>
    <row r="2188" spans="1:17" x14ac:dyDescent="0.25">
      <c r="A2188" s="18"/>
      <c r="B2188" s="18"/>
      <c r="C2188" s="18"/>
      <c r="D2188" s="18"/>
      <c r="E2188" s="18"/>
      <c r="F2188" s="18"/>
      <c r="G2188" s="18"/>
      <c r="H2188" s="18"/>
      <c r="I2188" s="18"/>
      <c r="J2188" s="18"/>
      <c r="K2188" s="18"/>
      <c r="L2188" s="12"/>
      <c r="M2188" s="18"/>
      <c r="N2188" s="18"/>
      <c r="O2188" s="18"/>
      <c r="P2188" s="18"/>
      <c r="Q2188" s="18"/>
    </row>
    <row r="2189" spans="1:17" ht="90" x14ac:dyDescent="0.25">
      <c r="A2189" s="18"/>
      <c r="B2189" s="18"/>
      <c r="C2189" s="18"/>
      <c r="D2189" s="18"/>
      <c r="E2189" s="18"/>
      <c r="F2189" s="18"/>
      <c r="G2189" s="18"/>
      <c r="H2189" s="18"/>
      <c r="I2189" s="18"/>
      <c r="J2189" s="18"/>
      <c r="K2189" s="18"/>
      <c r="L2189" s="12" t="s">
        <v>144</v>
      </c>
      <c r="M2189" s="18"/>
      <c r="N2189" s="18"/>
      <c r="O2189" s="18"/>
      <c r="P2189" s="18"/>
      <c r="Q2189" s="18"/>
    </row>
    <row r="2190" spans="1:17" ht="210" x14ac:dyDescent="0.25">
      <c r="A2190" s="12" t="s">
        <v>7295</v>
      </c>
      <c r="B2190" s="12" t="s">
        <v>7298</v>
      </c>
      <c r="C2190" s="12" t="s">
        <v>7174</v>
      </c>
      <c r="D2190" s="12" t="s">
        <v>7172</v>
      </c>
      <c r="E2190" s="12" t="s">
        <v>5980</v>
      </c>
      <c r="F2190" s="12" t="s">
        <v>5981</v>
      </c>
      <c r="G2190" s="13" t="s">
        <v>7124</v>
      </c>
      <c r="H2190" s="12" t="s">
        <v>6687</v>
      </c>
      <c r="I2190" s="12"/>
      <c r="J2190" s="12"/>
      <c r="K2190" s="12"/>
      <c r="L2190" s="12"/>
      <c r="M2190" s="12" t="s">
        <v>5982</v>
      </c>
      <c r="N2190" s="12"/>
      <c r="O2190" s="12" t="s">
        <v>5983</v>
      </c>
      <c r="P2190" s="12" t="str">
        <f>HYPERLINK("https://ceds.ed.gov/cedselementdetails.aspx?termid=9163")</f>
        <v>https://ceds.ed.gov/cedselementdetails.aspx?termid=9163</v>
      </c>
      <c r="Q2190" s="12" t="str">
        <f>HYPERLINK("https://ceds.ed.gov/elementComment.aspx?elementName=Student Identification System &amp;elementID=9163", "Click here to submit comment")</f>
        <v>Click here to submit comment</v>
      </c>
    </row>
    <row r="2191" spans="1:17" ht="225" x14ac:dyDescent="0.25">
      <c r="A2191" s="18" t="s">
        <v>7295</v>
      </c>
      <c r="B2191" s="18" t="s">
        <v>7298</v>
      </c>
      <c r="C2191" s="18" t="s">
        <v>7174</v>
      </c>
      <c r="D2191" s="18" t="s">
        <v>7172</v>
      </c>
      <c r="E2191" s="18" t="s">
        <v>5745</v>
      </c>
      <c r="F2191" s="18" t="s">
        <v>5746</v>
      </c>
      <c r="G2191" s="18" t="s">
        <v>12</v>
      </c>
      <c r="H2191" s="18" t="s">
        <v>6670</v>
      </c>
      <c r="I2191" s="18"/>
      <c r="J2191" s="18" t="s">
        <v>5747</v>
      </c>
      <c r="K2191" s="18"/>
      <c r="L2191" s="12" t="s">
        <v>5748</v>
      </c>
      <c r="M2191" s="18" t="s">
        <v>5750</v>
      </c>
      <c r="N2191" s="18" t="s">
        <v>5751</v>
      </c>
      <c r="O2191" s="18" t="s">
        <v>5752</v>
      </c>
      <c r="P2191" s="18" t="str">
        <f>HYPERLINK("https://ceds.ed.gov/cedselementdetails.aspx?termid=9259")</f>
        <v>https://ceds.ed.gov/cedselementdetails.aspx?termid=9259</v>
      </c>
      <c r="Q2191" s="18" t="str">
        <f>HYPERLINK("https://ceds.ed.gov/elementComment.aspx?elementName=Social Security Number &amp;elementID=9259", "Click here to submit comment")</f>
        <v>Click here to submit comment</v>
      </c>
    </row>
    <row r="2192" spans="1:17" x14ac:dyDescent="0.25">
      <c r="A2192" s="18"/>
      <c r="B2192" s="18"/>
      <c r="C2192" s="18"/>
      <c r="D2192" s="18"/>
      <c r="E2192" s="18"/>
      <c r="F2192" s="18"/>
      <c r="G2192" s="18"/>
      <c r="H2192" s="18"/>
      <c r="I2192" s="18"/>
      <c r="J2192" s="18"/>
      <c r="K2192" s="18"/>
      <c r="L2192" s="12"/>
      <c r="M2192" s="18"/>
      <c r="N2192" s="18"/>
      <c r="O2192" s="18"/>
      <c r="P2192" s="18"/>
      <c r="Q2192" s="18"/>
    </row>
    <row r="2193" spans="1:17" ht="180" x14ac:dyDescent="0.25">
      <c r="A2193" s="18"/>
      <c r="B2193" s="18"/>
      <c r="C2193" s="18"/>
      <c r="D2193" s="18"/>
      <c r="E2193" s="18"/>
      <c r="F2193" s="18"/>
      <c r="G2193" s="18"/>
      <c r="H2193" s="18"/>
      <c r="I2193" s="18"/>
      <c r="J2193" s="18"/>
      <c r="K2193" s="18"/>
      <c r="L2193" s="12" t="s">
        <v>5749</v>
      </c>
      <c r="M2193" s="18"/>
      <c r="N2193" s="18"/>
      <c r="O2193" s="18"/>
      <c r="P2193" s="18"/>
      <c r="Q2193" s="18"/>
    </row>
    <row r="2194" spans="1:17" ht="255" x14ac:dyDescent="0.25">
      <c r="A2194" s="12" t="s">
        <v>7295</v>
      </c>
      <c r="B2194" s="12" t="s">
        <v>7298</v>
      </c>
      <c r="C2194" s="12" t="s">
        <v>7174</v>
      </c>
      <c r="D2194" s="12" t="s">
        <v>7172</v>
      </c>
      <c r="E2194" s="12" t="s">
        <v>4831</v>
      </c>
      <c r="F2194" s="12" t="s">
        <v>4832</v>
      </c>
      <c r="G2194" s="13" t="s">
        <v>7053</v>
      </c>
      <c r="H2194" s="12"/>
      <c r="I2194" s="12"/>
      <c r="J2194" s="12"/>
      <c r="K2194" s="12"/>
      <c r="L2194" s="12"/>
      <c r="M2194" s="12" t="s">
        <v>4833</v>
      </c>
      <c r="N2194" s="12"/>
      <c r="O2194" s="12" t="s">
        <v>4834</v>
      </c>
      <c r="P2194" s="12" t="str">
        <f>HYPERLINK("https://ceds.ed.gov/cedselementdetails.aspx?termid=9611")</f>
        <v>https://ceds.ed.gov/cedselementdetails.aspx?termid=9611</v>
      </c>
      <c r="Q2194" s="12" t="str">
        <f>HYPERLINK("https://ceds.ed.gov/elementComment.aspx?elementName=Personal Information Verification &amp;elementID=9611", "Click here to submit comment")</f>
        <v>Click here to submit comment</v>
      </c>
    </row>
    <row r="2195" spans="1:17" ht="210" x14ac:dyDescent="0.25">
      <c r="A2195" s="12" t="s">
        <v>7295</v>
      </c>
      <c r="B2195" s="12" t="s">
        <v>7298</v>
      </c>
      <c r="C2195" s="12" t="s">
        <v>7175</v>
      </c>
      <c r="D2195" s="12" t="s">
        <v>7172</v>
      </c>
      <c r="E2195" s="12" t="s">
        <v>193</v>
      </c>
      <c r="F2195" s="12" t="s">
        <v>194</v>
      </c>
      <c r="G2195" s="13" t="s">
        <v>6726</v>
      </c>
      <c r="H2195" s="12" t="s">
        <v>6380</v>
      </c>
      <c r="I2195" s="12"/>
      <c r="J2195" s="12" t="s">
        <v>92</v>
      </c>
      <c r="K2195" s="12"/>
      <c r="L2195" s="12"/>
      <c r="M2195" s="12" t="s">
        <v>195</v>
      </c>
      <c r="N2195" s="12"/>
      <c r="O2195" s="12" t="s">
        <v>196</v>
      </c>
      <c r="P2195" s="12" t="str">
        <f>HYPERLINK("https://ceds.ed.gov/cedselementdetails.aspx?termid=9358")</f>
        <v>https://ceds.ed.gov/cedselementdetails.aspx?termid=9358</v>
      </c>
      <c r="Q2195" s="12" t="str">
        <f>HYPERLINK("https://ceds.ed.gov/elementComment.aspx?elementName=Address Type for Learner or Family &amp;elementID=9358", "Click here to submit comment")</f>
        <v>Click here to submit comment</v>
      </c>
    </row>
    <row r="2196" spans="1:17" ht="225" x14ac:dyDescent="0.25">
      <c r="A2196" s="12" t="s">
        <v>7295</v>
      </c>
      <c r="B2196" s="12" t="s">
        <v>7298</v>
      </c>
      <c r="C2196" s="12" t="s">
        <v>7175</v>
      </c>
      <c r="D2196" s="12" t="s">
        <v>7172</v>
      </c>
      <c r="E2196" s="12" t="s">
        <v>189</v>
      </c>
      <c r="F2196" s="12" t="s">
        <v>190</v>
      </c>
      <c r="G2196" s="12" t="s">
        <v>12</v>
      </c>
      <c r="H2196" s="12" t="s">
        <v>6377</v>
      </c>
      <c r="I2196" s="12"/>
      <c r="J2196" s="12" t="s">
        <v>142</v>
      </c>
      <c r="K2196" s="12"/>
      <c r="L2196" s="12"/>
      <c r="M2196" s="12" t="s">
        <v>191</v>
      </c>
      <c r="N2196" s="12"/>
      <c r="O2196" s="12" t="s">
        <v>192</v>
      </c>
      <c r="P2196" s="12" t="str">
        <f>HYPERLINK("https://ceds.ed.gov/cedselementdetails.aspx?termid=9269")</f>
        <v>https://ceds.ed.gov/cedselementdetails.aspx?termid=9269</v>
      </c>
      <c r="Q2196" s="12" t="str">
        <f>HYPERLINK("https://ceds.ed.gov/elementComment.aspx?elementName=Address Street Number and Name &amp;elementID=9269", "Click here to submit comment")</f>
        <v>Click here to submit comment</v>
      </c>
    </row>
    <row r="2197" spans="1:17" ht="225" x14ac:dyDescent="0.25">
      <c r="A2197" s="12" t="s">
        <v>7295</v>
      </c>
      <c r="B2197" s="12" t="s">
        <v>7298</v>
      </c>
      <c r="C2197" s="12" t="s">
        <v>7175</v>
      </c>
      <c r="D2197" s="12" t="s">
        <v>7172</v>
      </c>
      <c r="E2197" s="12" t="s">
        <v>172</v>
      </c>
      <c r="F2197" s="12" t="s">
        <v>173</v>
      </c>
      <c r="G2197" s="12" t="s">
        <v>12</v>
      </c>
      <c r="H2197" s="12" t="s">
        <v>6377</v>
      </c>
      <c r="I2197" s="12"/>
      <c r="J2197" s="12" t="s">
        <v>92</v>
      </c>
      <c r="K2197" s="12"/>
      <c r="L2197" s="12"/>
      <c r="M2197" s="12" t="s">
        <v>174</v>
      </c>
      <c r="N2197" s="12"/>
      <c r="O2197" s="12" t="s">
        <v>175</v>
      </c>
      <c r="P2197" s="12" t="str">
        <f>HYPERLINK("https://ceds.ed.gov/cedselementdetails.aspx?termid=9019")</f>
        <v>https://ceds.ed.gov/cedselementdetails.aspx?termid=9019</v>
      </c>
      <c r="Q2197" s="12" t="str">
        <f>HYPERLINK("https://ceds.ed.gov/elementComment.aspx?elementName=Address Apartment Room or Suite Number &amp;elementID=9019", "Click here to submit comment")</f>
        <v>Click here to submit comment</v>
      </c>
    </row>
    <row r="2198" spans="1:17" ht="225" x14ac:dyDescent="0.25">
      <c r="A2198" s="12" t="s">
        <v>7295</v>
      </c>
      <c r="B2198" s="12" t="s">
        <v>7298</v>
      </c>
      <c r="C2198" s="12" t="s">
        <v>7175</v>
      </c>
      <c r="D2198" s="12" t="s">
        <v>7172</v>
      </c>
      <c r="E2198" s="12" t="s">
        <v>176</v>
      </c>
      <c r="F2198" s="12" t="s">
        <v>177</v>
      </c>
      <c r="G2198" s="12" t="s">
        <v>12</v>
      </c>
      <c r="H2198" s="12" t="s">
        <v>6377</v>
      </c>
      <c r="I2198" s="12"/>
      <c r="J2198" s="12" t="s">
        <v>92</v>
      </c>
      <c r="K2198" s="12"/>
      <c r="L2198" s="12"/>
      <c r="M2198" s="12" t="s">
        <v>178</v>
      </c>
      <c r="N2198" s="12"/>
      <c r="O2198" s="12" t="s">
        <v>179</v>
      </c>
      <c r="P2198" s="12" t="str">
        <f>HYPERLINK("https://ceds.ed.gov/cedselementdetails.aspx?termid=9040")</f>
        <v>https://ceds.ed.gov/cedselementdetails.aspx?termid=9040</v>
      </c>
      <c r="Q2198" s="12" t="str">
        <f>HYPERLINK("https://ceds.ed.gov/elementComment.aspx?elementName=Address City &amp;elementID=9040", "Click here to submit comment")</f>
        <v>Click here to submit comment</v>
      </c>
    </row>
    <row r="2199" spans="1:17" ht="409.5" x14ac:dyDescent="0.25">
      <c r="A2199" s="12" t="s">
        <v>7295</v>
      </c>
      <c r="B2199" s="12" t="s">
        <v>7298</v>
      </c>
      <c r="C2199" s="12" t="s">
        <v>7175</v>
      </c>
      <c r="D2199" s="12" t="s">
        <v>7172</v>
      </c>
      <c r="E2199" s="12" t="s">
        <v>5898</v>
      </c>
      <c r="F2199" s="12" t="s">
        <v>5899</v>
      </c>
      <c r="G2199" s="13" t="s">
        <v>7120</v>
      </c>
      <c r="H2199" s="12" t="s">
        <v>6678</v>
      </c>
      <c r="I2199" s="12"/>
      <c r="J2199" s="12"/>
      <c r="K2199" s="12"/>
      <c r="L2199" s="12"/>
      <c r="M2199" s="12" t="s">
        <v>5900</v>
      </c>
      <c r="N2199" s="12"/>
      <c r="O2199" s="12" t="s">
        <v>5901</v>
      </c>
      <c r="P2199" s="12" t="str">
        <f>HYPERLINK("https://ceds.ed.gov/cedselementdetails.aspx?termid=9267")</f>
        <v>https://ceds.ed.gov/cedselementdetails.aspx?termid=9267</v>
      </c>
      <c r="Q2199" s="12" t="str">
        <f>HYPERLINK("https://ceds.ed.gov/elementComment.aspx?elementName=State Abbreviation &amp;elementID=9267", "Click here to submit comment")</f>
        <v>Click here to submit comment</v>
      </c>
    </row>
    <row r="2200" spans="1:17" ht="225" x14ac:dyDescent="0.25">
      <c r="A2200" s="12" t="s">
        <v>7295</v>
      </c>
      <c r="B2200" s="12" t="s">
        <v>7298</v>
      </c>
      <c r="C2200" s="12" t="s">
        <v>7175</v>
      </c>
      <c r="D2200" s="12" t="s">
        <v>7172</v>
      </c>
      <c r="E2200" s="12" t="s">
        <v>184</v>
      </c>
      <c r="F2200" s="12" t="s">
        <v>185</v>
      </c>
      <c r="G2200" s="12" t="s">
        <v>12</v>
      </c>
      <c r="H2200" s="12" t="s">
        <v>6377</v>
      </c>
      <c r="I2200" s="12"/>
      <c r="J2200" s="12" t="s">
        <v>186</v>
      </c>
      <c r="K2200" s="12"/>
      <c r="L2200" s="12"/>
      <c r="M2200" s="12" t="s">
        <v>187</v>
      </c>
      <c r="N2200" s="12"/>
      <c r="O2200" s="12" t="s">
        <v>188</v>
      </c>
      <c r="P2200" s="12" t="str">
        <f>HYPERLINK("https://ceds.ed.gov/cedselementdetails.aspx?termid=9214")</f>
        <v>https://ceds.ed.gov/cedselementdetails.aspx?termid=9214</v>
      </c>
      <c r="Q2200" s="12" t="str">
        <f>HYPERLINK("https://ceds.ed.gov/elementComment.aspx?elementName=Address Postal Code &amp;elementID=9214", "Click here to submit comment")</f>
        <v>Click here to submit comment</v>
      </c>
    </row>
    <row r="2201" spans="1:17" ht="225" x14ac:dyDescent="0.25">
      <c r="A2201" s="12" t="s">
        <v>7295</v>
      </c>
      <c r="B2201" s="12" t="s">
        <v>7298</v>
      </c>
      <c r="C2201" s="12" t="s">
        <v>7175</v>
      </c>
      <c r="D2201" s="12" t="s">
        <v>7172</v>
      </c>
      <c r="E2201" s="12" t="s">
        <v>180</v>
      </c>
      <c r="F2201" s="12" t="s">
        <v>181</v>
      </c>
      <c r="G2201" s="12" t="s">
        <v>12</v>
      </c>
      <c r="H2201" s="12" t="s">
        <v>6377</v>
      </c>
      <c r="I2201" s="12"/>
      <c r="J2201" s="12" t="s">
        <v>92</v>
      </c>
      <c r="K2201" s="12"/>
      <c r="L2201" s="12"/>
      <c r="M2201" s="12" t="s">
        <v>182</v>
      </c>
      <c r="N2201" s="12"/>
      <c r="O2201" s="12" t="s">
        <v>183</v>
      </c>
      <c r="P2201" s="12" t="str">
        <f>HYPERLINK("https://ceds.ed.gov/cedselementdetails.aspx?termid=9190")</f>
        <v>https://ceds.ed.gov/cedselementdetails.aspx?termid=9190</v>
      </c>
      <c r="Q2201" s="12" t="str">
        <f>HYPERLINK("https://ceds.ed.gov/elementComment.aspx?elementName=Address County Name &amp;elementID=9190", "Click here to submit comment")</f>
        <v>Click here to submit comment</v>
      </c>
    </row>
    <row r="2202" spans="1:17" ht="409.5" x14ac:dyDescent="0.25">
      <c r="A2202" s="12" t="s">
        <v>7295</v>
      </c>
      <c r="B2202" s="12" t="s">
        <v>7298</v>
      </c>
      <c r="C2202" s="12" t="s">
        <v>7175</v>
      </c>
      <c r="D2202" s="12" t="s">
        <v>7172</v>
      </c>
      <c r="E2202" s="12" t="s">
        <v>1934</v>
      </c>
      <c r="F2202" s="12" t="s">
        <v>1935</v>
      </c>
      <c r="G2202" s="13" t="s">
        <v>6829</v>
      </c>
      <c r="H2202" s="12" t="s">
        <v>6467</v>
      </c>
      <c r="I2202" s="12" t="s">
        <v>98</v>
      </c>
      <c r="J2202" s="12"/>
      <c r="K2202" s="12"/>
      <c r="L2202" s="14" t="s">
        <v>1936</v>
      </c>
      <c r="M2202" s="12" t="s">
        <v>1937</v>
      </c>
      <c r="N2202" s="12"/>
      <c r="O2202" s="12" t="s">
        <v>1938</v>
      </c>
      <c r="P2202" s="12" t="str">
        <f>HYPERLINK("https://ceds.ed.gov/cedselementdetails.aspx?termid=9050")</f>
        <v>https://ceds.ed.gov/cedselementdetails.aspx?termid=9050</v>
      </c>
      <c r="Q2202" s="12" t="str">
        <f>HYPERLINK("https://ceds.ed.gov/elementComment.aspx?elementName=Country Code &amp;elementID=9050", "Click here to submit comment")</f>
        <v>Click here to submit comment</v>
      </c>
    </row>
    <row r="2203" spans="1:17" ht="409.5" x14ac:dyDescent="0.25">
      <c r="A2203" s="12" t="s">
        <v>7295</v>
      </c>
      <c r="B2203" s="12" t="s">
        <v>7298</v>
      </c>
      <c r="C2203" s="12" t="s">
        <v>7175</v>
      </c>
      <c r="D2203" s="12" t="s">
        <v>7172</v>
      </c>
      <c r="E2203" s="12" t="s">
        <v>5942</v>
      </c>
      <c r="F2203" s="12" t="s">
        <v>5943</v>
      </c>
      <c r="G2203" s="13" t="s">
        <v>7089</v>
      </c>
      <c r="H2203" s="12" t="s">
        <v>6380</v>
      </c>
      <c r="I2203" s="12"/>
      <c r="J2203" s="12"/>
      <c r="K2203" s="12"/>
      <c r="L2203" s="12"/>
      <c r="M2203" s="12" t="s">
        <v>5945</v>
      </c>
      <c r="N2203" s="12"/>
      <c r="O2203" s="12" t="s">
        <v>5946</v>
      </c>
      <c r="P2203" s="12" t="str">
        <f>HYPERLINK("https://ceds.ed.gov/cedselementdetails.aspx?termid=9268")</f>
        <v>https://ceds.ed.gov/cedselementdetails.aspx?termid=9268</v>
      </c>
      <c r="Q2203" s="12" t="str">
        <f>HYPERLINK("https://ceds.ed.gov/elementComment.aspx?elementName=State of Residence &amp;elementID=9268", "Click here to submit comment")</f>
        <v>Click here to submit comment</v>
      </c>
    </row>
    <row r="2204" spans="1:17" ht="75" x14ac:dyDescent="0.25">
      <c r="A2204" s="12" t="s">
        <v>7295</v>
      </c>
      <c r="B2204" s="12" t="s">
        <v>7298</v>
      </c>
      <c r="C2204" s="12" t="s">
        <v>7175</v>
      </c>
      <c r="D2204" s="12" t="s">
        <v>7176</v>
      </c>
      <c r="E2204" s="12" t="s">
        <v>3693</v>
      </c>
      <c r="F2204" s="12" t="s">
        <v>3694</v>
      </c>
      <c r="G2204" s="12" t="s">
        <v>12</v>
      </c>
      <c r="H2204" s="12"/>
      <c r="I2204" s="12"/>
      <c r="J2204" s="12" t="s">
        <v>1201</v>
      </c>
      <c r="K2204" s="12"/>
      <c r="L2204" s="12"/>
      <c r="M2204" s="12" t="s">
        <v>3695</v>
      </c>
      <c r="N2204" s="12"/>
      <c r="O2204" s="12" t="s">
        <v>3693</v>
      </c>
      <c r="P2204" s="12" t="str">
        <f>HYPERLINK("https://ceds.ed.gov/cedselementdetails.aspx?termid=9599")</f>
        <v>https://ceds.ed.gov/cedselementdetails.aspx?termid=9599</v>
      </c>
      <c r="Q2204" s="12" t="str">
        <f>HYPERLINK("https://ceds.ed.gov/elementComment.aspx?elementName=Latitude &amp;elementID=9599", "Click here to submit comment")</f>
        <v>Click here to submit comment</v>
      </c>
    </row>
    <row r="2205" spans="1:17" ht="75" x14ac:dyDescent="0.25">
      <c r="A2205" s="12" t="s">
        <v>7295</v>
      </c>
      <c r="B2205" s="12" t="s">
        <v>7298</v>
      </c>
      <c r="C2205" s="12" t="s">
        <v>7175</v>
      </c>
      <c r="D2205" s="12" t="s">
        <v>7176</v>
      </c>
      <c r="E2205" s="12" t="s">
        <v>4361</v>
      </c>
      <c r="F2205" s="12" t="s">
        <v>4362</v>
      </c>
      <c r="G2205" s="12" t="s">
        <v>12</v>
      </c>
      <c r="H2205" s="12"/>
      <c r="I2205" s="12"/>
      <c r="J2205" s="12" t="s">
        <v>1201</v>
      </c>
      <c r="K2205" s="12"/>
      <c r="L2205" s="12"/>
      <c r="M2205" s="12" t="s">
        <v>4363</v>
      </c>
      <c r="N2205" s="12"/>
      <c r="O2205" s="12" t="s">
        <v>4361</v>
      </c>
      <c r="P2205" s="12" t="str">
        <f>HYPERLINK("https://ceds.ed.gov/cedselementdetails.aspx?termid=9600")</f>
        <v>https://ceds.ed.gov/cedselementdetails.aspx?termid=9600</v>
      </c>
      <c r="Q2205" s="12" t="str">
        <f>HYPERLINK("https://ceds.ed.gov/elementComment.aspx?elementName=Longitude &amp;elementID=9600", "Click here to submit comment")</f>
        <v>Click here to submit comment</v>
      </c>
    </row>
    <row r="2206" spans="1:17" ht="90" x14ac:dyDescent="0.25">
      <c r="A2206" s="12" t="s">
        <v>7295</v>
      </c>
      <c r="B2206" s="12" t="s">
        <v>7298</v>
      </c>
      <c r="C2206" s="12" t="s">
        <v>7177</v>
      </c>
      <c r="D2206" s="12" t="s">
        <v>7172</v>
      </c>
      <c r="E2206" s="12" t="s">
        <v>6107</v>
      </c>
      <c r="F2206" s="12" t="s">
        <v>6108</v>
      </c>
      <c r="G2206" s="13" t="s">
        <v>7135</v>
      </c>
      <c r="H2206" s="12" t="s">
        <v>6369</v>
      </c>
      <c r="I2206" s="12"/>
      <c r="J2206" s="12" t="s">
        <v>1950</v>
      </c>
      <c r="K2206" s="12"/>
      <c r="L2206" s="12"/>
      <c r="M2206" s="12" t="s">
        <v>6109</v>
      </c>
      <c r="N2206" s="12"/>
      <c r="O2206" s="12" t="s">
        <v>6110</v>
      </c>
      <c r="P2206" s="12" t="str">
        <f>HYPERLINK("https://ceds.ed.gov/cedselementdetails.aspx?termid=9280")</f>
        <v>https://ceds.ed.gov/cedselementdetails.aspx?termid=9280</v>
      </c>
      <c r="Q2206" s="12" t="str">
        <f>HYPERLINK("https://ceds.ed.gov/elementComment.aspx?elementName=Telephone Number Type &amp;elementID=9280", "Click here to submit comment")</f>
        <v>Click here to submit comment</v>
      </c>
    </row>
    <row r="2207" spans="1:17" ht="90" x14ac:dyDescent="0.25">
      <c r="A2207" s="12" t="s">
        <v>7295</v>
      </c>
      <c r="B2207" s="12" t="s">
        <v>7298</v>
      </c>
      <c r="C2207" s="12" t="s">
        <v>7177</v>
      </c>
      <c r="D2207" s="12" t="s">
        <v>7172</v>
      </c>
      <c r="E2207" s="12" t="s">
        <v>4934</v>
      </c>
      <c r="F2207" s="12" t="s">
        <v>4935</v>
      </c>
      <c r="G2207" s="12" t="s">
        <v>6364</v>
      </c>
      <c r="H2207" s="12" t="s">
        <v>6369</v>
      </c>
      <c r="I2207" s="12"/>
      <c r="J2207" s="12"/>
      <c r="K2207" s="12"/>
      <c r="L2207" s="12"/>
      <c r="M2207" s="12" t="s">
        <v>4936</v>
      </c>
      <c r="N2207" s="12"/>
      <c r="O2207" s="12" t="s">
        <v>4937</v>
      </c>
      <c r="P2207" s="12" t="str">
        <f>HYPERLINK("https://ceds.ed.gov/cedselementdetails.aspx?termid=9219")</f>
        <v>https://ceds.ed.gov/cedselementdetails.aspx?termid=9219</v>
      </c>
      <c r="Q2207" s="12" t="str">
        <f>HYPERLINK("https://ceds.ed.gov/elementComment.aspx?elementName=Primary Telephone Number Indicator &amp;elementID=9219", "Click here to submit comment")</f>
        <v>Click here to submit comment</v>
      </c>
    </row>
    <row r="2208" spans="1:17" ht="90" x14ac:dyDescent="0.25">
      <c r="A2208" s="12" t="s">
        <v>7295</v>
      </c>
      <c r="B2208" s="12" t="s">
        <v>7298</v>
      </c>
      <c r="C2208" s="12" t="s">
        <v>7177</v>
      </c>
      <c r="D2208" s="12" t="s">
        <v>7172</v>
      </c>
      <c r="E2208" s="12" t="s">
        <v>6102</v>
      </c>
      <c r="F2208" s="12" t="s">
        <v>6103</v>
      </c>
      <c r="G2208" s="12" t="s">
        <v>12</v>
      </c>
      <c r="H2208" s="12" t="s">
        <v>6369</v>
      </c>
      <c r="I2208" s="12"/>
      <c r="J2208" s="12" t="s">
        <v>6104</v>
      </c>
      <c r="K2208" s="12"/>
      <c r="L2208" s="12"/>
      <c r="M2208" s="12" t="s">
        <v>6105</v>
      </c>
      <c r="N2208" s="12"/>
      <c r="O2208" s="12" t="s">
        <v>6106</v>
      </c>
      <c r="P2208" s="12" t="str">
        <f>HYPERLINK("https://ceds.ed.gov/cedselementdetails.aspx?termid=9279")</f>
        <v>https://ceds.ed.gov/cedselementdetails.aspx?termid=9279</v>
      </c>
      <c r="Q2208" s="12" t="str">
        <f>HYPERLINK("https://ceds.ed.gov/elementComment.aspx?elementName=Telephone Number &amp;elementID=9279", "Click here to submit comment")</f>
        <v>Click here to submit comment</v>
      </c>
    </row>
    <row r="2209" spans="1:17" ht="90" x14ac:dyDescent="0.25">
      <c r="A2209" s="12" t="s">
        <v>7295</v>
      </c>
      <c r="B2209" s="12" t="s">
        <v>7298</v>
      </c>
      <c r="C2209" s="12" t="s">
        <v>7204</v>
      </c>
      <c r="D2209" s="12" t="s">
        <v>7172</v>
      </c>
      <c r="E2209" s="12" t="s">
        <v>2653</v>
      </c>
      <c r="F2209" s="12" t="s">
        <v>2654</v>
      </c>
      <c r="G2209" s="13" t="s">
        <v>6898</v>
      </c>
      <c r="H2209" s="12" t="s">
        <v>6369</v>
      </c>
      <c r="I2209" s="12"/>
      <c r="J2209" s="12"/>
      <c r="K2209" s="12"/>
      <c r="L2209" s="12"/>
      <c r="M2209" s="12" t="s">
        <v>2655</v>
      </c>
      <c r="N2209" s="12" t="s">
        <v>2656</v>
      </c>
      <c r="O2209" s="12" t="s">
        <v>2657</v>
      </c>
      <c r="P2209" s="12" t="str">
        <f>HYPERLINK("https://ceds.ed.gov/cedselementdetails.aspx?termid=9089")</f>
        <v>https://ceds.ed.gov/cedselementdetails.aspx?termid=9089</v>
      </c>
      <c r="Q2209" s="12" t="str">
        <f>HYPERLINK("https://ceds.ed.gov/elementComment.aspx?elementName=Electronic Mail Address Type &amp;elementID=9089", "Click here to submit comment")</f>
        <v>Click here to submit comment</v>
      </c>
    </row>
    <row r="2210" spans="1:17" ht="90" x14ac:dyDescent="0.25">
      <c r="A2210" s="12" t="s">
        <v>7295</v>
      </c>
      <c r="B2210" s="12" t="s">
        <v>7298</v>
      </c>
      <c r="C2210" s="12" t="s">
        <v>7204</v>
      </c>
      <c r="D2210" s="12" t="s">
        <v>7172</v>
      </c>
      <c r="E2210" s="12" t="s">
        <v>2647</v>
      </c>
      <c r="F2210" s="12" t="s">
        <v>2648</v>
      </c>
      <c r="G2210" s="12" t="s">
        <v>12</v>
      </c>
      <c r="H2210" s="12" t="s">
        <v>6369</v>
      </c>
      <c r="I2210" s="12"/>
      <c r="J2210" s="12" t="s">
        <v>2649</v>
      </c>
      <c r="K2210" s="12"/>
      <c r="L2210" s="12"/>
      <c r="M2210" s="12" t="s">
        <v>2650</v>
      </c>
      <c r="N2210" s="12" t="s">
        <v>2651</v>
      </c>
      <c r="O2210" s="12" t="s">
        <v>2652</v>
      </c>
      <c r="P2210" s="12" t="str">
        <f>HYPERLINK("https://ceds.ed.gov/cedselementdetails.aspx?termid=9088")</f>
        <v>https://ceds.ed.gov/cedselementdetails.aspx?termid=9088</v>
      </c>
      <c r="Q2210" s="12" t="str">
        <f>HYPERLINK("https://ceds.ed.gov/elementComment.aspx?elementName=Electronic Mail Address &amp;elementID=9088", "Click here to submit comment")</f>
        <v>Click here to submit comment</v>
      </c>
    </row>
    <row r="2211" spans="1:17" ht="240" x14ac:dyDescent="0.25">
      <c r="A2211" s="12" t="s">
        <v>7295</v>
      </c>
      <c r="B2211" s="12" t="s">
        <v>7298</v>
      </c>
      <c r="C2211" s="12" t="s">
        <v>7178</v>
      </c>
      <c r="D2211" s="12" t="s">
        <v>7172</v>
      </c>
      <c r="E2211" s="12" t="s">
        <v>1571</v>
      </c>
      <c r="F2211" s="12" t="s">
        <v>1572</v>
      </c>
      <c r="G2211" s="12" t="s">
        <v>12</v>
      </c>
      <c r="H2211" s="12" t="s">
        <v>6432</v>
      </c>
      <c r="I2211" s="12"/>
      <c r="J2211" s="12" t="s">
        <v>73</v>
      </c>
      <c r="K2211" s="12"/>
      <c r="L2211" s="12"/>
      <c r="M2211" s="12" t="s">
        <v>1573</v>
      </c>
      <c r="N2211" s="12"/>
      <c r="O2211" s="12" t="s">
        <v>1571</v>
      </c>
      <c r="P2211" s="12" t="str">
        <f>HYPERLINK("https://ceds.ed.gov/cedselementdetails.aspx?termid=9033")</f>
        <v>https://ceds.ed.gov/cedselementdetails.aspx?termid=9033</v>
      </c>
      <c r="Q2211" s="12" t="str">
        <f>HYPERLINK("https://ceds.ed.gov/elementComment.aspx?elementName=Birthdate &amp;elementID=9033", "Click here to submit comment")</f>
        <v>Click here to submit comment</v>
      </c>
    </row>
    <row r="2212" spans="1:17" ht="255" x14ac:dyDescent="0.25">
      <c r="A2212" s="12" t="s">
        <v>7295</v>
      </c>
      <c r="B2212" s="12" t="s">
        <v>7298</v>
      </c>
      <c r="C2212" s="12" t="s">
        <v>7178</v>
      </c>
      <c r="D2212" s="12" t="s">
        <v>7172</v>
      </c>
      <c r="E2212" s="12" t="s">
        <v>5711</v>
      </c>
      <c r="F2212" s="12" t="s">
        <v>5712</v>
      </c>
      <c r="G2212" s="13" t="s">
        <v>7112</v>
      </c>
      <c r="H2212" s="12" t="s">
        <v>6666</v>
      </c>
      <c r="I2212" s="12"/>
      <c r="J2212" s="12"/>
      <c r="K2212" s="12"/>
      <c r="L2212" s="12" t="s">
        <v>5713</v>
      </c>
      <c r="M2212" s="12" t="s">
        <v>5714</v>
      </c>
      <c r="N2212" s="12"/>
      <c r="O2212" s="12" t="s">
        <v>5711</v>
      </c>
      <c r="P2212" s="12" t="str">
        <f>HYPERLINK("https://ceds.ed.gov/cedselementdetails.aspx?termid=9255")</f>
        <v>https://ceds.ed.gov/cedselementdetails.aspx?termid=9255</v>
      </c>
      <c r="Q2212" s="12" t="str">
        <f>HYPERLINK("https://ceds.ed.gov/elementComment.aspx?elementName=Sex &amp;elementID=9255", "Click here to submit comment")</f>
        <v>Click here to submit comment</v>
      </c>
    </row>
    <row r="2213" spans="1:17" ht="30" x14ac:dyDescent="0.25">
      <c r="A2213" s="18" t="s">
        <v>7295</v>
      </c>
      <c r="B2213" s="18" t="s">
        <v>7298</v>
      </c>
      <c r="C2213" s="18" t="s">
        <v>7178</v>
      </c>
      <c r="D2213" s="18" t="s">
        <v>7172</v>
      </c>
      <c r="E2213" s="18" t="s">
        <v>359</v>
      </c>
      <c r="F2213" s="18" t="s">
        <v>360</v>
      </c>
      <c r="G2213" s="20" t="s">
        <v>6749</v>
      </c>
      <c r="H2213" s="18" t="s">
        <v>6390</v>
      </c>
      <c r="I2213" s="18"/>
      <c r="J2213" s="18"/>
      <c r="K2213" s="18"/>
      <c r="L2213" s="12" t="s">
        <v>361</v>
      </c>
      <c r="M2213" s="18" t="s">
        <v>365</v>
      </c>
      <c r="N2213" s="18"/>
      <c r="O2213" s="18" t="s">
        <v>366</v>
      </c>
      <c r="P2213" s="18" t="str">
        <f>HYPERLINK("https://ceds.ed.gov/cedselementdetails.aspx?termid=9655")</f>
        <v>https://ceds.ed.gov/cedselementdetails.aspx?termid=9655</v>
      </c>
      <c r="Q2213" s="18" t="str">
        <f>HYPERLINK("https://ceds.ed.gov/elementComment.aspx?elementName=American Indian or Alaska Native &amp;elementID=9655", "Click here to submit comment")</f>
        <v>Click here to submit comment</v>
      </c>
    </row>
    <row r="2214" spans="1:17" x14ac:dyDescent="0.25">
      <c r="A2214" s="18"/>
      <c r="B2214" s="18"/>
      <c r="C2214" s="18"/>
      <c r="D2214" s="18"/>
      <c r="E2214" s="18"/>
      <c r="F2214" s="18"/>
      <c r="G2214" s="18"/>
      <c r="H2214" s="18"/>
      <c r="I2214" s="18"/>
      <c r="J2214" s="18"/>
      <c r="K2214" s="18"/>
      <c r="L2214" s="12"/>
      <c r="M2214" s="18"/>
      <c r="N2214" s="18"/>
      <c r="O2214" s="18"/>
      <c r="P2214" s="18"/>
      <c r="Q2214" s="18"/>
    </row>
    <row r="2215" spans="1:17" x14ac:dyDescent="0.25">
      <c r="A2215" s="18"/>
      <c r="B2215" s="18"/>
      <c r="C2215" s="18"/>
      <c r="D2215" s="18"/>
      <c r="E2215" s="18"/>
      <c r="F2215" s="18"/>
      <c r="G2215" s="18"/>
      <c r="H2215" s="18"/>
      <c r="I2215" s="18"/>
      <c r="J2215" s="18"/>
      <c r="K2215" s="18"/>
      <c r="L2215" s="12" t="s">
        <v>362</v>
      </c>
      <c r="M2215" s="18"/>
      <c r="N2215" s="18"/>
      <c r="O2215" s="18"/>
      <c r="P2215" s="18"/>
      <c r="Q2215" s="18"/>
    </row>
    <row r="2216" spans="1:17" ht="30" x14ac:dyDescent="0.25">
      <c r="A2216" s="18"/>
      <c r="B2216" s="18"/>
      <c r="C2216" s="18"/>
      <c r="D2216" s="18"/>
      <c r="E2216" s="18"/>
      <c r="F2216" s="18"/>
      <c r="G2216" s="18"/>
      <c r="H2216" s="18"/>
      <c r="I2216" s="18"/>
      <c r="J2216" s="18"/>
      <c r="K2216" s="18"/>
      <c r="L2216" s="12" t="s">
        <v>363</v>
      </c>
      <c r="M2216" s="18"/>
      <c r="N2216" s="18"/>
      <c r="O2216" s="18"/>
      <c r="P2216" s="18"/>
      <c r="Q2216" s="18"/>
    </row>
    <row r="2217" spans="1:17" x14ac:dyDescent="0.25">
      <c r="A2217" s="18"/>
      <c r="B2217" s="18"/>
      <c r="C2217" s="18"/>
      <c r="D2217" s="18"/>
      <c r="E2217" s="18"/>
      <c r="F2217" s="18"/>
      <c r="G2217" s="18"/>
      <c r="H2217" s="18"/>
      <c r="I2217" s="18"/>
      <c r="J2217" s="18"/>
      <c r="K2217" s="18"/>
      <c r="L2217" s="12" t="s">
        <v>364</v>
      </c>
      <c r="M2217" s="18"/>
      <c r="N2217" s="18"/>
      <c r="O2217" s="18"/>
      <c r="P2217" s="18"/>
      <c r="Q2217" s="18"/>
    </row>
    <row r="2218" spans="1:17" ht="30" x14ac:dyDescent="0.25">
      <c r="A2218" s="18" t="s">
        <v>7295</v>
      </c>
      <c r="B2218" s="18" t="s">
        <v>7298</v>
      </c>
      <c r="C2218" s="18" t="s">
        <v>7178</v>
      </c>
      <c r="D2218" s="18" t="s">
        <v>7172</v>
      </c>
      <c r="E2218" s="18" t="s">
        <v>401</v>
      </c>
      <c r="F2218" s="18" t="s">
        <v>402</v>
      </c>
      <c r="G2218" s="20" t="s">
        <v>6749</v>
      </c>
      <c r="H2218" s="18" t="s">
        <v>6390</v>
      </c>
      <c r="I2218" s="18"/>
      <c r="J2218" s="18"/>
      <c r="K2218" s="18"/>
      <c r="L2218" s="12" t="s">
        <v>361</v>
      </c>
      <c r="M2218" s="18" t="s">
        <v>403</v>
      </c>
      <c r="N2218" s="18"/>
      <c r="O2218" s="18" t="s">
        <v>401</v>
      </c>
      <c r="P2218" s="18" t="str">
        <f>HYPERLINK("https://ceds.ed.gov/cedselementdetails.aspx?termid=9656")</f>
        <v>https://ceds.ed.gov/cedselementdetails.aspx?termid=9656</v>
      </c>
      <c r="Q2218" s="18" t="str">
        <f>HYPERLINK("https://ceds.ed.gov/elementComment.aspx?elementName=Asian &amp;elementID=9656", "Click here to submit comment")</f>
        <v>Click here to submit comment</v>
      </c>
    </row>
    <row r="2219" spans="1:17" x14ac:dyDescent="0.25">
      <c r="A2219" s="18"/>
      <c r="B2219" s="18"/>
      <c r="C2219" s="18"/>
      <c r="D2219" s="18"/>
      <c r="E2219" s="18"/>
      <c r="F2219" s="18"/>
      <c r="G2219" s="18"/>
      <c r="H2219" s="18"/>
      <c r="I2219" s="18"/>
      <c r="J2219" s="18"/>
      <c r="K2219" s="18"/>
      <c r="L2219" s="12"/>
      <c r="M2219" s="18"/>
      <c r="N2219" s="18"/>
      <c r="O2219" s="18"/>
      <c r="P2219" s="18"/>
      <c r="Q2219" s="18"/>
    </row>
    <row r="2220" spans="1:17" x14ac:dyDescent="0.25">
      <c r="A2220" s="18"/>
      <c r="B2220" s="18"/>
      <c r="C2220" s="18"/>
      <c r="D2220" s="18"/>
      <c r="E2220" s="18"/>
      <c r="F2220" s="18"/>
      <c r="G2220" s="18"/>
      <c r="H2220" s="18"/>
      <c r="I2220" s="18"/>
      <c r="J2220" s="18"/>
      <c r="K2220" s="18"/>
      <c r="L2220" s="12" t="s">
        <v>362</v>
      </c>
      <c r="M2220" s="18"/>
      <c r="N2220" s="18"/>
      <c r="O2220" s="18"/>
      <c r="P2220" s="18"/>
      <c r="Q2220" s="18"/>
    </row>
    <row r="2221" spans="1:17" ht="30" x14ac:dyDescent="0.25">
      <c r="A2221" s="18"/>
      <c r="B2221" s="18"/>
      <c r="C2221" s="18"/>
      <c r="D2221" s="18"/>
      <c r="E2221" s="18"/>
      <c r="F2221" s="18"/>
      <c r="G2221" s="18"/>
      <c r="H2221" s="18"/>
      <c r="I2221" s="18"/>
      <c r="J2221" s="18"/>
      <c r="K2221" s="18"/>
      <c r="L2221" s="12" t="s">
        <v>363</v>
      </c>
      <c r="M2221" s="18"/>
      <c r="N2221" s="18"/>
      <c r="O2221" s="18"/>
      <c r="P2221" s="18"/>
      <c r="Q2221" s="18"/>
    </row>
    <row r="2222" spans="1:17" x14ac:dyDescent="0.25">
      <c r="A2222" s="18"/>
      <c r="B2222" s="18"/>
      <c r="C2222" s="18"/>
      <c r="D2222" s="18"/>
      <c r="E2222" s="18"/>
      <c r="F2222" s="18"/>
      <c r="G2222" s="18"/>
      <c r="H2222" s="18"/>
      <c r="I2222" s="18"/>
      <c r="J2222" s="18"/>
      <c r="K2222" s="18"/>
      <c r="L2222" s="12" t="s">
        <v>364</v>
      </c>
      <c r="M2222" s="18"/>
      <c r="N2222" s="18"/>
      <c r="O2222" s="18"/>
      <c r="P2222" s="18"/>
      <c r="Q2222" s="18"/>
    </row>
    <row r="2223" spans="1:17" ht="30" x14ac:dyDescent="0.25">
      <c r="A2223" s="18" t="s">
        <v>7295</v>
      </c>
      <c r="B2223" s="18" t="s">
        <v>7298</v>
      </c>
      <c r="C2223" s="18" t="s">
        <v>7178</v>
      </c>
      <c r="D2223" s="18" t="s">
        <v>7172</v>
      </c>
      <c r="E2223" s="18" t="s">
        <v>1579</v>
      </c>
      <c r="F2223" s="18" t="s">
        <v>1580</v>
      </c>
      <c r="G2223" s="20" t="s">
        <v>6749</v>
      </c>
      <c r="H2223" s="18" t="s">
        <v>6390</v>
      </c>
      <c r="I2223" s="18"/>
      <c r="J2223" s="18"/>
      <c r="K2223" s="18"/>
      <c r="L2223" s="12" t="s">
        <v>361</v>
      </c>
      <c r="M2223" s="18" t="s">
        <v>1581</v>
      </c>
      <c r="N2223" s="18"/>
      <c r="O2223" s="18" t="s">
        <v>1582</v>
      </c>
      <c r="P2223" s="18" t="str">
        <f>HYPERLINK("https://ceds.ed.gov/cedselementdetails.aspx?termid=9657")</f>
        <v>https://ceds.ed.gov/cedselementdetails.aspx?termid=9657</v>
      </c>
      <c r="Q2223" s="18" t="str">
        <f>HYPERLINK("https://ceds.ed.gov/elementComment.aspx?elementName=Black or African American &amp;elementID=9657", "Click here to submit comment")</f>
        <v>Click here to submit comment</v>
      </c>
    </row>
    <row r="2224" spans="1:17" x14ac:dyDescent="0.25">
      <c r="A2224" s="18"/>
      <c r="B2224" s="18"/>
      <c r="C2224" s="18"/>
      <c r="D2224" s="18"/>
      <c r="E2224" s="18"/>
      <c r="F2224" s="18"/>
      <c r="G2224" s="18"/>
      <c r="H2224" s="18"/>
      <c r="I2224" s="18"/>
      <c r="J2224" s="18"/>
      <c r="K2224" s="18"/>
      <c r="L2224" s="12"/>
      <c r="M2224" s="18"/>
      <c r="N2224" s="18"/>
      <c r="O2224" s="18"/>
      <c r="P2224" s="18"/>
      <c r="Q2224" s="18"/>
    </row>
    <row r="2225" spans="1:17" x14ac:dyDescent="0.25">
      <c r="A2225" s="18"/>
      <c r="B2225" s="18"/>
      <c r="C2225" s="18"/>
      <c r="D2225" s="18"/>
      <c r="E2225" s="18"/>
      <c r="F2225" s="18"/>
      <c r="G2225" s="18"/>
      <c r="H2225" s="18"/>
      <c r="I2225" s="18"/>
      <c r="J2225" s="18"/>
      <c r="K2225" s="18"/>
      <c r="L2225" s="12" t="s">
        <v>362</v>
      </c>
      <c r="M2225" s="18"/>
      <c r="N2225" s="18"/>
      <c r="O2225" s="18"/>
      <c r="P2225" s="18"/>
      <c r="Q2225" s="18"/>
    </row>
    <row r="2226" spans="1:17" ht="30" x14ac:dyDescent="0.25">
      <c r="A2226" s="18"/>
      <c r="B2226" s="18"/>
      <c r="C2226" s="18"/>
      <c r="D2226" s="18"/>
      <c r="E2226" s="18"/>
      <c r="F2226" s="18"/>
      <c r="G2226" s="18"/>
      <c r="H2226" s="18"/>
      <c r="I2226" s="18"/>
      <c r="J2226" s="18"/>
      <c r="K2226" s="18"/>
      <c r="L2226" s="12" t="s">
        <v>363</v>
      </c>
      <c r="M2226" s="18"/>
      <c r="N2226" s="18"/>
      <c r="O2226" s="18"/>
      <c r="P2226" s="18"/>
      <c r="Q2226" s="18"/>
    </row>
    <row r="2227" spans="1:17" x14ac:dyDescent="0.25">
      <c r="A2227" s="18"/>
      <c r="B2227" s="18"/>
      <c r="C2227" s="18"/>
      <c r="D2227" s="18"/>
      <c r="E2227" s="18"/>
      <c r="F2227" s="18"/>
      <c r="G2227" s="18"/>
      <c r="H2227" s="18"/>
      <c r="I2227" s="18"/>
      <c r="J2227" s="18"/>
      <c r="K2227" s="18"/>
      <c r="L2227" s="12" t="s">
        <v>364</v>
      </c>
      <c r="M2227" s="18"/>
      <c r="N2227" s="18"/>
      <c r="O2227" s="18"/>
      <c r="P2227" s="18"/>
      <c r="Q2227" s="18"/>
    </row>
    <row r="2228" spans="1:17" ht="30" x14ac:dyDescent="0.25">
      <c r="A2228" s="18" t="s">
        <v>7295</v>
      </c>
      <c r="B2228" s="18" t="s">
        <v>7298</v>
      </c>
      <c r="C2228" s="18" t="s">
        <v>7178</v>
      </c>
      <c r="D2228" s="18" t="s">
        <v>7172</v>
      </c>
      <c r="E2228" s="18" t="s">
        <v>4536</v>
      </c>
      <c r="F2228" s="18" t="s">
        <v>4537</v>
      </c>
      <c r="G2228" s="20" t="s">
        <v>6749</v>
      </c>
      <c r="H2228" s="18" t="s">
        <v>6390</v>
      </c>
      <c r="I2228" s="18"/>
      <c r="J2228" s="18"/>
      <c r="K2228" s="18"/>
      <c r="L2228" s="12" t="s">
        <v>361</v>
      </c>
      <c r="M2228" s="18" t="s">
        <v>4538</v>
      </c>
      <c r="N2228" s="18"/>
      <c r="O2228" s="18" t="s">
        <v>4539</v>
      </c>
      <c r="P2228" s="18" t="str">
        <f>HYPERLINK("https://ceds.ed.gov/cedselementdetails.aspx?termid=9658")</f>
        <v>https://ceds.ed.gov/cedselementdetails.aspx?termid=9658</v>
      </c>
      <c r="Q2228" s="18" t="str">
        <f>HYPERLINK("https://ceds.ed.gov/elementComment.aspx?elementName=Native Hawaiian or Other Pacific Islander &amp;elementID=9658", "Click here to submit comment")</f>
        <v>Click here to submit comment</v>
      </c>
    </row>
    <row r="2229" spans="1:17" x14ac:dyDescent="0.25">
      <c r="A2229" s="18"/>
      <c r="B2229" s="18"/>
      <c r="C2229" s="18"/>
      <c r="D2229" s="18"/>
      <c r="E2229" s="18"/>
      <c r="F2229" s="18"/>
      <c r="G2229" s="18"/>
      <c r="H2229" s="18"/>
      <c r="I2229" s="18"/>
      <c r="J2229" s="18"/>
      <c r="K2229" s="18"/>
      <c r="L2229" s="12"/>
      <c r="M2229" s="18"/>
      <c r="N2229" s="18"/>
      <c r="O2229" s="18"/>
      <c r="P2229" s="18"/>
      <c r="Q2229" s="18"/>
    </row>
    <row r="2230" spans="1:17" x14ac:dyDescent="0.25">
      <c r="A2230" s="18"/>
      <c r="B2230" s="18"/>
      <c r="C2230" s="18"/>
      <c r="D2230" s="18"/>
      <c r="E2230" s="18"/>
      <c r="F2230" s="18"/>
      <c r="G2230" s="18"/>
      <c r="H2230" s="18"/>
      <c r="I2230" s="18"/>
      <c r="J2230" s="18"/>
      <c r="K2230" s="18"/>
      <c r="L2230" s="12" t="s">
        <v>362</v>
      </c>
      <c r="M2230" s="18"/>
      <c r="N2230" s="18"/>
      <c r="O2230" s="18"/>
      <c r="P2230" s="18"/>
      <c r="Q2230" s="18"/>
    </row>
    <row r="2231" spans="1:17" ht="30" x14ac:dyDescent="0.25">
      <c r="A2231" s="18"/>
      <c r="B2231" s="18"/>
      <c r="C2231" s="18"/>
      <c r="D2231" s="18"/>
      <c r="E2231" s="18"/>
      <c r="F2231" s="18"/>
      <c r="G2231" s="18"/>
      <c r="H2231" s="18"/>
      <c r="I2231" s="18"/>
      <c r="J2231" s="18"/>
      <c r="K2231" s="18"/>
      <c r="L2231" s="12" t="s">
        <v>363</v>
      </c>
      <c r="M2231" s="18"/>
      <c r="N2231" s="18"/>
      <c r="O2231" s="18"/>
      <c r="P2231" s="18"/>
      <c r="Q2231" s="18"/>
    </row>
    <row r="2232" spans="1:17" x14ac:dyDescent="0.25">
      <c r="A2232" s="18"/>
      <c r="B2232" s="18"/>
      <c r="C2232" s="18"/>
      <c r="D2232" s="18"/>
      <c r="E2232" s="18"/>
      <c r="F2232" s="18"/>
      <c r="G2232" s="18"/>
      <c r="H2232" s="18"/>
      <c r="I2232" s="18"/>
      <c r="J2232" s="18"/>
      <c r="K2232" s="18"/>
      <c r="L2232" s="12" t="s">
        <v>364</v>
      </c>
      <c r="M2232" s="18"/>
      <c r="N2232" s="18"/>
      <c r="O2232" s="18"/>
      <c r="P2232" s="18"/>
      <c r="Q2232" s="18"/>
    </row>
    <row r="2233" spans="1:17" ht="30" x14ac:dyDescent="0.25">
      <c r="A2233" s="18" t="s">
        <v>7295</v>
      </c>
      <c r="B2233" s="18" t="s">
        <v>7298</v>
      </c>
      <c r="C2233" s="18" t="s">
        <v>7178</v>
      </c>
      <c r="D2233" s="18" t="s">
        <v>7172</v>
      </c>
      <c r="E2233" s="18" t="s">
        <v>6333</v>
      </c>
      <c r="F2233" s="18" t="s">
        <v>6334</v>
      </c>
      <c r="G2233" s="20" t="s">
        <v>6749</v>
      </c>
      <c r="H2233" s="18" t="s">
        <v>6390</v>
      </c>
      <c r="I2233" s="18"/>
      <c r="J2233" s="18"/>
      <c r="K2233" s="18"/>
      <c r="L2233" s="12" t="s">
        <v>361</v>
      </c>
      <c r="M2233" s="18" t="s">
        <v>6335</v>
      </c>
      <c r="N2233" s="18"/>
      <c r="O2233" s="18" t="s">
        <v>6333</v>
      </c>
      <c r="P2233" s="18" t="str">
        <f>HYPERLINK("https://ceds.ed.gov/cedselementdetails.aspx?termid=9659")</f>
        <v>https://ceds.ed.gov/cedselementdetails.aspx?termid=9659</v>
      </c>
      <c r="Q2233" s="18" t="str">
        <f>HYPERLINK("https://ceds.ed.gov/elementComment.aspx?elementName=White &amp;elementID=9659", "Click here to submit comment")</f>
        <v>Click here to submit comment</v>
      </c>
    </row>
    <row r="2234" spans="1:17" x14ac:dyDescent="0.25">
      <c r="A2234" s="18"/>
      <c r="B2234" s="18"/>
      <c r="C2234" s="18"/>
      <c r="D2234" s="18"/>
      <c r="E2234" s="18"/>
      <c r="F2234" s="18"/>
      <c r="G2234" s="18"/>
      <c r="H2234" s="18"/>
      <c r="I2234" s="18"/>
      <c r="J2234" s="18"/>
      <c r="K2234" s="18"/>
      <c r="L2234" s="12"/>
      <c r="M2234" s="18"/>
      <c r="N2234" s="18"/>
      <c r="O2234" s="18"/>
      <c r="P2234" s="18"/>
      <c r="Q2234" s="18"/>
    </row>
    <row r="2235" spans="1:17" x14ac:dyDescent="0.25">
      <c r="A2235" s="18"/>
      <c r="B2235" s="18"/>
      <c r="C2235" s="18"/>
      <c r="D2235" s="18"/>
      <c r="E2235" s="18"/>
      <c r="F2235" s="18"/>
      <c r="G2235" s="18"/>
      <c r="H2235" s="18"/>
      <c r="I2235" s="18"/>
      <c r="J2235" s="18"/>
      <c r="K2235" s="18"/>
      <c r="L2235" s="12" t="s">
        <v>362</v>
      </c>
      <c r="M2235" s="18"/>
      <c r="N2235" s="18"/>
      <c r="O2235" s="18"/>
      <c r="P2235" s="18"/>
      <c r="Q2235" s="18"/>
    </row>
    <row r="2236" spans="1:17" ht="30" x14ac:dyDescent="0.25">
      <c r="A2236" s="18"/>
      <c r="B2236" s="18"/>
      <c r="C2236" s="18"/>
      <c r="D2236" s="18"/>
      <c r="E2236" s="18"/>
      <c r="F2236" s="18"/>
      <c r="G2236" s="18"/>
      <c r="H2236" s="18"/>
      <c r="I2236" s="18"/>
      <c r="J2236" s="18"/>
      <c r="K2236" s="18"/>
      <c r="L2236" s="12" t="s">
        <v>363</v>
      </c>
      <c r="M2236" s="18"/>
      <c r="N2236" s="18"/>
      <c r="O2236" s="18"/>
      <c r="P2236" s="18"/>
      <c r="Q2236" s="18"/>
    </row>
    <row r="2237" spans="1:17" x14ac:dyDescent="0.25">
      <c r="A2237" s="18"/>
      <c r="B2237" s="18"/>
      <c r="C2237" s="18"/>
      <c r="D2237" s="18"/>
      <c r="E2237" s="18"/>
      <c r="F2237" s="18"/>
      <c r="G2237" s="18"/>
      <c r="H2237" s="18"/>
      <c r="I2237" s="18"/>
      <c r="J2237" s="18"/>
      <c r="K2237" s="18"/>
      <c r="L2237" s="12" t="s">
        <v>364</v>
      </c>
      <c r="M2237" s="18"/>
      <c r="N2237" s="18"/>
      <c r="O2237" s="18"/>
      <c r="P2237" s="18"/>
      <c r="Q2237" s="18"/>
    </row>
    <row r="2238" spans="1:17" ht="30" x14ac:dyDescent="0.25">
      <c r="A2238" s="18" t="s">
        <v>7295</v>
      </c>
      <c r="B2238" s="18" t="s">
        <v>7298</v>
      </c>
      <c r="C2238" s="18" t="s">
        <v>7178</v>
      </c>
      <c r="D2238" s="18" t="s">
        <v>7172</v>
      </c>
      <c r="E2238" s="18" t="s">
        <v>3227</v>
      </c>
      <c r="F2238" s="18" t="s">
        <v>3228</v>
      </c>
      <c r="G2238" s="20" t="s">
        <v>6749</v>
      </c>
      <c r="H2238" s="18" t="s">
        <v>6390</v>
      </c>
      <c r="I2238" s="18"/>
      <c r="J2238" s="18"/>
      <c r="K2238" s="18"/>
      <c r="L2238" s="12" t="s">
        <v>361</v>
      </c>
      <c r="M2238" s="18" t="s">
        <v>3229</v>
      </c>
      <c r="N2238" s="18"/>
      <c r="O2238" s="18" t="s">
        <v>3230</v>
      </c>
      <c r="P2238" s="18" t="str">
        <f>HYPERLINK("https://ceds.ed.gov/cedselementdetails.aspx?termid=9144")</f>
        <v>https://ceds.ed.gov/cedselementdetails.aspx?termid=9144</v>
      </c>
      <c r="Q2238" s="18" t="str">
        <f>HYPERLINK("https://ceds.ed.gov/elementComment.aspx?elementName=Hispanic or Latino Ethnicity &amp;elementID=9144", "Click here to submit comment")</f>
        <v>Click here to submit comment</v>
      </c>
    </row>
    <row r="2239" spans="1:17" x14ac:dyDescent="0.25">
      <c r="A2239" s="18"/>
      <c r="B2239" s="18"/>
      <c r="C2239" s="18"/>
      <c r="D2239" s="18"/>
      <c r="E2239" s="18"/>
      <c r="F2239" s="18"/>
      <c r="G2239" s="18"/>
      <c r="H2239" s="18"/>
      <c r="I2239" s="18"/>
      <c r="J2239" s="18"/>
      <c r="K2239" s="18"/>
      <c r="L2239" s="12"/>
      <c r="M2239" s="18"/>
      <c r="N2239" s="18"/>
      <c r="O2239" s="18"/>
      <c r="P2239" s="18"/>
      <c r="Q2239" s="18"/>
    </row>
    <row r="2240" spans="1:17" x14ac:dyDescent="0.25">
      <c r="A2240" s="18"/>
      <c r="B2240" s="18"/>
      <c r="C2240" s="18"/>
      <c r="D2240" s="18"/>
      <c r="E2240" s="18"/>
      <c r="F2240" s="18"/>
      <c r="G2240" s="18"/>
      <c r="H2240" s="18"/>
      <c r="I2240" s="18"/>
      <c r="J2240" s="18"/>
      <c r="K2240" s="18"/>
      <c r="L2240" s="12" t="s">
        <v>362</v>
      </c>
      <c r="M2240" s="18"/>
      <c r="N2240" s="18"/>
      <c r="O2240" s="18"/>
      <c r="P2240" s="18"/>
      <c r="Q2240" s="18"/>
    </row>
    <row r="2241" spans="1:17" ht="30" x14ac:dyDescent="0.25">
      <c r="A2241" s="18"/>
      <c r="B2241" s="18"/>
      <c r="C2241" s="18"/>
      <c r="D2241" s="18"/>
      <c r="E2241" s="18"/>
      <c r="F2241" s="18"/>
      <c r="G2241" s="18"/>
      <c r="H2241" s="18"/>
      <c r="I2241" s="18"/>
      <c r="J2241" s="18"/>
      <c r="K2241" s="18"/>
      <c r="L2241" s="12" t="s">
        <v>363</v>
      </c>
      <c r="M2241" s="18"/>
      <c r="N2241" s="18"/>
      <c r="O2241" s="18"/>
      <c r="P2241" s="18"/>
      <c r="Q2241" s="18"/>
    </row>
    <row r="2242" spans="1:17" x14ac:dyDescent="0.25">
      <c r="A2242" s="18"/>
      <c r="B2242" s="18"/>
      <c r="C2242" s="18"/>
      <c r="D2242" s="18"/>
      <c r="E2242" s="18"/>
      <c r="F2242" s="18"/>
      <c r="G2242" s="18"/>
      <c r="H2242" s="18"/>
      <c r="I2242" s="18"/>
      <c r="J2242" s="18"/>
      <c r="K2242" s="18"/>
      <c r="L2242" s="12" t="s">
        <v>364</v>
      </c>
      <c r="M2242" s="18"/>
      <c r="N2242" s="18"/>
      <c r="O2242" s="18"/>
      <c r="P2242" s="18"/>
      <c r="Q2242" s="18"/>
    </row>
    <row r="2243" spans="1:17" ht="60" x14ac:dyDescent="0.25">
      <c r="A2243" s="12" t="s">
        <v>7295</v>
      </c>
      <c r="B2243" s="12" t="s">
        <v>7298</v>
      </c>
      <c r="C2243" s="12" t="s">
        <v>7178</v>
      </c>
      <c r="D2243" s="12" t="s">
        <v>7172</v>
      </c>
      <c r="E2243" s="12" t="s">
        <v>2292</v>
      </c>
      <c r="F2243" s="12" t="s">
        <v>2293</v>
      </c>
      <c r="G2243" s="13" t="s">
        <v>6857</v>
      </c>
      <c r="H2243" s="12" t="s">
        <v>6499</v>
      </c>
      <c r="I2243" s="12"/>
      <c r="J2243" s="12"/>
      <c r="K2243" s="12"/>
      <c r="L2243" s="12"/>
      <c r="M2243" s="12" t="s">
        <v>2294</v>
      </c>
      <c r="N2243" s="12"/>
      <c r="O2243" s="12" t="s">
        <v>2295</v>
      </c>
      <c r="P2243" s="12" t="str">
        <f>HYPERLINK("https://ceds.ed.gov/cedselementdetails.aspx?termid=9079")</f>
        <v>https://ceds.ed.gov/cedselementdetails.aspx?termid=9079</v>
      </c>
      <c r="Q2243" s="12" t="str">
        <f>HYPERLINK("https://ceds.ed.gov/elementComment.aspx?elementName=Dependency Status &amp;elementID=9079", "Click here to submit comment")</f>
        <v>Click here to submit comment</v>
      </c>
    </row>
    <row r="2244" spans="1:17" ht="105" x14ac:dyDescent="0.25">
      <c r="A2244" s="12" t="s">
        <v>7295</v>
      </c>
      <c r="B2244" s="12" t="s">
        <v>7298</v>
      </c>
      <c r="C2244" s="12" t="s">
        <v>7178</v>
      </c>
      <c r="D2244" s="12" t="s">
        <v>7172</v>
      </c>
      <c r="E2244" s="12" t="s">
        <v>6272</v>
      </c>
      <c r="F2244" s="12" t="s">
        <v>6273</v>
      </c>
      <c r="G2244" s="13" t="s">
        <v>7150</v>
      </c>
      <c r="H2244" s="12" t="s">
        <v>6698</v>
      </c>
      <c r="I2244" s="12"/>
      <c r="J2244" s="12"/>
      <c r="K2244" s="12"/>
      <c r="L2244" s="12" t="s">
        <v>5713</v>
      </c>
      <c r="M2244" s="12" t="s">
        <v>6274</v>
      </c>
      <c r="N2244" s="12"/>
      <c r="O2244" s="12" t="s">
        <v>6275</v>
      </c>
      <c r="P2244" s="12" t="str">
        <f>HYPERLINK("https://ceds.ed.gov/cedselementdetails.aspx?termid=9299")</f>
        <v>https://ceds.ed.gov/cedselementdetails.aspx?termid=9299</v>
      </c>
      <c r="Q2244" s="12" t="str">
        <f>HYPERLINK("https://ceds.ed.gov/elementComment.aspx?elementName=United States Citizenship Status &amp;elementID=9299", "Click here to submit comment")</f>
        <v>Click here to submit comment</v>
      </c>
    </row>
    <row r="2245" spans="1:17" ht="150" x14ac:dyDescent="0.25">
      <c r="A2245" s="12" t="s">
        <v>7295</v>
      </c>
      <c r="B2245" s="12" t="s">
        <v>7298</v>
      </c>
      <c r="C2245" s="12" t="s">
        <v>7178</v>
      </c>
      <c r="D2245" s="12" t="s">
        <v>7172</v>
      </c>
      <c r="E2245" s="12" t="s">
        <v>6284</v>
      </c>
      <c r="F2245" s="12" t="s">
        <v>6285</v>
      </c>
      <c r="G2245" s="13" t="s">
        <v>7152</v>
      </c>
      <c r="H2245" s="12" t="s">
        <v>239</v>
      </c>
      <c r="I2245" s="12"/>
      <c r="J2245" s="12"/>
      <c r="K2245" s="12"/>
      <c r="L2245" s="12"/>
      <c r="M2245" s="12" t="s">
        <v>6286</v>
      </c>
      <c r="N2245" s="12"/>
      <c r="O2245" s="12" t="s">
        <v>6287</v>
      </c>
      <c r="P2245" s="12" t="str">
        <f>HYPERLINK("https://ceds.ed.gov/cedselementdetails.aspx?termid=9196")</f>
        <v>https://ceds.ed.gov/cedselementdetails.aspx?termid=9196</v>
      </c>
      <c r="Q2245" s="12" t="str">
        <f>HYPERLINK("https://ceds.ed.gov/elementComment.aspx?elementName=Visa Type &amp;elementID=9196", "Click here to submit comment")</f>
        <v>Click here to submit comment</v>
      </c>
    </row>
    <row r="2246" spans="1:17" ht="90" x14ac:dyDescent="0.25">
      <c r="A2246" s="12" t="s">
        <v>7295</v>
      </c>
      <c r="B2246" s="12" t="s">
        <v>7298</v>
      </c>
      <c r="C2246" s="12" t="s">
        <v>7178</v>
      </c>
      <c r="D2246" s="12" t="s">
        <v>7172</v>
      </c>
      <c r="E2246" s="12" t="s">
        <v>6251</v>
      </c>
      <c r="F2246" s="12" t="s">
        <v>6252</v>
      </c>
      <c r="G2246" s="13" t="s">
        <v>7147</v>
      </c>
      <c r="H2246" s="12" t="s">
        <v>239</v>
      </c>
      <c r="I2246" s="12"/>
      <c r="J2246" s="12"/>
      <c r="K2246" s="12"/>
      <c r="L2246" s="12"/>
      <c r="M2246" s="12" t="s">
        <v>6253</v>
      </c>
      <c r="N2246" s="12"/>
      <c r="O2246" s="12" t="s">
        <v>6254</v>
      </c>
      <c r="P2246" s="12" t="str">
        <f>HYPERLINK("https://ceds.ed.gov/cedselementdetails.aspx?termid=9297")</f>
        <v>https://ceds.ed.gov/cedselementdetails.aspx?termid=9297</v>
      </c>
      <c r="Q2246" s="12" t="str">
        <f>HYPERLINK("https://ceds.ed.gov/elementComment.aspx?elementName=Tuition Residency Type &amp;elementID=9297", "Click here to submit comment")</f>
        <v>Click here to submit comment</v>
      </c>
    </row>
    <row r="2247" spans="1:17" ht="105" x14ac:dyDescent="0.25">
      <c r="A2247" s="12" t="s">
        <v>7295</v>
      </c>
      <c r="B2247" s="12" t="s">
        <v>7298</v>
      </c>
      <c r="C2247" s="12" t="s">
        <v>7178</v>
      </c>
      <c r="D2247" s="12" t="s">
        <v>7172</v>
      </c>
      <c r="E2247" s="12" t="s">
        <v>1628</v>
      </c>
      <c r="F2247" s="12" t="s">
        <v>1629</v>
      </c>
      <c r="G2247" s="13" t="s">
        <v>6805</v>
      </c>
      <c r="H2247" s="12" t="s">
        <v>239</v>
      </c>
      <c r="I2247" s="12"/>
      <c r="J2247" s="12"/>
      <c r="K2247" s="12"/>
      <c r="L2247" s="12"/>
      <c r="M2247" s="12" t="s">
        <v>1631</v>
      </c>
      <c r="N2247" s="12"/>
      <c r="O2247" s="12" t="s">
        <v>1632</v>
      </c>
      <c r="P2247" s="12" t="str">
        <f>HYPERLINK("https://ceds.ed.gov/cedselementdetails.aspx?termid=9035")</f>
        <v>https://ceds.ed.gov/cedselementdetails.aspx?termid=9035</v>
      </c>
      <c r="Q2247" s="12" t="str">
        <f>HYPERLINK("https://ceds.ed.gov/elementComment.aspx?elementName=Campus Residency Type &amp;elementID=9035", "Click here to submit comment")</f>
        <v>Click here to submit comment</v>
      </c>
    </row>
    <row r="2248" spans="1:17" ht="165" x14ac:dyDescent="0.25">
      <c r="A2248" s="12" t="s">
        <v>7295</v>
      </c>
      <c r="B2248" s="12" t="s">
        <v>7298</v>
      </c>
      <c r="C2248" s="12" t="s">
        <v>7178</v>
      </c>
      <c r="D2248" s="12" t="s">
        <v>7172</v>
      </c>
      <c r="E2248" s="12" t="s">
        <v>4280</v>
      </c>
      <c r="F2248" s="12" t="s">
        <v>4281</v>
      </c>
      <c r="G2248" s="13" t="s">
        <v>7017</v>
      </c>
      <c r="H2248" s="12" t="s">
        <v>25</v>
      </c>
      <c r="I2248" s="12"/>
      <c r="J2248" s="12"/>
      <c r="K2248" s="12"/>
      <c r="L2248" s="12"/>
      <c r="M2248" s="12" t="s">
        <v>4282</v>
      </c>
      <c r="N2248" s="12" t="s">
        <v>4283</v>
      </c>
      <c r="O2248" s="12" t="s">
        <v>4284</v>
      </c>
      <c r="P2248" s="12" t="str">
        <f>HYPERLINK("https://ceds.ed.gov/cedselementdetails.aspx?termid=9179")</f>
        <v>https://ceds.ed.gov/cedselementdetails.aspx?termid=9179</v>
      </c>
      <c r="Q2248" s="12" t="str">
        <f>HYPERLINK("https://ceds.ed.gov/elementComment.aspx?elementName=Limited English Proficiency - Postsecondary &amp;elementID=9179", "Click here to submit comment")</f>
        <v>Click here to submit comment</v>
      </c>
    </row>
    <row r="2249" spans="1:17" ht="45" x14ac:dyDescent="0.25">
      <c r="A2249" s="12" t="s">
        <v>7295</v>
      </c>
      <c r="B2249" s="12" t="s">
        <v>7298</v>
      </c>
      <c r="C2249" s="12" t="s">
        <v>7178</v>
      </c>
      <c r="D2249" s="12" t="s">
        <v>7172</v>
      </c>
      <c r="E2249" s="12" t="s">
        <v>1859</v>
      </c>
      <c r="F2249" s="12" t="s">
        <v>1860</v>
      </c>
      <c r="G2249" s="12" t="s">
        <v>12</v>
      </c>
      <c r="H2249" s="12" t="s">
        <v>6460</v>
      </c>
      <c r="I2249" s="12"/>
      <c r="J2249" s="12" t="s">
        <v>1861</v>
      </c>
      <c r="K2249" s="12"/>
      <c r="L2249" s="12"/>
      <c r="M2249" s="12" t="s">
        <v>1862</v>
      </c>
      <c r="N2249" s="12"/>
      <c r="O2249" s="12" t="s">
        <v>1863</v>
      </c>
      <c r="P2249" s="12" t="str">
        <f>HYPERLINK("https://ceds.ed.gov/cedselementdetails.aspx?termid=9577")</f>
        <v>https://ceds.ed.gov/cedselementdetails.aspx?termid=9577</v>
      </c>
      <c r="Q2249" s="12" t="str">
        <f>HYPERLINK("https://ceds.ed.gov/elementComment.aspx?elementName=Cohort Graduation Year &amp;elementID=9577", "Click here to submit comment")</f>
        <v>Click here to submit comment</v>
      </c>
    </row>
    <row r="2250" spans="1:17" ht="165" x14ac:dyDescent="0.25">
      <c r="A2250" s="12" t="s">
        <v>7295</v>
      </c>
      <c r="B2250" s="12" t="s">
        <v>7298</v>
      </c>
      <c r="C2250" s="12" t="s">
        <v>7178</v>
      </c>
      <c r="D2250" s="12" t="s">
        <v>7172</v>
      </c>
      <c r="E2250" s="12" t="s">
        <v>4376</v>
      </c>
      <c r="F2250" s="12" t="s">
        <v>4377</v>
      </c>
      <c r="G2250" s="13" t="s">
        <v>7025</v>
      </c>
      <c r="H2250" s="12"/>
      <c r="I2250" s="12" t="s">
        <v>98</v>
      </c>
      <c r="J2250" s="12"/>
      <c r="K2250" s="12"/>
      <c r="L2250" s="12"/>
      <c r="M2250" s="12" t="s">
        <v>4378</v>
      </c>
      <c r="N2250" s="12"/>
      <c r="O2250" s="12" t="s">
        <v>4379</v>
      </c>
      <c r="P2250" s="12" t="str">
        <f>HYPERLINK("https://ceds.ed.gov/cedselementdetails.aspx?termid=10194")</f>
        <v>https://ceds.ed.gov/cedselementdetails.aspx?termid=10194</v>
      </c>
      <c r="Q2250" s="12" t="str">
        <f>HYPERLINK("https://ceds.ed.gov/elementComment.aspx?elementName=Maternal Guardian Education &amp;elementID=10194", "Click here to submit comment")</f>
        <v>Click here to submit comment</v>
      </c>
    </row>
    <row r="2251" spans="1:17" ht="75" x14ac:dyDescent="0.25">
      <c r="A2251" s="12" t="s">
        <v>7295</v>
      </c>
      <c r="B2251" s="12" t="s">
        <v>7298</v>
      </c>
      <c r="C2251" s="12" t="s">
        <v>7178</v>
      </c>
      <c r="D2251" s="12" t="s">
        <v>7172</v>
      </c>
      <c r="E2251" s="12" t="s">
        <v>4472</v>
      </c>
      <c r="F2251" s="12" t="s">
        <v>4473</v>
      </c>
      <c r="G2251" s="13" t="s">
        <v>7034</v>
      </c>
      <c r="H2251" s="12"/>
      <c r="I2251" s="12"/>
      <c r="J2251" s="12"/>
      <c r="K2251" s="12"/>
      <c r="L2251" s="12"/>
      <c r="M2251" s="12" t="s">
        <v>4474</v>
      </c>
      <c r="N2251" s="12"/>
      <c r="O2251" s="12" t="s">
        <v>4475</v>
      </c>
      <c r="P2251" s="12" t="str">
        <f>HYPERLINK("https://ceds.ed.gov/cedselementdetails.aspx?termid=10556")</f>
        <v>https://ceds.ed.gov/cedselementdetails.aspx?termid=10556</v>
      </c>
      <c r="Q2251" s="12" t="str">
        <f>HYPERLINK("https://ceds.ed.gov/elementComment.aspx?elementName=Military Active Student Indicator &amp;elementID=10556", "Click here to submit comment")</f>
        <v>Click here to submit comment</v>
      </c>
    </row>
    <row r="2252" spans="1:17" ht="105" x14ac:dyDescent="0.25">
      <c r="A2252" s="12" t="s">
        <v>7295</v>
      </c>
      <c r="B2252" s="12" t="s">
        <v>7298</v>
      </c>
      <c r="C2252" s="12" t="s">
        <v>7178</v>
      </c>
      <c r="D2252" s="12" t="s">
        <v>7172</v>
      </c>
      <c r="E2252" s="12" t="s">
        <v>4476</v>
      </c>
      <c r="F2252" s="12" t="s">
        <v>4477</v>
      </c>
      <c r="G2252" s="13" t="s">
        <v>7035</v>
      </c>
      <c r="H2252" s="12"/>
      <c r="I2252" s="12" t="s">
        <v>1498</v>
      </c>
      <c r="J2252" s="12"/>
      <c r="K2252" s="12"/>
      <c r="L2252" s="12"/>
      <c r="M2252" s="12" t="s">
        <v>4478</v>
      </c>
      <c r="N2252" s="12"/>
      <c r="O2252" s="12" t="s">
        <v>4479</v>
      </c>
      <c r="P2252" s="12" t="str">
        <f>HYPERLINK("https://ceds.ed.gov/cedselementdetails.aspx?termid=10621")</f>
        <v>https://ceds.ed.gov/cedselementdetails.aspx?termid=10621</v>
      </c>
      <c r="Q2252" s="12" t="str">
        <f>HYPERLINK("https://ceds.ed.gov/elementComment.aspx?elementName=Military Branch &amp;elementID=10621", "Click here to submit comment")</f>
        <v>Click here to submit comment</v>
      </c>
    </row>
    <row r="2253" spans="1:17" ht="75" x14ac:dyDescent="0.25">
      <c r="A2253" s="12" t="s">
        <v>7295</v>
      </c>
      <c r="B2253" s="12" t="s">
        <v>7298</v>
      </c>
      <c r="C2253" s="12" t="s">
        <v>7178</v>
      </c>
      <c r="D2253" s="12" t="s">
        <v>7172</v>
      </c>
      <c r="E2253" s="12" t="s">
        <v>4489</v>
      </c>
      <c r="F2253" s="12" t="s">
        <v>4490</v>
      </c>
      <c r="G2253" s="13" t="s">
        <v>7037</v>
      </c>
      <c r="H2253" s="12"/>
      <c r="I2253" s="12"/>
      <c r="J2253" s="12"/>
      <c r="K2253" s="12"/>
      <c r="L2253" s="12"/>
      <c r="M2253" s="12" t="s">
        <v>4491</v>
      </c>
      <c r="N2253" s="12"/>
      <c r="O2253" s="12" t="s">
        <v>4492</v>
      </c>
      <c r="P2253" s="12" t="str">
        <f>HYPERLINK("https://ceds.ed.gov/cedselementdetails.aspx?termid=10557")</f>
        <v>https://ceds.ed.gov/cedselementdetails.aspx?termid=10557</v>
      </c>
      <c r="Q2253" s="12" t="str">
        <f>HYPERLINK("https://ceds.ed.gov/elementComment.aspx?elementName=Military Veteran Student Indicator &amp;elementID=10557", "Click here to submit comment")</f>
        <v>Click here to submit comment</v>
      </c>
    </row>
    <row r="2254" spans="1:17" ht="60" x14ac:dyDescent="0.25">
      <c r="A2254" s="12" t="s">
        <v>7295</v>
      </c>
      <c r="B2254" s="12" t="s">
        <v>7298</v>
      </c>
      <c r="C2254" s="12" t="s">
        <v>7178</v>
      </c>
      <c r="D2254" s="12" t="s">
        <v>7172</v>
      </c>
      <c r="E2254" s="12" t="s">
        <v>4605</v>
      </c>
      <c r="F2254" s="12" t="s">
        <v>4606</v>
      </c>
      <c r="G2254" s="12" t="s">
        <v>12</v>
      </c>
      <c r="H2254" s="12"/>
      <c r="I2254" s="12"/>
      <c r="J2254" s="12" t="s">
        <v>620</v>
      </c>
      <c r="K2254" s="12"/>
      <c r="L2254" s="12"/>
      <c r="M2254" s="12" t="s">
        <v>4607</v>
      </c>
      <c r="N2254" s="12"/>
      <c r="O2254" s="12" t="s">
        <v>4608</v>
      </c>
      <c r="P2254" s="12" t="str">
        <f>HYPERLINK("https://ceds.ed.gov/cedselementdetails.aspx?termid=10384")</f>
        <v>https://ceds.ed.gov/cedselementdetails.aspx?termid=10384</v>
      </c>
      <c r="Q2254" s="12" t="str">
        <f>HYPERLINK("https://ceds.ed.gov/elementComment.aspx?elementName=Number of Dependents &amp;elementID=10384", "Click here to submit comment")</f>
        <v>Click here to submit comment</v>
      </c>
    </row>
    <row r="2255" spans="1:17" ht="165" x14ac:dyDescent="0.25">
      <c r="A2255" s="12" t="s">
        <v>7295</v>
      </c>
      <c r="B2255" s="12" t="s">
        <v>7298</v>
      </c>
      <c r="C2255" s="12" t="s">
        <v>7178</v>
      </c>
      <c r="D2255" s="12" t="s">
        <v>7172</v>
      </c>
      <c r="E2255" s="12" t="s">
        <v>4765</v>
      </c>
      <c r="F2255" s="12" t="s">
        <v>4766</v>
      </c>
      <c r="G2255" s="13" t="s">
        <v>7025</v>
      </c>
      <c r="H2255" s="12"/>
      <c r="I2255" s="12" t="s">
        <v>98</v>
      </c>
      <c r="J2255" s="12"/>
      <c r="K2255" s="12"/>
      <c r="L2255" s="12"/>
      <c r="M2255" s="12" t="s">
        <v>4767</v>
      </c>
      <c r="N2255" s="12"/>
      <c r="O2255" s="12" t="s">
        <v>4768</v>
      </c>
      <c r="P2255" s="12" t="str">
        <f>HYPERLINK("https://ceds.ed.gov/cedselementdetails.aspx?termid=10195")</f>
        <v>https://ceds.ed.gov/cedselementdetails.aspx?termid=10195</v>
      </c>
      <c r="Q2255" s="12" t="str">
        <f>HYPERLINK("https://ceds.ed.gov/elementComment.aspx?elementName=Paternal Guardian Education &amp;elementID=10195", "Click here to submit comment")</f>
        <v>Click here to submit comment</v>
      </c>
    </row>
    <row r="2256" spans="1:17" ht="105" x14ac:dyDescent="0.25">
      <c r="A2256" s="12" t="s">
        <v>7295</v>
      </c>
      <c r="B2256" s="12" t="s">
        <v>7298</v>
      </c>
      <c r="C2256" s="12" t="s">
        <v>7178</v>
      </c>
      <c r="D2256" s="12" t="s">
        <v>7172</v>
      </c>
      <c r="E2256" s="12" t="s">
        <v>5728</v>
      </c>
      <c r="F2256" s="12" t="s">
        <v>5729</v>
      </c>
      <c r="G2256" s="12" t="s">
        <v>6364</v>
      </c>
      <c r="H2256" s="12" t="s">
        <v>6460</v>
      </c>
      <c r="I2256" s="12"/>
      <c r="J2256" s="12"/>
      <c r="K2256" s="12"/>
      <c r="L2256" s="12"/>
      <c r="M2256" s="12" t="s">
        <v>5730</v>
      </c>
      <c r="N2256" s="12"/>
      <c r="O2256" s="12" t="s">
        <v>5731</v>
      </c>
      <c r="P2256" s="12" t="str">
        <f>HYPERLINK("https://ceds.ed.gov/cedselementdetails.aspx?termid=9573")</f>
        <v>https://ceds.ed.gov/cedselementdetails.aspx?termid=9573</v>
      </c>
      <c r="Q2256" s="12" t="str">
        <f>HYPERLINK("https://ceds.ed.gov/elementComment.aspx?elementName=Single Parent Or Single Pregnant Woman Status &amp;elementID=9573", "Click here to submit comment")</f>
        <v>Click here to submit comment</v>
      </c>
    </row>
    <row r="2257" spans="1:17" ht="270" x14ac:dyDescent="0.25">
      <c r="A2257" s="12" t="s">
        <v>7295</v>
      </c>
      <c r="B2257" s="12" t="s">
        <v>7298</v>
      </c>
      <c r="C2257" s="12" t="s">
        <v>7299</v>
      </c>
      <c r="D2257" s="12" t="s">
        <v>7172</v>
      </c>
      <c r="E2257" s="12" t="s">
        <v>5894</v>
      </c>
      <c r="F2257" s="12" t="s">
        <v>5895</v>
      </c>
      <c r="G2257" s="13" t="s">
        <v>7119</v>
      </c>
      <c r="H2257" s="12" t="s">
        <v>239</v>
      </c>
      <c r="I2257" s="12"/>
      <c r="J2257" s="12"/>
      <c r="K2257" s="12"/>
      <c r="L2257" s="12"/>
      <c r="M2257" s="12" t="s">
        <v>5896</v>
      </c>
      <c r="N2257" s="12"/>
      <c r="O2257" s="12" t="s">
        <v>5897</v>
      </c>
      <c r="P2257" s="12" t="str">
        <f>HYPERLINK("https://ceds.ed.gov/cedselementdetails.aspx?termid=9266")</f>
        <v>https://ceds.ed.gov/cedselementdetails.aspx?termid=9266</v>
      </c>
      <c r="Q2257" s="12" t="str">
        <f>HYPERLINK("https://ceds.ed.gov/elementComment.aspx?elementName=Standardized Admission Test Type &amp;elementID=9266", "Click here to submit comment")</f>
        <v>Click here to submit comment</v>
      </c>
    </row>
    <row r="2258" spans="1:17" ht="45" x14ac:dyDescent="0.25">
      <c r="A2258" s="12" t="s">
        <v>7295</v>
      </c>
      <c r="B2258" s="12" t="s">
        <v>7298</v>
      </c>
      <c r="C2258" s="12" t="s">
        <v>7299</v>
      </c>
      <c r="D2258" s="12" t="s">
        <v>7172</v>
      </c>
      <c r="E2258" s="12" t="s">
        <v>5889</v>
      </c>
      <c r="F2258" s="12" t="s">
        <v>5890</v>
      </c>
      <c r="G2258" s="12" t="s">
        <v>12</v>
      </c>
      <c r="H2258" s="12" t="s">
        <v>239</v>
      </c>
      <c r="I2258" s="12"/>
      <c r="J2258" s="12" t="s">
        <v>157</v>
      </c>
      <c r="K2258" s="12"/>
      <c r="L2258" s="12"/>
      <c r="M2258" s="12" t="s">
        <v>5892</v>
      </c>
      <c r="N2258" s="12"/>
      <c r="O2258" s="12" t="s">
        <v>5893</v>
      </c>
      <c r="P2258" s="12" t="str">
        <f>HYPERLINK("https://ceds.ed.gov/cedselementdetails.aspx?termid=9265")</f>
        <v>https://ceds.ed.gov/cedselementdetails.aspx?termid=9265</v>
      </c>
      <c r="Q2258" s="12" t="str">
        <f>HYPERLINK("https://ceds.ed.gov/elementComment.aspx?elementName=Standardized Admission Test Score &amp;elementID=9265", "Click here to submit comment")</f>
        <v>Click here to submit comment</v>
      </c>
    </row>
    <row r="2259" spans="1:17" x14ac:dyDescent="0.25">
      <c r="A2259" s="18" t="s">
        <v>7295</v>
      </c>
      <c r="B2259" s="18" t="s">
        <v>7298</v>
      </c>
      <c r="C2259" s="18" t="s">
        <v>7300</v>
      </c>
      <c r="D2259" s="18" t="s">
        <v>7172</v>
      </c>
      <c r="E2259" s="18" t="s">
        <v>2923</v>
      </c>
      <c r="F2259" s="18" t="s">
        <v>2924</v>
      </c>
      <c r="G2259" s="18" t="s">
        <v>6364</v>
      </c>
      <c r="H2259" s="18" t="s">
        <v>250</v>
      </c>
      <c r="I2259" s="18"/>
      <c r="J2259" s="18"/>
      <c r="K2259" s="18"/>
      <c r="L2259" s="12" t="s">
        <v>2926</v>
      </c>
      <c r="M2259" s="18" t="s">
        <v>2928</v>
      </c>
      <c r="N2259" s="18"/>
      <c r="O2259" s="18" t="s">
        <v>2929</v>
      </c>
      <c r="P2259" s="18" t="str">
        <f>HYPERLINK("https://ceds.ed.gov/cedselementdetails.aspx?termid=9745")</f>
        <v>https://ceds.ed.gov/cedselementdetails.aspx?termid=9745</v>
      </c>
      <c r="Q2259" s="18" t="str">
        <f>HYPERLINK("https://ceds.ed.gov/elementComment.aspx?elementName=Financial Aid Applicant &amp;elementID=9745", "Click here to submit comment")</f>
        <v>Click here to submit comment</v>
      </c>
    </row>
    <row r="2260" spans="1:17" ht="45" x14ac:dyDescent="0.25">
      <c r="A2260" s="18"/>
      <c r="B2260" s="18"/>
      <c r="C2260" s="18"/>
      <c r="D2260" s="18"/>
      <c r="E2260" s="18"/>
      <c r="F2260" s="18"/>
      <c r="G2260" s="18"/>
      <c r="H2260" s="18"/>
      <c r="I2260" s="18"/>
      <c r="J2260" s="18"/>
      <c r="K2260" s="18"/>
      <c r="L2260" s="12" t="s">
        <v>2927</v>
      </c>
      <c r="M2260" s="18"/>
      <c r="N2260" s="18"/>
      <c r="O2260" s="18"/>
      <c r="P2260" s="18"/>
      <c r="Q2260" s="18"/>
    </row>
    <row r="2261" spans="1:17" ht="120" x14ac:dyDescent="0.25">
      <c r="A2261" s="12" t="s">
        <v>7295</v>
      </c>
      <c r="B2261" s="12" t="s">
        <v>7298</v>
      </c>
      <c r="C2261" s="12" t="s">
        <v>7300</v>
      </c>
      <c r="D2261" s="12" t="s">
        <v>7172</v>
      </c>
      <c r="E2261" s="12" t="s">
        <v>2930</v>
      </c>
      <c r="F2261" s="12" t="s">
        <v>2931</v>
      </c>
      <c r="G2261" s="13" t="s">
        <v>6923</v>
      </c>
      <c r="H2261" s="12" t="s">
        <v>250</v>
      </c>
      <c r="I2261" s="12"/>
      <c r="J2261" s="12"/>
      <c r="K2261" s="12"/>
      <c r="L2261" s="12" t="s">
        <v>2932</v>
      </c>
      <c r="M2261" s="12" t="s">
        <v>2933</v>
      </c>
      <c r="N2261" s="12"/>
      <c r="O2261" s="12" t="s">
        <v>2934</v>
      </c>
      <c r="P2261" s="12" t="str">
        <f>HYPERLINK("https://ceds.ed.gov/cedselementdetails.aspx?termid=10186")</f>
        <v>https://ceds.ed.gov/cedselementdetails.aspx?termid=10186</v>
      </c>
      <c r="Q2261" s="12" t="str">
        <f>HYPERLINK("https://ceds.ed.gov/elementComment.aspx?elementName=Financial Aid Application Type &amp;elementID=10186", "Click here to submit comment")</f>
        <v>Click here to submit comment</v>
      </c>
    </row>
    <row r="2262" spans="1:17" ht="60" x14ac:dyDescent="0.25">
      <c r="A2262" s="12" t="s">
        <v>7295</v>
      </c>
      <c r="B2262" s="12" t="s">
        <v>7298</v>
      </c>
      <c r="C2262" s="12" t="s">
        <v>7300</v>
      </c>
      <c r="D2262" s="12" t="s">
        <v>7172</v>
      </c>
      <c r="E2262" s="12" t="s">
        <v>2989</v>
      </c>
      <c r="F2262" s="12" t="s">
        <v>2990</v>
      </c>
      <c r="G2262" s="12" t="s">
        <v>12</v>
      </c>
      <c r="H2262" s="12" t="s">
        <v>250</v>
      </c>
      <c r="I2262" s="12"/>
      <c r="J2262" s="12" t="s">
        <v>2613</v>
      </c>
      <c r="K2262" s="12"/>
      <c r="L2262" s="12" t="s">
        <v>2991</v>
      </c>
      <c r="M2262" s="12" t="s">
        <v>2992</v>
      </c>
      <c r="N2262" s="12"/>
      <c r="O2262" s="12" t="s">
        <v>2993</v>
      </c>
      <c r="P2262" s="12" t="str">
        <f>HYPERLINK("https://ceds.ed.gov/cedselementdetails.aspx?termid=9747")</f>
        <v>https://ceds.ed.gov/cedselementdetails.aspx?termid=9747</v>
      </c>
      <c r="Q2262" s="12" t="str">
        <f>HYPERLINK("https://ceds.ed.gov/elementComment.aspx?elementName=Financial Need &amp;elementID=9747", "Click here to submit comment")</f>
        <v>Click here to submit comment</v>
      </c>
    </row>
    <row r="2263" spans="1:17" ht="45" x14ac:dyDescent="0.25">
      <c r="A2263" s="12" t="s">
        <v>7295</v>
      </c>
      <c r="B2263" s="12" t="s">
        <v>7298</v>
      </c>
      <c r="C2263" s="12" t="s">
        <v>7300</v>
      </c>
      <c r="D2263" s="12" t="s">
        <v>7172</v>
      </c>
      <c r="E2263" s="12" t="s">
        <v>2994</v>
      </c>
      <c r="F2263" s="12" t="s">
        <v>2995</v>
      </c>
      <c r="G2263" s="13" t="s">
        <v>6931</v>
      </c>
      <c r="H2263" s="12" t="s">
        <v>250</v>
      </c>
      <c r="I2263" s="12"/>
      <c r="J2263" s="12"/>
      <c r="K2263" s="12"/>
      <c r="L2263" s="12" t="s">
        <v>2996</v>
      </c>
      <c r="M2263" s="12" t="s">
        <v>2997</v>
      </c>
      <c r="N2263" s="12"/>
      <c r="O2263" s="12" t="s">
        <v>2998</v>
      </c>
      <c r="P2263" s="12" t="str">
        <f>HYPERLINK("https://ceds.ed.gov/cedselementdetails.aspx?termid=10188")</f>
        <v>https://ceds.ed.gov/cedselementdetails.aspx?termid=10188</v>
      </c>
      <c r="Q2263" s="12" t="str">
        <f>HYPERLINK("https://ceds.ed.gov/elementComment.aspx?elementName=Financial Need Determination Methodology &amp;elementID=10188", "Click here to submit comment")</f>
        <v>Click here to submit comment</v>
      </c>
    </row>
    <row r="2264" spans="1:17" ht="30" x14ac:dyDescent="0.25">
      <c r="A2264" s="18" t="s">
        <v>7295</v>
      </c>
      <c r="B2264" s="18" t="s">
        <v>7298</v>
      </c>
      <c r="C2264" s="18" t="s">
        <v>7300</v>
      </c>
      <c r="D2264" s="18" t="s">
        <v>7172</v>
      </c>
      <c r="E2264" s="18" t="s">
        <v>2941</v>
      </c>
      <c r="F2264" s="18" t="s">
        <v>2942</v>
      </c>
      <c r="G2264" s="20" t="s">
        <v>6924</v>
      </c>
      <c r="H2264" s="18" t="s">
        <v>6538</v>
      </c>
      <c r="I2264" s="18"/>
      <c r="J2264" s="18"/>
      <c r="K2264" s="18"/>
      <c r="L2264" s="12" t="s">
        <v>2943</v>
      </c>
      <c r="M2264" s="18" t="s">
        <v>2945</v>
      </c>
      <c r="N2264" s="18"/>
      <c r="O2264" s="18" t="s">
        <v>2946</v>
      </c>
      <c r="P2264" s="18" t="str">
        <f>HYPERLINK("https://ceds.ed.gov/cedselementdetails.aspx?termid=9362")</f>
        <v>https://ceds.ed.gov/cedselementdetails.aspx?termid=9362</v>
      </c>
      <c r="Q2264" s="18" t="str">
        <f>HYPERLINK("https://ceds.ed.gov/elementComment.aspx?elementName=Financial Aid Award Status &amp;elementID=9362", "Click here to submit comment")</f>
        <v>Click here to submit comment</v>
      </c>
    </row>
    <row r="2265" spans="1:17" ht="30" x14ac:dyDescent="0.25">
      <c r="A2265" s="18"/>
      <c r="B2265" s="18"/>
      <c r="C2265" s="18"/>
      <c r="D2265" s="18"/>
      <c r="E2265" s="18"/>
      <c r="F2265" s="18"/>
      <c r="G2265" s="18"/>
      <c r="H2265" s="18"/>
      <c r="I2265" s="18"/>
      <c r="J2265" s="18"/>
      <c r="K2265" s="18"/>
      <c r="L2265" s="12" t="s">
        <v>2944</v>
      </c>
      <c r="M2265" s="18"/>
      <c r="N2265" s="18"/>
      <c r="O2265" s="18"/>
      <c r="P2265" s="18"/>
      <c r="Q2265" s="18"/>
    </row>
    <row r="2266" spans="1:17" x14ac:dyDescent="0.25">
      <c r="A2266" s="18" t="s">
        <v>7295</v>
      </c>
      <c r="B2266" s="18" t="s">
        <v>7298</v>
      </c>
      <c r="C2266" s="18" t="s">
        <v>7300</v>
      </c>
      <c r="D2266" s="18" t="s">
        <v>7172</v>
      </c>
      <c r="E2266" s="18" t="s">
        <v>2947</v>
      </c>
      <c r="F2266" s="18" t="s">
        <v>2948</v>
      </c>
      <c r="G2266" s="20" t="s">
        <v>6925</v>
      </c>
      <c r="H2266" s="18" t="s">
        <v>6538</v>
      </c>
      <c r="I2266" s="18"/>
      <c r="J2266" s="18"/>
      <c r="K2266" s="18"/>
      <c r="L2266" s="12" t="s">
        <v>2949</v>
      </c>
      <c r="M2266" s="18" t="s">
        <v>2950</v>
      </c>
      <c r="N2266" s="18"/>
      <c r="O2266" s="18" t="s">
        <v>2951</v>
      </c>
      <c r="P2266" s="18" t="str">
        <f>HYPERLINK("https://ceds.ed.gov/cedselementdetails.aspx?termid=9113")</f>
        <v>https://ceds.ed.gov/cedselementdetails.aspx?termid=9113</v>
      </c>
      <c r="Q2266" s="18" t="str">
        <f>HYPERLINK("https://ceds.ed.gov/elementComment.aspx?elementName=Financial Aid Award Type &amp;elementID=9113", "Click here to submit comment")</f>
        <v>Click here to submit comment</v>
      </c>
    </row>
    <row r="2267" spans="1:17" ht="45" x14ac:dyDescent="0.25">
      <c r="A2267" s="18"/>
      <c r="B2267" s="18"/>
      <c r="C2267" s="18"/>
      <c r="D2267" s="18"/>
      <c r="E2267" s="18"/>
      <c r="F2267" s="18"/>
      <c r="G2267" s="18"/>
      <c r="H2267" s="18"/>
      <c r="I2267" s="18"/>
      <c r="J2267" s="18"/>
      <c r="K2267" s="18"/>
      <c r="L2267" s="12" t="s">
        <v>2938</v>
      </c>
      <c r="M2267" s="18"/>
      <c r="N2267" s="18"/>
      <c r="O2267" s="18"/>
      <c r="P2267" s="18"/>
      <c r="Q2267" s="18"/>
    </row>
    <row r="2268" spans="1:17" x14ac:dyDescent="0.25">
      <c r="A2268" s="18" t="s">
        <v>7295</v>
      </c>
      <c r="B2268" s="18" t="s">
        <v>7298</v>
      </c>
      <c r="C2268" s="18" t="s">
        <v>7300</v>
      </c>
      <c r="D2268" s="18" t="s">
        <v>7172</v>
      </c>
      <c r="E2268" s="18" t="s">
        <v>2935</v>
      </c>
      <c r="F2268" s="18" t="s">
        <v>2936</v>
      </c>
      <c r="G2268" s="18" t="s">
        <v>12</v>
      </c>
      <c r="H2268" s="18" t="s">
        <v>6538</v>
      </c>
      <c r="I2268" s="18"/>
      <c r="J2268" s="18" t="s">
        <v>1554</v>
      </c>
      <c r="K2268" s="18"/>
      <c r="L2268" s="12" t="s">
        <v>2937</v>
      </c>
      <c r="M2268" s="18" t="s">
        <v>2939</v>
      </c>
      <c r="N2268" s="18"/>
      <c r="O2268" s="18" t="s">
        <v>2940</v>
      </c>
      <c r="P2268" s="18" t="str">
        <f>HYPERLINK("https://ceds.ed.gov/cedselementdetails.aspx?termid=9112")</f>
        <v>https://ceds.ed.gov/cedselementdetails.aspx?termid=9112</v>
      </c>
      <c r="Q2268" s="18" t="str">
        <f>HYPERLINK("https://ceds.ed.gov/elementComment.aspx?elementName=Financial Aid Award Amount &amp;elementID=9112", "Click here to submit comment")</f>
        <v>Click here to submit comment</v>
      </c>
    </row>
    <row r="2269" spans="1:17" ht="45" x14ac:dyDescent="0.25">
      <c r="A2269" s="18"/>
      <c r="B2269" s="18"/>
      <c r="C2269" s="18"/>
      <c r="D2269" s="18"/>
      <c r="E2269" s="18"/>
      <c r="F2269" s="18"/>
      <c r="G2269" s="18"/>
      <c r="H2269" s="18"/>
      <c r="I2269" s="18"/>
      <c r="J2269" s="18"/>
      <c r="K2269" s="18"/>
      <c r="L2269" s="12" t="s">
        <v>2938</v>
      </c>
      <c r="M2269" s="18"/>
      <c r="N2269" s="18"/>
      <c r="O2269" s="18"/>
      <c r="P2269" s="18"/>
      <c r="Q2269" s="18"/>
    </row>
    <row r="2270" spans="1:17" ht="150" x14ac:dyDescent="0.25">
      <c r="A2270" s="12" t="s">
        <v>7295</v>
      </c>
      <c r="B2270" s="12" t="s">
        <v>7298</v>
      </c>
      <c r="C2270" s="12" t="s">
        <v>7300</v>
      </c>
      <c r="D2270" s="12" t="s">
        <v>7172</v>
      </c>
      <c r="E2270" s="12" t="s">
        <v>2952</v>
      </c>
      <c r="F2270" s="12" t="s">
        <v>2953</v>
      </c>
      <c r="G2270" s="12" t="s">
        <v>12</v>
      </c>
      <c r="H2270" s="12"/>
      <c r="I2270" s="12"/>
      <c r="J2270" s="12" t="s">
        <v>1554</v>
      </c>
      <c r="K2270" s="12"/>
      <c r="L2270" s="12"/>
      <c r="M2270" s="12" t="s">
        <v>2954</v>
      </c>
      <c r="N2270" s="12"/>
      <c r="O2270" s="12" t="s">
        <v>2955</v>
      </c>
      <c r="P2270" s="12" t="str">
        <f>HYPERLINK("https://ceds.ed.gov/cedselementdetails.aspx?termid=10319")</f>
        <v>https://ceds.ed.gov/cedselementdetails.aspx?termid=10319</v>
      </c>
      <c r="Q2270" s="12" t="str">
        <f>HYPERLINK("https://ceds.ed.gov/elementComment.aspx?elementName=Financial Aid Income Level &amp;elementID=10319", "Click here to submit comment")</f>
        <v>Click here to submit comment</v>
      </c>
    </row>
    <row r="2271" spans="1:17" ht="105" x14ac:dyDescent="0.25">
      <c r="A2271" s="12" t="s">
        <v>7295</v>
      </c>
      <c r="B2271" s="12" t="s">
        <v>7298</v>
      </c>
      <c r="C2271" s="12" t="s">
        <v>7300</v>
      </c>
      <c r="D2271" s="12" t="s">
        <v>7172</v>
      </c>
      <c r="E2271" s="12" t="s">
        <v>2956</v>
      </c>
      <c r="F2271" s="12" t="s">
        <v>2957</v>
      </c>
      <c r="G2271" s="13" t="s">
        <v>6926</v>
      </c>
      <c r="H2271" s="12" t="s">
        <v>2017</v>
      </c>
      <c r="I2271" s="12"/>
      <c r="J2271" s="12"/>
      <c r="K2271" s="12"/>
      <c r="L2271" s="12"/>
      <c r="M2271" s="12" t="s">
        <v>2958</v>
      </c>
      <c r="N2271" s="12"/>
      <c r="O2271" s="12" t="s">
        <v>2959</v>
      </c>
      <c r="P2271" s="12" t="str">
        <f>HYPERLINK("https://ceds.ed.gov/cedselementdetails.aspx?termid=10588")</f>
        <v>https://ceds.ed.gov/cedselementdetails.aspx?termid=10588</v>
      </c>
      <c r="Q2271" s="12" t="str">
        <f>HYPERLINK("https://ceds.ed.gov/elementComment.aspx?elementName=Financial Aid Veteran’s Benefit Status &amp;elementID=10588", "Click here to submit comment")</f>
        <v>Click here to submit comment</v>
      </c>
    </row>
    <row r="2272" spans="1:17" ht="60" x14ac:dyDescent="0.25">
      <c r="A2272" s="12" t="s">
        <v>7295</v>
      </c>
      <c r="B2272" s="12" t="s">
        <v>7298</v>
      </c>
      <c r="C2272" s="12" t="s">
        <v>7300</v>
      </c>
      <c r="D2272" s="12" t="s">
        <v>7172</v>
      </c>
      <c r="E2272" s="12" t="s">
        <v>2960</v>
      </c>
      <c r="F2272" s="12" t="s">
        <v>2961</v>
      </c>
      <c r="G2272" s="13" t="s">
        <v>6927</v>
      </c>
      <c r="H2272" s="12" t="s">
        <v>239</v>
      </c>
      <c r="I2272" s="12"/>
      <c r="J2272" s="12"/>
      <c r="K2272" s="12"/>
      <c r="L2272" s="12"/>
      <c r="M2272" s="12" t="s">
        <v>2962</v>
      </c>
      <c r="N2272" s="12"/>
      <c r="O2272" s="12" t="s">
        <v>2963</v>
      </c>
      <c r="P2272" s="12" t="str">
        <f>HYPERLINK("https://ceds.ed.gov/cedselementdetails.aspx?termid=10589")</f>
        <v>https://ceds.ed.gov/cedselementdetails.aspx?termid=10589</v>
      </c>
      <c r="Q2272" s="12" t="str">
        <f>HYPERLINK("https://ceds.ed.gov/elementComment.aspx?elementName=Financial Aid Veteran’s Benefit Type &amp;elementID=10589", "Click here to submit comment")</f>
        <v>Click here to submit comment</v>
      </c>
    </row>
    <row r="2273" spans="1:17" ht="60" x14ac:dyDescent="0.25">
      <c r="A2273" s="12" t="s">
        <v>7295</v>
      </c>
      <c r="B2273" s="12" t="s">
        <v>7298</v>
      </c>
      <c r="C2273" s="12" t="s">
        <v>7300</v>
      </c>
      <c r="D2273" s="12" t="s">
        <v>7172</v>
      </c>
      <c r="E2273" s="12" t="s">
        <v>2964</v>
      </c>
      <c r="F2273" s="12" t="s">
        <v>2965</v>
      </c>
      <c r="G2273" s="12" t="s">
        <v>12</v>
      </c>
      <c r="H2273" s="12" t="s">
        <v>2308</v>
      </c>
      <c r="I2273" s="12"/>
      <c r="J2273" s="12" t="s">
        <v>45</v>
      </c>
      <c r="K2273" s="12"/>
      <c r="L2273" s="12"/>
      <c r="M2273" s="12" t="s">
        <v>2966</v>
      </c>
      <c r="N2273" s="12"/>
      <c r="O2273" s="12" t="s">
        <v>2967</v>
      </c>
      <c r="P2273" s="12" t="str">
        <f>HYPERLINK("https://ceds.ed.gov/cedselementdetails.aspx?termid=10590")</f>
        <v>https://ceds.ed.gov/cedselementdetails.aspx?termid=10590</v>
      </c>
      <c r="Q2273" s="12" t="str">
        <f>HYPERLINK("https://ceds.ed.gov/elementComment.aspx?elementName=Financial Aid Year Designator &amp;elementID=10590", "Click here to submit comment")</f>
        <v>Click here to submit comment</v>
      </c>
    </row>
    <row r="2274" spans="1:17" ht="60" x14ac:dyDescent="0.25">
      <c r="A2274" s="12" t="s">
        <v>7295</v>
      </c>
      <c r="B2274" s="12" t="s">
        <v>7298</v>
      </c>
      <c r="C2274" s="12" t="s">
        <v>7258</v>
      </c>
      <c r="D2274" s="12" t="s">
        <v>7172</v>
      </c>
      <c r="E2274" s="12" t="s">
        <v>43</v>
      </c>
      <c r="F2274" s="12" t="s">
        <v>44</v>
      </c>
      <c r="G2274" s="12" t="s">
        <v>12</v>
      </c>
      <c r="H2274" s="12" t="s">
        <v>6371</v>
      </c>
      <c r="I2274" s="12"/>
      <c r="J2274" s="12" t="s">
        <v>45</v>
      </c>
      <c r="K2274" s="12"/>
      <c r="L2274" s="12"/>
      <c r="M2274" s="12" t="s">
        <v>46</v>
      </c>
      <c r="N2274" s="12"/>
      <c r="O2274" s="12" t="s">
        <v>47</v>
      </c>
      <c r="P2274" s="12" t="str">
        <f>HYPERLINK("https://ceds.ed.gov/cedselementdetails.aspx?termid=9702")</f>
        <v>https://ceds.ed.gov/cedselementdetails.aspx?termid=9702</v>
      </c>
      <c r="Q2274" s="12" t="str">
        <f>HYPERLINK("https://ceds.ed.gov/elementComment.aspx?elementName=Academic Year Designator &amp;elementID=9702", "Click here to submit comment")</f>
        <v>Click here to submit comment</v>
      </c>
    </row>
    <row r="2275" spans="1:17" ht="180" x14ac:dyDescent="0.25">
      <c r="A2275" s="12" t="s">
        <v>7295</v>
      </c>
      <c r="B2275" s="12" t="s">
        <v>7298</v>
      </c>
      <c r="C2275" s="12" t="s">
        <v>7258</v>
      </c>
      <c r="D2275" s="12" t="s">
        <v>7172</v>
      </c>
      <c r="E2275" s="12" t="s">
        <v>38</v>
      </c>
      <c r="F2275" s="12" t="s">
        <v>39</v>
      </c>
      <c r="G2275" s="13" t="s">
        <v>6721</v>
      </c>
      <c r="H2275" s="12" t="s">
        <v>6371</v>
      </c>
      <c r="I2275" s="12"/>
      <c r="J2275" s="12"/>
      <c r="K2275" s="12"/>
      <c r="L2275" s="12" t="s">
        <v>40</v>
      </c>
      <c r="M2275" s="12" t="s">
        <v>41</v>
      </c>
      <c r="N2275" s="12"/>
      <c r="O2275" s="12" t="s">
        <v>42</v>
      </c>
      <c r="P2275" s="12" t="str">
        <f>HYPERLINK("https://ceds.ed.gov/cedselementdetails.aspx?termid=9703")</f>
        <v>https://ceds.ed.gov/cedselementdetails.aspx?termid=9703</v>
      </c>
      <c r="Q2275" s="12" t="str">
        <f>HYPERLINK("https://ceds.ed.gov/elementComment.aspx?elementName=Academic Term Designator &amp;elementID=9703", "Click here to submit comment")</f>
        <v>Click here to submit comment</v>
      </c>
    </row>
    <row r="2276" spans="1:17" ht="180" x14ac:dyDescent="0.25">
      <c r="A2276" s="12" t="s">
        <v>7295</v>
      </c>
      <c r="B2276" s="12" t="s">
        <v>7298</v>
      </c>
      <c r="C2276" s="12" t="s">
        <v>7258</v>
      </c>
      <c r="D2276" s="12" t="s">
        <v>7172</v>
      </c>
      <c r="E2276" s="12" t="s">
        <v>3103</v>
      </c>
      <c r="F2276" s="12" t="s">
        <v>3104</v>
      </c>
      <c r="G2276" s="12" t="s">
        <v>12</v>
      </c>
      <c r="H2276" s="12" t="s">
        <v>6548</v>
      </c>
      <c r="I2276" s="12"/>
      <c r="J2276" s="12" t="s">
        <v>3100</v>
      </c>
      <c r="K2276" s="12"/>
      <c r="L2276" s="12" t="s">
        <v>3105</v>
      </c>
      <c r="M2276" s="12" t="s">
        <v>3106</v>
      </c>
      <c r="N2276" s="12" t="s">
        <v>3107</v>
      </c>
      <c r="O2276" s="12" t="s">
        <v>3108</v>
      </c>
      <c r="P2276" s="12" t="str">
        <f>HYPERLINK("https://ceds.ed.gov/cedselementdetails.aspx?termid=9128")</f>
        <v>https://ceds.ed.gov/cedselementdetails.aspx?termid=9128</v>
      </c>
      <c r="Q2276" s="12" t="str">
        <f>HYPERLINK("https://ceds.ed.gov/elementComment.aspx?elementName=Grade Point Average Cumulative &amp;elementID=9128", "Click here to submit comment")</f>
        <v>Click here to submit comment</v>
      </c>
    </row>
    <row r="2277" spans="1:17" ht="75" x14ac:dyDescent="0.25">
      <c r="A2277" s="12" t="s">
        <v>7295</v>
      </c>
      <c r="B2277" s="12" t="s">
        <v>7298</v>
      </c>
      <c r="C2277" s="12" t="s">
        <v>7258</v>
      </c>
      <c r="D2277" s="12" t="s">
        <v>7172</v>
      </c>
      <c r="E2277" s="12" t="s">
        <v>2430</v>
      </c>
      <c r="F2277" s="12" t="s">
        <v>2431</v>
      </c>
      <c r="G2277" s="12" t="s">
        <v>12</v>
      </c>
      <c r="H2277" s="12" t="s">
        <v>25</v>
      </c>
      <c r="I2277" s="12"/>
      <c r="J2277" s="12" t="s">
        <v>1554</v>
      </c>
      <c r="K2277" s="12"/>
      <c r="L2277" s="12"/>
      <c r="M2277" s="12" t="s">
        <v>2432</v>
      </c>
      <c r="N2277" s="12"/>
      <c r="O2277" s="12" t="s">
        <v>2433</v>
      </c>
      <c r="P2277" s="12" t="str">
        <f>HYPERLINK("https://ceds.ed.gov/cedselementdetails.aspx?termid=9085")</f>
        <v>https://ceds.ed.gov/cedselementdetails.aspx?termid=9085</v>
      </c>
      <c r="Q2277" s="12" t="str">
        <f>HYPERLINK("https://ceds.ed.gov/elementComment.aspx?elementName=Dual Credit Dual Enrollment Credits Awarded &amp;elementID=9085", "Click here to submit comment")</f>
        <v>Click here to submit comment</v>
      </c>
    </row>
    <row r="2278" spans="1:17" ht="90" x14ac:dyDescent="0.25">
      <c r="A2278" s="12" t="s">
        <v>7295</v>
      </c>
      <c r="B2278" s="12" t="s">
        <v>7298</v>
      </c>
      <c r="C2278" s="12" t="s">
        <v>7258</v>
      </c>
      <c r="D2278" s="12" t="s">
        <v>7172</v>
      </c>
      <c r="E2278" s="12" t="s">
        <v>314</v>
      </c>
      <c r="F2278" s="12" t="s">
        <v>315</v>
      </c>
      <c r="G2278" s="12" t="s">
        <v>12</v>
      </c>
      <c r="H2278" s="12" t="s">
        <v>25</v>
      </c>
      <c r="I2278" s="12"/>
      <c r="J2278" s="12" t="s">
        <v>317</v>
      </c>
      <c r="K2278" s="12"/>
      <c r="L2278" s="12"/>
      <c r="M2278" s="12" t="s">
        <v>318</v>
      </c>
      <c r="N2278" s="12" t="s">
        <v>319</v>
      </c>
      <c r="O2278" s="12" t="s">
        <v>320</v>
      </c>
      <c r="P2278" s="12" t="str">
        <f>HYPERLINK("https://ceds.ed.gov/cedselementdetails.aspx?termid=9018")</f>
        <v>https://ceds.ed.gov/cedselementdetails.aspx?termid=9018</v>
      </c>
      <c r="Q2278" s="12" t="str">
        <f>HYPERLINK("https://ceds.ed.gov/elementComment.aspx?elementName=Advanced Placement Credits Awarded &amp;elementID=9018", "Click here to submit comment")</f>
        <v>Click here to submit comment</v>
      </c>
    </row>
    <row r="2279" spans="1:17" ht="45" x14ac:dyDescent="0.25">
      <c r="A2279" s="12" t="s">
        <v>7295</v>
      </c>
      <c r="B2279" s="12" t="s">
        <v>7298</v>
      </c>
      <c r="C2279" s="12" t="s">
        <v>7258</v>
      </c>
      <c r="D2279" s="12" t="s">
        <v>7172</v>
      </c>
      <c r="E2279" s="12" t="s">
        <v>3098</v>
      </c>
      <c r="F2279" s="12" t="s">
        <v>3099</v>
      </c>
      <c r="G2279" s="12" t="s">
        <v>12</v>
      </c>
      <c r="H2279" s="12" t="s">
        <v>25</v>
      </c>
      <c r="I2279" s="12"/>
      <c r="J2279" s="12" t="s">
        <v>3100</v>
      </c>
      <c r="K2279" s="12"/>
      <c r="L2279" s="12"/>
      <c r="M2279" s="12" t="s">
        <v>3101</v>
      </c>
      <c r="N2279" s="12"/>
      <c r="O2279" s="12" t="s">
        <v>3102</v>
      </c>
      <c r="P2279" s="12" t="str">
        <f>HYPERLINK("https://ceds.ed.gov/cedselementdetails.aspx?termid=9127")</f>
        <v>https://ceds.ed.gov/cedselementdetails.aspx?termid=9127</v>
      </c>
      <c r="Q2279" s="12" t="str">
        <f>HYPERLINK("https://ceds.ed.gov/elementComment.aspx?elementName=Grade Point Average &amp;elementID=9127", "Click here to submit comment")</f>
        <v>Click here to submit comment</v>
      </c>
    </row>
    <row r="2280" spans="1:17" ht="45" x14ac:dyDescent="0.25">
      <c r="A2280" s="12" t="s">
        <v>7295</v>
      </c>
      <c r="B2280" s="12" t="s">
        <v>7298</v>
      </c>
      <c r="C2280" s="12" t="s">
        <v>7258</v>
      </c>
      <c r="D2280" s="12" t="s">
        <v>7172</v>
      </c>
      <c r="E2280" s="12" t="s">
        <v>2150</v>
      </c>
      <c r="F2280" s="12" t="s">
        <v>2151</v>
      </c>
      <c r="G2280" s="12" t="s">
        <v>12</v>
      </c>
      <c r="H2280" s="12"/>
      <c r="I2280" s="12"/>
      <c r="J2280" s="12" t="s">
        <v>620</v>
      </c>
      <c r="K2280" s="12"/>
      <c r="L2280" s="12"/>
      <c r="M2280" s="12" t="s">
        <v>2152</v>
      </c>
      <c r="N2280" s="12"/>
      <c r="O2280" s="12" t="s">
        <v>2153</v>
      </c>
      <c r="P2280" s="12" t="str">
        <f>HYPERLINK("https://ceds.ed.gov/cedselementdetails.aspx?termid=10282")</f>
        <v>https://ceds.ed.gov/cedselementdetails.aspx?termid=10282</v>
      </c>
      <c r="Q2280" s="12" t="str">
        <f>HYPERLINK("https://ceds.ed.gov/elementComment.aspx?elementName=Course Total &amp;elementID=10282", "Click here to submit comment")</f>
        <v>Click here to submit comment</v>
      </c>
    </row>
    <row r="2281" spans="1:17" ht="60" x14ac:dyDescent="0.25">
      <c r="A2281" s="12" t="s">
        <v>7295</v>
      </c>
      <c r="B2281" s="12" t="s">
        <v>7298</v>
      </c>
      <c r="C2281" s="12" t="s">
        <v>7261</v>
      </c>
      <c r="D2281" s="12" t="s">
        <v>7172</v>
      </c>
      <c r="E2281" s="12" t="s">
        <v>10</v>
      </c>
      <c r="F2281" s="12" t="s">
        <v>11</v>
      </c>
      <c r="G2281" s="12" t="s">
        <v>12</v>
      </c>
      <c r="H2281" s="12" t="s">
        <v>6367</v>
      </c>
      <c r="I2281" s="12"/>
      <c r="J2281" s="12" t="s">
        <v>13</v>
      </c>
      <c r="K2281" s="12"/>
      <c r="L2281" s="12"/>
      <c r="M2281" s="12" t="s">
        <v>14</v>
      </c>
      <c r="N2281" s="12"/>
      <c r="O2281" s="12" t="s">
        <v>15</v>
      </c>
      <c r="P2281" s="12" t="str">
        <f>HYPERLINK("https://ceds.ed.gov/cedselementdetails.aspx?termid=9001")</f>
        <v>https://ceds.ed.gov/cedselementdetails.aspx?termid=9001</v>
      </c>
      <c r="Q2281" s="12" t="str">
        <f>HYPERLINK("https://ceds.ed.gov/elementComment.aspx?elementName=Academic Award Date &amp;elementID=9001", "Click here to submit comment")</f>
        <v>Click here to submit comment</v>
      </c>
    </row>
    <row r="2282" spans="1:17" ht="285" x14ac:dyDescent="0.25">
      <c r="A2282" s="12" t="s">
        <v>7295</v>
      </c>
      <c r="B2282" s="12" t="s">
        <v>7298</v>
      </c>
      <c r="C2282" s="12" t="s">
        <v>7261</v>
      </c>
      <c r="D2282" s="12" t="s">
        <v>7172</v>
      </c>
      <c r="E2282" s="12" t="s">
        <v>16</v>
      </c>
      <c r="F2282" s="12" t="s">
        <v>17</v>
      </c>
      <c r="G2282" s="13" t="s">
        <v>6718</v>
      </c>
      <c r="H2282" s="12" t="s">
        <v>6368</v>
      </c>
      <c r="I2282" s="12"/>
      <c r="J2282" s="12"/>
      <c r="K2282" s="12"/>
      <c r="L2282" s="12"/>
      <c r="M2282" s="12" t="s">
        <v>18</v>
      </c>
      <c r="N2282" s="12"/>
      <c r="O2282" s="12" t="s">
        <v>19</v>
      </c>
      <c r="P2282" s="12" t="str">
        <f>HYPERLINK("https://ceds.ed.gov/cedselementdetails.aspx?termid=9002")</f>
        <v>https://ceds.ed.gov/cedselementdetails.aspx?termid=9002</v>
      </c>
      <c r="Q2282" s="12" t="str">
        <f>HYPERLINK("https://ceds.ed.gov/elementComment.aspx?elementName=Academic Award Level Conferred &amp;elementID=9002", "Click here to submit comment")</f>
        <v>Click here to submit comment</v>
      </c>
    </row>
    <row r="2283" spans="1:17" ht="30" x14ac:dyDescent="0.25">
      <c r="A2283" s="12" t="s">
        <v>7295</v>
      </c>
      <c r="B2283" s="12" t="s">
        <v>7298</v>
      </c>
      <c r="C2283" s="12" t="s">
        <v>7261</v>
      </c>
      <c r="D2283" s="12" t="s">
        <v>7172</v>
      </c>
      <c r="E2283" s="12" t="s">
        <v>20</v>
      </c>
      <c r="F2283" s="12" t="s">
        <v>21</v>
      </c>
      <c r="G2283" s="12" t="s">
        <v>12</v>
      </c>
      <c r="H2283" s="12" t="s">
        <v>25</v>
      </c>
      <c r="I2283" s="12"/>
      <c r="J2283" s="12" t="s">
        <v>22</v>
      </c>
      <c r="K2283" s="12"/>
      <c r="L2283" s="12"/>
      <c r="M2283" s="12" t="s">
        <v>23</v>
      </c>
      <c r="N2283" s="12"/>
      <c r="O2283" s="12" t="s">
        <v>24</v>
      </c>
      <c r="P2283" s="12" t="str">
        <f>HYPERLINK("https://ceds.ed.gov/cedselementdetails.aspx?termid=9003")</f>
        <v>https://ceds.ed.gov/cedselementdetails.aspx?termid=9003</v>
      </c>
      <c r="Q2283" s="12" t="str">
        <f>HYPERLINK("https://ceds.ed.gov/elementComment.aspx?elementName=Academic Award Title &amp;elementID=9003", "Click here to submit comment")</f>
        <v>Click here to submit comment</v>
      </c>
    </row>
    <row r="2284" spans="1:17" ht="75" x14ac:dyDescent="0.25">
      <c r="A2284" s="12" t="s">
        <v>7295</v>
      </c>
      <c r="B2284" s="12" t="s">
        <v>7298</v>
      </c>
      <c r="C2284" s="12" t="s">
        <v>7261</v>
      </c>
      <c r="D2284" s="12" t="s">
        <v>7172</v>
      </c>
      <c r="E2284" s="12" t="s">
        <v>1826</v>
      </c>
      <c r="F2284" s="12" t="s">
        <v>1827</v>
      </c>
      <c r="G2284" s="14" t="s">
        <v>1828</v>
      </c>
      <c r="H2284" s="12" t="s">
        <v>6368</v>
      </c>
      <c r="I2284" s="12"/>
      <c r="J2284" s="12"/>
      <c r="K2284" s="12"/>
      <c r="L2284" s="12"/>
      <c r="M2284" s="12" t="s">
        <v>1829</v>
      </c>
      <c r="N2284" s="12" t="s">
        <v>1830</v>
      </c>
      <c r="O2284" s="12" t="s">
        <v>1831</v>
      </c>
      <c r="P2284" s="12" t="str">
        <f>HYPERLINK("https://ceds.ed.gov/cedselementdetails.aspx?termid=9043")</f>
        <v>https://ceds.ed.gov/cedselementdetails.aspx?termid=9043</v>
      </c>
      <c r="Q2284" s="12" t="str">
        <f>HYPERLINK("https://ceds.ed.gov/elementComment.aspx?elementName=Classification of Instructional Program Code &amp;elementID=9043", "Click here to submit comment")</f>
        <v>Click here to submit comment</v>
      </c>
    </row>
    <row r="2285" spans="1:17" ht="135" x14ac:dyDescent="0.25">
      <c r="A2285" s="12" t="s">
        <v>7295</v>
      </c>
      <c r="B2285" s="12" t="s">
        <v>7298</v>
      </c>
      <c r="C2285" s="12" t="s">
        <v>7261</v>
      </c>
      <c r="D2285" s="12" t="s">
        <v>7172</v>
      </c>
      <c r="E2285" s="12" t="s">
        <v>1832</v>
      </c>
      <c r="F2285" s="12" t="s">
        <v>1833</v>
      </c>
      <c r="G2285" s="13" t="s">
        <v>6818</v>
      </c>
      <c r="H2285" s="12" t="s">
        <v>6380</v>
      </c>
      <c r="I2285" s="12"/>
      <c r="J2285" s="12"/>
      <c r="K2285" s="12"/>
      <c r="L2285" s="12"/>
      <c r="M2285" s="12" t="s">
        <v>1834</v>
      </c>
      <c r="N2285" s="12" t="s">
        <v>1835</v>
      </c>
      <c r="O2285" s="12" t="s">
        <v>1836</v>
      </c>
      <c r="P2285" s="12" t="str">
        <f>HYPERLINK("https://ceds.ed.gov/cedselementdetails.aspx?termid=9044")</f>
        <v>https://ceds.ed.gov/cedselementdetails.aspx?termid=9044</v>
      </c>
      <c r="Q2285" s="12" t="str">
        <f>HYPERLINK("https://ceds.ed.gov/elementComment.aspx?elementName=Classification of Instructional Program Use &amp;elementID=9044", "Click here to submit comment")</f>
        <v>Click here to submit comment</v>
      </c>
    </row>
    <row r="2286" spans="1:17" ht="90" x14ac:dyDescent="0.25">
      <c r="A2286" s="12" t="s">
        <v>7295</v>
      </c>
      <c r="B2286" s="12" t="s">
        <v>7298</v>
      </c>
      <c r="C2286" s="12" t="s">
        <v>7261</v>
      </c>
      <c r="D2286" s="12" t="s">
        <v>7172</v>
      </c>
      <c r="E2286" s="12" t="s">
        <v>1837</v>
      </c>
      <c r="F2286" s="12" t="s">
        <v>1838</v>
      </c>
      <c r="G2286" s="13" t="s">
        <v>6819</v>
      </c>
      <c r="H2286" s="12" t="s">
        <v>6380</v>
      </c>
      <c r="I2286" s="12"/>
      <c r="J2286" s="12"/>
      <c r="K2286" s="12"/>
      <c r="L2286" s="12"/>
      <c r="M2286" s="12" t="s">
        <v>1839</v>
      </c>
      <c r="N2286" s="12" t="s">
        <v>1840</v>
      </c>
      <c r="O2286" s="12" t="s">
        <v>1841</v>
      </c>
      <c r="P2286" s="12" t="str">
        <f>HYPERLINK("https://ceds.ed.gov/cedselementdetails.aspx?termid=9045")</f>
        <v>https://ceds.ed.gov/cedselementdetails.aspx?termid=9045</v>
      </c>
      <c r="Q2286" s="12" t="str">
        <f>HYPERLINK("https://ceds.ed.gov/elementComment.aspx?elementName=Classification of Instructional Program Version &amp;elementID=9045", "Click here to submit comment")</f>
        <v>Click here to submit comment</v>
      </c>
    </row>
    <row r="2287" spans="1:17" ht="270" x14ac:dyDescent="0.25">
      <c r="A2287" s="12" t="s">
        <v>7295</v>
      </c>
      <c r="B2287" s="12" t="s">
        <v>7298</v>
      </c>
      <c r="C2287" s="12" t="s">
        <v>7261</v>
      </c>
      <c r="D2287" s="12" t="s">
        <v>7172</v>
      </c>
      <c r="E2287" s="12" t="s">
        <v>2170</v>
      </c>
      <c r="F2287" s="12" t="s">
        <v>2171</v>
      </c>
      <c r="G2287" s="13" t="s">
        <v>6850</v>
      </c>
      <c r="H2287" s="12"/>
      <c r="I2287" s="12"/>
      <c r="J2287" s="12"/>
      <c r="K2287" s="12"/>
      <c r="L2287" s="12"/>
      <c r="M2287" s="12" t="s">
        <v>2172</v>
      </c>
      <c r="N2287" s="12"/>
      <c r="O2287" s="12" t="s">
        <v>2173</v>
      </c>
      <c r="P2287" s="12" t="str">
        <f>HYPERLINK("https://ceds.ed.gov/cedselementdetails.aspx?termid=10283")</f>
        <v>https://ceds.ed.gov/cedselementdetails.aspx?termid=10283</v>
      </c>
      <c r="Q2287" s="12" t="str">
        <f>HYPERLINK("https://ceds.ed.gov/elementComment.aspx?elementName=Credit Hours Applied Other Program &amp;elementID=10283", "Click here to submit comment")</f>
        <v>Click here to submit comment</v>
      </c>
    </row>
    <row r="2288" spans="1:17" ht="135" x14ac:dyDescent="0.25">
      <c r="A2288" s="12" t="s">
        <v>7295</v>
      </c>
      <c r="B2288" s="12" t="s">
        <v>7298</v>
      </c>
      <c r="C2288" s="12" t="s">
        <v>7261</v>
      </c>
      <c r="D2288" s="12" t="s">
        <v>7172</v>
      </c>
      <c r="E2288" s="12" t="s">
        <v>2326</v>
      </c>
      <c r="F2288" s="12" t="s">
        <v>2327</v>
      </c>
      <c r="G2288" s="12" t="s">
        <v>12</v>
      </c>
      <c r="H2288" s="12" t="s">
        <v>6502</v>
      </c>
      <c r="I2288" s="12"/>
      <c r="J2288" s="12" t="s">
        <v>2328</v>
      </c>
      <c r="K2288" s="12"/>
      <c r="L2288" s="12"/>
      <c r="M2288" s="12" t="s">
        <v>2329</v>
      </c>
      <c r="N2288" s="12"/>
      <c r="O2288" s="12" t="s">
        <v>2330</v>
      </c>
      <c r="P2288" s="12" t="str">
        <f>HYPERLINK("https://ceds.ed.gov/cedselementdetails.aspx?termid=9081")</f>
        <v>https://ceds.ed.gov/cedselementdetails.aspx?termid=9081</v>
      </c>
      <c r="Q2288" s="12" t="str">
        <f>HYPERLINK("https://ceds.ed.gov/elementComment.aspx?elementName=Diploma or Credential Award Date &amp;elementID=9081", "Click here to submit comment")</f>
        <v>Click here to submit comment</v>
      </c>
    </row>
    <row r="2289" spans="1:17" ht="150" x14ac:dyDescent="0.25">
      <c r="A2289" s="12" t="s">
        <v>7295</v>
      </c>
      <c r="B2289" s="12" t="s">
        <v>7298</v>
      </c>
      <c r="C2289" s="12" t="s">
        <v>7261</v>
      </c>
      <c r="D2289" s="12" t="s">
        <v>7172</v>
      </c>
      <c r="E2289" s="12" t="s">
        <v>2425</v>
      </c>
      <c r="F2289" s="12" t="s">
        <v>2426</v>
      </c>
      <c r="G2289" s="13" t="s">
        <v>6873</v>
      </c>
      <c r="H2289" s="12"/>
      <c r="I2289" s="12" t="s">
        <v>1498</v>
      </c>
      <c r="J2289" s="12"/>
      <c r="K2289" s="12"/>
      <c r="L2289" s="14" t="s">
        <v>2427</v>
      </c>
      <c r="M2289" s="12" t="s">
        <v>2428</v>
      </c>
      <c r="N2289" s="12"/>
      <c r="O2289" s="12" t="s">
        <v>2429</v>
      </c>
      <c r="P2289" s="12" t="str">
        <f>HYPERLINK("https://ceds.ed.gov/cedselementdetails.aspx?termid=10622")</f>
        <v>https://ceds.ed.gov/cedselementdetails.aspx?termid=10622</v>
      </c>
      <c r="Q2289" s="12" t="str">
        <f>HYPERLINK("https://ceds.ed.gov/elementComment.aspx?elementName=DQP Categories of Learning &amp;elementID=10622", "Click here to submit comment")</f>
        <v>Click here to submit comment</v>
      </c>
    </row>
    <row r="2290" spans="1:17" ht="75" x14ac:dyDescent="0.25">
      <c r="A2290" s="12" t="s">
        <v>7295</v>
      </c>
      <c r="B2290" s="12" t="s">
        <v>7298</v>
      </c>
      <c r="C2290" s="12" t="s">
        <v>7261</v>
      </c>
      <c r="D2290" s="12" t="s">
        <v>7172</v>
      </c>
      <c r="E2290" s="12" t="s">
        <v>4880</v>
      </c>
      <c r="F2290" s="12" t="s">
        <v>4881</v>
      </c>
      <c r="G2290" s="13" t="s">
        <v>7058</v>
      </c>
      <c r="H2290" s="12" t="s">
        <v>6630</v>
      </c>
      <c r="I2290" s="12"/>
      <c r="J2290" s="12"/>
      <c r="K2290" s="12"/>
      <c r="L2290" s="12"/>
      <c r="M2290" s="12" t="s">
        <v>4882</v>
      </c>
      <c r="N2290" s="12"/>
      <c r="O2290" s="12" t="s">
        <v>4883</v>
      </c>
      <c r="P2290" s="12" t="str">
        <f>HYPERLINK("https://ceds.ed.gov/cedselementdetails.aspx?termid=10595")</f>
        <v>https://ceds.ed.gov/cedselementdetails.aspx?termid=10595</v>
      </c>
      <c r="Q2290" s="12" t="str">
        <f>HYPERLINK("https://ceds.ed.gov/elementComment.aspx?elementName=Postsecondary Program Level &amp;elementID=10595", "Click here to submit comment")</f>
        <v>Click here to submit comment</v>
      </c>
    </row>
    <row r="2291" spans="1:17" ht="195" x14ac:dyDescent="0.25">
      <c r="A2291" s="12" t="s">
        <v>7295</v>
      </c>
      <c r="B2291" s="12" t="s">
        <v>7298</v>
      </c>
      <c r="C2291" s="12" t="s">
        <v>7261</v>
      </c>
      <c r="D2291" s="12" t="s">
        <v>7172</v>
      </c>
      <c r="E2291" s="12" t="s">
        <v>5107</v>
      </c>
      <c r="F2291" s="12" t="s">
        <v>5108</v>
      </c>
      <c r="G2291" s="13" t="s">
        <v>7076</v>
      </c>
      <c r="H2291" s="12"/>
      <c r="I2291" s="12"/>
      <c r="J2291" s="12"/>
      <c r="K2291" s="12"/>
      <c r="L2291" s="12"/>
      <c r="M2291" s="12" t="s">
        <v>5109</v>
      </c>
      <c r="N2291" s="12"/>
      <c r="O2291" s="12" t="s">
        <v>5110</v>
      </c>
      <c r="P2291" s="12" t="str">
        <f>HYPERLINK("https://ceds.ed.gov/cedselementdetails.aspx?termid=9780")</f>
        <v>https://ceds.ed.gov/cedselementdetails.aspx?termid=9780</v>
      </c>
      <c r="Q2291" s="12" t="str">
        <f>HYPERLINK("https://ceds.ed.gov/elementComment.aspx?elementName=Professional or Technical Credential Conferred &amp;elementID=9780", "Click here to submit comment")</f>
        <v>Click here to submit comment</v>
      </c>
    </row>
    <row r="2292" spans="1:17" ht="105" x14ac:dyDescent="0.25">
      <c r="A2292" s="18" t="s">
        <v>7295</v>
      </c>
      <c r="B2292" s="18" t="s">
        <v>7298</v>
      </c>
      <c r="C2292" s="18" t="s">
        <v>7261</v>
      </c>
      <c r="D2292" s="18" t="s">
        <v>7172</v>
      </c>
      <c r="E2292" s="18" t="s">
        <v>5141</v>
      </c>
      <c r="F2292" s="18" t="s">
        <v>5142</v>
      </c>
      <c r="G2292" s="18" t="s">
        <v>12</v>
      </c>
      <c r="H2292" s="18" t="s">
        <v>2017</v>
      </c>
      <c r="I2292" s="18"/>
      <c r="J2292" s="18" t="s">
        <v>142</v>
      </c>
      <c r="K2292" s="18"/>
      <c r="L2292" s="12" t="s">
        <v>143</v>
      </c>
      <c r="M2292" s="18" t="s">
        <v>5143</v>
      </c>
      <c r="N2292" s="18"/>
      <c r="O2292" s="18" t="s">
        <v>5144</v>
      </c>
      <c r="P2292" s="18" t="str">
        <f>HYPERLINK("https://ceds.ed.gov/cedselementdetails.aspx?termid=9618")</f>
        <v>https://ceds.ed.gov/cedselementdetails.aspx?termid=9618</v>
      </c>
      <c r="Q2292" s="18" t="str">
        <f>HYPERLINK("https://ceds.ed.gov/elementComment.aspx?elementName=Program Identifier &amp;elementID=9618", "Click here to submit comment")</f>
        <v>Click here to submit comment</v>
      </c>
    </row>
    <row r="2293" spans="1:17" x14ac:dyDescent="0.25">
      <c r="A2293" s="18"/>
      <c r="B2293" s="18"/>
      <c r="C2293" s="18"/>
      <c r="D2293" s="18"/>
      <c r="E2293" s="18"/>
      <c r="F2293" s="18"/>
      <c r="G2293" s="18"/>
      <c r="H2293" s="18"/>
      <c r="I2293" s="18"/>
      <c r="J2293" s="18"/>
      <c r="K2293" s="18"/>
      <c r="L2293" s="12"/>
      <c r="M2293" s="18"/>
      <c r="N2293" s="18"/>
      <c r="O2293" s="18"/>
      <c r="P2293" s="18"/>
      <c r="Q2293" s="18"/>
    </row>
    <row r="2294" spans="1:17" ht="90" x14ac:dyDescent="0.25">
      <c r="A2294" s="18"/>
      <c r="B2294" s="18"/>
      <c r="C2294" s="18"/>
      <c r="D2294" s="18"/>
      <c r="E2294" s="18"/>
      <c r="F2294" s="18"/>
      <c r="G2294" s="18"/>
      <c r="H2294" s="18"/>
      <c r="I2294" s="18"/>
      <c r="J2294" s="18"/>
      <c r="K2294" s="18"/>
      <c r="L2294" s="12" t="s">
        <v>144</v>
      </c>
      <c r="M2294" s="18"/>
      <c r="N2294" s="18"/>
      <c r="O2294" s="18"/>
      <c r="P2294" s="18"/>
      <c r="Q2294" s="18"/>
    </row>
    <row r="2295" spans="1:17" ht="105" x14ac:dyDescent="0.25">
      <c r="A2295" s="18" t="s">
        <v>7295</v>
      </c>
      <c r="B2295" s="18" t="s">
        <v>7298</v>
      </c>
      <c r="C2295" s="18" t="s">
        <v>7260</v>
      </c>
      <c r="D2295" s="18" t="s">
        <v>7176</v>
      </c>
      <c r="E2295" s="18" t="s">
        <v>140</v>
      </c>
      <c r="F2295" s="18" t="s">
        <v>141</v>
      </c>
      <c r="G2295" s="18" t="s">
        <v>12</v>
      </c>
      <c r="H2295" s="18" t="s">
        <v>6369</v>
      </c>
      <c r="I2295" s="18"/>
      <c r="J2295" s="18" t="s">
        <v>142</v>
      </c>
      <c r="K2295" s="18"/>
      <c r="L2295" s="12" t="s">
        <v>143</v>
      </c>
      <c r="M2295" s="18" t="s">
        <v>145</v>
      </c>
      <c r="N2295" s="18"/>
      <c r="O2295" s="18" t="s">
        <v>146</v>
      </c>
      <c r="P2295" s="18" t="str">
        <f>HYPERLINK("https://ceds.ed.gov/cedselementdetails.aspx?termid=9006")</f>
        <v>https://ceds.ed.gov/cedselementdetails.aspx?termid=9006</v>
      </c>
      <c r="Q2295" s="18" t="str">
        <f>HYPERLINK("https://ceds.ed.gov/elementComment.aspx?elementName=Activity Identifier &amp;elementID=9006", "Click here to submit comment")</f>
        <v>Click here to submit comment</v>
      </c>
    </row>
    <row r="2296" spans="1:17" x14ac:dyDescent="0.25">
      <c r="A2296" s="18"/>
      <c r="B2296" s="18"/>
      <c r="C2296" s="18"/>
      <c r="D2296" s="18"/>
      <c r="E2296" s="18"/>
      <c r="F2296" s="18"/>
      <c r="G2296" s="18"/>
      <c r="H2296" s="18"/>
      <c r="I2296" s="18"/>
      <c r="J2296" s="18"/>
      <c r="K2296" s="18"/>
      <c r="L2296" s="12"/>
      <c r="M2296" s="18"/>
      <c r="N2296" s="18"/>
      <c r="O2296" s="18"/>
      <c r="P2296" s="18"/>
      <c r="Q2296" s="18"/>
    </row>
    <row r="2297" spans="1:17" ht="90" x14ac:dyDescent="0.25">
      <c r="A2297" s="18"/>
      <c r="B2297" s="18"/>
      <c r="C2297" s="18"/>
      <c r="D2297" s="18"/>
      <c r="E2297" s="18"/>
      <c r="F2297" s="18"/>
      <c r="G2297" s="18"/>
      <c r="H2297" s="18"/>
      <c r="I2297" s="18"/>
      <c r="J2297" s="18"/>
      <c r="K2297" s="18"/>
      <c r="L2297" s="12" t="s">
        <v>144</v>
      </c>
      <c r="M2297" s="18"/>
      <c r="N2297" s="18"/>
      <c r="O2297" s="18"/>
      <c r="P2297" s="18"/>
      <c r="Q2297" s="18"/>
    </row>
    <row r="2298" spans="1:17" ht="90" x14ac:dyDescent="0.25">
      <c r="A2298" s="12" t="s">
        <v>7295</v>
      </c>
      <c r="B2298" s="12" t="s">
        <v>7298</v>
      </c>
      <c r="C2298" s="12" t="s">
        <v>7260</v>
      </c>
      <c r="D2298" s="12" t="s">
        <v>7176</v>
      </c>
      <c r="E2298" s="12" t="s">
        <v>136</v>
      </c>
      <c r="F2298" s="12" t="s">
        <v>137</v>
      </c>
      <c r="G2298" s="12" t="s">
        <v>12</v>
      </c>
      <c r="H2298" s="12"/>
      <c r="I2298" s="12"/>
      <c r="J2298" s="12" t="s">
        <v>68</v>
      </c>
      <c r="K2298" s="12"/>
      <c r="L2298" s="12"/>
      <c r="M2298" s="12" t="s">
        <v>138</v>
      </c>
      <c r="N2298" s="12"/>
      <c r="O2298" s="12" t="s">
        <v>139</v>
      </c>
      <c r="P2298" s="12" t="str">
        <f>HYPERLINK("https://ceds.ed.gov/cedselementdetails.aspx?termid=10505")</f>
        <v>https://ceds.ed.gov/cedselementdetails.aspx?termid=10505</v>
      </c>
      <c r="Q2298" s="12" t="str">
        <f>HYPERLINK("https://ceds.ed.gov/elementComment.aspx?elementName=Activity Description &amp;elementID=10505", "Click here to submit comment")</f>
        <v>Click here to submit comment</v>
      </c>
    </row>
    <row r="2299" spans="1:17" ht="90" x14ac:dyDescent="0.25">
      <c r="A2299" s="12" t="s">
        <v>7295</v>
      </c>
      <c r="B2299" s="12" t="s">
        <v>7298</v>
      </c>
      <c r="C2299" s="12" t="s">
        <v>7260</v>
      </c>
      <c r="D2299" s="12" t="s">
        <v>7176</v>
      </c>
      <c r="E2299" s="12" t="s">
        <v>147</v>
      </c>
      <c r="F2299" s="12" t="s">
        <v>148</v>
      </c>
      <c r="G2299" s="12" t="s">
        <v>12</v>
      </c>
      <c r="H2299" s="12" t="s">
        <v>6369</v>
      </c>
      <c r="I2299" s="12"/>
      <c r="J2299" s="12" t="s">
        <v>73</v>
      </c>
      <c r="K2299" s="12"/>
      <c r="L2299" s="12"/>
      <c r="M2299" s="12" t="s">
        <v>149</v>
      </c>
      <c r="N2299" s="12"/>
      <c r="O2299" s="12" t="s">
        <v>150</v>
      </c>
      <c r="P2299" s="12" t="str">
        <f>HYPERLINK("https://ceds.ed.gov/cedselementdetails.aspx?termid=9007")</f>
        <v>https://ceds.ed.gov/cedselementdetails.aspx?termid=9007</v>
      </c>
      <c r="Q2299" s="12" t="str">
        <f>HYPERLINK("https://ceds.ed.gov/elementComment.aspx?elementName=Activity Involvement Begin Date &amp;elementID=9007", "Click here to submit comment")</f>
        <v>Click here to submit comment</v>
      </c>
    </row>
    <row r="2300" spans="1:17" ht="90" x14ac:dyDescent="0.25">
      <c r="A2300" s="12" t="s">
        <v>7295</v>
      </c>
      <c r="B2300" s="12" t="s">
        <v>7298</v>
      </c>
      <c r="C2300" s="12" t="s">
        <v>7260</v>
      </c>
      <c r="D2300" s="12" t="s">
        <v>7176</v>
      </c>
      <c r="E2300" s="12" t="s">
        <v>164</v>
      </c>
      <c r="F2300" s="12" t="s">
        <v>165</v>
      </c>
      <c r="G2300" s="12" t="s">
        <v>12</v>
      </c>
      <c r="H2300" s="12" t="s">
        <v>6369</v>
      </c>
      <c r="I2300" s="12"/>
      <c r="J2300" s="12" t="s">
        <v>99</v>
      </c>
      <c r="K2300" s="12"/>
      <c r="L2300" s="12"/>
      <c r="M2300" s="12" t="s">
        <v>166</v>
      </c>
      <c r="N2300" s="12"/>
      <c r="O2300" s="12" t="s">
        <v>167</v>
      </c>
      <c r="P2300" s="12" t="str">
        <f>HYPERLINK("https://ceds.ed.gov/cedselementdetails.aspx?termid=9009")</f>
        <v>https://ceds.ed.gov/cedselementdetails.aspx?termid=9009</v>
      </c>
      <c r="Q2300" s="12" t="str">
        <f>HYPERLINK("https://ceds.ed.gov/elementComment.aspx?elementName=Activity Title &amp;elementID=9009", "Click here to submit comment")</f>
        <v>Click here to submit comment</v>
      </c>
    </row>
    <row r="2301" spans="1:17" ht="90" x14ac:dyDescent="0.25">
      <c r="A2301" s="12" t="s">
        <v>7295</v>
      </c>
      <c r="B2301" s="12" t="s">
        <v>7298</v>
      </c>
      <c r="C2301" s="12" t="s">
        <v>7260</v>
      </c>
      <c r="D2301" s="12" t="s">
        <v>7176</v>
      </c>
      <c r="E2301" s="12" t="s">
        <v>151</v>
      </c>
      <c r="F2301" s="12" t="s">
        <v>152</v>
      </c>
      <c r="G2301" s="12" t="s">
        <v>12</v>
      </c>
      <c r="H2301" s="12" t="s">
        <v>6369</v>
      </c>
      <c r="I2301" s="12"/>
      <c r="J2301" s="12" t="s">
        <v>73</v>
      </c>
      <c r="K2301" s="12"/>
      <c r="L2301" s="12"/>
      <c r="M2301" s="12" t="s">
        <v>153</v>
      </c>
      <c r="N2301" s="12"/>
      <c r="O2301" s="12" t="s">
        <v>154</v>
      </c>
      <c r="P2301" s="12" t="str">
        <f>HYPERLINK("https://ceds.ed.gov/cedselementdetails.aspx?termid=9008")</f>
        <v>https://ceds.ed.gov/cedselementdetails.aspx?termid=9008</v>
      </c>
      <c r="Q2301" s="12" t="str">
        <f>HYPERLINK("https://ceds.ed.gov/elementComment.aspx?elementName=Activity Involvement End Date &amp;elementID=9008", "Click here to submit comment")</f>
        <v>Click here to submit comment</v>
      </c>
    </row>
    <row r="2302" spans="1:17" ht="90" x14ac:dyDescent="0.25">
      <c r="A2302" s="12" t="s">
        <v>7295</v>
      </c>
      <c r="B2302" s="12" t="s">
        <v>7298</v>
      </c>
      <c r="C2302" s="12" t="s">
        <v>7260</v>
      </c>
      <c r="D2302" s="12" t="s">
        <v>7176</v>
      </c>
      <c r="E2302" s="12" t="s">
        <v>155</v>
      </c>
      <c r="F2302" s="12" t="s">
        <v>156</v>
      </c>
      <c r="G2302" s="12" t="s">
        <v>12</v>
      </c>
      <c r="H2302" s="12"/>
      <c r="I2302" s="12"/>
      <c r="J2302" s="12" t="s">
        <v>157</v>
      </c>
      <c r="K2302" s="12"/>
      <c r="L2302" s="12"/>
      <c r="M2302" s="12" t="s">
        <v>158</v>
      </c>
      <c r="N2302" s="12"/>
      <c r="O2302" s="12" t="s">
        <v>159</v>
      </c>
      <c r="P2302" s="12" t="str">
        <f>HYPERLINK("https://ceds.ed.gov/cedselementdetails.aspx?termid=10502")</f>
        <v>https://ceds.ed.gov/cedselementdetails.aspx?termid=10502</v>
      </c>
      <c r="Q2302" s="12" t="str">
        <f>HYPERLINK("https://ceds.ed.gov/elementComment.aspx?elementName=Activity Time Involved &amp;elementID=10502", "Click here to submit comment")</f>
        <v>Click here to submit comment</v>
      </c>
    </row>
    <row r="2303" spans="1:17" ht="105" x14ac:dyDescent="0.25">
      <c r="A2303" s="12" t="s">
        <v>7295</v>
      </c>
      <c r="B2303" s="12" t="s">
        <v>7298</v>
      </c>
      <c r="C2303" s="12" t="s">
        <v>7260</v>
      </c>
      <c r="D2303" s="12" t="s">
        <v>7176</v>
      </c>
      <c r="E2303" s="12" t="s">
        <v>160</v>
      </c>
      <c r="F2303" s="12" t="s">
        <v>161</v>
      </c>
      <c r="G2303" s="13" t="s">
        <v>6724</v>
      </c>
      <c r="H2303" s="12"/>
      <c r="I2303" s="12"/>
      <c r="J2303" s="12"/>
      <c r="K2303" s="12"/>
      <c r="L2303" s="12"/>
      <c r="M2303" s="12" t="s">
        <v>162</v>
      </c>
      <c r="N2303" s="12"/>
      <c r="O2303" s="12" t="s">
        <v>163</v>
      </c>
      <c r="P2303" s="12" t="str">
        <f>HYPERLINK("https://ceds.ed.gov/cedselementdetails.aspx?termid=10503")</f>
        <v>https://ceds.ed.gov/cedselementdetails.aspx?termid=10503</v>
      </c>
      <c r="Q2303" s="12" t="str">
        <f>HYPERLINK("https://ceds.ed.gov/elementComment.aspx?elementName=Activity Time Measurement Type &amp;elementID=10503", "Click here to submit comment")</f>
        <v>Click here to submit comment</v>
      </c>
    </row>
    <row r="2304" spans="1:17" ht="105" x14ac:dyDescent="0.25">
      <c r="A2304" s="12" t="s">
        <v>7295</v>
      </c>
      <c r="B2304" s="12" t="s">
        <v>7298</v>
      </c>
      <c r="C2304" s="12" t="s">
        <v>7263</v>
      </c>
      <c r="D2304" s="12" t="s">
        <v>7172</v>
      </c>
      <c r="E2304" s="12" t="s">
        <v>1644</v>
      </c>
      <c r="F2304" s="12" t="s">
        <v>1645</v>
      </c>
      <c r="G2304" s="12" t="s">
        <v>6364</v>
      </c>
      <c r="H2304" s="12" t="s">
        <v>6438</v>
      </c>
      <c r="I2304" s="12"/>
      <c r="J2304" s="12"/>
      <c r="K2304" s="12"/>
      <c r="L2304" s="12"/>
      <c r="M2304" s="12" t="s">
        <v>1646</v>
      </c>
      <c r="N2304" s="12" t="s">
        <v>1647</v>
      </c>
      <c r="O2304" s="12" t="s">
        <v>1648</v>
      </c>
      <c r="P2304" s="12" t="str">
        <f>HYPERLINK("https://ceds.ed.gov/cedselementdetails.aspx?termid=9037")</f>
        <v>https://ceds.ed.gov/cedselementdetails.aspx?termid=9037</v>
      </c>
      <c r="Q2304" s="12" t="str">
        <f>HYPERLINK("https://ceds.ed.gov/elementComment.aspx?elementName=Career and Technical Education Concentrator &amp;elementID=9037", "Click here to submit comment")</f>
        <v>Click here to submit comment</v>
      </c>
    </row>
    <row r="2305" spans="1:17" ht="75" x14ac:dyDescent="0.25">
      <c r="A2305" s="12" t="s">
        <v>7295</v>
      </c>
      <c r="B2305" s="12" t="s">
        <v>7298</v>
      </c>
      <c r="C2305" s="12" t="s">
        <v>7263</v>
      </c>
      <c r="D2305" s="12" t="s">
        <v>7172</v>
      </c>
      <c r="E2305" s="12" t="s">
        <v>1665</v>
      </c>
      <c r="F2305" s="12" t="s">
        <v>1666</v>
      </c>
      <c r="G2305" s="12" t="s">
        <v>6364</v>
      </c>
      <c r="H2305" s="12" t="s">
        <v>222</v>
      </c>
      <c r="I2305" s="12"/>
      <c r="J2305" s="12"/>
      <c r="K2305" s="12"/>
      <c r="L2305" s="12"/>
      <c r="M2305" s="12" t="s">
        <v>1667</v>
      </c>
      <c r="N2305" s="12" t="s">
        <v>1668</v>
      </c>
      <c r="O2305" s="12" t="s">
        <v>1669</v>
      </c>
      <c r="P2305" s="12" t="str">
        <f>HYPERLINK("https://ceds.ed.gov/cedselementdetails.aspx?termid=9585")</f>
        <v>https://ceds.ed.gov/cedselementdetails.aspx?termid=9585</v>
      </c>
      <c r="Q2305" s="12" t="str">
        <f>HYPERLINK("https://ceds.ed.gov/elementComment.aspx?elementName=Career and Technical Education Participant &amp;elementID=9585", "Click here to submit comment")</f>
        <v>Click here to submit comment</v>
      </c>
    </row>
    <row r="2306" spans="1:17" ht="90" x14ac:dyDescent="0.25">
      <c r="A2306" s="12" t="s">
        <v>7295</v>
      </c>
      <c r="B2306" s="12" t="s">
        <v>7298</v>
      </c>
      <c r="C2306" s="12" t="s">
        <v>7263</v>
      </c>
      <c r="D2306" s="12" t="s">
        <v>7172</v>
      </c>
      <c r="E2306" s="12" t="s">
        <v>1696</v>
      </c>
      <c r="F2306" s="12" t="s">
        <v>1697</v>
      </c>
      <c r="G2306" s="13" t="s">
        <v>6809</v>
      </c>
      <c r="H2306" s="12" t="s">
        <v>222</v>
      </c>
      <c r="I2306" s="12"/>
      <c r="J2306" s="12"/>
      <c r="K2306" s="12"/>
      <c r="L2306" s="12"/>
      <c r="M2306" s="12" t="s">
        <v>1698</v>
      </c>
      <c r="N2306" s="12" t="s">
        <v>1699</v>
      </c>
      <c r="O2306" s="12" t="s">
        <v>1700</v>
      </c>
      <c r="P2306" s="12" t="str">
        <f>HYPERLINK("https://ceds.ed.gov/cedselementdetails.aspx?termid=9581")</f>
        <v>https://ceds.ed.gov/cedselementdetails.aspx?termid=9581</v>
      </c>
      <c r="Q2306" s="12" t="str">
        <f>HYPERLINK("https://ceds.ed.gov/elementComment.aspx?elementName=Career Technical Education Nontraditional Gender Status &amp;elementID=9581", "Click here to submit comment")</f>
        <v>Click here to submit comment</v>
      </c>
    </row>
    <row r="2307" spans="1:17" ht="270" x14ac:dyDescent="0.25">
      <c r="A2307" s="12" t="s">
        <v>7295</v>
      </c>
      <c r="B2307" s="12" t="s">
        <v>7298</v>
      </c>
      <c r="C2307" s="12" t="s">
        <v>7263</v>
      </c>
      <c r="D2307" s="12" t="s">
        <v>7172</v>
      </c>
      <c r="E2307" s="12" t="s">
        <v>1701</v>
      </c>
      <c r="F2307" s="12" t="s">
        <v>1702</v>
      </c>
      <c r="G2307" s="12" t="s">
        <v>6364</v>
      </c>
      <c r="H2307" s="12" t="s">
        <v>222</v>
      </c>
      <c r="I2307" s="12"/>
      <c r="J2307" s="12"/>
      <c r="K2307" s="12"/>
      <c r="L2307" s="12"/>
      <c r="M2307" s="12" t="s">
        <v>1703</v>
      </c>
      <c r="N2307" s="12" t="s">
        <v>1704</v>
      </c>
      <c r="O2307" s="12" t="s">
        <v>1705</v>
      </c>
      <c r="P2307" s="12" t="str">
        <f>HYPERLINK("https://ceds.ed.gov/cedselementdetails.aspx?termid=9084")</f>
        <v>https://ceds.ed.gov/cedselementdetails.aspx?termid=9084</v>
      </c>
      <c r="Q2307" s="12" t="str">
        <f>HYPERLINK("https://ceds.ed.gov/elementComment.aspx?elementName=Career-Technical-Adult Education Displaced Homemaker Indicator &amp;elementID=9084", "Click here to submit comment")</f>
        <v>Click here to submit comment</v>
      </c>
    </row>
    <row r="2308" spans="1:17" ht="90" x14ac:dyDescent="0.25">
      <c r="A2308" s="12" t="s">
        <v>7295</v>
      </c>
      <c r="B2308" s="12" t="s">
        <v>7298</v>
      </c>
      <c r="C2308" s="12" t="s">
        <v>7263</v>
      </c>
      <c r="D2308" s="12" t="s">
        <v>7172</v>
      </c>
      <c r="E2308" s="12" t="s">
        <v>1660</v>
      </c>
      <c r="F2308" s="12" t="s">
        <v>1661</v>
      </c>
      <c r="G2308" s="12" t="s">
        <v>6364</v>
      </c>
      <c r="H2308" s="12" t="s">
        <v>222</v>
      </c>
      <c r="I2308" s="12"/>
      <c r="J2308" s="12"/>
      <c r="K2308" s="12"/>
      <c r="L2308" s="12"/>
      <c r="M2308" s="12" t="s">
        <v>1662</v>
      </c>
      <c r="N2308" s="12" t="s">
        <v>1663</v>
      </c>
      <c r="O2308" s="12" t="s">
        <v>1664</v>
      </c>
      <c r="P2308" s="12" t="str">
        <f>HYPERLINK("https://ceds.ed.gov/cedselementdetails.aspx?termid=9586")</f>
        <v>https://ceds.ed.gov/cedselementdetails.aspx?termid=9586</v>
      </c>
      <c r="Q2308" s="12" t="str">
        <f>HYPERLINK("https://ceds.ed.gov/elementComment.aspx?elementName=Career and Technical Education Nontraditional Completion &amp;elementID=9586", "Click here to submit comment")</f>
        <v>Click here to submit comment</v>
      </c>
    </row>
    <row r="2309" spans="1:17" ht="45" x14ac:dyDescent="0.25">
      <c r="A2309" s="12" t="s">
        <v>7295</v>
      </c>
      <c r="B2309" s="12" t="s">
        <v>7298</v>
      </c>
      <c r="C2309" s="12" t="s">
        <v>7263</v>
      </c>
      <c r="D2309" s="12" t="s">
        <v>7172</v>
      </c>
      <c r="E2309" s="12" t="s">
        <v>1683</v>
      </c>
      <c r="F2309" s="12" t="s">
        <v>1684</v>
      </c>
      <c r="G2309" s="12" t="s">
        <v>12</v>
      </c>
      <c r="H2309" s="12"/>
      <c r="I2309" s="12"/>
      <c r="J2309" s="12" t="s">
        <v>73</v>
      </c>
      <c r="K2309" s="12"/>
      <c r="L2309" s="12"/>
      <c r="M2309" s="12" t="s">
        <v>1685</v>
      </c>
      <c r="N2309" s="12"/>
      <c r="O2309" s="12" t="s">
        <v>1686</v>
      </c>
      <c r="P2309" s="12" t="str">
        <f>HYPERLINK("https://ceds.ed.gov/cedselementdetails.aspx?termid=10562")</f>
        <v>https://ceds.ed.gov/cedselementdetails.aspx?termid=10562</v>
      </c>
      <c r="Q2309" s="12" t="str">
        <f>HYPERLINK("https://ceds.ed.gov/elementComment.aspx?elementName=Career Pathways Program Participation Exit Date &amp;elementID=10562", "Click here to submit comment")</f>
        <v>Click here to submit comment</v>
      </c>
    </row>
    <row r="2310" spans="1:17" ht="75" x14ac:dyDescent="0.25">
      <c r="A2310" s="12" t="s">
        <v>7295</v>
      </c>
      <c r="B2310" s="12" t="s">
        <v>7298</v>
      </c>
      <c r="C2310" s="12" t="s">
        <v>7263</v>
      </c>
      <c r="D2310" s="12" t="s">
        <v>7172</v>
      </c>
      <c r="E2310" s="12" t="s">
        <v>1687</v>
      </c>
      <c r="F2310" s="12" t="s">
        <v>1688</v>
      </c>
      <c r="G2310" s="12" t="s">
        <v>6364</v>
      </c>
      <c r="H2310" s="12"/>
      <c r="I2310" s="12"/>
      <c r="J2310" s="12"/>
      <c r="K2310" s="12"/>
      <c r="L2310" s="12"/>
      <c r="M2310" s="12" t="s">
        <v>1689</v>
      </c>
      <c r="N2310" s="12"/>
      <c r="O2310" s="12" t="s">
        <v>1690</v>
      </c>
      <c r="P2310" s="12" t="str">
        <f>HYPERLINK("https://ceds.ed.gov/cedselementdetails.aspx?termid=10257")</f>
        <v>https://ceds.ed.gov/cedselementdetails.aspx?termid=10257</v>
      </c>
      <c r="Q2310" s="12" t="str">
        <f>HYPERLINK("https://ceds.ed.gov/elementComment.aspx?elementName=Career Pathways Program Participation Indicator &amp;elementID=10257", "Click here to submit comment")</f>
        <v>Click here to submit comment</v>
      </c>
    </row>
    <row r="2311" spans="1:17" ht="45" x14ac:dyDescent="0.25">
      <c r="A2311" s="12" t="s">
        <v>7295</v>
      </c>
      <c r="B2311" s="12" t="s">
        <v>7298</v>
      </c>
      <c r="C2311" s="12" t="s">
        <v>7263</v>
      </c>
      <c r="D2311" s="12" t="s">
        <v>7172</v>
      </c>
      <c r="E2311" s="12" t="s">
        <v>1691</v>
      </c>
      <c r="F2311" s="12" t="s">
        <v>1692</v>
      </c>
      <c r="G2311" s="12" t="s">
        <v>12</v>
      </c>
      <c r="H2311" s="12"/>
      <c r="I2311" s="12"/>
      <c r="J2311" s="12" t="s">
        <v>1693</v>
      </c>
      <c r="K2311" s="12"/>
      <c r="L2311" s="12"/>
      <c r="M2311" s="12" t="s">
        <v>1694</v>
      </c>
      <c r="N2311" s="12"/>
      <c r="O2311" s="12" t="s">
        <v>1695</v>
      </c>
      <c r="P2311" s="12" t="str">
        <f>HYPERLINK("https://ceds.ed.gov/cedselementdetails.aspx?termid=10563")</f>
        <v>https://ceds.ed.gov/cedselementdetails.aspx?termid=10563</v>
      </c>
      <c r="Q2311" s="12" t="str">
        <f>HYPERLINK("https://ceds.ed.gov/elementComment.aspx?elementName=Career Pathways Program Participation Start Date &amp;elementID=10563", "Click here to submit comment")</f>
        <v>Click here to submit comment</v>
      </c>
    </row>
    <row r="2312" spans="1:17" ht="105" x14ac:dyDescent="0.25">
      <c r="A2312" s="12" t="s">
        <v>7295</v>
      </c>
      <c r="B2312" s="12" t="s">
        <v>7298</v>
      </c>
      <c r="C2312" s="12" t="s">
        <v>7301</v>
      </c>
      <c r="D2312" s="12" t="s">
        <v>7172</v>
      </c>
      <c r="E2312" s="12" t="s">
        <v>2261</v>
      </c>
      <c r="F2312" s="12" t="s">
        <v>2262</v>
      </c>
      <c r="G2312" s="12" t="s">
        <v>6364</v>
      </c>
      <c r="H2312" s="12" t="s">
        <v>6368</v>
      </c>
      <c r="I2312" s="12"/>
      <c r="J2312" s="12"/>
      <c r="K2312" s="12"/>
      <c r="L2312" s="12"/>
      <c r="M2312" s="12" t="s">
        <v>2263</v>
      </c>
      <c r="N2312" s="12"/>
      <c r="O2312" s="12" t="s">
        <v>2264</v>
      </c>
      <c r="P2312" s="12" t="str">
        <f>HYPERLINK("https://ceds.ed.gov/cedselementdetails.aspx?termid=9078")</f>
        <v>https://ceds.ed.gov/cedselementdetails.aspx?termid=9078</v>
      </c>
      <c r="Q2312" s="12" t="str">
        <f>HYPERLINK("https://ceds.ed.gov/elementComment.aspx?elementName=Degree or Certificate Seeking Student &amp;elementID=9078", "Click here to submit comment")</f>
        <v>Click here to submit comment</v>
      </c>
    </row>
    <row r="2313" spans="1:17" ht="195" x14ac:dyDescent="0.25">
      <c r="A2313" s="12" t="s">
        <v>7295</v>
      </c>
      <c r="B2313" s="12" t="s">
        <v>7298</v>
      </c>
      <c r="C2313" s="12" t="s">
        <v>7301</v>
      </c>
      <c r="D2313" s="12" t="s">
        <v>7172</v>
      </c>
      <c r="E2313" s="12" t="s">
        <v>1854</v>
      </c>
      <c r="F2313" s="12" t="s">
        <v>1855</v>
      </c>
      <c r="G2313" s="13" t="s">
        <v>6821</v>
      </c>
      <c r="H2313" s="12" t="s">
        <v>239</v>
      </c>
      <c r="I2313" s="12"/>
      <c r="J2313" s="12"/>
      <c r="K2313" s="12"/>
      <c r="L2313" s="12"/>
      <c r="M2313" s="12" t="s">
        <v>1857</v>
      </c>
      <c r="N2313" s="12"/>
      <c r="O2313" s="12" t="s">
        <v>1858</v>
      </c>
      <c r="P2313" s="12" t="str">
        <f>HYPERLINK("https://ceds.ed.gov/cedselementdetails.aspx?termid=9106")</f>
        <v>https://ceds.ed.gov/cedselementdetails.aspx?termid=9106</v>
      </c>
      <c r="Q2313" s="12" t="str">
        <f>HYPERLINK("https://ceds.ed.gov/elementComment.aspx?elementName=Cohort Exclusion &amp;elementID=9106", "Click here to submit comment")</f>
        <v>Click here to submit comment</v>
      </c>
    </row>
    <row r="2314" spans="1:17" ht="195" x14ac:dyDescent="0.25">
      <c r="A2314" s="12" t="s">
        <v>7295</v>
      </c>
      <c r="B2314" s="12" t="s">
        <v>7298</v>
      </c>
      <c r="C2314" s="12" t="s">
        <v>7301</v>
      </c>
      <c r="D2314" s="12" t="s">
        <v>7172</v>
      </c>
      <c r="E2314" s="12" t="s">
        <v>3022</v>
      </c>
      <c r="F2314" s="12" t="s">
        <v>3023</v>
      </c>
      <c r="G2314" s="12" t="s">
        <v>6364</v>
      </c>
      <c r="H2314" s="12" t="s">
        <v>6380</v>
      </c>
      <c r="I2314" s="12"/>
      <c r="J2314" s="12"/>
      <c r="K2314" s="12"/>
      <c r="L2314" s="12"/>
      <c r="M2314" s="12" t="s">
        <v>3024</v>
      </c>
      <c r="N2314" s="12"/>
      <c r="O2314" s="12" t="s">
        <v>3025</v>
      </c>
      <c r="P2314" s="12" t="str">
        <f>HYPERLINK("https://ceds.ed.gov/cedselementdetails.aspx?termid=9117")</f>
        <v>https://ceds.ed.gov/cedselementdetails.aspx?termid=9117</v>
      </c>
      <c r="Q2314" s="12" t="str">
        <f>HYPERLINK("https://ceds.ed.gov/elementComment.aspx?elementName=First Time Postsecondary Student &amp;elementID=9117", "Click here to submit comment")</f>
        <v>Click here to submit comment</v>
      </c>
    </row>
    <row r="2315" spans="1:17" ht="90" x14ac:dyDescent="0.25">
      <c r="A2315" s="12" t="s">
        <v>7295</v>
      </c>
      <c r="B2315" s="12" t="s">
        <v>7298</v>
      </c>
      <c r="C2315" s="12" t="s">
        <v>7301</v>
      </c>
      <c r="D2315" s="12" t="s">
        <v>7172</v>
      </c>
      <c r="E2315" s="12" t="s">
        <v>5988</v>
      </c>
      <c r="F2315" s="12" t="s">
        <v>5989</v>
      </c>
      <c r="G2315" s="13" t="s">
        <v>7125</v>
      </c>
      <c r="H2315" s="12" t="s">
        <v>6380</v>
      </c>
      <c r="I2315" s="12"/>
      <c r="J2315" s="12"/>
      <c r="K2315" s="12"/>
      <c r="L2315" s="12"/>
      <c r="M2315" s="12" t="s">
        <v>5990</v>
      </c>
      <c r="N2315" s="12"/>
      <c r="O2315" s="12" t="s">
        <v>5991</v>
      </c>
      <c r="P2315" s="12" t="str">
        <f>HYPERLINK("https://ceds.ed.gov/cedselementdetails.aspx?termid=9272")</f>
        <v>https://ceds.ed.gov/cedselementdetails.aspx?termid=9272</v>
      </c>
      <c r="Q2315" s="12" t="str">
        <f>HYPERLINK("https://ceds.ed.gov/elementComment.aspx?elementName=Student Level &amp;elementID=9272", "Click here to submit comment")</f>
        <v>Click here to submit comment</v>
      </c>
    </row>
    <row r="2316" spans="1:17" ht="90" x14ac:dyDescent="0.25">
      <c r="A2316" s="12" t="s">
        <v>7295</v>
      </c>
      <c r="B2316" s="12" t="s">
        <v>7298</v>
      </c>
      <c r="C2316" s="12" t="s">
        <v>7301</v>
      </c>
      <c r="D2316" s="12" t="s">
        <v>7172</v>
      </c>
      <c r="E2316" s="12" t="s">
        <v>2764</v>
      </c>
      <c r="F2316" s="12" t="s">
        <v>2765</v>
      </c>
      <c r="G2316" s="12" t="s">
        <v>12</v>
      </c>
      <c r="H2316" s="12" t="s">
        <v>6528</v>
      </c>
      <c r="I2316" s="12"/>
      <c r="J2316" s="12" t="s">
        <v>73</v>
      </c>
      <c r="K2316" s="12"/>
      <c r="L2316" s="12"/>
      <c r="M2316" s="12" t="s">
        <v>2766</v>
      </c>
      <c r="N2316" s="12"/>
      <c r="O2316" s="12" t="s">
        <v>2767</v>
      </c>
      <c r="P2316" s="12" t="str">
        <f>HYPERLINK("https://ceds.ed.gov/cedselementdetails.aspx?termid=9098")</f>
        <v>https://ceds.ed.gov/cedselementdetails.aspx?termid=9098</v>
      </c>
      <c r="Q2316" s="12" t="str">
        <f>HYPERLINK("https://ceds.ed.gov/elementComment.aspx?elementName=Entry Date into Postsecondary &amp;elementID=9098", "Click here to submit comment")</f>
        <v>Click here to submit comment</v>
      </c>
    </row>
    <row r="2317" spans="1:17" ht="60" x14ac:dyDescent="0.25">
      <c r="A2317" s="12" t="s">
        <v>7295</v>
      </c>
      <c r="B2317" s="12" t="s">
        <v>7298</v>
      </c>
      <c r="C2317" s="12" t="s">
        <v>7301</v>
      </c>
      <c r="D2317" s="12" t="s">
        <v>7172</v>
      </c>
      <c r="E2317" s="12" t="s">
        <v>2751</v>
      </c>
      <c r="F2317" s="12" t="s">
        <v>2752</v>
      </c>
      <c r="G2317" s="12" t="s">
        <v>12</v>
      </c>
      <c r="H2317" s="12" t="s">
        <v>25</v>
      </c>
      <c r="I2317" s="12"/>
      <c r="J2317" s="12" t="s">
        <v>73</v>
      </c>
      <c r="K2317" s="12"/>
      <c r="L2317" s="12"/>
      <c r="M2317" s="12" t="s">
        <v>2753</v>
      </c>
      <c r="N2317" s="12"/>
      <c r="O2317" s="12" t="s">
        <v>2754</v>
      </c>
      <c r="P2317" s="12" t="str">
        <f>HYPERLINK("https://ceds.ed.gov/cedselementdetails.aspx?termid=9107")</f>
        <v>https://ceds.ed.gov/cedselementdetails.aspx?termid=9107</v>
      </c>
      <c r="Q2317" s="12" t="str">
        <f>HYPERLINK("https://ceds.ed.gov/elementComment.aspx?elementName=Enrollment Exit Date &amp;elementID=9107", "Click here to submit comment")</f>
        <v>Click here to submit comment</v>
      </c>
    </row>
    <row r="2318" spans="1:17" ht="75" x14ac:dyDescent="0.25">
      <c r="A2318" s="12" t="s">
        <v>7295</v>
      </c>
      <c r="B2318" s="12" t="s">
        <v>7298</v>
      </c>
      <c r="C2318" s="12" t="s">
        <v>7301</v>
      </c>
      <c r="D2318" s="12" t="s">
        <v>7172</v>
      </c>
      <c r="E2318" s="12" t="s">
        <v>3505</v>
      </c>
      <c r="F2318" s="12" t="s">
        <v>3506</v>
      </c>
      <c r="G2318" s="12" t="s">
        <v>12</v>
      </c>
      <c r="H2318" s="12" t="s">
        <v>6380</v>
      </c>
      <c r="I2318" s="12"/>
      <c r="J2318" s="12" t="s">
        <v>92</v>
      </c>
      <c r="K2318" s="12"/>
      <c r="L2318" s="12"/>
      <c r="M2318" s="12" t="s">
        <v>3507</v>
      </c>
      <c r="N2318" s="12"/>
      <c r="O2318" s="12" t="s">
        <v>3508</v>
      </c>
      <c r="P2318" s="12" t="str">
        <f>HYPERLINK("https://ceds.ed.gov/cedselementdetails.aspx?termid=9165")</f>
        <v>https://ceds.ed.gov/cedselementdetails.aspx?termid=9165</v>
      </c>
      <c r="Q2318" s="12" t="str">
        <f>HYPERLINK("https://ceds.ed.gov/elementComment.aspx?elementName=Initial Enrollment Term &amp;elementID=9165", "Click here to submit comment")</f>
        <v>Click here to submit comment</v>
      </c>
    </row>
    <row r="2319" spans="1:17" ht="75" x14ac:dyDescent="0.25">
      <c r="A2319" s="12" t="s">
        <v>7295</v>
      </c>
      <c r="B2319" s="12" t="s">
        <v>7298</v>
      </c>
      <c r="C2319" s="12" t="s">
        <v>7301</v>
      </c>
      <c r="D2319" s="12" t="s">
        <v>7172</v>
      </c>
      <c r="E2319" s="12" t="s">
        <v>6216</v>
      </c>
      <c r="F2319" s="12" t="s">
        <v>6217</v>
      </c>
      <c r="G2319" s="13" t="s">
        <v>7145</v>
      </c>
      <c r="H2319" s="12" t="s">
        <v>6380</v>
      </c>
      <c r="I2319" s="12"/>
      <c r="J2319" s="12"/>
      <c r="K2319" s="12"/>
      <c r="L2319" s="12"/>
      <c r="M2319" s="12" t="s">
        <v>6218</v>
      </c>
      <c r="N2319" s="12"/>
      <c r="O2319" s="12" t="s">
        <v>6219</v>
      </c>
      <c r="P2319" s="12" t="str">
        <f>HYPERLINK("https://ceds.ed.gov/cedselementdetails.aspx?termid=9296")</f>
        <v>https://ceds.ed.gov/cedselementdetails.aspx?termid=9296</v>
      </c>
      <c r="Q2319" s="12" t="str">
        <f>HYPERLINK("https://ceds.ed.gov/elementComment.aspx?elementName=Transfer-ready &amp;elementID=9296", "Click here to submit comment")</f>
        <v>Click here to submit comment</v>
      </c>
    </row>
    <row r="2320" spans="1:17" ht="45" x14ac:dyDescent="0.25">
      <c r="A2320" s="12" t="s">
        <v>7295</v>
      </c>
      <c r="B2320" s="12" t="s">
        <v>7298</v>
      </c>
      <c r="C2320" s="12" t="s">
        <v>7301</v>
      </c>
      <c r="D2320" s="12" t="s">
        <v>7172</v>
      </c>
      <c r="E2320" s="12" t="s">
        <v>2304</v>
      </c>
      <c r="F2320" s="12" t="s">
        <v>2305</v>
      </c>
      <c r="G2320" s="13" t="s">
        <v>6858</v>
      </c>
      <c r="H2320" s="12" t="s">
        <v>2308</v>
      </c>
      <c r="I2320" s="12"/>
      <c r="J2320" s="12"/>
      <c r="K2320" s="12"/>
      <c r="L2320" s="12"/>
      <c r="M2320" s="12" t="s">
        <v>2306</v>
      </c>
      <c r="N2320" s="12"/>
      <c r="O2320" s="12" t="s">
        <v>2307</v>
      </c>
      <c r="P2320" s="12" t="str">
        <f>HYPERLINK("https://ceds.ed.gov/cedselementdetails.aspx?termid=10567")</f>
        <v>https://ceds.ed.gov/cedselementdetails.aspx?termid=10567</v>
      </c>
      <c r="Q2320" s="12" t="str">
        <f>HYPERLINK("https://ceds.ed.gov/elementComment.aspx?elementName=Developmental Education Referral Status &amp;elementID=10567", "Click here to submit comment")</f>
        <v>Click here to submit comment</v>
      </c>
    </row>
    <row r="2321" spans="1:17" ht="165" x14ac:dyDescent="0.25">
      <c r="A2321" s="12" t="s">
        <v>7295</v>
      </c>
      <c r="B2321" s="12" t="s">
        <v>7298</v>
      </c>
      <c r="C2321" s="12" t="s">
        <v>7301</v>
      </c>
      <c r="D2321" s="12" t="s">
        <v>7172</v>
      </c>
      <c r="E2321" s="12" t="s">
        <v>2309</v>
      </c>
      <c r="F2321" s="12" t="s">
        <v>2310</v>
      </c>
      <c r="G2321" s="13" t="s">
        <v>6859</v>
      </c>
      <c r="H2321" s="12" t="s">
        <v>2308</v>
      </c>
      <c r="I2321" s="12"/>
      <c r="J2321" s="12"/>
      <c r="K2321" s="12"/>
      <c r="L2321" s="12"/>
      <c r="M2321" s="12" t="s">
        <v>2311</v>
      </c>
      <c r="N2321" s="12"/>
      <c r="O2321" s="12" t="s">
        <v>2312</v>
      </c>
      <c r="P2321" s="12" t="str">
        <f>HYPERLINK("https://ceds.ed.gov/cedselementdetails.aspx?termid=10568")</f>
        <v>https://ceds.ed.gov/cedselementdetails.aspx?termid=10568</v>
      </c>
      <c r="Q2321" s="12" t="str">
        <f>HYPERLINK("https://ceds.ed.gov/elementComment.aspx?elementName=Developmental Education Type &amp;elementID=10568", "Click here to submit comment")</f>
        <v>Click here to submit comment</v>
      </c>
    </row>
    <row r="2322" spans="1:17" ht="195" x14ac:dyDescent="0.25">
      <c r="A2322" s="12" t="s">
        <v>7295</v>
      </c>
      <c r="B2322" s="12" t="s">
        <v>7298</v>
      </c>
      <c r="C2322" s="12" t="s">
        <v>7301</v>
      </c>
      <c r="D2322" s="12" t="s">
        <v>7172</v>
      </c>
      <c r="E2322" s="12" t="s">
        <v>2747</v>
      </c>
      <c r="F2322" s="12" t="s">
        <v>2748</v>
      </c>
      <c r="G2322" s="12" t="s">
        <v>12</v>
      </c>
      <c r="H2322" s="12" t="s">
        <v>6526</v>
      </c>
      <c r="I2322" s="12"/>
      <c r="J2322" s="12" t="s">
        <v>73</v>
      </c>
      <c r="K2322" s="12"/>
      <c r="L2322" s="12"/>
      <c r="M2322" s="12" t="s">
        <v>2749</v>
      </c>
      <c r="N2322" s="12"/>
      <c r="O2322" s="12" t="s">
        <v>2750</v>
      </c>
      <c r="P2322" s="12" t="str">
        <f>HYPERLINK("https://ceds.ed.gov/cedselementdetails.aspx?termid=9097")</f>
        <v>https://ceds.ed.gov/cedselementdetails.aspx?termid=9097</v>
      </c>
      <c r="Q2322" s="12" t="str">
        <f>HYPERLINK("https://ceds.ed.gov/elementComment.aspx?elementName=Enrollment Entry Date &amp;elementID=9097", "Click here to submit comment")</f>
        <v>Click here to submit comment</v>
      </c>
    </row>
    <row r="2323" spans="1:17" ht="105" x14ac:dyDescent="0.25">
      <c r="A2323" s="12" t="s">
        <v>7295</v>
      </c>
      <c r="B2323" s="12" t="s">
        <v>7298</v>
      </c>
      <c r="C2323" s="12" t="s">
        <v>7301</v>
      </c>
      <c r="D2323" s="12" t="s">
        <v>7172</v>
      </c>
      <c r="E2323" s="12" t="s">
        <v>4876</v>
      </c>
      <c r="F2323" s="12" t="s">
        <v>4877</v>
      </c>
      <c r="G2323" s="13" t="s">
        <v>7057</v>
      </c>
      <c r="H2323" s="12" t="s">
        <v>2017</v>
      </c>
      <c r="I2323" s="12"/>
      <c r="J2323" s="12"/>
      <c r="K2323" s="12"/>
      <c r="L2323" s="12"/>
      <c r="M2323" s="12" t="s">
        <v>4878</v>
      </c>
      <c r="N2323" s="12"/>
      <c r="O2323" s="12" t="s">
        <v>4879</v>
      </c>
      <c r="P2323" s="12" t="str">
        <f>HYPERLINK("https://ceds.ed.gov/cedselementdetails.aspx?termid=10596")</f>
        <v>https://ceds.ed.gov/cedselementdetails.aspx?termid=10596</v>
      </c>
      <c r="Q2323" s="12" t="str">
        <f>HYPERLINK("https://ceds.ed.gov/elementComment.aspx?elementName=Postsecondary Exit or Withdrawal Type &amp;elementID=10596", "Click here to submit comment")</f>
        <v>Click here to submit comment</v>
      </c>
    </row>
    <row r="2324" spans="1:17" ht="60" x14ac:dyDescent="0.25">
      <c r="A2324" s="12" t="s">
        <v>7295</v>
      </c>
      <c r="B2324" s="12" t="s">
        <v>7298</v>
      </c>
      <c r="C2324" s="12" t="s">
        <v>7302</v>
      </c>
      <c r="D2324" s="12" t="s">
        <v>7172</v>
      </c>
      <c r="E2324" s="12" t="s">
        <v>5164</v>
      </c>
      <c r="F2324" s="12" t="s">
        <v>5165</v>
      </c>
      <c r="G2324" s="12" t="s">
        <v>12</v>
      </c>
      <c r="H2324" s="12" t="s">
        <v>6646</v>
      </c>
      <c r="I2324" s="12"/>
      <c r="J2324" s="12" t="s">
        <v>73</v>
      </c>
      <c r="K2324" s="12"/>
      <c r="L2324" s="12"/>
      <c r="M2324" s="12" t="s">
        <v>5166</v>
      </c>
      <c r="N2324" s="12"/>
      <c r="O2324" s="12" t="s">
        <v>5167</v>
      </c>
      <c r="P2324" s="12" t="str">
        <f>HYPERLINK("https://ceds.ed.gov/cedselementdetails.aspx?termid=9583")</f>
        <v>https://ceds.ed.gov/cedselementdetails.aspx?termid=9583</v>
      </c>
      <c r="Q2324" s="12" t="str">
        <f>HYPERLINK("https://ceds.ed.gov/elementComment.aspx?elementName=Program Participation Start Date &amp;elementID=9583", "Click here to submit comment")</f>
        <v>Click here to submit comment</v>
      </c>
    </row>
    <row r="2325" spans="1:17" ht="45" x14ac:dyDescent="0.25">
      <c r="A2325" s="12" t="s">
        <v>7295</v>
      </c>
      <c r="B2325" s="12" t="s">
        <v>7298</v>
      </c>
      <c r="C2325" s="12" t="s">
        <v>7302</v>
      </c>
      <c r="D2325" s="12" t="s">
        <v>7172</v>
      </c>
      <c r="E2325" s="12" t="s">
        <v>5161</v>
      </c>
      <c r="F2325" s="12" t="s">
        <v>1684</v>
      </c>
      <c r="G2325" s="12" t="s">
        <v>12</v>
      </c>
      <c r="H2325" s="12" t="s">
        <v>6645</v>
      </c>
      <c r="I2325" s="12"/>
      <c r="J2325" s="12" t="s">
        <v>73</v>
      </c>
      <c r="K2325" s="12"/>
      <c r="L2325" s="12"/>
      <c r="M2325" s="12" t="s">
        <v>5162</v>
      </c>
      <c r="N2325" s="12"/>
      <c r="O2325" s="12" t="s">
        <v>5163</v>
      </c>
      <c r="P2325" s="12" t="str">
        <f>HYPERLINK("https://ceds.ed.gov/cedselementdetails.aspx?termid=9584")</f>
        <v>https://ceds.ed.gov/cedselementdetails.aspx?termid=9584</v>
      </c>
      <c r="Q2325" s="12" t="str">
        <f>HYPERLINK("https://ceds.ed.gov/elementComment.aspx?elementName=Program Participation Exit Date &amp;elementID=9584", "Click here to submit comment")</f>
        <v>Click here to submit comment</v>
      </c>
    </row>
    <row r="2326" spans="1:17" ht="75" x14ac:dyDescent="0.25">
      <c r="A2326" s="12" t="s">
        <v>7295</v>
      </c>
      <c r="B2326" s="12" t="s">
        <v>7298</v>
      </c>
      <c r="C2326" s="12" t="s">
        <v>7302</v>
      </c>
      <c r="D2326" s="12" t="s">
        <v>7172</v>
      </c>
      <c r="E2326" s="12" t="s">
        <v>5149</v>
      </c>
      <c r="F2326" s="12" t="s">
        <v>5150</v>
      </c>
      <c r="G2326" s="12" t="s">
        <v>12</v>
      </c>
      <c r="H2326" s="12" t="s">
        <v>239</v>
      </c>
      <c r="I2326" s="12"/>
      <c r="J2326" s="12" t="s">
        <v>1554</v>
      </c>
      <c r="K2326" s="12"/>
      <c r="L2326" s="12"/>
      <c r="M2326" s="12" t="s">
        <v>5151</v>
      </c>
      <c r="N2326" s="12"/>
      <c r="O2326" s="12" t="s">
        <v>5152</v>
      </c>
      <c r="P2326" s="12" t="str">
        <f>HYPERLINK("https://ceds.ed.gov/cedselementdetails.aspx?termid=9223")</f>
        <v>https://ceds.ed.gov/cedselementdetails.aspx?termid=9223</v>
      </c>
      <c r="Q2326" s="12" t="str">
        <f>HYPERLINK("https://ceds.ed.gov/elementComment.aspx?elementName=Program Length Hours &amp;elementID=9223", "Click here to submit comment")</f>
        <v>Click here to submit comment</v>
      </c>
    </row>
    <row r="2327" spans="1:17" ht="45" x14ac:dyDescent="0.25">
      <c r="A2327" s="12" t="s">
        <v>7295</v>
      </c>
      <c r="B2327" s="12" t="s">
        <v>7298</v>
      </c>
      <c r="C2327" s="12" t="s">
        <v>7302</v>
      </c>
      <c r="D2327" s="12" t="s">
        <v>7172</v>
      </c>
      <c r="E2327" s="12" t="s">
        <v>5153</v>
      </c>
      <c r="F2327" s="12" t="s">
        <v>5154</v>
      </c>
      <c r="G2327" s="13" t="s">
        <v>6977</v>
      </c>
      <c r="H2327" s="12" t="s">
        <v>239</v>
      </c>
      <c r="I2327" s="12"/>
      <c r="J2327" s="12"/>
      <c r="K2327" s="12"/>
      <c r="L2327" s="12"/>
      <c r="M2327" s="12" t="s">
        <v>5155</v>
      </c>
      <c r="N2327" s="12"/>
      <c r="O2327" s="12" t="s">
        <v>5156</v>
      </c>
      <c r="P2327" s="12" t="str">
        <f>HYPERLINK("https://ceds.ed.gov/cedselementdetails.aspx?termid=9224")</f>
        <v>https://ceds.ed.gov/cedselementdetails.aspx?termid=9224</v>
      </c>
      <c r="Q2327" s="12" t="str">
        <f>HYPERLINK("https://ceds.ed.gov/elementComment.aspx?elementName=Program Length Hours Type &amp;elementID=9224", "Click here to submit comment")</f>
        <v>Click here to submit comment</v>
      </c>
    </row>
    <row r="2328" spans="1:17" ht="285" x14ac:dyDescent="0.25">
      <c r="A2328" s="12" t="s">
        <v>7295</v>
      </c>
      <c r="B2328" s="12" t="s">
        <v>7298</v>
      </c>
      <c r="C2328" s="12" t="s">
        <v>7302</v>
      </c>
      <c r="D2328" s="12" t="s">
        <v>7172</v>
      </c>
      <c r="E2328" s="12" t="s">
        <v>2755</v>
      </c>
      <c r="F2328" s="12" t="s">
        <v>2756</v>
      </c>
      <c r="G2328" s="13" t="s">
        <v>6718</v>
      </c>
      <c r="H2328" s="12" t="s">
        <v>6380</v>
      </c>
      <c r="I2328" s="12"/>
      <c r="J2328" s="12"/>
      <c r="K2328" s="12"/>
      <c r="L2328" s="12"/>
      <c r="M2328" s="12" t="s">
        <v>2758</v>
      </c>
      <c r="N2328" s="12"/>
      <c r="O2328" s="12" t="s">
        <v>2759</v>
      </c>
      <c r="P2328" s="12" t="str">
        <f>HYPERLINK("https://ceds.ed.gov/cedselementdetails.aspx?termid=9360")</f>
        <v>https://ceds.ed.gov/cedselementdetails.aspx?termid=9360</v>
      </c>
      <c r="Q2328" s="12" t="str">
        <f>HYPERLINK("https://ceds.ed.gov/elementComment.aspx?elementName=Enrollment in Postsecondary Award Type &amp;elementID=9360", "Click here to submit comment")</f>
        <v>Click here to submit comment</v>
      </c>
    </row>
    <row r="2329" spans="1:17" ht="75" x14ac:dyDescent="0.25">
      <c r="A2329" s="12" t="s">
        <v>7295</v>
      </c>
      <c r="B2329" s="12" t="s">
        <v>7298</v>
      </c>
      <c r="C2329" s="12" t="s">
        <v>7302</v>
      </c>
      <c r="D2329" s="12" t="s">
        <v>7172</v>
      </c>
      <c r="E2329" s="12" t="s">
        <v>1826</v>
      </c>
      <c r="F2329" s="12" t="s">
        <v>1827</v>
      </c>
      <c r="G2329" s="14" t="s">
        <v>1828</v>
      </c>
      <c r="H2329" s="12" t="s">
        <v>6368</v>
      </c>
      <c r="I2329" s="12"/>
      <c r="J2329" s="12"/>
      <c r="K2329" s="12"/>
      <c r="L2329" s="12"/>
      <c r="M2329" s="12" t="s">
        <v>1829</v>
      </c>
      <c r="N2329" s="12" t="s">
        <v>1830</v>
      </c>
      <c r="O2329" s="12" t="s">
        <v>1831</v>
      </c>
      <c r="P2329" s="12" t="str">
        <f>HYPERLINK("https://ceds.ed.gov/cedselementdetails.aspx?termid=9043")</f>
        <v>https://ceds.ed.gov/cedselementdetails.aspx?termid=9043</v>
      </c>
      <c r="Q2329" s="12" t="str">
        <f>HYPERLINK("https://ceds.ed.gov/elementComment.aspx?elementName=Classification of Instructional Program Code &amp;elementID=9043", "Click here to submit comment")</f>
        <v>Click here to submit comment</v>
      </c>
    </row>
    <row r="2330" spans="1:17" ht="135" x14ac:dyDescent="0.25">
      <c r="A2330" s="12" t="s">
        <v>7295</v>
      </c>
      <c r="B2330" s="12" t="s">
        <v>7298</v>
      </c>
      <c r="C2330" s="12" t="s">
        <v>7302</v>
      </c>
      <c r="D2330" s="12" t="s">
        <v>7172</v>
      </c>
      <c r="E2330" s="12" t="s">
        <v>1832</v>
      </c>
      <c r="F2330" s="12" t="s">
        <v>1833</v>
      </c>
      <c r="G2330" s="13" t="s">
        <v>6818</v>
      </c>
      <c r="H2330" s="12" t="s">
        <v>6380</v>
      </c>
      <c r="I2330" s="12"/>
      <c r="J2330" s="12"/>
      <c r="K2330" s="12"/>
      <c r="L2330" s="12"/>
      <c r="M2330" s="12" t="s">
        <v>1834</v>
      </c>
      <c r="N2330" s="12" t="s">
        <v>1835</v>
      </c>
      <c r="O2330" s="12" t="s">
        <v>1836</v>
      </c>
      <c r="P2330" s="12" t="str">
        <f>HYPERLINK("https://ceds.ed.gov/cedselementdetails.aspx?termid=9044")</f>
        <v>https://ceds.ed.gov/cedselementdetails.aspx?termid=9044</v>
      </c>
      <c r="Q2330" s="12" t="str">
        <f>HYPERLINK("https://ceds.ed.gov/elementComment.aspx?elementName=Classification of Instructional Program Use &amp;elementID=9044", "Click here to submit comment")</f>
        <v>Click here to submit comment</v>
      </c>
    </row>
    <row r="2331" spans="1:17" ht="90" x14ac:dyDescent="0.25">
      <c r="A2331" s="12" t="s">
        <v>7295</v>
      </c>
      <c r="B2331" s="12" t="s">
        <v>7298</v>
      </c>
      <c r="C2331" s="12" t="s">
        <v>7302</v>
      </c>
      <c r="D2331" s="12" t="s">
        <v>7172</v>
      </c>
      <c r="E2331" s="12" t="s">
        <v>1837</v>
      </c>
      <c r="F2331" s="12" t="s">
        <v>1838</v>
      </c>
      <c r="G2331" s="13" t="s">
        <v>6819</v>
      </c>
      <c r="H2331" s="12" t="s">
        <v>6380</v>
      </c>
      <c r="I2331" s="12"/>
      <c r="J2331" s="12"/>
      <c r="K2331" s="12"/>
      <c r="L2331" s="12"/>
      <c r="M2331" s="12" t="s">
        <v>1839</v>
      </c>
      <c r="N2331" s="12" t="s">
        <v>1840</v>
      </c>
      <c r="O2331" s="12" t="s">
        <v>1841</v>
      </c>
      <c r="P2331" s="12" t="str">
        <f>HYPERLINK("https://ceds.ed.gov/cedselementdetails.aspx?termid=9045")</f>
        <v>https://ceds.ed.gov/cedselementdetails.aspx?termid=9045</v>
      </c>
      <c r="Q2331" s="12" t="str">
        <f>HYPERLINK("https://ceds.ed.gov/elementComment.aspx?elementName=Classification of Instructional Program Version &amp;elementID=9045", "Click here to submit comment")</f>
        <v>Click here to submit comment</v>
      </c>
    </row>
    <row r="2332" spans="1:17" ht="180" x14ac:dyDescent="0.25">
      <c r="A2332" s="12" t="s">
        <v>7295</v>
      </c>
      <c r="B2332" s="12" t="s">
        <v>7298</v>
      </c>
      <c r="C2332" s="12" t="s">
        <v>7302</v>
      </c>
      <c r="D2332" s="12" t="s">
        <v>7172</v>
      </c>
      <c r="E2332" s="12" t="s">
        <v>2404</v>
      </c>
      <c r="F2332" s="12" t="s">
        <v>2405</v>
      </c>
      <c r="G2332" s="12" t="s">
        <v>6364</v>
      </c>
      <c r="H2332" s="12"/>
      <c r="I2332" s="12"/>
      <c r="J2332" s="12"/>
      <c r="K2332" s="12"/>
      <c r="L2332" s="12" t="s">
        <v>2400</v>
      </c>
      <c r="M2332" s="12" t="s">
        <v>2406</v>
      </c>
      <c r="N2332" s="12"/>
      <c r="O2332" s="12" t="s">
        <v>2407</v>
      </c>
      <c r="P2332" s="12" t="str">
        <f>HYPERLINK("https://ceds.ed.gov/cedselementdetails.aspx?termid=10289")</f>
        <v>https://ceds.ed.gov/cedselementdetails.aspx?termid=10289</v>
      </c>
      <c r="Q2332" s="12" t="str">
        <f>HYPERLINK("https://ceds.ed.gov/elementComment.aspx?elementName=Distance Education Program Enrollment Indicator &amp;elementID=10289", "Click here to submit comment")</f>
        <v>Click here to submit comment</v>
      </c>
    </row>
    <row r="2333" spans="1:17" ht="210" x14ac:dyDescent="0.25">
      <c r="A2333" s="12" t="s">
        <v>7295</v>
      </c>
      <c r="B2333" s="12" t="s">
        <v>7298</v>
      </c>
      <c r="C2333" s="12" t="s">
        <v>7302</v>
      </c>
      <c r="D2333" s="12" t="s">
        <v>7172</v>
      </c>
      <c r="E2333" s="12" t="s">
        <v>4572</v>
      </c>
      <c r="F2333" s="12" t="s">
        <v>4573</v>
      </c>
      <c r="G2333" s="12" t="s">
        <v>12</v>
      </c>
      <c r="H2333" s="12" t="s">
        <v>6380</v>
      </c>
      <c r="I2333" s="12"/>
      <c r="J2333" s="12" t="s">
        <v>99</v>
      </c>
      <c r="K2333" s="12"/>
      <c r="L2333" s="12"/>
      <c r="M2333" s="12" t="s">
        <v>4574</v>
      </c>
      <c r="N2333" s="12"/>
      <c r="O2333" s="12" t="s">
        <v>4575</v>
      </c>
      <c r="P2333" s="12" t="str">
        <f>HYPERLINK("https://ceds.ed.gov/cedselementdetails.aspx?termid=9197")</f>
        <v>https://ceds.ed.gov/cedselementdetails.aspx?termid=9197</v>
      </c>
      <c r="Q2333" s="12" t="str">
        <f>HYPERLINK("https://ceds.ed.gov/elementComment.aspx?elementName=Normal Length of Time for Completion &amp;elementID=9197", "Click here to submit comment")</f>
        <v>Click here to submit comment</v>
      </c>
    </row>
    <row r="2334" spans="1:17" ht="90" x14ac:dyDescent="0.25">
      <c r="A2334" s="12" t="s">
        <v>7295</v>
      </c>
      <c r="B2334" s="12" t="s">
        <v>7298</v>
      </c>
      <c r="C2334" s="12" t="s">
        <v>7302</v>
      </c>
      <c r="D2334" s="12" t="s">
        <v>7172</v>
      </c>
      <c r="E2334" s="12" t="s">
        <v>4576</v>
      </c>
      <c r="F2334" s="12" t="s">
        <v>4577</v>
      </c>
      <c r="G2334" s="13" t="s">
        <v>7042</v>
      </c>
      <c r="H2334" s="12" t="s">
        <v>6380</v>
      </c>
      <c r="I2334" s="12"/>
      <c r="J2334" s="12"/>
      <c r="K2334" s="12"/>
      <c r="L2334" s="12"/>
      <c r="M2334" s="12" t="s">
        <v>4578</v>
      </c>
      <c r="N2334" s="12"/>
      <c r="O2334" s="12" t="s">
        <v>4579</v>
      </c>
      <c r="P2334" s="12" t="str">
        <f>HYPERLINK("https://ceds.ed.gov/cedselementdetails.aspx?termid=9198")</f>
        <v>https://ceds.ed.gov/cedselementdetails.aspx?termid=9198</v>
      </c>
      <c r="Q2334" s="12" t="str">
        <f>HYPERLINK("https://ceds.ed.gov/elementComment.aspx?elementName=Normal Length of Time for Completion Units &amp;elementID=9198", "Click here to submit comment")</f>
        <v>Click here to submit comment</v>
      </c>
    </row>
    <row r="2335" spans="1:17" ht="75" x14ac:dyDescent="0.25">
      <c r="A2335" s="12" t="s">
        <v>7295</v>
      </c>
      <c r="B2335" s="12" t="s">
        <v>7298</v>
      </c>
      <c r="C2335" s="12" t="s">
        <v>7302</v>
      </c>
      <c r="D2335" s="12" t="s">
        <v>7172</v>
      </c>
      <c r="E2335" s="12" t="s">
        <v>4880</v>
      </c>
      <c r="F2335" s="12" t="s">
        <v>4881</v>
      </c>
      <c r="G2335" s="13" t="s">
        <v>7058</v>
      </c>
      <c r="H2335" s="12" t="s">
        <v>6630</v>
      </c>
      <c r="I2335" s="12"/>
      <c r="J2335" s="12"/>
      <c r="K2335" s="12"/>
      <c r="L2335" s="12"/>
      <c r="M2335" s="12" t="s">
        <v>4882</v>
      </c>
      <c r="N2335" s="12"/>
      <c r="O2335" s="12" t="s">
        <v>4883</v>
      </c>
      <c r="P2335" s="12" t="str">
        <f>HYPERLINK("https://ceds.ed.gov/cedselementdetails.aspx?termid=10595")</f>
        <v>https://ceds.ed.gov/cedselementdetails.aspx?termid=10595</v>
      </c>
      <c r="Q2335" s="12" t="str">
        <f>HYPERLINK("https://ceds.ed.gov/elementComment.aspx?elementName=Postsecondary Program Level &amp;elementID=10595", "Click here to submit comment")</f>
        <v>Click here to submit comment</v>
      </c>
    </row>
    <row r="2336" spans="1:17" ht="105" x14ac:dyDescent="0.25">
      <c r="A2336" s="18" t="s">
        <v>7295</v>
      </c>
      <c r="B2336" s="18" t="s">
        <v>7298</v>
      </c>
      <c r="C2336" s="18" t="s">
        <v>7302</v>
      </c>
      <c r="D2336" s="18" t="s">
        <v>7172</v>
      </c>
      <c r="E2336" s="18" t="s">
        <v>5141</v>
      </c>
      <c r="F2336" s="18" t="s">
        <v>5142</v>
      </c>
      <c r="G2336" s="18" t="s">
        <v>12</v>
      </c>
      <c r="H2336" s="18" t="s">
        <v>2017</v>
      </c>
      <c r="I2336" s="18"/>
      <c r="J2336" s="18" t="s">
        <v>142</v>
      </c>
      <c r="K2336" s="18"/>
      <c r="L2336" s="12" t="s">
        <v>143</v>
      </c>
      <c r="M2336" s="18" t="s">
        <v>5143</v>
      </c>
      <c r="N2336" s="18"/>
      <c r="O2336" s="18" t="s">
        <v>5144</v>
      </c>
      <c r="P2336" s="18" t="str">
        <f>HYPERLINK("https://ceds.ed.gov/cedselementdetails.aspx?termid=9618")</f>
        <v>https://ceds.ed.gov/cedselementdetails.aspx?termid=9618</v>
      </c>
      <c r="Q2336" s="18" t="str">
        <f>HYPERLINK("https://ceds.ed.gov/elementComment.aspx?elementName=Program Identifier &amp;elementID=9618", "Click here to submit comment")</f>
        <v>Click here to submit comment</v>
      </c>
    </row>
    <row r="2337" spans="1:17" x14ac:dyDescent="0.25">
      <c r="A2337" s="18"/>
      <c r="B2337" s="18"/>
      <c r="C2337" s="18"/>
      <c r="D2337" s="18"/>
      <c r="E2337" s="18"/>
      <c r="F2337" s="18"/>
      <c r="G2337" s="18"/>
      <c r="H2337" s="18"/>
      <c r="I2337" s="18"/>
      <c r="J2337" s="18"/>
      <c r="K2337" s="18"/>
      <c r="L2337" s="12"/>
      <c r="M2337" s="18"/>
      <c r="N2337" s="18"/>
      <c r="O2337" s="18"/>
      <c r="P2337" s="18"/>
      <c r="Q2337" s="18"/>
    </row>
    <row r="2338" spans="1:17" ht="90" x14ac:dyDescent="0.25">
      <c r="A2338" s="18"/>
      <c r="B2338" s="18"/>
      <c r="C2338" s="18"/>
      <c r="D2338" s="18"/>
      <c r="E2338" s="18"/>
      <c r="F2338" s="18"/>
      <c r="G2338" s="18"/>
      <c r="H2338" s="18"/>
      <c r="I2338" s="18"/>
      <c r="J2338" s="18"/>
      <c r="K2338" s="18"/>
      <c r="L2338" s="12" t="s">
        <v>144</v>
      </c>
      <c r="M2338" s="18"/>
      <c r="N2338" s="18"/>
      <c r="O2338" s="18"/>
      <c r="P2338" s="18"/>
      <c r="Q2338" s="18"/>
    </row>
    <row r="2339" spans="1:17" ht="60" x14ac:dyDescent="0.25">
      <c r="A2339" s="12" t="s">
        <v>7295</v>
      </c>
      <c r="B2339" s="12" t="s">
        <v>7298</v>
      </c>
      <c r="C2339" s="12" t="s">
        <v>7302</v>
      </c>
      <c r="D2339" s="12" t="s">
        <v>7172</v>
      </c>
      <c r="E2339" s="12" t="s">
        <v>5157</v>
      </c>
      <c r="F2339" s="12" t="s">
        <v>5158</v>
      </c>
      <c r="G2339" s="12" t="s">
        <v>12</v>
      </c>
      <c r="H2339" s="12" t="s">
        <v>2017</v>
      </c>
      <c r="I2339" s="12"/>
      <c r="J2339" s="12" t="s">
        <v>99</v>
      </c>
      <c r="K2339" s="12"/>
      <c r="L2339" s="12"/>
      <c r="M2339" s="12" t="s">
        <v>5159</v>
      </c>
      <c r="N2339" s="12"/>
      <c r="O2339" s="12" t="s">
        <v>5160</v>
      </c>
      <c r="P2339" s="12" t="str">
        <f>HYPERLINK("https://ceds.ed.gov/cedselementdetails.aspx?termid=9619")</f>
        <v>https://ceds.ed.gov/cedselementdetails.aspx?termid=9619</v>
      </c>
      <c r="Q2339" s="12" t="str">
        <f>HYPERLINK("https://ceds.ed.gov/elementComment.aspx?elementName=Program Name &amp;elementID=9619", "Click here to submit comment")</f>
        <v>Click here to submit comment</v>
      </c>
    </row>
    <row r="2340" spans="1:17" ht="135" x14ac:dyDescent="0.25">
      <c r="A2340" s="12" t="s">
        <v>7295</v>
      </c>
      <c r="B2340" s="12" t="s">
        <v>7298</v>
      </c>
      <c r="C2340" s="12" t="s">
        <v>7302</v>
      </c>
      <c r="D2340" s="12" t="s">
        <v>7172</v>
      </c>
      <c r="E2340" s="12" t="s">
        <v>5168</v>
      </c>
      <c r="F2340" s="12" t="s">
        <v>5169</v>
      </c>
      <c r="G2340" s="13" t="s">
        <v>7080</v>
      </c>
      <c r="H2340" s="12" t="s">
        <v>2017</v>
      </c>
      <c r="I2340" s="12"/>
      <c r="J2340" s="12"/>
      <c r="K2340" s="12"/>
      <c r="L2340" s="12"/>
      <c r="M2340" s="12" t="s">
        <v>5170</v>
      </c>
      <c r="N2340" s="12"/>
      <c r="O2340" s="12" t="s">
        <v>5171</v>
      </c>
      <c r="P2340" s="12" t="str">
        <f>HYPERLINK("https://ceds.ed.gov/cedselementdetails.aspx?termid=10209")</f>
        <v>https://ceds.ed.gov/cedselementdetails.aspx?termid=10209</v>
      </c>
      <c r="Q2340" s="12" t="str">
        <f>HYPERLINK("https://ceds.ed.gov/elementComment.aspx?elementName=Program Participation Status &amp;elementID=10209", "Click here to submit comment")</f>
        <v>Click here to submit comment</v>
      </c>
    </row>
    <row r="2341" spans="1:17" ht="60" x14ac:dyDescent="0.25">
      <c r="A2341" s="12" t="s">
        <v>7295</v>
      </c>
      <c r="B2341" s="12" t="s">
        <v>7298</v>
      </c>
      <c r="C2341" s="12" t="s">
        <v>7302</v>
      </c>
      <c r="D2341" s="12" t="s">
        <v>7172</v>
      </c>
      <c r="E2341" s="12" t="s">
        <v>6212</v>
      </c>
      <c r="F2341" s="12" t="s">
        <v>6213</v>
      </c>
      <c r="G2341" s="12" t="s">
        <v>6544</v>
      </c>
      <c r="H2341" s="12" t="s">
        <v>2308</v>
      </c>
      <c r="I2341" s="12"/>
      <c r="J2341" s="12"/>
      <c r="K2341" s="12"/>
      <c r="L2341" s="12"/>
      <c r="M2341" s="12" t="s">
        <v>6214</v>
      </c>
      <c r="N2341" s="12"/>
      <c r="O2341" s="12" t="s">
        <v>6215</v>
      </c>
      <c r="P2341" s="12" t="str">
        <f>HYPERLINK("https://ceds.ed.gov/cedselementdetails.aspx?termid=10610")</f>
        <v>https://ceds.ed.gov/cedselementdetails.aspx?termid=10610</v>
      </c>
      <c r="Q2341" s="12" t="str">
        <f>HYPERLINK("https://ceds.ed.gov/elementComment.aspx?elementName=Transfer-out Indicator &amp;elementID=10610", "Click here to submit comment")</f>
        <v>Click here to submit comment</v>
      </c>
    </row>
    <row r="2342" spans="1:17" ht="225" x14ac:dyDescent="0.25">
      <c r="A2342" s="12" t="s">
        <v>7295</v>
      </c>
      <c r="B2342" s="12" t="s">
        <v>7298</v>
      </c>
      <c r="C2342" s="12" t="s">
        <v>7303</v>
      </c>
      <c r="D2342" s="12" t="s">
        <v>7172</v>
      </c>
      <c r="E2342" s="12" t="s">
        <v>4518</v>
      </c>
      <c r="F2342" s="12" t="s">
        <v>4519</v>
      </c>
      <c r="G2342" s="12" t="s">
        <v>12</v>
      </c>
      <c r="H2342" s="12" t="s">
        <v>6604</v>
      </c>
      <c r="I2342" s="12"/>
      <c r="J2342" s="12" t="s">
        <v>99</v>
      </c>
      <c r="K2342" s="12"/>
      <c r="L2342" s="12"/>
      <c r="M2342" s="12" t="s">
        <v>4520</v>
      </c>
      <c r="N2342" s="12"/>
      <c r="O2342" s="12" t="s">
        <v>4521</v>
      </c>
      <c r="P2342" s="12" t="str">
        <f>HYPERLINK("https://ceds.ed.gov/cedselementdetails.aspx?termid=9191")</f>
        <v>https://ceds.ed.gov/cedselementdetails.aspx?termid=9191</v>
      </c>
      <c r="Q2342" s="12" t="str">
        <f>HYPERLINK("https://ceds.ed.gov/elementComment.aspx?elementName=Name of Institution &amp;elementID=9191", "Click here to submit comment")</f>
        <v>Click here to submit comment</v>
      </c>
    </row>
    <row r="2343" spans="1:17" ht="180" x14ac:dyDescent="0.25">
      <c r="A2343" s="12" t="s">
        <v>7295</v>
      </c>
      <c r="B2343" s="12" t="s">
        <v>7298</v>
      </c>
      <c r="C2343" s="12" t="s">
        <v>7303</v>
      </c>
      <c r="D2343" s="12" t="s">
        <v>7172</v>
      </c>
      <c r="E2343" s="12" t="s">
        <v>4643</v>
      </c>
      <c r="F2343" s="12" t="s">
        <v>4644</v>
      </c>
      <c r="G2343" s="12" t="s">
        <v>12</v>
      </c>
      <c r="H2343" s="12"/>
      <c r="I2343" s="12"/>
      <c r="J2343" s="12" t="s">
        <v>4645</v>
      </c>
      <c r="K2343" s="12"/>
      <c r="L2343" s="12"/>
      <c r="M2343" s="12" t="s">
        <v>4646</v>
      </c>
      <c r="N2343" s="12" t="s">
        <v>4647</v>
      </c>
      <c r="O2343" s="12" t="s">
        <v>4647</v>
      </c>
      <c r="P2343" s="12" t="str">
        <f>HYPERLINK("https://ceds.ed.gov/cedselementdetails.aspx?termid=9203")</f>
        <v>https://ceds.ed.gov/cedselementdetails.aspx?termid=9203</v>
      </c>
      <c r="Q2343" s="12" t="str">
        <f>HYPERLINK("https://ceds.ed.gov/elementComment.aspx?elementName=Office of Postsecondary Education Identifier &amp;elementID=9203", "Click here to submit comment")</f>
        <v>Click here to submit comment</v>
      </c>
    </row>
    <row r="2344" spans="1:17" ht="60" x14ac:dyDescent="0.25">
      <c r="A2344" s="12" t="s">
        <v>7295</v>
      </c>
      <c r="B2344" s="12" t="s">
        <v>7298</v>
      </c>
      <c r="C2344" s="12" t="s">
        <v>7303</v>
      </c>
      <c r="D2344" s="12" t="s">
        <v>7172</v>
      </c>
      <c r="E2344" s="12" t="s">
        <v>10</v>
      </c>
      <c r="F2344" s="12" t="s">
        <v>11</v>
      </c>
      <c r="G2344" s="12" t="s">
        <v>12</v>
      </c>
      <c r="H2344" s="12" t="s">
        <v>6367</v>
      </c>
      <c r="I2344" s="12"/>
      <c r="J2344" s="12" t="s">
        <v>13</v>
      </c>
      <c r="K2344" s="12"/>
      <c r="L2344" s="12"/>
      <c r="M2344" s="12" t="s">
        <v>14</v>
      </c>
      <c r="N2344" s="12"/>
      <c r="O2344" s="12" t="s">
        <v>15</v>
      </c>
      <c r="P2344" s="12" t="str">
        <f>HYPERLINK("https://ceds.ed.gov/cedselementdetails.aspx?termid=9001")</f>
        <v>https://ceds.ed.gov/cedselementdetails.aspx?termid=9001</v>
      </c>
      <c r="Q2344" s="12" t="str">
        <f>HYPERLINK("https://ceds.ed.gov/elementComment.aspx?elementName=Academic Award Date &amp;elementID=9001", "Click here to submit comment")</f>
        <v>Click here to submit comment</v>
      </c>
    </row>
    <row r="2345" spans="1:17" ht="285" x14ac:dyDescent="0.25">
      <c r="A2345" s="12" t="s">
        <v>7295</v>
      </c>
      <c r="B2345" s="12" t="s">
        <v>7298</v>
      </c>
      <c r="C2345" s="12" t="s">
        <v>7303</v>
      </c>
      <c r="D2345" s="12" t="s">
        <v>7172</v>
      </c>
      <c r="E2345" s="12" t="s">
        <v>16</v>
      </c>
      <c r="F2345" s="12" t="s">
        <v>17</v>
      </c>
      <c r="G2345" s="13" t="s">
        <v>6718</v>
      </c>
      <c r="H2345" s="12" t="s">
        <v>6368</v>
      </c>
      <c r="I2345" s="12"/>
      <c r="J2345" s="12"/>
      <c r="K2345" s="12"/>
      <c r="L2345" s="12"/>
      <c r="M2345" s="12" t="s">
        <v>18</v>
      </c>
      <c r="N2345" s="12"/>
      <c r="O2345" s="12" t="s">
        <v>19</v>
      </c>
      <c r="P2345" s="12" t="str">
        <f>HYPERLINK("https://ceds.ed.gov/cedselementdetails.aspx?termid=9002")</f>
        <v>https://ceds.ed.gov/cedselementdetails.aspx?termid=9002</v>
      </c>
      <c r="Q2345" s="12" t="str">
        <f>HYPERLINK("https://ceds.ed.gov/elementComment.aspx?elementName=Academic Award Level Conferred &amp;elementID=9002", "Click here to submit comment")</f>
        <v>Click here to submit comment</v>
      </c>
    </row>
    <row r="2346" spans="1:17" ht="30" x14ac:dyDescent="0.25">
      <c r="A2346" s="12" t="s">
        <v>7295</v>
      </c>
      <c r="B2346" s="12" t="s">
        <v>7298</v>
      </c>
      <c r="C2346" s="12" t="s">
        <v>7303</v>
      </c>
      <c r="D2346" s="12" t="s">
        <v>7172</v>
      </c>
      <c r="E2346" s="12" t="s">
        <v>20</v>
      </c>
      <c r="F2346" s="12" t="s">
        <v>21</v>
      </c>
      <c r="G2346" s="12" t="s">
        <v>12</v>
      </c>
      <c r="H2346" s="12" t="s">
        <v>25</v>
      </c>
      <c r="I2346" s="12"/>
      <c r="J2346" s="12" t="s">
        <v>22</v>
      </c>
      <c r="K2346" s="12"/>
      <c r="L2346" s="12"/>
      <c r="M2346" s="12" t="s">
        <v>23</v>
      </c>
      <c r="N2346" s="12"/>
      <c r="O2346" s="12" t="s">
        <v>24</v>
      </c>
      <c r="P2346" s="12" t="str">
        <f>HYPERLINK("https://ceds.ed.gov/cedselementdetails.aspx?termid=9003")</f>
        <v>https://ceds.ed.gov/cedselementdetails.aspx?termid=9003</v>
      </c>
      <c r="Q2346" s="12" t="str">
        <f>HYPERLINK("https://ceds.ed.gov/elementComment.aspx?elementName=Academic Award Title &amp;elementID=9003", "Click here to submit comment")</f>
        <v>Click here to submit comment</v>
      </c>
    </row>
    <row r="2347" spans="1:17" ht="75" x14ac:dyDescent="0.25">
      <c r="A2347" s="12" t="s">
        <v>7295</v>
      </c>
      <c r="B2347" s="12" t="s">
        <v>7298</v>
      </c>
      <c r="C2347" s="12" t="s">
        <v>7303</v>
      </c>
      <c r="D2347" s="12" t="s">
        <v>7172</v>
      </c>
      <c r="E2347" s="12" t="s">
        <v>1826</v>
      </c>
      <c r="F2347" s="12" t="s">
        <v>1827</v>
      </c>
      <c r="G2347" s="14" t="s">
        <v>1828</v>
      </c>
      <c r="H2347" s="12" t="s">
        <v>6368</v>
      </c>
      <c r="I2347" s="12"/>
      <c r="J2347" s="12"/>
      <c r="K2347" s="12"/>
      <c r="L2347" s="12"/>
      <c r="M2347" s="12" t="s">
        <v>1829</v>
      </c>
      <c r="N2347" s="12" t="s">
        <v>1830</v>
      </c>
      <c r="O2347" s="12" t="s">
        <v>1831</v>
      </c>
      <c r="P2347" s="12" t="str">
        <f>HYPERLINK("https://ceds.ed.gov/cedselementdetails.aspx?termid=9043")</f>
        <v>https://ceds.ed.gov/cedselementdetails.aspx?termid=9043</v>
      </c>
      <c r="Q2347" s="12" t="str">
        <f>HYPERLINK("https://ceds.ed.gov/elementComment.aspx?elementName=Classification of Instructional Program Code &amp;elementID=9043", "Click here to submit comment")</f>
        <v>Click here to submit comment</v>
      </c>
    </row>
    <row r="2348" spans="1:17" ht="135" x14ac:dyDescent="0.25">
      <c r="A2348" s="12" t="s">
        <v>7295</v>
      </c>
      <c r="B2348" s="12" t="s">
        <v>7298</v>
      </c>
      <c r="C2348" s="12" t="s">
        <v>7303</v>
      </c>
      <c r="D2348" s="12" t="s">
        <v>7172</v>
      </c>
      <c r="E2348" s="12" t="s">
        <v>1832</v>
      </c>
      <c r="F2348" s="12" t="s">
        <v>1833</v>
      </c>
      <c r="G2348" s="13" t="s">
        <v>6818</v>
      </c>
      <c r="H2348" s="12" t="s">
        <v>6380</v>
      </c>
      <c r="I2348" s="12"/>
      <c r="J2348" s="12"/>
      <c r="K2348" s="12"/>
      <c r="L2348" s="12"/>
      <c r="M2348" s="12" t="s">
        <v>1834</v>
      </c>
      <c r="N2348" s="12" t="s">
        <v>1835</v>
      </c>
      <c r="O2348" s="12" t="s">
        <v>1836</v>
      </c>
      <c r="P2348" s="12" t="str">
        <f>HYPERLINK("https://ceds.ed.gov/cedselementdetails.aspx?termid=9044")</f>
        <v>https://ceds.ed.gov/cedselementdetails.aspx?termid=9044</v>
      </c>
      <c r="Q2348" s="12" t="str">
        <f>HYPERLINK("https://ceds.ed.gov/elementComment.aspx?elementName=Classification of Instructional Program Use &amp;elementID=9044", "Click here to submit comment")</f>
        <v>Click here to submit comment</v>
      </c>
    </row>
    <row r="2349" spans="1:17" ht="90" x14ac:dyDescent="0.25">
      <c r="A2349" s="12" t="s">
        <v>7295</v>
      </c>
      <c r="B2349" s="12" t="s">
        <v>7298</v>
      </c>
      <c r="C2349" s="12" t="s">
        <v>7303</v>
      </c>
      <c r="D2349" s="12" t="s">
        <v>7172</v>
      </c>
      <c r="E2349" s="12" t="s">
        <v>1837</v>
      </c>
      <c r="F2349" s="12" t="s">
        <v>1838</v>
      </c>
      <c r="G2349" s="13" t="s">
        <v>6819</v>
      </c>
      <c r="H2349" s="12" t="s">
        <v>6380</v>
      </c>
      <c r="I2349" s="12"/>
      <c r="J2349" s="12"/>
      <c r="K2349" s="12"/>
      <c r="L2349" s="12"/>
      <c r="M2349" s="12" t="s">
        <v>1839</v>
      </c>
      <c r="N2349" s="12" t="s">
        <v>1840</v>
      </c>
      <c r="O2349" s="12" t="s">
        <v>1841</v>
      </c>
      <c r="P2349" s="12" t="str">
        <f>HYPERLINK("https://ceds.ed.gov/cedselementdetails.aspx?termid=9045")</f>
        <v>https://ceds.ed.gov/cedselementdetails.aspx?termid=9045</v>
      </c>
      <c r="Q2349" s="12" t="str">
        <f>HYPERLINK("https://ceds.ed.gov/elementComment.aspx?elementName=Classification of Instructional Program Version &amp;elementID=9045", "Click here to submit comment")</f>
        <v>Click here to submit comment</v>
      </c>
    </row>
    <row r="2350" spans="1:17" ht="135" x14ac:dyDescent="0.25">
      <c r="A2350" s="12" t="s">
        <v>7295</v>
      </c>
      <c r="B2350" s="12" t="s">
        <v>7298</v>
      </c>
      <c r="C2350" s="12" t="s">
        <v>7303</v>
      </c>
      <c r="D2350" s="12" t="s">
        <v>7172</v>
      </c>
      <c r="E2350" s="12" t="s">
        <v>2326</v>
      </c>
      <c r="F2350" s="12" t="s">
        <v>2327</v>
      </c>
      <c r="G2350" s="12" t="s">
        <v>12</v>
      </c>
      <c r="H2350" s="12" t="s">
        <v>6502</v>
      </c>
      <c r="I2350" s="12"/>
      <c r="J2350" s="12" t="s">
        <v>2328</v>
      </c>
      <c r="K2350" s="12"/>
      <c r="L2350" s="12"/>
      <c r="M2350" s="12" t="s">
        <v>2329</v>
      </c>
      <c r="N2350" s="12"/>
      <c r="O2350" s="12" t="s">
        <v>2330</v>
      </c>
      <c r="P2350" s="12" t="str">
        <f>HYPERLINK("https://ceds.ed.gov/cedselementdetails.aspx?termid=9081")</f>
        <v>https://ceds.ed.gov/cedselementdetails.aspx?termid=9081</v>
      </c>
      <c r="Q2350" s="12" t="str">
        <f>HYPERLINK("https://ceds.ed.gov/elementComment.aspx?elementName=Diploma or Credential Award Date &amp;elementID=9081", "Click here to submit comment")</f>
        <v>Click here to submit comment</v>
      </c>
    </row>
    <row r="2351" spans="1:17" ht="150" x14ac:dyDescent="0.25">
      <c r="A2351" s="12" t="s">
        <v>7295</v>
      </c>
      <c r="B2351" s="12" t="s">
        <v>7298</v>
      </c>
      <c r="C2351" s="12" t="s">
        <v>7303</v>
      </c>
      <c r="D2351" s="12" t="s">
        <v>7172</v>
      </c>
      <c r="E2351" s="12" t="s">
        <v>2425</v>
      </c>
      <c r="F2351" s="12" t="s">
        <v>2426</v>
      </c>
      <c r="G2351" s="13" t="s">
        <v>6873</v>
      </c>
      <c r="H2351" s="12"/>
      <c r="I2351" s="12" t="s">
        <v>1498</v>
      </c>
      <c r="J2351" s="12"/>
      <c r="K2351" s="12"/>
      <c r="L2351" s="14" t="s">
        <v>2427</v>
      </c>
      <c r="M2351" s="12" t="s">
        <v>2428</v>
      </c>
      <c r="N2351" s="12"/>
      <c r="O2351" s="12" t="s">
        <v>2429</v>
      </c>
      <c r="P2351" s="12" t="str">
        <f>HYPERLINK("https://ceds.ed.gov/cedselementdetails.aspx?termid=10622")</f>
        <v>https://ceds.ed.gov/cedselementdetails.aspx?termid=10622</v>
      </c>
      <c r="Q2351" s="12" t="str">
        <f>HYPERLINK("https://ceds.ed.gov/elementComment.aspx?elementName=DQP Categories of Learning &amp;elementID=10622", "Click here to submit comment")</f>
        <v>Click here to submit comment</v>
      </c>
    </row>
    <row r="2352" spans="1:17" ht="75" x14ac:dyDescent="0.25">
      <c r="A2352" s="12" t="s">
        <v>7295</v>
      </c>
      <c r="B2352" s="12" t="s">
        <v>7298</v>
      </c>
      <c r="C2352" s="12" t="s">
        <v>7303</v>
      </c>
      <c r="D2352" s="12" t="s">
        <v>7172</v>
      </c>
      <c r="E2352" s="12" t="s">
        <v>4880</v>
      </c>
      <c r="F2352" s="12" t="s">
        <v>4881</v>
      </c>
      <c r="G2352" s="13" t="s">
        <v>7058</v>
      </c>
      <c r="H2352" s="12" t="s">
        <v>6630</v>
      </c>
      <c r="I2352" s="12"/>
      <c r="J2352" s="12"/>
      <c r="K2352" s="12"/>
      <c r="L2352" s="12"/>
      <c r="M2352" s="12" t="s">
        <v>4882</v>
      </c>
      <c r="N2352" s="12"/>
      <c r="O2352" s="12" t="s">
        <v>4883</v>
      </c>
      <c r="P2352" s="12" t="str">
        <f>HYPERLINK("https://ceds.ed.gov/cedselementdetails.aspx?termid=10595")</f>
        <v>https://ceds.ed.gov/cedselementdetails.aspx?termid=10595</v>
      </c>
      <c r="Q2352" s="12" t="str">
        <f>HYPERLINK("https://ceds.ed.gov/elementComment.aspx?elementName=Postsecondary Program Level &amp;elementID=10595", "Click here to submit comment")</f>
        <v>Click here to submit comment</v>
      </c>
    </row>
    <row r="2353" spans="1:17" ht="195" x14ac:dyDescent="0.25">
      <c r="A2353" s="12" t="s">
        <v>7295</v>
      </c>
      <c r="B2353" s="12" t="s">
        <v>7298</v>
      </c>
      <c r="C2353" s="12" t="s">
        <v>7303</v>
      </c>
      <c r="D2353" s="12" t="s">
        <v>7172</v>
      </c>
      <c r="E2353" s="12" t="s">
        <v>5107</v>
      </c>
      <c r="F2353" s="12" t="s">
        <v>5108</v>
      </c>
      <c r="G2353" s="13" t="s">
        <v>7076</v>
      </c>
      <c r="H2353" s="12"/>
      <c r="I2353" s="12"/>
      <c r="J2353" s="12"/>
      <c r="K2353" s="12"/>
      <c r="L2353" s="12"/>
      <c r="M2353" s="12" t="s">
        <v>5109</v>
      </c>
      <c r="N2353" s="12"/>
      <c r="O2353" s="12" t="s">
        <v>5110</v>
      </c>
      <c r="P2353" s="12" t="str">
        <f>HYPERLINK("https://ceds.ed.gov/cedselementdetails.aspx?termid=9780")</f>
        <v>https://ceds.ed.gov/cedselementdetails.aspx?termid=9780</v>
      </c>
      <c r="Q2353" s="12" t="str">
        <f>HYPERLINK("https://ceds.ed.gov/elementComment.aspx?elementName=Professional or Technical Credential Conferred &amp;elementID=9780", "Click here to submit comment")</f>
        <v>Click here to submit comment</v>
      </c>
    </row>
    <row r="2354" spans="1:17" ht="90" x14ac:dyDescent="0.25">
      <c r="A2354" s="12" t="s">
        <v>7295</v>
      </c>
      <c r="B2354" s="12" t="s">
        <v>7298</v>
      </c>
      <c r="C2354" s="12" t="s">
        <v>7304</v>
      </c>
      <c r="D2354" s="12" t="s">
        <v>7172</v>
      </c>
      <c r="E2354" s="12" t="s">
        <v>4866</v>
      </c>
      <c r="F2354" s="12" t="s">
        <v>4867</v>
      </c>
      <c r="G2354" s="13" t="s">
        <v>7056</v>
      </c>
      <c r="H2354" s="12" t="s">
        <v>6380</v>
      </c>
      <c r="I2354" s="12"/>
      <c r="J2354" s="12"/>
      <c r="K2354" s="12"/>
      <c r="L2354" s="12"/>
      <c r="M2354" s="12" t="s">
        <v>4868</v>
      </c>
      <c r="N2354" s="12"/>
      <c r="O2354" s="12" t="s">
        <v>4869</v>
      </c>
      <c r="P2354" s="12" t="str">
        <f>HYPERLINK("https://ceds.ed.gov/cedselementdetails.aspx?termid=9095")</f>
        <v>https://ceds.ed.gov/cedselementdetails.aspx?termid=9095</v>
      </c>
      <c r="Q2354" s="12" t="str">
        <f>HYPERLINK("https://ceds.ed.gov/elementComment.aspx?elementName=Postsecondary Enrollment Type &amp;elementID=9095", "Click here to submit comment")</f>
        <v>Click here to submit comment</v>
      </c>
    </row>
    <row r="2355" spans="1:17" ht="135" x14ac:dyDescent="0.25">
      <c r="A2355" s="12" t="s">
        <v>7295</v>
      </c>
      <c r="B2355" s="12" t="s">
        <v>7298</v>
      </c>
      <c r="C2355" s="12" t="s">
        <v>7304</v>
      </c>
      <c r="D2355" s="12" t="s">
        <v>7172</v>
      </c>
      <c r="E2355" s="12" t="s">
        <v>4861</v>
      </c>
      <c r="F2355" s="12" t="s">
        <v>4862</v>
      </c>
      <c r="G2355" s="13" t="s">
        <v>7055</v>
      </c>
      <c r="H2355" s="12" t="s">
        <v>6629</v>
      </c>
      <c r="I2355" s="12"/>
      <c r="J2355" s="12"/>
      <c r="K2355" s="12"/>
      <c r="L2355" s="12" t="s">
        <v>4863</v>
      </c>
      <c r="M2355" s="12" t="s">
        <v>4864</v>
      </c>
      <c r="N2355" s="12"/>
      <c r="O2355" s="12" t="s">
        <v>4865</v>
      </c>
      <c r="P2355" s="12" t="str">
        <f>HYPERLINK("https://ceds.ed.gov/cedselementdetails.aspx?termid=9096")</f>
        <v>https://ceds.ed.gov/cedselementdetails.aspx?termid=9096</v>
      </c>
      <c r="Q2355" s="12" t="str">
        <f>HYPERLINK("https://ceds.ed.gov/elementComment.aspx?elementName=Postsecondary Enrollment Status &amp;elementID=9096", "Click here to submit comment")</f>
        <v>Click here to submit comment</v>
      </c>
    </row>
    <row r="2356" spans="1:17" ht="45" x14ac:dyDescent="0.25">
      <c r="A2356" s="12" t="s">
        <v>7295</v>
      </c>
      <c r="B2356" s="12" t="s">
        <v>7298</v>
      </c>
      <c r="C2356" s="12" t="s">
        <v>7304</v>
      </c>
      <c r="D2356" s="12" t="s">
        <v>7172</v>
      </c>
      <c r="E2356" s="12" t="s">
        <v>3557</v>
      </c>
      <c r="F2356" s="12" t="s">
        <v>3558</v>
      </c>
      <c r="G2356" s="13" t="s">
        <v>6977</v>
      </c>
      <c r="H2356" s="12" t="s">
        <v>6380</v>
      </c>
      <c r="I2356" s="12"/>
      <c r="J2356" s="12"/>
      <c r="K2356" s="12"/>
      <c r="L2356" s="12"/>
      <c r="M2356" s="12" t="s">
        <v>3559</v>
      </c>
      <c r="N2356" s="12"/>
      <c r="O2356" s="12" t="s">
        <v>3560</v>
      </c>
      <c r="P2356" s="12" t="str">
        <f>HYPERLINK("https://ceds.ed.gov/cedselementdetails.aspx?termid=9169")</f>
        <v>https://ceds.ed.gov/cedselementdetails.aspx?termid=9169</v>
      </c>
      <c r="Q2356" s="12" t="str">
        <f>HYPERLINK("https://ceds.ed.gov/elementComment.aspx?elementName=Instructional Activity Hours Type &amp;elementID=9169", "Click here to submit comment")</f>
        <v>Click here to submit comment</v>
      </c>
    </row>
    <row r="2357" spans="1:17" ht="45" x14ac:dyDescent="0.25">
      <c r="A2357" s="12" t="s">
        <v>7295</v>
      </c>
      <c r="B2357" s="12" t="s">
        <v>7298</v>
      </c>
      <c r="C2357" s="12" t="s">
        <v>7304</v>
      </c>
      <c r="D2357" s="12" t="s">
        <v>7172</v>
      </c>
      <c r="E2357" s="12" t="s">
        <v>3548</v>
      </c>
      <c r="F2357" s="12" t="s">
        <v>3549</v>
      </c>
      <c r="G2357" s="12" t="s">
        <v>12</v>
      </c>
      <c r="H2357" s="12" t="s">
        <v>6380</v>
      </c>
      <c r="I2357" s="12"/>
      <c r="J2357" s="12" t="s">
        <v>1554</v>
      </c>
      <c r="K2357" s="12"/>
      <c r="L2357" s="12"/>
      <c r="M2357" s="12" t="s">
        <v>3550</v>
      </c>
      <c r="N2357" s="12"/>
      <c r="O2357" s="12" t="s">
        <v>3551</v>
      </c>
      <c r="P2357" s="12" t="str">
        <f>HYPERLINK("https://ceds.ed.gov/cedselementdetails.aspx?termid=9168")</f>
        <v>https://ceds.ed.gov/cedselementdetails.aspx?termid=9168</v>
      </c>
      <c r="Q2357" s="12" t="str">
        <f>HYPERLINK("https://ceds.ed.gov/elementComment.aspx?elementName=Instructional Activity Hours Attempted &amp;elementID=9168", "Click here to submit comment")</f>
        <v>Click here to submit comment</v>
      </c>
    </row>
    <row r="2358" spans="1:17" ht="45" x14ac:dyDescent="0.25">
      <c r="A2358" s="12" t="s">
        <v>7295</v>
      </c>
      <c r="B2358" s="12" t="s">
        <v>7298</v>
      </c>
      <c r="C2358" s="12" t="s">
        <v>7304</v>
      </c>
      <c r="D2358" s="12" t="s">
        <v>7172</v>
      </c>
      <c r="E2358" s="12" t="s">
        <v>3552</v>
      </c>
      <c r="F2358" s="12" t="s">
        <v>3553</v>
      </c>
      <c r="G2358" s="12" t="s">
        <v>12</v>
      </c>
      <c r="H2358" s="12" t="s">
        <v>3556</v>
      </c>
      <c r="I2358" s="12"/>
      <c r="J2358" s="12" t="s">
        <v>1554</v>
      </c>
      <c r="K2358" s="12"/>
      <c r="L2358" s="12"/>
      <c r="M2358" s="12" t="s">
        <v>3554</v>
      </c>
      <c r="N2358" s="12"/>
      <c r="O2358" s="12" t="s">
        <v>3555</v>
      </c>
      <c r="P2358" s="12" t="str">
        <f>HYPERLINK("https://ceds.ed.gov/cedselementdetails.aspx?termid=9361")</f>
        <v>https://ceds.ed.gov/cedselementdetails.aspx?termid=9361</v>
      </c>
      <c r="Q2358" s="12" t="str">
        <f>HYPERLINK("https://ceds.ed.gov/elementComment.aspx?elementName=Instructional Activity Hours Completed &amp;elementID=9361", "Click here to submit comment")</f>
        <v>Click here to submit comment</v>
      </c>
    </row>
    <row r="2359" spans="1:17" ht="210" x14ac:dyDescent="0.25">
      <c r="A2359" s="12" t="s">
        <v>7295</v>
      </c>
      <c r="B2359" s="12" t="s">
        <v>7298</v>
      </c>
      <c r="C2359" s="12" t="s">
        <v>7304</v>
      </c>
      <c r="D2359" s="12" t="s">
        <v>7172</v>
      </c>
      <c r="E2359" s="12" t="s">
        <v>6200</v>
      </c>
      <c r="F2359" s="12" t="s">
        <v>6201</v>
      </c>
      <c r="G2359" s="12" t="s">
        <v>6364</v>
      </c>
      <c r="H2359" s="12" t="s">
        <v>6380</v>
      </c>
      <c r="I2359" s="12"/>
      <c r="J2359" s="12"/>
      <c r="K2359" s="12"/>
      <c r="L2359" s="12"/>
      <c r="M2359" s="12" t="s">
        <v>6202</v>
      </c>
      <c r="N2359" s="12"/>
      <c r="O2359" s="12" t="s">
        <v>6203</v>
      </c>
      <c r="P2359" s="12" t="str">
        <f>HYPERLINK("https://ceds.ed.gov/cedselementdetails.aspx?termid=9292")</f>
        <v>https://ceds.ed.gov/cedselementdetails.aspx?termid=9292</v>
      </c>
      <c r="Q2359" s="12" t="str">
        <f>HYPERLINK("https://ceds.ed.gov/elementComment.aspx?elementName=Title IV Participant and Recipient &amp;elementID=9292", "Click here to submit comment")</f>
        <v>Click here to submit comment</v>
      </c>
    </row>
    <row r="2360" spans="1:17" ht="345" x14ac:dyDescent="0.25">
      <c r="A2360" s="12" t="s">
        <v>7295</v>
      </c>
      <c r="B2360" s="12" t="s">
        <v>7298</v>
      </c>
      <c r="C2360" s="12" t="s">
        <v>7304</v>
      </c>
      <c r="D2360" s="12" t="s">
        <v>7172</v>
      </c>
      <c r="E2360" s="12" t="s">
        <v>2397</v>
      </c>
      <c r="F2360" s="12" t="s">
        <v>2398</v>
      </c>
      <c r="G2360" s="13" t="s">
        <v>6870</v>
      </c>
      <c r="H2360" s="12" t="s">
        <v>2403</v>
      </c>
      <c r="I2360" s="12"/>
      <c r="J2360" s="12"/>
      <c r="K2360" s="12"/>
      <c r="L2360" s="12" t="s">
        <v>2400</v>
      </c>
      <c r="M2360" s="12" t="s">
        <v>2401</v>
      </c>
      <c r="N2360" s="12"/>
      <c r="O2360" s="12" t="s">
        <v>2402</v>
      </c>
      <c r="P2360" s="12" t="str">
        <f>HYPERLINK("https://ceds.ed.gov/cedselementdetails.aspx?termid=9704")</f>
        <v>https://ceds.ed.gov/cedselementdetails.aspx?termid=9704</v>
      </c>
      <c r="Q2360" s="12" t="str">
        <f>HYPERLINK("https://ceds.ed.gov/elementComment.aspx?elementName=Distance Education Course Enrollment &amp;elementID=9704", "Click here to submit comment")</f>
        <v>Click here to submit comment</v>
      </c>
    </row>
    <row r="2361" spans="1:17" ht="105" x14ac:dyDescent="0.25">
      <c r="A2361" s="12" t="s">
        <v>7295</v>
      </c>
      <c r="B2361" s="12" t="s">
        <v>7298</v>
      </c>
      <c r="C2361" s="12" t="s">
        <v>7304</v>
      </c>
      <c r="D2361" s="12" t="s">
        <v>7172</v>
      </c>
      <c r="E2361" s="12" t="s">
        <v>4888</v>
      </c>
      <c r="F2361" s="12" t="s">
        <v>4889</v>
      </c>
      <c r="G2361" s="12" t="s">
        <v>6364</v>
      </c>
      <c r="H2361" s="12" t="s">
        <v>250</v>
      </c>
      <c r="I2361" s="12"/>
      <c r="J2361" s="12"/>
      <c r="K2361" s="12"/>
      <c r="L2361" s="12" t="s">
        <v>4890</v>
      </c>
      <c r="M2361" s="12" t="s">
        <v>4891</v>
      </c>
      <c r="N2361" s="12"/>
      <c r="O2361" s="12" t="s">
        <v>4892</v>
      </c>
      <c r="P2361" s="12" t="str">
        <f>HYPERLINK("https://ceds.ed.gov/cedselementdetails.aspx?termid=9741")</f>
        <v>https://ceds.ed.gov/cedselementdetails.aspx?termid=9741</v>
      </c>
      <c r="Q2361" s="12" t="str">
        <f>HYPERLINK("https://ceds.ed.gov/elementComment.aspx?elementName=Postsecondary Student Housing On-Campus &amp;elementID=9741", "Click here to submit comment")</f>
        <v>Click here to submit comment</v>
      </c>
    </row>
    <row r="2362" spans="1:17" ht="60" x14ac:dyDescent="0.25">
      <c r="A2362" s="12" t="s">
        <v>7295</v>
      </c>
      <c r="B2362" s="12" t="s">
        <v>7298</v>
      </c>
      <c r="C2362" s="12" t="s">
        <v>7304</v>
      </c>
      <c r="D2362" s="12" t="s">
        <v>7172</v>
      </c>
      <c r="E2362" s="12" t="s">
        <v>3047</v>
      </c>
      <c r="F2362" s="12" t="s">
        <v>3048</v>
      </c>
      <c r="G2362" s="12" t="s">
        <v>6364</v>
      </c>
      <c r="H2362" s="12" t="s">
        <v>250</v>
      </c>
      <c r="I2362" s="12"/>
      <c r="J2362" s="12"/>
      <c r="K2362" s="12"/>
      <c r="L2362" s="12"/>
      <c r="M2362" s="12" t="s">
        <v>3049</v>
      </c>
      <c r="N2362" s="12"/>
      <c r="O2362" s="12" t="s">
        <v>3050</v>
      </c>
      <c r="P2362" s="12" t="str">
        <f>HYPERLINK("https://ceds.ed.gov/cedselementdetails.aspx?termid=9743")</f>
        <v>https://ceds.ed.gov/cedselementdetails.aspx?termid=9743</v>
      </c>
      <c r="Q2362" s="12" t="str">
        <f>HYPERLINK("https://ceds.ed.gov/elementComment.aspx?elementName=Fraternity Participation Status &amp;elementID=9743", "Click here to submit comment")</f>
        <v>Click here to submit comment</v>
      </c>
    </row>
    <row r="2363" spans="1:17" ht="180" x14ac:dyDescent="0.25">
      <c r="A2363" s="12" t="s">
        <v>7295</v>
      </c>
      <c r="B2363" s="12" t="s">
        <v>7298</v>
      </c>
      <c r="C2363" s="12" t="s">
        <v>7304</v>
      </c>
      <c r="D2363" s="12" t="s">
        <v>7172</v>
      </c>
      <c r="E2363" s="12" t="s">
        <v>38</v>
      </c>
      <c r="F2363" s="12" t="s">
        <v>39</v>
      </c>
      <c r="G2363" s="13" t="s">
        <v>6721</v>
      </c>
      <c r="H2363" s="12" t="s">
        <v>6371</v>
      </c>
      <c r="I2363" s="12"/>
      <c r="J2363" s="12"/>
      <c r="K2363" s="12"/>
      <c r="L2363" s="12" t="s">
        <v>40</v>
      </c>
      <c r="M2363" s="12" t="s">
        <v>41</v>
      </c>
      <c r="N2363" s="12"/>
      <c r="O2363" s="12" t="s">
        <v>42</v>
      </c>
      <c r="P2363" s="12" t="str">
        <f>HYPERLINK("https://ceds.ed.gov/cedselementdetails.aspx?termid=9703")</f>
        <v>https://ceds.ed.gov/cedselementdetails.aspx?termid=9703</v>
      </c>
      <c r="Q2363" s="12" t="str">
        <f>HYPERLINK("https://ceds.ed.gov/elementComment.aspx?elementName=Academic Term Designator &amp;elementID=9703", "Click here to submit comment")</f>
        <v>Click here to submit comment</v>
      </c>
    </row>
    <row r="2364" spans="1:17" ht="60" x14ac:dyDescent="0.25">
      <c r="A2364" s="12" t="s">
        <v>7295</v>
      </c>
      <c r="B2364" s="12" t="s">
        <v>7298</v>
      </c>
      <c r="C2364" s="12" t="s">
        <v>7304</v>
      </c>
      <c r="D2364" s="12" t="s">
        <v>7172</v>
      </c>
      <c r="E2364" s="12" t="s">
        <v>43</v>
      </c>
      <c r="F2364" s="12" t="s">
        <v>44</v>
      </c>
      <c r="G2364" s="12" t="s">
        <v>12</v>
      </c>
      <c r="H2364" s="12" t="s">
        <v>6371</v>
      </c>
      <c r="I2364" s="12"/>
      <c r="J2364" s="12" t="s">
        <v>45</v>
      </c>
      <c r="K2364" s="12"/>
      <c r="L2364" s="12"/>
      <c r="M2364" s="12" t="s">
        <v>46</v>
      </c>
      <c r="N2364" s="12"/>
      <c r="O2364" s="12" t="s">
        <v>47</v>
      </c>
      <c r="P2364" s="12" t="str">
        <f>HYPERLINK("https://ceds.ed.gov/cedselementdetails.aspx?termid=9702")</f>
        <v>https://ceds.ed.gov/cedselementdetails.aspx?termid=9702</v>
      </c>
      <c r="Q2364" s="12" t="str">
        <f>HYPERLINK("https://ceds.ed.gov/elementComment.aspx?elementName=Academic Year Designator &amp;elementID=9702", "Click here to submit comment")</f>
        <v>Click here to submit comment</v>
      </c>
    </row>
    <row r="2365" spans="1:17" ht="75" x14ac:dyDescent="0.25">
      <c r="A2365" s="12" t="s">
        <v>7295</v>
      </c>
      <c r="B2365" s="12" t="s">
        <v>7298</v>
      </c>
      <c r="C2365" s="12" t="s">
        <v>7304</v>
      </c>
      <c r="D2365" s="12" t="s">
        <v>7172</v>
      </c>
      <c r="E2365" s="12" t="s">
        <v>2331</v>
      </c>
      <c r="F2365" s="12" t="s">
        <v>2332</v>
      </c>
      <c r="G2365" s="13" t="s">
        <v>6861</v>
      </c>
      <c r="H2365" s="12" t="s">
        <v>6504</v>
      </c>
      <c r="I2365" s="12"/>
      <c r="J2365" s="12"/>
      <c r="K2365" s="12"/>
      <c r="L2365" s="12"/>
      <c r="M2365" s="12" t="s">
        <v>2333</v>
      </c>
      <c r="N2365" s="12"/>
      <c r="O2365" s="12" t="s">
        <v>2334</v>
      </c>
      <c r="P2365" s="12" t="str">
        <f>HYPERLINK("https://ceds.ed.gov/cedselementdetails.aspx?termid=10569")</f>
        <v>https://ceds.ed.gov/cedselementdetails.aspx?termid=10569</v>
      </c>
      <c r="Q2365" s="12" t="str">
        <f>HYPERLINK("https://ceds.ed.gov/elementComment.aspx?elementName=Directory Information Block Status &amp;elementID=10569", "Click here to submit comment")</f>
        <v>Click here to submit comment</v>
      </c>
    </row>
    <row r="2366" spans="1:17" ht="60" x14ac:dyDescent="0.25">
      <c r="A2366" s="12" t="s">
        <v>7295</v>
      </c>
      <c r="B2366" s="12" t="s">
        <v>7298</v>
      </c>
      <c r="C2366" s="12" t="s">
        <v>7304</v>
      </c>
      <c r="D2366" s="12" t="s">
        <v>7172</v>
      </c>
      <c r="E2366" s="12" t="s">
        <v>5753</v>
      </c>
      <c r="F2366" s="12" t="s">
        <v>5754</v>
      </c>
      <c r="G2366" s="12" t="s">
        <v>6364</v>
      </c>
      <c r="H2366" s="12" t="s">
        <v>250</v>
      </c>
      <c r="I2366" s="12"/>
      <c r="J2366" s="12"/>
      <c r="K2366" s="12"/>
      <c r="L2366" s="12"/>
      <c r="M2366" s="12" t="s">
        <v>5755</v>
      </c>
      <c r="N2366" s="12"/>
      <c r="O2366" s="12" t="s">
        <v>5756</v>
      </c>
      <c r="P2366" s="12" t="str">
        <f>HYPERLINK("https://ceds.ed.gov/cedselementdetails.aspx?termid=9744")</f>
        <v>https://ceds.ed.gov/cedselementdetails.aspx?termid=9744</v>
      </c>
      <c r="Q2366" s="12" t="str">
        <f>HYPERLINK("https://ceds.ed.gov/elementComment.aspx?elementName=Sorority Participation Status &amp;elementID=9744", "Click here to submit comment")</f>
        <v>Click here to submit comment</v>
      </c>
    </row>
    <row r="2367" spans="1:17" ht="75" x14ac:dyDescent="0.25">
      <c r="A2367" s="12" t="s">
        <v>7295</v>
      </c>
      <c r="B2367" s="12" t="s">
        <v>7298</v>
      </c>
      <c r="C2367" s="12" t="s">
        <v>7305</v>
      </c>
      <c r="D2367" s="12" t="s">
        <v>7172</v>
      </c>
      <c r="E2367" s="12" t="s">
        <v>2408</v>
      </c>
      <c r="F2367" s="12" t="s">
        <v>2409</v>
      </c>
      <c r="G2367" s="13" t="s">
        <v>6871</v>
      </c>
      <c r="H2367" s="12"/>
      <c r="I2367" s="12"/>
      <c r="J2367" s="12"/>
      <c r="K2367" s="12"/>
      <c r="L2367" s="12"/>
      <c r="M2367" s="12" t="s">
        <v>2411</v>
      </c>
      <c r="N2367" s="12"/>
      <c r="O2367" s="12" t="s">
        <v>2412</v>
      </c>
      <c r="P2367" s="12" t="str">
        <f>HYPERLINK("https://ceds.ed.gov/cedselementdetails.aspx?termid=10290")</f>
        <v>https://ceds.ed.gov/cedselementdetails.aspx?termid=10290</v>
      </c>
      <c r="Q2367" s="12" t="str">
        <f>HYPERLINK("https://ceds.ed.gov/elementComment.aspx?elementName=Doctoral Candidacy Admit Indicator &amp;elementID=10290", "Click here to submit comment")</f>
        <v>Click here to submit comment</v>
      </c>
    </row>
    <row r="2368" spans="1:17" ht="30" x14ac:dyDescent="0.25">
      <c r="A2368" s="12" t="s">
        <v>7295</v>
      </c>
      <c r="B2368" s="12" t="s">
        <v>7298</v>
      </c>
      <c r="C2368" s="12" t="s">
        <v>7305</v>
      </c>
      <c r="D2368" s="12" t="s">
        <v>7172</v>
      </c>
      <c r="E2368" s="12" t="s">
        <v>2413</v>
      </c>
      <c r="F2368" s="12" t="s">
        <v>2414</v>
      </c>
      <c r="G2368" s="12" t="s">
        <v>12</v>
      </c>
      <c r="H2368" s="12"/>
      <c r="I2368" s="12"/>
      <c r="J2368" s="12" t="s">
        <v>73</v>
      </c>
      <c r="K2368" s="12"/>
      <c r="L2368" s="12"/>
      <c r="M2368" s="12" t="s">
        <v>2415</v>
      </c>
      <c r="N2368" s="12"/>
      <c r="O2368" s="12" t="s">
        <v>2416</v>
      </c>
      <c r="P2368" s="12" t="str">
        <f>HYPERLINK("https://ceds.ed.gov/cedselementdetails.aspx?termid=10291")</f>
        <v>https://ceds.ed.gov/cedselementdetails.aspx?termid=10291</v>
      </c>
      <c r="Q2368" s="12" t="str">
        <f>HYPERLINK("https://ceds.ed.gov/elementComment.aspx?elementName=Doctoral Candidacy Date &amp;elementID=10291", "Click here to submit comment")</f>
        <v>Click here to submit comment</v>
      </c>
    </row>
    <row r="2369" spans="1:17" ht="60" x14ac:dyDescent="0.25">
      <c r="A2369" s="12" t="s">
        <v>7295</v>
      </c>
      <c r="B2369" s="12" t="s">
        <v>7298</v>
      </c>
      <c r="C2369" s="12" t="s">
        <v>7305</v>
      </c>
      <c r="D2369" s="12" t="s">
        <v>7172</v>
      </c>
      <c r="E2369" s="12" t="s">
        <v>2417</v>
      </c>
      <c r="F2369" s="12" t="s">
        <v>2418</v>
      </c>
      <c r="G2369" s="12" t="s">
        <v>12</v>
      </c>
      <c r="H2369" s="12"/>
      <c r="I2369" s="12"/>
      <c r="J2369" s="12" t="s">
        <v>73</v>
      </c>
      <c r="K2369" s="12"/>
      <c r="L2369" s="12"/>
      <c r="M2369" s="12" t="s">
        <v>2419</v>
      </c>
      <c r="N2369" s="12"/>
      <c r="O2369" s="12" t="s">
        <v>2420</v>
      </c>
      <c r="P2369" s="12" t="str">
        <f>HYPERLINK("https://ceds.ed.gov/cedselementdetails.aspx?termid=10292")</f>
        <v>https://ceds.ed.gov/cedselementdetails.aspx?termid=10292</v>
      </c>
      <c r="Q2369" s="12" t="str">
        <f>HYPERLINK("https://ceds.ed.gov/elementComment.aspx?elementName=Doctoral Exam Taken Date &amp;elementID=10292", "Click here to submit comment")</f>
        <v>Click here to submit comment</v>
      </c>
    </row>
    <row r="2370" spans="1:17" ht="135" x14ac:dyDescent="0.25">
      <c r="A2370" s="12" t="s">
        <v>7295</v>
      </c>
      <c r="B2370" s="12" t="s">
        <v>7298</v>
      </c>
      <c r="C2370" s="12" t="s">
        <v>7305</v>
      </c>
      <c r="D2370" s="12" t="s">
        <v>7172</v>
      </c>
      <c r="E2370" s="12" t="s">
        <v>2421</v>
      </c>
      <c r="F2370" s="12" t="s">
        <v>2422</v>
      </c>
      <c r="G2370" s="13" t="s">
        <v>6872</v>
      </c>
      <c r="H2370" s="12"/>
      <c r="I2370" s="12"/>
      <c r="J2370" s="12"/>
      <c r="K2370" s="12"/>
      <c r="L2370" s="12"/>
      <c r="M2370" s="12" t="s">
        <v>2423</v>
      </c>
      <c r="N2370" s="12"/>
      <c r="O2370" s="12" t="s">
        <v>2424</v>
      </c>
      <c r="P2370" s="12" t="str">
        <f>HYPERLINK("https://ceds.ed.gov/cedselementdetails.aspx?termid=10293")</f>
        <v>https://ceds.ed.gov/cedselementdetails.aspx?termid=10293</v>
      </c>
      <c r="Q2370" s="12" t="str">
        <f>HYPERLINK("https://ceds.ed.gov/elementComment.aspx?elementName=Doctoral Exams Required Type &amp;elementID=10293", "Click here to submit comment")</f>
        <v>Click here to submit comment</v>
      </c>
    </row>
    <row r="2371" spans="1:17" ht="105" x14ac:dyDescent="0.25">
      <c r="A2371" s="12" t="s">
        <v>7295</v>
      </c>
      <c r="B2371" s="12" t="s">
        <v>7298</v>
      </c>
      <c r="C2371" s="12" t="s">
        <v>7305</v>
      </c>
      <c r="D2371" s="12" t="s">
        <v>7172</v>
      </c>
      <c r="E2371" s="12" t="s">
        <v>3146</v>
      </c>
      <c r="F2371" s="12" t="s">
        <v>3147</v>
      </c>
      <c r="G2371" s="13" t="s">
        <v>6942</v>
      </c>
      <c r="H2371" s="12"/>
      <c r="I2371" s="12"/>
      <c r="J2371" s="12"/>
      <c r="K2371" s="12"/>
      <c r="L2371" s="12"/>
      <c r="M2371" s="12" t="s">
        <v>3148</v>
      </c>
      <c r="N2371" s="12"/>
      <c r="O2371" s="12" t="s">
        <v>3149</v>
      </c>
      <c r="P2371" s="12" t="str">
        <f>HYPERLINK("https://ceds.ed.gov/cedselementdetails.aspx?termid=10324")</f>
        <v>https://ceds.ed.gov/cedselementdetails.aspx?termid=10324</v>
      </c>
      <c r="Q2371" s="12" t="str">
        <f>HYPERLINK("https://ceds.ed.gov/elementComment.aspx?elementName=Graduate or Doctoral Exam Results Status &amp;elementID=10324", "Click here to submit comment")</f>
        <v>Click here to submit comment</v>
      </c>
    </row>
    <row r="2372" spans="1:17" ht="90" x14ac:dyDescent="0.25">
      <c r="A2372" s="12" t="s">
        <v>7295</v>
      </c>
      <c r="B2372" s="12" t="s">
        <v>7298</v>
      </c>
      <c r="C2372" s="12" t="s">
        <v>7305</v>
      </c>
      <c r="D2372" s="12" t="s">
        <v>7172</v>
      </c>
      <c r="E2372" s="12" t="s">
        <v>4660</v>
      </c>
      <c r="F2372" s="12" t="s">
        <v>4661</v>
      </c>
      <c r="G2372" s="12" t="s">
        <v>6364</v>
      </c>
      <c r="H2372" s="12"/>
      <c r="I2372" s="12"/>
      <c r="J2372" s="12"/>
      <c r="K2372" s="12"/>
      <c r="L2372" s="12"/>
      <c r="M2372" s="12" t="s">
        <v>4662</v>
      </c>
      <c r="N2372" s="12"/>
      <c r="O2372" s="12" t="s">
        <v>4663</v>
      </c>
      <c r="P2372" s="12" t="str">
        <f>HYPERLINK("https://ceds.ed.gov/cedselementdetails.aspx?termid=10385")</f>
        <v>https://ceds.ed.gov/cedselementdetails.aspx?termid=10385</v>
      </c>
      <c r="Q2372" s="12" t="str">
        <f>HYPERLINK("https://ceds.ed.gov/elementComment.aspx?elementName=Oral Defense Completed Indicator &amp;elementID=10385", "Click here to submit comment")</f>
        <v>Click here to submit comment</v>
      </c>
    </row>
    <row r="2373" spans="1:17" ht="30" x14ac:dyDescent="0.25">
      <c r="A2373" s="12" t="s">
        <v>7295</v>
      </c>
      <c r="B2373" s="12" t="s">
        <v>7298</v>
      </c>
      <c r="C2373" s="12" t="s">
        <v>7305</v>
      </c>
      <c r="D2373" s="12" t="s">
        <v>7172</v>
      </c>
      <c r="E2373" s="12" t="s">
        <v>4664</v>
      </c>
      <c r="F2373" s="12" t="s">
        <v>4665</v>
      </c>
      <c r="G2373" s="12" t="s">
        <v>12</v>
      </c>
      <c r="H2373" s="12"/>
      <c r="I2373" s="12"/>
      <c r="J2373" s="12" t="s">
        <v>73</v>
      </c>
      <c r="K2373" s="12"/>
      <c r="L2373" s="12"/>
      <c r="M2373" s="12" t="s">
        <v>4666</v>
      </c>
      <c r="N2373" s="12"/>
      <c r="O2373" s="12" t="s">
        <v>4667</v>
      </c>
      <c r="P2373" s="12" t="str">
        <f>HYPERLINK("https://ceds.ed.gov/cedselementdetails.aspx?termid=10386")</f>
        <v>https://ceds.ed.gov/cedselementdetails.aspx?termid=10386</v>
      </c>
      <c r="Q2373" s="12" t="str">
        <f>HYPERLINK("https://ceds.ed.gov/elementComment.aspx?elementName=Oral Defense Date &amp;elementID=10386", "Click here to submit comment")</f>
        <v>Click here to submit comment</v>
      </c>
    </row>
    <row r="2374" spans="1:17" ht="30" x14ac:dyDescent="0.25">
      <c r="A2374" s="12" t="s">
        <v>7295</v>
      </c>
      <c r="B2374" s="12" t="s">
        <v>7298</v>
      </c>
      <c r="C2374" s="12" t="s">
        <v>7305</v>
      </c>
      <c r="D2374" s="12" t="s">
        <v>7172</v>
      </c>
      <c r="E2374" s="12" t="s">
        <v>6119</v>
      </c>
      <c r="F2374" s="12" t="s">
        <v>6120</v>
      </c>
      <c r="G2374" s="12" t="s">
        <v>12</v>
      </c>
      <c r="H2374" s="12"/>
      <c r="I2374" s="12"/>
      <c r="J2374" s="12" t="s">
        <v>327</v>
      </c>
      <c r="K2374" s="12"/>
      <c r="L2374" s="12"/>
      <c r="M2374" s="12" t="s">
        <v>6121</v>
      </c>
      <c r="N2374" s="12"/>
      <c r="O2374" s="12" t="s">
        <v>6122</v>
      </c>
      <c r="P2374" s="12" t="str">
        <f>HYPERLINK("https://ceds.ed.gov/cedselementdetails.aspx?termid=10468")</f>
        <v>https://ceds.ed.gov/cedselementdetails.aspx?termid=10468</v>
      </c>
      <c r="Q2374" s="12" t="str">
        <f>HYPERLINK("https://ceds.ed.gov/elementComment.aspx?elementName=Thesis or Dissertation Title &amp;elementID=10468", "Click here to submit comment")</f>
        <v>Click here to submit comment</v>
      </c>
    </row>
    <row r="2375" spans="1:17" ht="180" x14ac:dyDescent="0.25">
      <c r="A2375" s="12" t="s">
        <v>7295</v>
      </c>
      <c r="B2375" s="12" t="s">
        <v>7298</v>
      </c>
      <c r="C2375" s="12" t="s">
        <v>7306</v>
      </c>
      <c r="D2375" s="12" t="s">
        <v>7172</v>
      </c>
      <c r="E2375" s="12" t="s">
        <v>5317</v>
      </c>
      <c r="F2375" s="12" t="s">
        <v>5318</v>
      </c>
      <c r="G2375" s="13" t="s">
        <v>7093</v>
      </c>
      <c r="H2375" s="12"/>
      <c r="I2375" s="12"/>
      <c r="J2375" s="12"/>
      <c r="K2375" s="12"/>
      <c r="L2375" s="12"/>
      <c r="M2375" s="12" t="s">
        <v>5319</v>
      </c>
      <c r="N2375" s="12"/>
      <c r="O2375" s="12" t="s">
        <v>5320</v>
      </c>
      <c r="P2375" s="12" t="str">
        <f>HYPERLINK("https://ceds.ed.gov/cedselementdetails.aspx?termid=9515")</f>
        <v>https://ceds.ed.gov/cedselementdetails.aspx?termid=9515</v>
      </c>
      <c r="Q2375" s="12" t="str">
        <f>HYPERLINK("https://ceds.ed.gov/elementComment.aspx?elementName=Receiving Location of Instruction &amp;elementID=9515", "Click here to submit comment")</f>
        <v>Click here to submit comment</v>
      </c>
    </row>
    <row r="2376" spans="1:17" x14ac:dyDescent="0.25">
      <c r="A2376" s="18" t="s">
        <v>7295</v>
      </c>
      <c r="B2376" s="18" t="s">
        <v>7298</v>
      </c>
      <c r="C2376" s="18" t="s">
        <v>7306</v>
      </c>
      <c r="D2376" s="18" t="s">
        <v>7172</v>
      </c>
      <c r="E2376" s="18" t="s">
        <v>4405</v>
      </c>
      <c r="F2376" s="18" t="s">
        <v>4406</v>
      </c>
      <c r="G2376" s="18" t="s">
        <v>12</v>
      </c>
      <c r="H2376" s="18" t="s">
        <v>6540</v>
      </c>
      <c r="I2376" s="18"/>
      <c r="J2376" s="18" t="s">
        <v>1349</v>
      </c>
      <c r="K2376" s="18"/>
      <c r="L2376" s="12" t="s">
        <v>3078</v>
      </c>
      <c r="M2376" s="18" t="s">
        <v>4407</v>
      </c>
      <c r="N2376" s="18"/>
      <c r="O2376" s="18" t="s">
        <v>4408</v>
      </c>
      <c r="P2376" s="18" t="str">
        <f>HYPERLINK("https://ceds.ed.gov/cedselementdetails.aspx?termid=9184")</f>
        <v>https://ceds.ed.gov/cedselementdetails.aspx?termid=9184</v>
      </c>
      <c r="Q2376" s="18" t="str">
        <f>HYPERLINK("https://ceds.ed.gov/elementComment.aspx?elementName=Middle Name &amp;elementID=9184", "Click here to submit comment")</f>
        <v>Click here to submit comment</v>
      </c>
    </row>
    <row r="2377" spans="1:17" ht="90" x14ac:dyDescent="0.25">
      <c r="A2377" s="18"/>
      <c r="B2377" s="18"/>
      <c r="C2377" s="18"/>
      <c r="D2377" s="18"/>
      <c r="E2377" s="18"/>
      <c r="F2377" s="18"/>
      <c r="G2377" s="18"/>
      <c r="H2377" s="18"/>
      <c r="I2377" s="18"/>
      <c r="J2377" s="18"/>
      <c r="K2377" s="18"/>
      <c r="L2377" s="12" t="s">
        <v>3079</v>
      </c>
      <c r="M2377" s="18"/>
      <c r="N2377" s="18"/>
      <c r="O2377" s="18"/>
      <c r="P2377" s="18"/>
      <c r="Q2377" s="18"/>
    </row>
    <row r="2378" spans="1:17" x14ac:dyDescent="0.25">
      <c r="A2378" s="18" t="s">
        <v>7295</v>
      </c>
      <c r="B2378" s="18" t="s">
        <v>7298</v>
      </c>
      <c r="C2378" s="18" t="s">
        <v>7306</v>
      </c>
      <c r="D2378" s="18" t="s">
        <v>7172</v>
      </c>
      <c r="E2378" s="18" t="s">
        <v>3684</v>
      </c>
      <c r="F2378" s="18" t="s">
        <v>3685</v>
      </c>
      <c r="G2378" s="18" t="s">
        <v>12</v>
      </c>
      <c r="H2378" s="18" t="s">
        <v>6540</v>
      </c>
      <c r="I2378" s="18"/>
      <c r="J2378" s="18" t="s">
        <v>1349</v>
      </c>
      <c r="K2378" s="18"/>
      <c r="L2378" s="12" t="s">
        <v>3078</v>
      </c>
      <c r="M2378" s="18" t="s">
        <v>3686</v>
      </c>
      <c r="N2378" s="18" t="s">
        <v>3687</v>
      </c>
      <c r="O2378" s="18" t="s">
        <v>3688</v>
      </c>
      <c r="P2378" s="18" t="str">
        <f>HYPERLINK("https://ceds.ed.gov/cedselementdetails.aspx?termid=9172")</f>
        <v>https://ceds.ed.gov/cedselementdetails.aspx?termid=9172</v>
      </c>
      <c r="Q2378" s="18" t="str">
        <f>HYPERLINK("https://ceds.ed.gov/elementComment.aspx?elementName=Last or Surname &amp;elementID=9172", "Click here to submit comment")</f>
        <v>Click here to submit comment</v>
      </c>
    </row>
    <row r="2379" spans="1:17" ht="90" x14ac:dyDescent="0.25">
      <c r="A2379" s="18"/>
      <c r="B2379" s="18"/>
      <c r="C2379" s="18"/>
      <c r="D2379" s="18"/>
      <c r="E2379" s="18"/>
      <c r="F2379" s="18"/>
      <c r="G2379" s="18"/>
      <c r="H2379" s="18"/>
      <c r="I2379" s="18"/>
      <c r="J2379" s="18"/>
      <c r="K2379" s="18"/>
      <c r="L2379" s="12" t="s">
        <v>3079</v>
      </c>
      <c r="M2379" s="18"/>
      <c r="N2379" s="18"/>
      <c r="O2379" s="18"/>
      <c r="P2379" s="18"/>
      <c r="Q2379" s="18"/>
    </row>
    <row r="2380" spans="1:17" ht="30" x14ac:dyDescent="0.25">
      <c r="A2380" s="12" t="s">
        <v>7295</v>
      </c>
      <c r="B2380" s="12" t="s">
        <v>7298</v>
      </c>
      <c r="C2380" s="12" t="s">
        <v>7306</v>
      </c>
      <c r="D2380" s="12" t="s">
        <v>7172</v>
      </c>
      <c r="E2380" s="12" t="s">
        <v>4705</v>
      </c>
      <c r="F2380" s="12" t="s">
        <v>4706</v>
      </c>
      <c r="G2380" s="12" t="s">
        <v>12</v>
      </c>
      <c r="H2380" s="12"/>
      <c r="I2380" s="12"/>
      <c r="J2380" s="12" t="s">
        <v>1349</v>
      </c>
      <c r="K2380" s="12"/>
      <c r="L2380" s="12" t="s">
        <v>4707</v>
      </c>
      <c r="M2380" s="12" t="s">
        <v>4708</v>
      </c>
      <c r="N2380" s="12"/>
      <c r="O2380" s="12" t="s">
        <v>4709</v>
      </c>
      <c r="P2380" s="12" t="str">
        <f>HYPERLINK("https://ceds.ed.gov/cedselementdetails.aspx?termid=10486")</f>
        <v>https://ceds.ed.gov/cedselementdetails.aspx?termid=10486</v>
      </c>
      <c r="Q2380" s="12" t="str">
        <f>HYPERLINK("https://ceds.ed.gov/elementComment.aspx?elementName=Other First Name &amp;elementID=10486", "Click here to submit comment")</f>
        <v>Click here to submit comment</v>
      </c>
    </row>
    <row r="2381" spans="1:17" ht="30" x14ac:dyDescent="0.25">
      <c r="A2381" s="12" t="s">
        <v>7295</v>
      </c>
      <c r="B2381" s="12" t="s">
        <v>7298</v>
      </c>
      <c r="C2381" s="12" t="s">
        <v>7306</v>
      </c>
      <c r="D2381" s="12" t="s">
        <v>7172</v>
      </c>
      <c r="E2381" s="12" t="s">
        <v>4710</v>
      </c>
      <c r="F2381" s="12" t="s">
        <v>4711</v>
      </c>
      <c r="G2381" s="12" t="s">
        <v>12</v>
      </c>
      <c r="H2381" s="12"/>
      <c r="I2381" s="12"/>
      <c r="J2381" s="12" t="s">
        <v>1349</v>
      </c>
      <c r="K2381" s="12"/>
      <c r="L2381" s="12" t="s">
        <v>4712</v>
      </c>
      <c r="M2381" s="12" t="s">
        <v>4713</v>
      </c>
      <c r="N2381" s="12"/>
      <c r="O2381" s="12" t="s">
        <v>4714</v>
      </c>
      <c r="P2381" s="12" t="str">
        <f>HYPERLINK("https://ceds.ed.gov/cedselementdetails.aspx?termid=10485")</f>
        <v>https://ceds.ed.gov/cedselementdetails.aspx?termid=10485</v>
      </c>
      <c r="Q2381" s="12" t="str">
        <f>HYPERLINK("https://ceds.ed.gov/elementComment.aspx?elementName=Other Last Name &amp;elementID=10485", "Click here to submit comment")</f>
        <v>Click here to submit comment</v>
      </c>
    </row>
    <row r="2382" spans="1:17" ht="30" x14ac:dyDescent="0.25">
      <c r="A2382" s="12" t="s">
        <v>7295</v>
      </c>
      <c r="B2382" s="12" t="s">
        <v>7298</v>
      </c>
      <c r="C2382" s="12" t="s">
        <v>7306</v>
      </c>
      <c r="D2382" s="12" t="s">
        <v>7172</v>
      </c>
      <c r="E2382" s="12" t="s">
        <v>4715</v>
      </c>
      <c r="F2382" s="12" t="s">
        <v>4716</v>
      </c>
      <c r="G2382" s="12" t="s">
        <v>12</v>
      </c>
      <c r="H2382" s="12"/>
      <c r="I2382" s="12"/>
      <c r="J2382" s="12" t="s">
        <v>1349</v>
      </c>
      <c r="K2382" s="12"/>
      <c r="L2382" s="12" t="s">
        <v>4717</v>
      </c>
      <c r="M2382" s="12" t="s">
        <v>4718</v>
      </c>
      <c r="N2382" s="12"/>
      <c r="O2382" s="12" t="s">
        <v>4719</v>
      </c>
      <c r="P2382" s="12" t="str">
        <f>HYPERLINK("https://ceds.ed.gov/cedselementdetails.aspx?termid=10487")</f>
        <v>https://ceds.ed.gov/cedselementdetails.aspx?termid=10487</v>
      </c>
      <c r="Q2382" s="12" t="str">
        <f>HYPERLINK("https://ceds.ed.gov/elementComment.aspx?elementName=Other Middle Name &amp;elementID=10487", "Click here to submit comment")</f>
        <v>Click here to submit comment</v>
      </c>
    </row>
    <row r="2383" spans="1:17" ht="150" x14ac:dyDescent="0.25">
      <c r="A2383" s="12" t="s">
        <v>7295</v>
      </c>
      <c r="B2383" s="12" t="s">
        <v>7298</v>
      </c>
      <c r="C2383" s="12" t="s">
        <v>7306</v>
      </c>
      <c r="D2383" s="12" t="s">
        <v>7172</v>
      </c>
      <c r="E2383" s="12" t="s">
        <v>4720</v>
      </c>
      <c r="F2383" s="12" t="s">
        <v>4721</v>
      </c>
      <c r="G2383" s="12" t="s">
        <v>12</v>
      </c>
      <c r="H2383" s="12" t="s">
        <v>6543</v>
      </c>
      <c r="I2383" s="12"/>
      <c r="J2383" s="12" t="s">
        <v>142</v>
      </c>
      <c r="K2383" s="12"/>
      <c r="L2383" s="12"/>
      <c r="M2383" s="12" t="s">
        <v>4722</v>
      </c>
      <c r="N2383" s="12"/>
      <c r="O2383" s="12" t="s">
        <v>4723</v>
      </c>
      <c r="P2383" s="12" t="str">
        <f>HYPERLINK("https://ceds.ed.gov/cedselementdetails.aspx?termid=9206")</f>
        <v>https://ceds.ed.gov/cedselementdetails.aspx?termid=9206</v>
      </c>
      <c r="Q2383" s="12" t="str">
        <f>HYPERLINK("https://ceds.ed.gov/elementComment.aspx?elementName=Other Name &amp;elementID=9206", "Click here to submit comment")</f>
        <v>Click here to submit comment</v>
      </c>
    </row>
    <row r="2384" spans="1:17" ht="195" x14ac:dyDescent="0.25">
      <c r="A2384" s="12" t="s">
        <v>7295</v>
      </c>
      <c r="B2384" s="12" t="s">
        <v>7298</v>
      </c>
      <c r="C2384" s="12" t="s">
        <v>7306</v>
      </c>
      <c r="D2384" s="12" t="s">
        <v>7172</v>
      </c>
      <c r="E2384" s="12" t="s">
        <v>3017</v>
      </c>
      <c r="F2384" s="12" t="s">
        <v>3018</v>
      </c>
      <c r="G2384" s="12" t="s">
        <v>12</v>
      </c>
      <c r="H2384" s="12" t="s">
        <v>6540</v>
      </c>
      <c r="I2384" s="12"/>
      <c r="J2384" s="12" t="s">
        <v>1349</v>
      </c>
      <c r="K2384" s="12"/>
      <c r="L2384" s="12" t="s">
        <v>3019</v>
      </c>
      <c r="M2384" s="12" t="s">
        <v>3020</v>
      </c>
      <c r="N2384" s="12"/>
      <c r="O2384" s="12" t="s">
        <v>3021</v>
      </c>
      <c r="P2384" s="12" t="str">
        <f>HYPERLINK("https://ceds.ed.gov/cedselementdetails.aspx?termid=9115")</f>
        <v>https://ceds.ed.gov/cedselementdetails.aspx?termid=9115</v>
      </c>
      <c r="Q2384" s="12" t="str">
        <f>HYPERLINK("https://ceds.ed.gov/elementComment.aspx?elementName=First Name &amp;elementID=9115", "Click here to submit comment")</f>
        <v>Click here to submit comment</v>
      </c>
    </row>
    <row r="2385" spans="1:17" ht="240" x14ac:dyDescent="0.25">
      <c r="A2385" s="12" t="s">
        <v>7295</v>
      </c>
      <c r="B2385" s="12" t="s">
        <v>7298</v>
      </c>
      <c r="C2385" s="12" t="s">
        <v>7307</v>
      </c>
      <c r="D2385" s="12" t="s">
        <v>7172</v>
      </c>
      <c r="E2385" s="12" t="s">
        <v>408</v>
      </c>
      <c r="F2385" s="12" t="s">
        <v>409</v>
      </c>
      <c r="G2385" s="13" t="s">
        <v>6752</v>
      </c>
      <c r="H2385" s="12" t="s">
        <v>6397</v>
      </c>
      <c r="I2385" s="12"/>
      <c r="J2385" s="12"/>
      <c r="K2385" s="12"/>
      <c r="L2385" s="12"/>
      <c r="M2385" s="12" t="s">
        <v>410</v>
      </c>
      <c r="N2385" s="12"/>
      <c r="O2385" s="12" t="s">
        <v>411</v>
      </c>
      <c r="P2385" s="12" t="str">
        <f>HYPERLINK("https://ceds.ed.gov/cedselementdetails.aspx?termid=9374")</f>
        <v>https://ceds.ed.gov/cedselementdetails.aspx?termid=9374</v>
      </c>
      <c r="Q2385" s="12" t="str">
        <f>HYPERLINK("https://ceds.ed.gov/elementComment.aspx?elementName=Assessment Accommodation Category &amp;elementID=9374", "Click here to submit comment")</f>
        <v>Click here to submit comment</v>
      </c>
    </row>
    <row r="2386" spans="1:17" ht="60" x14ac:dyDescent="0.25">
      <c r="A2386" s="12" t="s">
        <v>7295</v>
      </c>
      <c r="B2386" s="12" t="s">
        <v>7298</v>
      </c>
      <c r="C2386" s="12" t="s">
        <v>7308</v>
      </c>
      <c r="D2386" s="12" t="s">
        <v>7172</v>
      </c>
      <c r="E2386" s="12" t="s">
        <v>6048</v>
      </c>
      <c r="F2386" s="12" t="s">
        <v>6049</v>
      </c>
      <c r="G2386" s="13" t="s">
        <v>7129</v>
      </c>
      <c r="H2386" s="12" t="s">
        <v>354</v>
      </c>
      <c r="I2386" s="12"/>
      <c r="J2386" s="12"/>
      <c r="K2386" s="12"/>
      <c r="L2386" s="12"/>
      <c r="M2386" s="12" t="s">
        <v>6050</v>
      </c>
      <c r="N2386" s="12"/>
      <c r="O2386" s="12" t="s">
        <v>6051</v>
      </c>
      <c r="P2386" s="12" t="str">
        <f>HYPERLINK("https://ceds.ed.gov/cedselementdetails.aspx?termid=9749")</f>
        <v>https://ceds.ed.gov/cedselementdetails.aspx?termid=9749</v>
      </c>
      <c r="Q2386" s="12" t="str">
        <f>HYPERLINK("https://ceds.ed.gov/elementComment.aspx?elementName=Teacher Preparation Program Enrollment Status &amp;elementID=9749", "Click here to submit comment")</f>
        <v>Click here to submit comment</v>
      </c>
    </row>
    <row r="2387" spans="1:17" ht="120" x14ac:dyDescent="0.25">
      <c r="A2387" s="12" t="s">
        <v>7295</v>
      </c>
      <c r="B2387" s="12" t="s">
        <v>7298</v>
      </c>
      <c r="C2387" s="12" t="s">
        <v>7308</v>
      </c>
      <c r="D2387" s="12" t="s">
        <v>7172</v>
      </c>
      <c r="E2387" s="12" t="s">
        <v>6044</v>
      </c>
      <c r="F2387" s="12" t="s">
        <v>6045</v>
      </c>
      <c r="G2387" s="13" t="s">
        <v>6747</v>
      </c>
      <c r="H2387" s="12" t="s">
        <v>354</v>
      </c>
      <c r="I2387" s="12"/>
      <c r="J2387" s="12"/>
      <c r="K2387" s="12"/>
      <c r="L2387" s="12"/>
      <c r="M2387" s="12" t="s">
        <v>6046</v>
      </c>
      <c r="N2387" s="12"/>
      <c r="O2387" s="12" t="s">
        <v>6047</v>
      </c>
      <c r="P2387" s="12" t="str">
        <f>HYPERLINK("https://ceds.ed.gov/cedselementdetails.aspx?termid=9750")</f>
        <v>https://ceds.ed.gov/cedselementdetails.aspx?termid=9750</v>
      </c>
      <c r="Q2387" s="12" t="str">
        <f>HYPERLINK("https://ceds.ed.gov/elementComment.aspx?elementName=Teacher Preparation Program Completer Status &amp;elementID=9750", "Click here to submit comment")</f>
        <v>Click here to submit comment</v>
      </c>
    </row>
    <row r="2388" spans="1:17" ht="75" x14ac:dyDescent="0.25">
      <c r="A2388" s="12" t="s">
        <v>7295</v>
      </c>
      <c r="B2388" s="12" t="s">
        <v>7298</v>
      </c>
      <c r="C2388" s="12" t="s">
        <v>7308</v>
      </c>
      <c r="D2388" s="12" t="s">
        <v>7172</v>
      </c>
      <c r="E2388" s="12" t="s">
        <v>5996</v>
      </c>
      <c r="F2388" s="12" t="s">
        <v>5997</v>
      </c>
      <c r="G2388" s="13" t="s">
        <v>6747</v>
      </c>
      <c r="H2388" s="12" t="s">
        <v>354</v>
      </c>
      <c r="I2388" s="12"/>
      <c r="J2388" s="12"/>
      <c r="K2388" s="12"/>
      <c r="L2388" s="12"/>
      <c r="M2388" s="12" t="s">
        <v>5998</v>
      </c>
      <c r="N2388" s="12"/>
      <c r="O2388" s="12" t="s">
        <v>5999</v>
      </c>
      <c r="P2388" s="12" t="str">
        <f>HYPERLINK("https://ceds.ed.gov/cedselementdetails.aspx?termid=9754")</f>
        <v>https://ceds.ed.gov/cedselementdetails.aspx?termid=9754</v>
      </c>
      <c r="Q2388" s="12" t="str">
        <f>HYPERLINK("https://ceds.ed.gov/elementComment.aspx?elementName=Supervised Clinical Experience &amp;elementID=9754", "Click here to submit comment")</f>
        <v>Click here to submit comment</v>
      </c>
    </row>
    <row r="2389" spans="1:17" ht="60" x14ac:dyDescent="0.25">
      <c r="A2389" s="12" t="s">
        <v>7295</v>
      </c>
      <c r="B2389" s="12" t="s">
        <v>7298</v>
      </c>
      <c r="C2389" s="12" t="s">
        <v>7308</v>
      </c>
      <c r="D2389" s="12" t="s">
        <v>7172</v>
      </c>
      <c r="E2389" s="12" t="s">
        <v>6000</v>
      </c>
      <c r="F2389" s="12" t="s">
        <v>6001</v>
      </c>
      <c r="G2389" s="12" t="s">
        <v>12</v>
      </c>
      <c r="H2389" s="12" t="s">
        <v>354</v>
      </c>
      <c r="I2389" s="12"/>
      <c r="J2389" s="12" t="s">
        <v>317</v>
      </c>
      <c r="K2389" s="12"/>
      <c r="L2389" s="12"/>
      <c r="M2389" s="12" t="s">
        <v>6002</v>
      </c>
      <c r="N2389" s="12"/>
      <c r="O2389" s="12" t="s">
        <v>6003</v>
      </c>
      <c r="P2389" s="12" t="str">
        <f>HYPERLINK("https://ceds.ed.gov/cedselementdetails.aspx?termid=9755")</f>
        <v>https://ceds.ed.gov/cedselementdetails.aspx?termid=9755</v>
      </c>
      <c r="Q2389" s="12" t="str">
        <f>HYPERLINK("https://ceds.ed.gov/elementComment.aspx?elementName=Supervised Clinical Experience Clock Hours &amp;elementID=9755", "Click here to submit comment")</f>
        <v>Click here to submit comment</v>
      </c>
    </row>
    <row r="2390" spans="1:17" ht="90" x14ac:dyDescent="0.25">
      <c r="A2390" s="12" t="s">
        <v>7295</v>
      </c>
      <c r="B2390" s="12" t="s">
        <v>7298</v>
      </c>
      <c r="C2390" s="12" t="s">
        <v>7308</v>
      </c>
      <c r="D2390" s="12" t="s">
        <v>7172</v>
      </c>
      <c r="E2390" s="12" t="s">
        <v>6030</v>
      </c>
      <c r="F2390" s="12" t="s">
        <v>6031</v>
      </c>
      <c r="G2390" s="13" t="s">
        <v>7127</v>
      </c>
      <c r="H2390" s="12" t="s">
        <v>354</v>
      </c>
      <c r="I2390" s="12"/>
      <c r="J2390" s="12"/>
      <c r="K2390" s="12"/>
      <c r="L2390" s="12"/>
      <c r="M2390" s="12" t="s">
        <v>6032</v>
      </c>
      <c r="N2390" s="12"/>
      <c r="O2390" s="12" t="s">
        <v>6033</v>
      </c>
      <c r="P2390" s="12" t="str">
        <f>HYPERLINK("https://ceds.ed.gov/cedselementdetails.aspx?termid=9756")</f>
        <v>https://ceds.ed.gov/cedselementdetails.aspx?termid=9756</v>
      </c>
      <c r="Q2390" s="12" t="str">
        <f>HYPERLINK("https://ceds.ed.gov/elementComment.aspx?elementName=Teacher Education Credential Exam Type &amp;elementID=9756", "Click here to submit comment")</f>
        <v>Click here to submit comment</v>
      </c>
    </row>
    <row r="2391" spans="1:17" x14ac:dyDescent="0.25">
      <c r="A2391" s="18" t="s">
        <v>7295</v>
      </c>
      <c r="B2391" s="18" t="s">
        <v>7298</v>
      </c>
      <c r="C2391" s="18" t="s">
        <v>7308</v>
      </c>
      <c r="D2391" s="18" t="s">
        <v>7172</v>
      </c>
      <c r="E2391" s="18" t="s">
        <v>6019</v>
      </c>
      <c r="F2391" s="18" t="s">
        <v>6020</v>
      </c>
      <c r="G2391" s="18" t="s">
        <v>12</v>
      </c>
      <c r="H2391" s="18" t="s">
        <v>354</v>
      </c>
      <c r="I2391" s="18"/>
      <c r="J2391" s="18" t="s">
        <v>92</v>
      </c>
      <c r="K2391" s="18"/>
      <c r="L2391" s="12" t="s">
        <v>6021</v>
      </c>
      <c r="M2391" s="18" t="s">
        <v>6028</v>
      </c>
      <c r="N2391" s="18"/>
      <c r="O2391" s="18" t="s">
        <v>6029</v>
      </c>
      <c r="P2391" s="18" t="str">
        <f>HYPERLINK("https://ceds.ed.gov/cedselementdetails.aspx?termid=9757")</f>
        <v>https://ceds.ed.gov/cedselementdetails.aspx?termid=9757</v>
      </c>
      <c r="Q2391" s="18" t="str">
        <f>HYPERLINK("https://ceds.ed.gov/elementComment.aspx?elementName=Teacher Education Credential Exam Score Type &amp;elementID=9757", "Click here to submit comment")</f>
        <v>Click here to submit comment</v>
      </c>
    </row>
    <row r="2392" spans="1:17" x14ac:dyDescent="0.25">
      <c r="A2392" s="18"/>
      <c r="B2392" s="18"/>
      <c r="C2392" s="18"/>
      <c r="D2392" s="18"/>
      <c r="E2392" s="18"/>
      <c r="F2392" s="18"/>
      <c r="G2392" s="18"/>
      <c r="H2392" s="18"/>
      <c r="I2392" s="18"/>
      <c r="J2392" s="18"/>
      <c r="K2392" s="18"/>
      <c r="L2392" s="12" t="s">
        <v>6022</v>
      </c>
      <c r="M2392" s="18"/>
      <c r="N2392" s="18"/>
      <c r="O2392" s="18"/>
      <c r="P2392" s="18"/>
      <c r="Q2392" s="18"/>
    </row>
    <row r="2393" spans="1:17" x14ac:dyDescent="0.25">
      <c r="A2393" s="18"/>
      <c r="B2393" s="18"/>
      <c r="C2393" s="18"/>
      <c r="D2393" s="18"/>
      <c r="E2393" s="18"/>
      <c r="F2393" s="18"/>
      <c r="G2393" s="18"/>
      <c r="H2393" s="18"/>
      <c r="I2393" s="18"/>
      <c r="J2393" s="18"/>
      <c r="K2393" s="18"/>
      <c r="L2393" s="12" t="s">
        <v>6023</v>
      </c>
      <c r="M2393" s="18"/>
      <c r="N2393" s="18"/>
      <c r="O2393" s="18"/>
      <c r="P2393" s="18"/>
      <c r="Q2393" s="18"/>
    </row>
    <row r="2394" spans="1:17" x14ac:dyDescent="0.25">
      <c r="A2394" s="18"/>
      <c r="B2394" s="18"/>
      <c r="C2394" s="18"/>
      <c r="D2394" s="18"/>
      <c r="E2394" s="18"/>
      <c r="F2394" s="18"/>
      <c r="G2394" s="18"/>
      <c r="H2394" s="18"/>
      <c r="I2394" s="18"/>
      <c r="J2394" s="18"/>
      <c r="K2394" s="18"/>
      <c r="L2394" s="12" t="s">
        <v>6024</v>
      </c>
      <c r="M2394" s="18"/>
      <c r="N2394" s="18"/>
      <c r="O2394" s="18"/>
      <c r="P2394" s="18"/>
      <c r="Q2394" s="18"/>
    </row>
    <row r="2395" spans="1:17" x14ac:dyDescent="0.25">
      <c r="A2395" s="18"/>
      <c r="B2395" s="18"/>
      <c r="C2395" s="18"/>
      <c r="D2395" s="18"/>
      <c r="E2395" s="18"/>
      <c r="F2395" s="18"/>
      <c r="G2395" s="18"/>
      <c r="H2395" s="18"/>
      <c r="I2395" s="18"/>
      <c r="J2395" s="18"/>
      <c r="K2395" s="18"/>
      <c r="L2395" s="12"/>
      <c r="M2395" s="18"/>
      <c r="N2395" s="18"/>
      <c r="O2395" s="18"/>
      <c r="P2395" s="18"/>
      <c r="Q2395" s="18"/>
    </row>
    <row r="2396" spans="1:17" x14ac:dyDescent="0.25">
      <c r="A2396" s="18"/>
      <c r="B2396" s="18"/>
      <c r="C2396" s="18"/>
      <c r="D2396" s="18"/>
      <c r="E2396" s="18"/>
      <c r="F2396" s="18"/>
      <c r="G2396" s="18"/>
      <c r="H2396" s="18"/>
      <c r="I2396" s="18"/>
      <c r="J2396" s="18"/>
      <c r="K2396" s="18"/>
      <c r="L2396" s="12" t="s">
        <v>6025</v>
      </c>
      <c r="M2396" s="18"/>
      <c r="N2396" s="18"/>
      <c r="O2396" s="18"/>
      <c r="P2396" s="18"/>
      <c r="Q2396" s="18"/>
    </row>
    <row r="2397" spans="1:17" ht="45" x14ac:dyDescent="0.25">
      <c r="A2397" s="18"/>
      <c r="B2397" s="18"/>
      <c r="C2397" s="18"/>
      <c r="D2397" s="18"/>
      <c r="E2397" s="18"/>
      <c r="F2397" s="18"/>
      <c r="G2397" s="18"/>
      <c r="H2397" s="18"/>
      <c r="I2397" s="18"/>
      <c r="J2397" s="18"/>
      <c r="K2397" s="18"/>
      <c r="L2397" s="12" t="s">
        <v>6026</v>
      </c>
      <c r="M2397" s="18"/>
      <c r="N2397" s="18"/>
      <c r="O2397" s="18"/>
      <c r="P2397" s="18"/>
      <c r="Q2397" s="18"/>
    </row>
    <row r="2398" spans="1:17" x14ac:dyDescent="0.25">
      <c r="A2398" s="18"/>
      <c r="B2398" s="18"/>
      <c r="C2398" s="18"/>
      <c r="D2398" s="18"/>
      <c r="E2398" s="18"/>
      <c r="F2398" s="18"/>
      <c r="G2398" s="18"/>
      <c r="H2398" s="18"/>
      <c r="I2398" s="18"/>
      <c r="J2398" s="18"/>
      <c r="K2398" s="18"/>
      <c r="L2398" s="12"/>
      <c r="M2398" s="18"/>
      <c r="N2398" s="18"/>
      <c r="O2398" s="18"/>
      <c r="P2398" s="18"/>
      <c r="Q2398" s="18"/>
    </row>
    <row r="2399" spans="1:17" ht="30" x14ac:dyDescent="0.25">
      <c r="A2399" s="18"/>
      <c r="B2399" s="18"/>
      <c r="C2399" s="18"/>
      <c r="D2399" s="18"/>
      <c r="E2399" s="18"/>
      <c r="F2399" s="18"/>
      <c r="G2399" s="18"/>
      <c r="H2399" s="18"/>
      <c r="I2399" s="18"/>
      <c r="J2399" s="18"/>
      <c r="K2399" s="18"/>
      <c r="L2399" s="12" t="s">
        <v>6027</v>
      </c>
      <c r="M2399" s="18"/>
      <c r="N2399" s="18"/>
      <c r="O2399" s="18"/>
      <c r="P2399" s="18"/>
      <c r="Q2399" s="18"/>
    </row>
    <row r="2400" spans="1:17" ht="165" x14ac:dyDescent="0.25">
      <c r="A2400" s="12" t="s">
        <v>7295</v>
      </c>
      <c r="B2400" s="12" t="s">
        <v>7298</v>
      </c>
      <c r="C2400" s="12" t="s">
        <v>7308</v>
      </c>
      <c r="D2400" s="12" t="s">
        <v>7172</v>
      </c>
      <c r="E2400" s="12" t="s">
        <v>6034</v>
      </c>
      <c r="F2400" s="12" t="s">
        <v>6035</v>
      </c>
      <c r="G2400" s="13" t="s">
        <v>7128</v>
      </c>
      <c r="H2400" s="12" t="s">
        <v>354</v>
      </c>
      <c r="I2400" s="12"/>
      <c r="J2400" s="12"/>
      <c r="K2400" s="12"/>
      <c r="L2400" s="12"/>
      <c r="M2400" s="12" t="s">
        <v>6036</v>
      </c>
      <c r="N2400" s="12"/>
      <c r="O2400" s="12" t="s">
        <v>6037</v>
      </c>
      <c r="P2400" s="12" t="str">
        <f>HYPERLINK("https://ceds.ed.gov/cedselementdetails.aspx?termid=9748")</f>
        <v>https://ceds.ed.gov/cedselementdetails.aspx?termid=9748</v>
      </c>
      <c r="Q2400" s="12" t="str">
        <f>HYPERLINK("https://ceds.ed.gov/elementComment.aspx?elementName=Teacher Education Test Company &amp;elementID=9748", "Click here to submit comment")</f>
        <v>Click here to submit comment</v>
      </c>
    </row>
    <row r="2401" spans="1:17" ht="240" x14ac:dyDescent="0.25">
      <c r="A2401" s="12" t="s">
        <v>7295</v>
      </c>
      <c r="B2401" s="12" t="s">
        <v>7298</v>
      </c>
      <c r="C2401" s="12" t="s">
        <v>7308</v>
      </c>
      <c r="D2401" s="12" t="s">
        <v>7172</v>
      </c>
      <c r="E2401" s="12" t="s">
        <v>6074</v>
      </c>
      <c r="F2401" s="12" t="s">
        <v>6075</v>
      </c>
      <c r="G2401" s="13" t="s">
        <v>7131</v>
      </c>
      <c r="H2401" s="12" t="s">
        <v>354</v>
      </c>
      <c r="I2401" s="12"/>
      <c r="J2401" s="12"/>
      <c r="K2401" s="12"/>
      <c r="L2401" s="12"/>
      <c r="M2401" s="12" t="s">
        <v>6076</v>
      </c>
      <c r="N2401" s="12"/>
      <c r="O2401" s="12" t="s">
        <v>6077</v>
      </c>
      <c r="P2401" s="12" t="str">
        <f>HYPERLINK("https://ceds.ed.gov/cedselementdetails.aspx?termid=9277")</f>
        <v>https://ceds.ed.gov/cedselementdetails.aspx?termid=9277</v>
      </c>
      <c r="Q2401" s="12" t="str">
        <f>HYPERLINK("https://ceds.ed.gov/elementComment.aspx?elementName=Teaching Credential Basis &amp;elementID=9277", "Click here to submit comment")</f>
        <v>Click here to submit comment</v>
      </c>
    </row>
    <row r="2402" spans="1:17" ht="225" x14ac:dyDescent="0.25">
      <c r="A2402" s="12" t="s">
        <v>7295</v>
      </c>
      <c r="B2402" s="12" t="s">
        <v>7298</v>
      </c>
      <c r="C2402" s="12" t="s">
        <v>7308</v>
      </c>
      <c r="D2402" s="12" t="s">
        <v>7172</v>
      </c>
      <c r="E2402" s="12" t="s">
        <v>6078</v>
      </c>
      <c r="F2402" s="12" t="s">
        <v>6079</v>
      </c>
      <c r="G2402" s="13" t="s">
        <v>7132</v>
      </c>
      <c r="H2402" s="12" t="s">
        <v>354</v>
      </c>
      <c r="I2402" s="12"/>
      <c r="J2402" s="12"/>
      <c r="K2402" s="12"/>
      <c r="L2402" s="12"/>
      <c r="M2402" s="12" t="s">
        <v>6080</v>
      </c>
      <c r="N2402" s="12"/>
      <c r="O2402" s="12" t="s">
        <v>6081</v>
      </c>
      <c r="P2402" s="12" t="str">
        <f>HYPERLINK("https://ceds.ed.gov/cedselementdetails.aspx?termid=9278")</f>
        <v>https://ceds.ed.gov/cedselementdetails.aspx?termid=9278</v>
      </c>
      <c r="Q2402" s="12" t="str">
        <f>HYPERLINK("https://ceds.ed.gov/elementComment.aspx?elementName=Teaching Credential Type &amp;elementID=9278", "Click here to submit comment")</f>
        <v>Click here to submit comment</v>
      </c>
    </row>
    <row r="2403" spans="1:17" ht="60" x14ac:dyDescent="0.25">
      <c r="A2403" s="12" t="s">
        <v>7295</v>
      </c>
      <c r="B2403" s="12" t="s">
        <v>7298</v>
      </c>
      <c r="C2403" s="12" t="s">
        <v>7308</v>
      </c>
      <c r="D2403" s="12" t="s">
        <v>7172</v>
      </c>
      <c r="E2403" s="12" t="s">
        <v>349</v>
      </c>
      <c r="F2403" s="12" t="s">
        <v>350</v>
      </c>
      <c r="G2403" s="13" t="s">
        <v>6747</v>
      </c>
      <c r="H2403" s="12" t="s">
        <v>354</v>
      </c>
      <c r="I2403" s="12"/>
      <c r="J2403" s="12"/>
      <c r="K2403" s="12"/>
      <c r="L2403" s="12"/>
      <c r="M2403" s="12" t="s">
        <v>352</v>
      </c>
      <c r="N2403" s="12"/>
      <c r="O2403" s="12" t="s">
        <v>353</v>
      </c>
      <c r="P2403" s="12" t="str">
        <f>HYPERLINK("https://ceds.ed.gov/cedselementdetails.aspx?termid=9751")</f>
        <v>https://ceds.ed.gov/cedselementdetails.aspx?termid=9751</v>
      </c>
      <c r="Q2403" s="12" t="str">
        <f>HYPERLINK("https://ceds.ed.gov/elementComment.aspx?elementName=Alternative Route to Certification or Licensure &amp;elementID=9751", "Click here to submit comment")</f>
        <v>Click here to submit comment</v>
      </c>
    </row>
    <row r="2404" spans="1:17" ht="60" x14ac:dyDescent="0.25">
      <c r="A2404" s="12" t="s">
        <v>7295</v>
      </c>
      <c r="B2404" s="12" t="s">
        <v>7298</v>
      </c>
      <c r="C2404" s="12" t="s">
        <v>7308</v>
      </c>
      <c r="D2404" s="12" t="s">
        <v>7172</v>
      </c>
      <c r="E2404" s="12" t="s">
        <v>2216</v>
      </c>
      <c r="F2404" s="12" t="s">
        <v>2217</v>
      </c>
      <c r="G2404" s="13" t="s">
        <v>6747</v>
      </c>
      <c r="H2404" s="12" t="s">
        <v>354</v>
      </c>
      <c r="I2404" s="12"/>
      <c r="J2404" s="12"/>
      <c r="K2404" s="12"/>
      <c r="L2404" s="12" t="s">
        <v>2218</v>
      </c>
      <c r="M2404" s="12" t="s">
        <v>2219</v>
      </c>
      <c r="N2404" s="12"/>
      <c r="O2404" s="12" t="s">
        <v>2220</v>
      </c>
      <c r="P2404" s="12" t="str">
        <f>HYPERLINK("https://ceds.ed.gov/cedselementdetails.aspx?termid=9753")</f>
        <v>https://ceds.ed.gov/cedselementdetails.aspx?termid=9753</v>
      </c>
      <c r="Q2404" s="12" t="str">
        <f>HYPERLINK("https://ceds.ed.gov/elementComment.aspx?elementName=Critical Teacher Shortage Area Candidate &amp;elementID=9753", "Click here to submit comment")</f>
        <v>Click here to submit comment</v>
      </c>
    </row>
    <row r="2405" spans="1:17" ht="225" x14ac:dyDescent="0.25">
      <c r="A2405" s="12" t="s">
        <v>7295</v>
      </c>
      <c r="B2405" s="12" t="s">
        <v>7298</v>
      </c>
      <c r="C2405" s="12" t="s">
        <v>7234</v>
      </c>
      <c r="D2405" s="12" t="s">
        <v>7172</v>
      </c>
      <c r="E2405" s="12" t="s">
        <v>2686</v>
      </c>
      <c r="F2405" s="12" t="s">
        <v>2687</v>
      </c>
      <c r="G2405" s="12" t="s">
        <v>6519</v>
      </c>
      <c r="H2405" s="12" t="s">
        <v>2679</v>
      </c>
      <c r="I2405" s="12"/>
      <c r="J2405" s="12"/>
      <c r="K2405" s="12"/>
      <c r="L2405" s="12" t="s">
        <v>2688</v>
      </c>
      <c r="M2405" s="12" t="s">
        <v>2689</v>
      </c>
      <c r="N2405" s="12"/>
      <c r="O2405" s="12" t="s">
        <v>2690</v>
      </c>
      <c r="P2405" s="12" t="str">
        <f>HYPERLINK("https://ceds.ed.gov/cedselementdetails.aspx?termid=9989")</f>
        <v>https://ceds.ed.gov/cedselementdetails.aspx?termid=9989</v>
      </c>
      <c r="Q2405" s="12" t="str">
        <f>HYPERLINK("https://ceds.ed.gov/elementComment.aspx?elementName=Employed While Enrolled &amp;elementID=9989", "Click here to submit comment")</f>
        <v>Click here to submit comment</v>
      </c>
    </row>
    <row r="2406" spans="1:17" ht="270" x14ac:dyDescent="0.25">
      <c r="A2406" s="12" t="s">
        <v>7295</v>
      </c>
      <c r="B2406" s="12" t="s">
        <v>7298</v>
      </c>
      <c r="C2406" s="12" t="s">
        <v>7234</v>
      </c>
      <c r="D2406" s="12" t="s">
        <v>7172</v>
      </c>
      <c r="E2406" s="12" t="s">
        <v>2674</v>
      </c>
      <c r="F2406" s="12" t="s">
        <v>2675</v>
      </c>
      <c r="G2406" s="12" t="s">
        <v>6519</v>
      </c>
      <c r="H2406" s="12" t="s">
        <v>2679</v>
      </c>
      <c r="I2406" s="12"/>
      <c r="J2406" s="12"/>
      <c r="K2406" s="12"/>
      <c r="L2406" s="12" t="s">
        <v>2676</v>
      </c>
      <c r="M2406" s="12" t="s">
        <v>2677</v>
      </c>
      <c r="N2406" s="12"/>
      <c r="O2406" s="12" t="s">
        <v>2678</v>
      </c>
      <c r="P2406" s="12" t="str">
        <f>HYPERLINK("https://ceds.ed.gov/cedselementdetails.aspx?termid=9990")</f>
        <v>https://ceds.ed.gov/cedselementdetails.aspx?termid=9990</v>
      </c>
      <c r="Q2406" s="12" t="str">
        <f>HYPERLINK("https://ceds.ed.gov/elementComment.aspx?elementName=Employed After Exit &amp;elementID=9990", "Click here to submit comment")</f>
        <v>Click here to submit comment</v>
      </c>
    </row>
    <row r="2407" spans="1:17" ht="60" x14ac:dyDescent="0.25">
      <c r="A2407" s="12" t="s">
        <v>7295</v>
      </c>
      <c r="B2407" s="12" t="s">
        <v>7298</v>
      </c>
      <c r="C2407" s="12" t="s">
        <v>7234</v>
      </c>
      <c r="D2407" s="12" t="s">
        <v>7172</v>
      </c>
      <c r="E2407" s="12" t="s">
        <v>2700</v>
      </c>
      <c r="F2407" s="12" t="s">
        <v>2701</v>
      </c>
      <c r="G2407" s="12" t="s">
        <v>2702</v>
      </c>
      <c r="H2407" s="12"/>
      <c r="I2407" s="12"/>
      <c r="J2407" s="12" t="s">
        <v>2703</v>
      </c>
      <c r="K2407" s="12"/>
      <c r="L2407" s="12"/>
      <c r="M2407" s="12" t="s">
        <v>2704</v>
      </c>
      <c r="N2407" s="12"/>
      <c r="O2407" s="12" t="s">
        <v>2705</v>
      </c>
      <c r="P2407" s="12" t="str">
        <f>HYPERLINK("https://ceds.ed.gov/cedselementdetails.aspx?termid=10070")</f>
        <v>https://ceds.ed.gov/cedselementdetails.aspx?termid=10070</v>
      </c>
      <c r="Q2407" s="12" t="str">
        <f>HYPERLINK("https://ceds.ed.gov/elementComment.aspx?elementName=Employment NAICS Code &amp;elementID=10070", "Click here to submit comment")</f>
        <v>Click here to submit comment</v>
      </c>
    </row>
    <row r="2408" spans="1:17" ht="60" x14ac:dyDescent="0.25">
      <c r="A2408" s="12" t="s">
        <v>7295</v>
      </c>
      <c r="B2408" s="12" t="s">
        <v>7298</v>
      </c>
      <c r="C2408" s="12" t="s">
        <v>7234</v>
      </c>
      <c r="D2408" s="12" t="s">
        <v>7172</v>
      </c>
      <c r="E2408" s="12" t="s">
        <v>2691</v>
      </c>
      <c r="F2408" s="12" t="s">
        <v>2692</v>
      </c>
      <c r="G2408" s="12" t="s">
        <v>12</v>
      </c>
      <c r="H2408" s="12" t="s">
        <v>205</v>
      </c>
      <c r="I2408" s="12"/>
      <c r="J2408" s="12" t="s">
        <v>73</v>
      </c>
      <c r="K2408" s="12"/>
      <c r="L2408" s="12"/>
      <c r="M2408" s="12" t="s">
        <v>2693</v>
      </c>
      <c r="N2408" s="12"/>
      <c r="O2408" s="12" t="s">
        <v>2694</v>
      </c>
      <c r="P2408" s="12" t="str">
        <f>HYPERLINK("https://ceds.ed.gov/cedselementdetails.aspx?termid=9794")</f>
        <v>https://ceds.ed.gov/cedselementdetails.aspx?termid=9794</v>
      </c>
      <c r="Q2408" s="12" t="str">
        <f>HYPERLINK("https://ceds.ed.gov/elementComment.aspx?elementName=Employment End Date &amp;elementID=9794", "Click here to submit comment")</f>
        <v>Click here to submit comment</v>
      </c>
    </row>
    <row r="2409" spans="1:17" ht="60" x14ac:dyDescent="0.25">
      <c r="A2409" s="12" t="s">
        <v>7295</v>
      </c>
      <c r="B2409" s="12" t="s">
        <v>7298</v>
      </c>
      <c r="C2409" s="12" t="s">
        <v>7234</v>
      </c>
      <c r="D2409" s="12" t="s">
        <v>7172</v>
      </c>
      <c r="E2409" s="12" t="s">
        <v>2727</v>
      </c>
      <c r="F2409" s="12" t="s">
        <v>2728</v>
      </c>
      <c r="G2409" s="12" t="s">
        <v>12</v>
      </c>
      <c r="H2409" s="12" t="s">
        <v>6523</v>
      </c>
      <c r="I2409" s="12"/>
      <c r="J2409" s="12" t="s">
        <v>73</v>
      </c>
      <c r="K2409" s="12"/>
      <c r="L2409" s="12"/>
      <c r="M2409" s="12" t="s">
        <v>2729</v>
      </c>
      <c r="N2409" s="12"/>
      <c r="O2409" s="12" t="s">
        <v>2730</v>
      </c>
      <c r="P2409" s="12" t="str">
        <f>HYPERLINK("https://ceds.ed.gov/cedselementdetails.aspx?termid=9345")</f>
        <v>https://ceds.ed.gov/cedselementdetails.aspx?termid=9345</v>
      </c>
      <c r="Q2409" s="12" t="str">
        <f>HYPERLINK("https://ceds.ed.gov/elementComment.aspx?elementName=Employment Start Date &amp;elementID=9345", "Click here to submit comment")</f>
        <v>Click here to submit comment</v>
      </c>
    </row>
    <row r="2410" spans="1:17" ht="75" x14ac:dyDescent="0.25">
      <c r="A2410" s="12" t="s">
        <v>7295</v>
      </c>
      <c r="B2410" s="12" t="s">
        <v>7298</v>
      </c>
      <c r="C2410" s="12" t="s">
        <v>7234</v>
      </c>
      <c r="D2410" s="12" t="s">
        <v>7172</v>
      </c>
      <c r="E2410" s="12" t="s">
        <v>2734</v>
      </c>
      <c r="F2410" s="12" t="s">
        <v>2735</v>
      </c>
      <c r="G2410" s="13" t="s">
        <v>6905</v>
      </c>
      <c r="H2410" s="12"/>
      <c r="I2410" s="12"/>
      <c r="J2410" s="12"/>
      <c r="K2410" s="12"/>
      <c r="L2410" s="12"/>
      <c r="M2410" s="12" t="s">
        <v>2737</v>
      </c>
      <c r="N2410" s="12"/>
      <c r="O2410" s="12" t="s">
        <v>2738</v>
      </c>
      <c r="P2410" s="12" t="str">
        <f>HYPERLINK("https://ceds.ed.gov/cedselementdetails.aspx?termid=10310")</f>
        <v>https://ceds.ed.gov/cedselementdetails.aspx?termid=10310</v>
      </c>
      <c r="Q2410" s="12" t="str">
        <f>HYPERLINK("https://ceds.ed.gov/elementComment.aspx?elementName=Employment Status While Enrolled &amp;elementID=10310", "Click here to submit comment")</f>
        <v>Click here to submit comment</v>
      </c>
    </row>
    <row r="2411" spans="1:17" ht="105" x14ac:dyDescent="0.25">
      <c r="A2411" s="18" t="s">
        <v>7295</v>
      </c>
      <c r="B2411" s="18" t="s">
        <v>7298</v>
      </c>
      <c r="C2411" s="18" t="s">
        <v>7309</v>
      </c>
      <c r="D2411" s="18" t="s">
        <v>7172</v>
      </c>
      <c r="E2411" s="18" t="s">
        <v>5984</v>
      </c>
      <c r="F2411" s="18" t="s">
        <v>5985</v>
      </c>
      <c r="G2411" s="18" t="s">
        <v>12</v>
      </c>
      <c r="H2411" s="18" t="s">
        <v>6687</v>
      </c>
      <c r="I2411" s="18"/>
      <c r="J2411" s="18" t="s">
        <v>142</v>
      </c>
      <c r="K2411" s="18"/>
      <c r="L2411" s="12" t="s">
        <v>143</v>
      </c>
      <c r="M2411" s="18" t="s">
        <v>5986</v>
      </c>
      <c r="N2411" s="18"/>
      <c r="O2411" s="18" t="s">
        <v>5987</v>
      </c>
      <c r="P2411" s="18" t="str">
        <f>HYPERLINK("https://ceds.ed.gov/cedselementdetails.aspx?termid=9157")</f>
        <v>https://ceds.ed.gov/cedselementdetails.aspx?termid=9157</v>
      </c>
      <c r="Q2411" s="18" t="str">
        <f>HYPERLINK("https://ceds.ed.gov/elementComment.aspx?elementName=Student Identifier &amp;elementID=9157", "Click here to submit comment")</f>
        <v>Click here to submit comment</v>
      </c>
    </row>
    <row r="2412" spans="1:17" x14ac:dyDescent="0.25">
      <c r="A2412" s="18"/>
      <c r="B2412" s="18"/>
      <c r="C2412" s="18"/>
      <c r="D2412" s="18"/>
      <c r="E2412" s="18"/>
      <c r="F2412" s="18"/>
      <c r="G2412" s="18"/>
      <c r="H2412" s="18"/>
      <c r="I2412" s="18"/>
      <c r="J2412" s="18"/>
      <c r="K2412" s="18"/>
      <c r="L2412" s="12"/>
      <c r="M2412" s="18"/>
      <c r="N2412" s="18"/>
      <c r="O2412" s="18"/>
      <c r="P2412" s="18"/>
      <c r="Q2412" s="18"/>
    </row>
    <row r="2413" spans="1:17" ht="90" x14ac:dyDescent="0.25">
      <c r="A2413" s="18"/>
      <c r="B2413" s="18"/>
      <c r="C2413" s="18"/>
      <c r="D2413" s="18"/>
      <c r="E2413" s="18"/>
      <c r="F2413" s="18"/>
      <c r="G2413" s="18"/>
      <c r="H2413" s="18"/>
      <c r="I2413" s="18"/>
      <c r="J2413" s="18"/>
      <c r="K2413" s="18"/>
      <c r="L2413" s="12" t="s">
        <v>144</v>
      </c>
      <c r="M2413" s="18"/>
      <c r="N2413" s="18"/>
      <c r="O2413" s="18"/>
      <c r="P2413" s="18"/>
      <c r="Q2413" s="18"/>
    </row>
    <row r="2414" spans="1:17" ht="210" x14ac:dyDescent="0.25">
      <c r="A2414" s="12" t="s">
        <v>7295</v>
      </c>
      <c r="B2414" s="12" t="s">
        <v>7298</v>
      </c>
      <c r="C2414" s="12" t="s">
        <v>7309</v>
      </c>
      <c r="D2414" s="12" t="s">
        <v>7172</v>
      </c>
      <c r="E2414" s="12" t="s">
        <v>5980</v>
      </c>
      <c r="F2414" s="12" t="s">
        <v>5981</v>
      </c>
      <c r="G2414" s="13" t="s">
        <v>7124</v>
      </c>
      <c r="H2414" s="12" t="s">
        <v>6687</v>
      </c>
      <c r="I2414" s="12"/>
      <c r="J2414" s="12"/>
      <c r="K2414" s="12"/>
      <c r="L2414" s="12"/>
      <c r="M2414" s="12" t="s">
        <v>5982</v>
      </c>
      <c r="N2414" s="12"/>
      <c r="O2414" s="12" t="s">
        <v>5983</v>
      </c>
      <c r="P2414" s="12" t="str">
        <f>HYPERLINK("https://ceds.ed.gov/cedselementdetails.aspx?termid=9163")</f>
        <v>https://ceds.ed.gov/cedselementdetails.aspx?termid=9163</v>
      </c>
      <c r="Q2414" s="12" t="str">
        <f>HYPERLINK("https://ceds.ed.gov/elementComment.aspx?elementName=Student Identification System &amp;elementID=9163", "Click here to submit comment")</f>
        <v>Click here to submit comment</v>
      </c>
    </row>
    <row r="2415" spans="1:17" ht="105" x14ac:dyDescent="0.25">
      <c r="A2415" s="18" t="s">
        <v>7295</v>
      </c>
      <c r="B2415" s="18" t="s">
        <v>7298</v>
      </c>
      <c r="C2415" s="18" t="s">
        <v>7309</v>
      </c>
      <c r="D2415" s="18" t="s">
        <v>7172</v>
      </c>
      <c r="E2415" s="18" t="s">
        <v>5583</v>
      </c>
      <c r="F2415" s="18" t="s">
        <v>279</v>
      </c>
      <c r="G2415" s="18" t="s">
        <v>12</v>
      </c>
      <c r="H2415" s="18" t="s">
        <v>6657</v>
      </c>
      <c r="I2415" s="18"/>
      <c r="J2415" s="18" t="s">
        <v>142</v>
      </c>
      <c r="K2415" s="18"/>
      <c r="L2415" s="12" t="s">
        <v>143</v>
      </c>
      <c r="M2415" s="18" t="s">
        <v>5584</v>
      </c>
      <c r="N2415" s="18"/>
      <c r="O2415" s="18" t="s">
        <v>5585</v>
      </c>
      <c r="P2415" s="18" t="str">
        <f>HYPERLINK("https://ceds.ed.gov/cedselementdetails.aspx?termid=9155")</f>
        <v>https://ceds.ed.gov/cedselementdetails.aspx?termid=9155</v>
      </c>
      <c r="Q2415" s="18" t="str">
        <f>HYPERLINK("https://ceds.ed.gov/elementComment.aspx?elementName=School Identifier &amp;elementID=9155", "Click here to submit comment")</f>
        <v>Click here to submit comment</v>
      </c>
    </row>
    <row r="2416" spans="1:17" x14ac:dyDescent="0.25">
      <c r="A2416" s="18"/>
      <c r="B2416" s="18"/>
      <c r="C2416" s="18"/>
      <c r="D2416" s="18"/>
      <c r="E2416" s="18"/>
      <c r="F2416" s="18"/>
      <c r="G2416" s="18"/>
      <c r="H2416" s="18"/>
      <c r="I2416" s="18"/>
      <c r="J2416" s="18"/>
      <c r="K2416" s="18"/>
      <c r="L2416" s="12"/>
      <c r="M2416" s="18"/>
      <c r="N2416" s="18"/>
      <c r="O2416" s="18"/>
      <c r="P2416" s="18"/>
      <c r="Q2416" s="18"/>
    </row>
    <row r="2417" spans="1:17" ht="90" x14ac:dyDescent="0.25">
      <c r="A2417" s="18"/>
      <c r="B2417" s="18"/>
      <c r="C2417" s="18"/>
      <c r="D2417" s="18"/>
      <c r="E2417" s="18"/>
      <c r="F2417" s="18"/>
      <c r="G2417" s="18"/>
      <c r="H2417" s="18"/>
      <c r="I2417" s="18"/>
      <c r="J2417" s="18"/>
      <c r="K2417" s="18"/>
      <c r="L2417" s="12" t="s">
        <v>144</v>
      </c>
      <c r="M2417" s="18"/>
      <c r="N2417" s="18"/>
      <c r="O2417" s="18"/>
      <c r="P2417" s="18"/>
      <c r="Q2417" s="18"/>
    </row>
    <row r="2418" spans="1:17" ht="270" x14ac:dyDescent="0.25">
      <c r="A2418" s="12" t="s">
        <v>7295</v>
      </c>
      <c r="B2418" s="12" t="s">
        <v>7298</v>
      </c>
      <c r="C2418" s="12" t="s">
        <v>7309</v>
      </c>
      <c r="D2418" s="12" t="s">
        <v>7172</v>
      </c>
      <c r="E2418" s="12" t="s">
        <v>5580</v>
      </c>
      <c r="F2418" s="12" t="s">
        <v>275</v>
      </c>
      <c r="G2418" s="13" t="s">
        <v>7103</v>
      </c>
      <c r="H2418" s="12" t="s">
        <v>6657</v>
      </c>
      <c r="I2418" s="12"/>
      <c r="J2418" s="12"/>
      <c r="K2418" s="12"/>
      <c r="L2418" s="12"/>
      <c r="M2418" s="12" t="s">
        <v>5581</v>
      </c>
      <c r="N2418" s="12"/>
      <c r="O2418" s="12" t="s">
        <v>5582</v>
      </c>
      <c r="P2418" s="12" t="str">
        <f>HYPERLINK("https://ceds.ed.gov/cedselementdetails.aspx?termid=9161")</f>
        <v>https://ceds.ed.gov/cedselementdetails.aspx?termid=9161</v>
      </c>
      <c r="Q2418" s="12" t="str">
        <f>HYPERLINK("https://ceds.ed.gov/elementComment.aspx?elementName=School Identification System &amp;elementID=9161", "Click here to submit comment")</f>
        <v>Click here to submit comment</v>
      </c>
    </row>
    <row r="2419" spans="1:17" ht="225" x14ac:dyDescent="0.25">
      <c r="A2419" s="12" t="s">
        <v>7295</v>
      </c>
      <c r="B2419" s="12" t="s">
        <v>7298</v>
      </c>
      <c r="C2419" s="12" t="s">
        <v>7309</v>
      </c>
      <c r="D2419" s="12" t="s">
        <v>7172</v>
      </c>
      <c r="E2419" s="12" t="s">
        <v>4518</v>
      </c>
      <c r="F2419" s="12" t="s">
        <v>4519</v>
      </c>
      <c r="G2419" s="12" t="s">
        <v>12</v>
      </c>
      <c r="H2419" s="12" t="s">
        <v>6604</v>
      </c>
      <c r="I2419" s="12"/>
      <c r="J2419" s="12" t="s">
        <v>99</v>
      </c>
      <c r="K2419" s="12"/>
      <c r="L2419" s="12"/>
      <c r="M2419" s="12" t="s">
        <v>4520</v>
      </c>
      <c r="N2419" s="12"/>
      <c r="O2419" s="12" t="s">
        <v>4521</v>
      </c>
      <c r="P2419" s="12" t="str">
        <f>HYPERLINK("https://ceds.ed.gov/cedselementdetails.aspx?termid=9191")</f>
        <v>https://ceds.ed.gov/cedselementdetails.aspx?termid=9191</v>
      </c>
      <c r="Q2419" s="12" t="str">
        <f>HYPERLINK("https://ceds.ed.gov/elementComment.aspx?elementName=Name of Institution &amp;elementID=9191", "Click here to submit comment")</f>
        <v>Click here to submit comment</v>
      </c>
    </row>
    <row r="2420" spans="1:17" ht="180" x14ac:dyDescent="0.25">
      <c r="A2420" s="12" t="s">
        <v>7295</v>
      </c>
      <c r="B2420" s="12" t="s">
        <v>7298</v>
      </c>
      <c r="C2420" s="12" t="s">
        <v>7309</v>
      </c>
      <c r="D2420" s="12" t="s">
        <v>7172</v>
      </c>
      <c r="E2420" s="12" t="s">
        <v>1943</v>
      </c>
      <c r="F2420" s="12" t="s">
        <v>1944</v>
      </c>
      <c r="G2420" s="12" t="s">
        <v>12</v>
      </c>
      <c r="H2420" s="12"/>
      <c r="I2420" s="12"/>
      <c r="J2420" s="12" t="s">
        <v>1945</v>
      </c>
      <c r="K2420" s="12"/>
      <c r="L2420" s="12"/>
      <c r="M2420" s="12" t="s">
        <v>1946</v>
      </c>
      <c r="N2420" s="12"/>
      <c r="O2420" s="12" t="s">
        <v>1947</v>
      </c>
      <c r="P2420" s="12" t="str">
        <f>HYPERLINK("https://ceds.ed.gov/cedselementdetails.aspx?termid=10176")</f>
        <v>https://ceds.ed.gov/cedselementdetails.aspx?termid=10176</v>
      </c>
      <c r="Q2420" s="12" t="str">
        <f>HYPERLINK("https://ceds.ed.gov/elementComment.aspx?elementName=County ANSI Code &amp;elementID=10176", "Click here to submit comment")</f>
        <v>Click here to submit comment</v>
      </c>
    </row>
    <row r="2421" spans="1:17" ht="105" x14ac:dyDescent="0.25">
      <c r="A2421" s="18" t="s">
        <v>7295</v>
      </c>
      <c r="B2421" s="18" t="s">
        <v>7298</v>
      </c>
      <c r="C2421" s="18" t="s">
        <v>7309</v>
      </c>
      <c r="D2421" s="18" t="s">
        <v>7172</v>
      </c>
      <c r="E2421" s="18" t="s">
        <v>4328</v>
      </c>
      <c r="F2421" s="18" t="s">
        <v>4329</v>
      </c>
      <c r="G2421" s="18" t="s">
        <v>12</v>
      </c>
      <c r="H2421" s="18" t="s">
        <v>6596</v>
      </c>
      <c r="I2421" s="18"/>
      <c r="J2421" s="18" t="s">
        <v>142</v>
      </c>
      <c r="K2421" s="18"/>
      <c r="L2421" s="12" t="s">
        <v>143</v>
      </c>
      <c r="M2421" s="18" t="s">
        <v>4330</v>
      </c>
      <c r="N2421" s="18" t="s">
        <v>4331</v>
      </c>
      <c r="O2421" s="18" t="s">
        <v>4332</v>
      </c>
      <c r="P2421" s="18" t="str">
        <f>HYPERLINK("https://ceds.ed.gov/cedselementdetails.aspx?termid=9153")</f>
        <v>https://ceds.ed.gov/cedselementdetails.aspx?termid=9153</v>
      </c>
      <c r="Q2421" s="18" t="str">
        <f>HYPERLINK("https://ceds.ed.gov/elementComment.aspx?elementName=Local Education Agency Identifier &amp;elementID=9153", "Click here to submit comment")</f>
        <v>Click here to submit comment</v>
      </c>
    </row>
    <row r="2422" spans="1:17" x14ac:dyDescent="0.25">
      <c r="A2422" s="18"/>
      <c r="B2422" s="18"/>
      <c r="C2422" s="18"/>
      <c r="D2422" s="18"/>
      <c r="E2422" s="18"/>
      <c r="F2422" s="18"/>
      <c r="G2422" s="18"/>
      <c r="H2422" s="18"/>
      <c r="I2422" s="18"/>
      <c r="J2422" s="18"/>
      <c r="K2422" s="18"/>
      <c r="L2422" s="12"/>
      <c r="M2422" s="18"/>
      <c r="N2422" s="18"/>
      <c r="O2422" s="18"/>
      <c r="P2422" s="18"/>
      <c r="Q2422" s="18"/>
    </row>
    <row r="2423" spans="1:17" ht="90" x14ac:dyDescent="0.25">
      <c r="A2423" s="18"/>
      <c r="B2423" s="18"/>
      <c r="C2423" s="18"/>
      <c r="D2423" s="18"/>
      <c r="E2423" s="18"/>
      <c r="F2423" s="18"/>
      <c r="G2423" s="18"/>
      <c r="H2423" s="18"/>
      <c r="I2423" s="18"/>
      <c r="J2423" s="18"/>
      <c r="K2423" s="18"/>
      <c r="L2423" s="12" t="s">
        <v>144</v>
      </c>
      <c r="M2423" s="18"/>
      <c r="N2423" s="18"/>
      <c r="O2423" s="18"/>
      <c r="P2423" s="18"/>
      <c r="Q2423" s="18"/>
    </row>
    <row r="2424" spans="1:17" ht="240" x14ac:dyDescent="0.25">
      <c r="A2424" s="12" t="s">
        <v>7295</v>
      </c>
      <c r="B2424" s="12" t="s">
        <v>7298</v>
      </c>
      <c r="C2424" s="12" t="s">
        <v>7309</v>
      </c>
      <c r="D2424" s="12" t="s">
        <v>7172</v>
      </c>
      <c r="E2424" s="12" t="s">
        <v>4323</v>
      </c>
      <c r="F2424" s="12" t="s">
        <v>4324</v>
      </c>
      <c r="G2424" s="13" t="s">
        <v>7020</v>
      </c>
      <c r="H2424" s="12" t="s">
        <v>6596</v>
      </c>
      <c r="I2424" s="12" t="s">
        <v>98</v>
      </c>
      <c r="J2424" s="12"/>
      <c r="K2424" s="12"/>
      <c r="L2424" s="12"/>
      <c r="M2424" s="12" t="s">
        <v>4325</v>
      </c>
      <c r="N2424" s="12" t="s">
        <v>4326</v>
      </c>
      <c r="O2424" s="12" t="s">
        <v>4327</v>
      </c>
      <c r="P2424" s="12" t="str">
        <f>HYPERLINK("https://ceds.ed.gov/cedselementdetails.aspx?termid=9159")</f>
        <v>https://ceds.ed.gov/cedselementdetails.aspx?termid=9159</v>
      </c>
      <c r="Q2424" s="12" t="str">
        <f>HYPERLINK("https://ceds.ed.gov/elementComment.aspx?elementName=Local Education Agency Identification System &amp;elementID=9159", "Click here to submit comment")</f>
        <v>Click here to submit comment</v>
      </c>
    </row>
    <row r="2425" spans="1:17" ht="135" x14ac:dyDescent="0.25">
      <c r="A2425" s="12" t="s">
        <v>7295</v>
      </c>
      <c r="B2425" s="12" t="s">
        <v>7298</v>
      </c>
      <c r="C2425" s="12" t="s">
        <v>7309</v>
      </c>
      <c r="D2425" s="12" t="s">
        <v>7172</v>
      </c>
      <c r="E2425" s="12" t="s">
        <v>2326</v>
      </c>
      <c r="F2425" s="12" t="s">
        <v>2327</v>
      </c>
      <c r="G2425" s="12" t="s">
        <v>12</v>
      </c>
      <c r="H2425" s="12" t="s">
        <v>6502</v>
      </c>
      <c r="I2425" s="12"/>
      <c r="J2425" s="12" t="s">
        <v>2328</v>
      </c>
      <c r="K2425" s="12"/>
      <c r="L2425" s="12"/>
      <c r="M2425" s="12" t="s">
        <v>2329</v>
      </c>
      <c r="N2425" s="12"/>
      <c r="O2425" s="12" t="s">
        <v>2330</v>
      </c>
      <c r="P2425" s="12" t="str">
        <f>HYPERLINK("https://ceds.ed.gov/cedselementdetails.aspx?termid=9081")</f>
        <v>https://ceds.ed.gov/cedselementdetails.aspx?termid=9081</v>
      </c>
      <c r="Q2425" s="12" t="str">
        <f>HYPERLINK("https://ceds.ed.gov/elementComment.aspx?elementName=Diploma or Credential Award Date &amp;elementID=9081", "Click here to submit comment")</f>
        <v>Click here to submit comment</v>
      </c>
    </row>
    <row r="2426" spans="1:17" ht="180" x14ac:dyDescent="0.25">
      <c r="A2426" s="12" t="s">
        <v>7295</v>
      </c>
      <c r="B2426" s="12" t="s">
        <v>7298</v>
      </c>
      <c r="C2426" s="12" t="s">
        <v>7309</v>
      </c>
      <c r="D2426" s="12" t="s">
        <v>7172</v>
      </c>
      <c r="E2426" s="12" t="s">
        <v>3103</v>
      </c>
      <c r="F2426" s="12" t="s">
        <v>3104</v>
      </c>
      <c r="G2426" s="12" t="s">
        <v>12</v>
      </c>
      <c r="H2426" s="12" t="s">
        <v>6548</v>
      </c>
      <c r="I2426" s="12"/>
      <c r="J2426" s="12" t="s">
        <v>3100</v>
      </c>
      <c r="K2426" s="12"/>
      <c r="L2426" s="12" t="s">
        <v>3105</v>
      </c>
      <c r="M2426" s="12" t="s">
        <v>3106</v>
      </c>
      <c r="N2426" s="12" t="s">
        <v>3107</v>
      </c>
      <c r="O2426" s="12" t="s">
        <v>3108</v>
      </c>
      <c r="P2426" s="12" t="str">
        <f>HYPERLINK("https://ceds.ed.gov/cedselementdetails.aspx?termid=9128")</f>
        <v>https://ceds.ed.gov/cedselementdetails.aspx?termid=9128</v>
      </c>
      <c r="Q2426" s="12" t="str">
        <f>HYPERLINK("https://ceds.ed.gov/elementComment.aspx?elementName=Grade Point Average Cumulative &amp;elementID=9128", "Click here to submit comment")</f>
        <v>Click here to submit comment</v>
      </c>
    </row>
    <row r="2427" spans="1:17" ht="45" x14ac:dyDescent="0.25">
      <c r="A2427" s="12" t="s">
        <v>7295</v>
      </c>
      <c r="B2427" s="12" t="s">
        <v>7298</v>
      </c>
      <c r="C2427" s="12" t="s">
        <v>7309</v>
      </c>
      <c r="D2427" s="12" t="s">
        <v>7172</v>
      </c>
      <c r="E2427" s="12" t="s">
        <v>3120</v>
      </c>
      <c r="F2427" s="12" t="s">
        <v>3121</v>
      </c>
      <c r="G2427" s="13" t="s">
        <v>6939</v>
      </c>
      <c r="H2427" s="12" t="s">
        <v>6550</v>
      </c>
      <c r="I2427" s="12"/>
      <c r="J2427" s="12"/>
      <c r="K2427" s="12"/>
      <c r="L2427" s="12"/>
      <c r="M2427" s="12" t="s">
        <v>3122</v>
      </c>
      <c r="N2427" s="12" t="s">
        <v>3123</v>
      </c>
      <c r="O2427" s="12" t="s">
        <v>3124</v>
      </c>
      <c r="P2427" s="12" t="str">
        <f>HYPERLINK("https://ceds.ed.gov/cedselementdetails.aspx?termid=9123")</f>
        <v>https://ceds.ed.gov/cedselementdetails.aspx?termid=9123</v>
      </c>
      <c r="Q2427" s="12" t="str">
        <f>HYPERLINK("https://ceds.ed.gov/elementComment.aspx?elementName=Grade Point Average Weighted Indicator &amp;elementID=9123", "Click here to submit comment")</f>
        <v>Click here to submit comment</v>
      </c>
    </row>
    <row r="2428" spans="1:17" ht="285" x14ac:dyDescent="0.25">
      <c r="A2428" s="12" t="s">
        <v>7295</v>
      </c>
      <c r="B2428" s="12" t="s">
        <v>7298</v>
      </c>
      <c r="C2428" s="12" t="s">
        <v>7309</v>
      </c>
      <c r="D2428" s="12" t="s">
        <v>7172</v>
      </c>
      <c r="E2428" s="12" t="s">
        <v>3191</v>
      </c>
      <c r="F2428" s="12" t="s">
        <v>3192</v>
      </c>
      <c r="G2428" s="13" t="s">
        <v>6946</v>
      </c>
      <c r="H2428" s="12" t="s">
        <v>6557</v>
      </c>
      <c r="I2428" s="12"/>
      <c r="J2428" s="12"/>
      <c r="K2428" s="12"/>
      <c r="L2428" s="12"/>
      <c r="M2428" s="12" t="s">
        <v>3193</v>
      </c>
      <c r="N2428" s="12"/>
      <c r="O2428" s="12" t="s">
        <v>3194</v>
      </c>
      <c r="P2428" s="12" t="str">
        <f>HYPERLINK("https://ceds.ed.gov/cedselementdetails.aspx?termid=9138")</f>
        <v>https://ceds.ed.gov/cedselementdetails.aspx?termid=9138</v>
      </c>
      <c r="Q2428" s="12" t="str">
        <f>HYPERLINK("https://ceds.ed.gov/elementComment.aspx?elementName=High School Diploma Type &amp;elementID=9138", "Click here to submit comment")</f>
        <v>Click here to submit comment</v>
      </c>
    </row>
    <row r="2429" spans="1:17" ht="60" x14ac:dyDescent="0.25">
      <c r="A2429" s="12" t="s">
        <v>7295</v>
      </c>
      <c r="B2429" s="12" t="s">
        <v>7298</v>
      </c>
      <c r="C2429" s="12" t="s">
        <v>7309</v>
      </c>
      <c r="D2429" s="12" t="s">
        <v>7172</v>
      </c>
      <c r="E2429" s="12" t="s">
        <v>1864</v>
      </c>
      <c r="F2429" s="12" t="s">
        <v>1865</v>
      </c>
      <c r="G2429" s="12" t="s">
        <v>12</v>
      </c>
      <c r="H2429" s="12" t="s">
        <v>6446</v>
      </c>
      <c r="I2429" s="12"/>
      <c r="J2429" s="12" t="s">
        <v>1861</v>
      </c>
      <c r="K2429" s="12"/>
      <c r="L2429" s="12"/>
      <c r="M2429" s="12" t="s">
        <v>1866</v>
      </c>
      <c r="N2429" s="12"/>
      <c r="O2429" s="12" t="s">
        <v>1867</v>
      </c>
      <c r="P2429" s="12" t="str">
        <f>HYPERLINK("https://ceds.ed.gov/cedselementdetails.aspx?termid=9046")</f>
        <v>https://ceds.ed.gov/cedselementdetails.aspx?termid=9046</v>
      </c>
      <c r="Q2429" s="12" t="str">
        <f>HYPERLINK("https://ceds.ed.gov/elementComment.aspx?elementName=Cohort Year &amp;elementID=9046", "Click here to submit comment")</f>
        <v>Click here to submit comment</v>
      </c>
    </row>
    <row r="2430" spans="1:17" ht="90" x14ac:dyDescent="0.25">
      <c r="A2430" s="12" t="s">
        <v>7295</v>
      </c>
      <c r="B2430" s="12" t="s">
        <v>7298</v>
      </c>
      <c r="C2430" s="12" t="s">
        <v>7309</v>
      </c>
      <c r="D2430" s="12" t="s">
        <v>7172</v>
      </c>
      <c r="E2430" s="12" t="s">
        <v>5719</v>
      </c>
      <c r="F2430" s="12" t="s">
        <v>5720</v>
      </c>
      <c r="G2430" s="12" t="s">
        <v>12</v>
      </c>
      <c r="H2430" s="12"/>
      <c r="I2430" s="12"/>
      <c r="J2430" s="12" t="s">
        <v>92</v>
      </c>
      <c r="K2430" s="12"/>
      <c r="L2430" s="12" t="s">
        <v>5721</v>
      </c>
      <c r="M2430" s="12" t="s">
        <v>5722</v>
      </c>
      <c r="N2430" s="12"/>
      <c r="O2430" s="12" t="s">
        <v>5723</v>
      </c>
      <c r="P2430" s="12" t="str">
        <f>HYPERLINK("https://ceds.ed.gov/cedselementdetails.aspx?termid=10459")</f>
        <v>https://ceds.ed.gov/cedselementdetails.aspx?termid=10459</v>
      </c>
      <c r="Q2430" s="12" t="str">
        <f>HYPERLINK("https://ceds.ed.gov/elementComment.aspx?elementName=Short Name of Institution &amp;elementID=10459", "Click here to submit comment")</f>
        <v>Click here to submit comment</v>
      </c>
    </row>
    <row r="2431" spans="1:17" ht="375" x14ac:dyDescent="0.25">
      <c r="A2431" s="12" t="s">
        <v>7295</v>
      </c>
      <c r="B2431" s="12" t="s">
        <v>7298</v>
      </c>
      <c r="C2431" s="12" t="s">
        <v>7201</v>
      </c>
      <c r="D2431" s="12" t="s">
        <v>7172</v>
      </c>
      <c r="E2431" s="12" t="s">
        <v>48</v>
      </c>
      <c r="F2431" s="12" t="s">
        <v>49</v>
      </c>
      <c r="G2431" s="13" t="s">
        <v>6722</v>
      </c>
      <c r="H2431" s="12"/>
      <c r="I2431" s="12"/>
      <c r="J2431" s="12"/>
      <c r="K2431" s="12"/>
      <c r="L2431" s="12"/>
      <c r="M2431" s="12" t="s">
        <v>51</v>
      </c>
      <c r="N2431" s="12"/>
      <c r="O2431" s="12" t="s">
        <v>52</v>
      </c>
      <c r="P2431" s="12" t="str">
        <f>HYPERLINK("https://ceds.ed.gov/cedselementdetails.aspx?termid=10243")</f>
        <v>https://ceds.ed.gov/cedselementdetails.aspx?termid=10243</v>
      </c>
      <c r="Q2431" s="12" t="str">
        <f>HYPERLINK("https://ceds.ed.gov/elementComment.aspx?elementName=Accommodations Needed Type &amp;elementID=10243", "Click here to submit comment")</f>
        <v>Click here to submit comment</v>
      </c>
    </row>
    <row r="2432" spans="1:17" ht="75" x14ac:dyDescent="0.25">
      <c r="A2432" s="12" t="s">
        <v>7295</v>
      </c>
      <c r="B2432" s="12" t="s">
        <v>7298</v>
      </c>
      <c r="C2432" s="12" t="s">
        <v>7201</v>
      </c>
      <c r="D2432" s="12" t="s">
        <v>7172</v>
      </c>
      <c r="E2432" s="12" t="s">
        <v>2335</v>
      </c>
      <c r="F2432" s="12" t="s">
        <v>2336</v>
      </c>
      <c r="G2432" s="13" t="s">
        <v>6862</v>
      </c>
      <c r="H2432" s="12"/>
      <c r="I2432" s="12"/>
      <c r="J2432" s="12"/>
      <c r="K2432" s="12"/>
      <c r="L2432" s="12"/>
      <c r="M2432" s="12" t="s">
        <v>2337</v>
      </c>
      <c r="N2432" s="12" t="s">
        <v>2338</v>
      </c>
      <c r="O2432" s="12" t="s">
        <v>2339</v>
      </c>
      <c r="P2432" s="12" t="str">
        <f>HYPERLINK("https://ceds.ed.gov/cedselementdetails.aspx?termid=10285")</f>
        <v>https://ceds.ed.gov/cedselementdetails.aspx?termid=10285</v>
      </c>
      <c r="Q2432" s="12" t="str">
        <f>HYPERLINK("https://ceds.ed.gov/elementComment.aspx?elementName=Disability Condition Status Type &amp;elementID=10285", "Click here to submit comment")</f>
        <v>Click here to submit comment</v>
      </c>
    </row>
    <row r="2433" spans="1:17" ht="255" x14ac:dyDescent="0.25">
      <c r="A2433" s="12" t="s">
        <v>7295</v>
      </c>
      <c r="B2433" s="12" t="s">
        <v>7298</v>
      </c>
      <c r="C2433" s="12" t="s">
        <v>7201</v>
      </c>
      <c r="D2433" s="12" t="s">
        <v>7176</v>
      </c>
      <c r="E2433" s="12" t="s">
        <v>2340</v>
      </c>
      <c r="F2433" s="12" t="s">
        <v>2341</v>
      </c>
      <c r="G2433" s="13" t="s">
        <v>6863</v>
      </c>
      <c r="H2433" s="12"/>
      <c r="I2433" s="12"/>
      <c r="J2433" s="12"/>
      <c r="K2433" s="12"/>
      <c r="L2433" s="12" t="s">
        <v>2342</v>
      </c>
      <c r="M2433" s="12" t="s">
        <v>2343</v>
      </c>
      <c r="N2433" s="12"/>
      <c r="O2433" s="12" t="s">
        <v>2344</v>
      </c>
      <c r="P2433" s="12" t="str">
        <f>HYPERLINK("https://ceds.ed.gov/cedselementdetails.aspx?termid=10286")</f>
        <v>https://ceds.ed.gov/cedselementdetails.aspx?termid=10286</v>
      </c>
      <c r="Q2433" s="12" t="str">
        <f>HYPERLINK("https://ceds.ed.gov/elementComment.aspx?elementName=Disability Condition Type &amp;elementID=10286", "Click here to submit comment")</f>
        <v>Click here to submit comment</v>
      </c>
    </row>
    <row r="2434" spans="1:17" ht="180" x14ac:dyDescent="0.25">
      <c r="A2434" s="12" t="s">
        <v>7295</v>
      </c>
      <c r="B2434" s="12" t="s">
        <v>7298</v>
      </c>
      <c r="C2434" s="12" t="s">
        <v>7201</v>
      </c>
      <c r="D2434" s="12" t="s">
        <v>7176</v>
      </c>
      <c r="E2434" s="12" t="s">
        <v>2345</v>
      </c>
      <c r="F2434" s="12" t="s">
        <v>2346</v>
      </c>
      <c r="G2434" s="13" t="s">
        <v>6864</v>
      </c>
      <c r="H2434" s="12"/>
      <c r="I2434" s="12"/>
      <c r="J2434" s="12"/>
      <c r="K2434" s="12"/>
      <c r="L2434" s="12" t="s">
        <v>2342</v>
      </c>
      <c r="M2434" s="12" t="s">
        <v>2347</v>
      </c>
      <c r="N2434" s="12"/>
      <c r="O2434" s="12" t="s">
        <v>2348</v>
      </c>
      <c r="P2434" s="12" t="str">
        <f>HYPERLINK("https://ceds.ed.gov/cedselementdetails.aspx?termid=10287")</f>
        <v>https://ceds.ed.gov/cedselementdetails.aspx?termid=10287</v>
      </c>
      <c r="Q2434" s="12" t="str">
        <f>HYPERLINK("https://ceds.ed.gov/elementComment.aspx?elementName=Disability Determination Source Type &amp;elementID=10287", "Click here to submit comment")</f>
        <v>Click here to submit comment</v>
      </c>
    </row>
    <row r="2435" spans="1:17" ht="45" x14ac:dyDescent="0.25">
      <c r="A2435" s="12" t="s">
        <v>7295</v>
      </c>
      <c r="B2435" s="12" t="s">
        <v>7298</v>
      </c>
      <c r="C2435" s="12" t="s">
        <v>7201</v>
      </c>
      <c r="D2435" s="12" t="s">
        <v>7176</v>
      </c>
      <c r="E2435" s="12" t="s">
        <v>2349</v>
      </c>
      <c r="F2435" s="12" t="s">
        <v>2350</v>
      </c>
      <c r="G2435" s="12" t="s">
        <v>6364</v>
      </c>
      <c r="H2435" s="12" t="s">
        <v>222</v>
      </c>
      <c r="I2435" s="12"/>
      <c r="J2435" s="12"/>
      <c r="K2435" s="12"/>
      <c r="L2435" s="12"/>
      <c r="M2435" s="12" t="s">
        <v>2351</v>
      </c>
      <c r="N2435" s="12"/>
      <c r="O2435" s="12" t="s">
        <v>2352</v>
      </c>
      <c r="P2435" s="12" t="str">
        <f>HYPERLINK("https://ceds.ed.gov/cedselementdetails.aspx?termid=9569")</f>
        <v>https://ceds.ed.gov/cedselementdetails.aspx?termid=9569</v>
      </c>
      <c r="Q2435" s="12" t="str">
        <f>HYPERLINK("https://ceds.ed.gov/elementComment.aspx?elementName=Disability Status &amp;elementID=9569", "Click here to submit comment")</f>
        <v>Click here to submit comment</v>
      </c>
    </row>
    <row r="2436" spans="1:17" ht="285" x14ac:dyDescent="0.25">
      <c r="A2436" s="12" t="s">
        <v>7295</v>
      </c>
      <c r="B2436" s="12" t="s">
        <v>7298</v>
      </c>
      <c r="C2436" s="12" t="s">
        <v>7201</v>
      </c>
      <c r="D2436" s="12" t="s">
        <v>7176</v>
      </c>
      <c r="E2436" s="12" t="s">
        <v>3281</v>
      </c>
      <c r="F2436" s="12" t="s">
        <v>3282</v>
      </c>
      <c r="G2436" s="12" t="s">
        <v>6364</v>
      </c>
      <c r="H2436" s="12" t="s">
        <v>6568</v>
      </c>
      <c r="I2436" s="12"/>
      <c r="J2436" s="12"/>
      <c r="K2436" s="12"/>
      <c r="L2436" s="12"/>
      <c r="M2436" s="12" t="s">
        <v>3283</v>
      </c>
      <c r="N2436" s="12"/>
      <c r="O2436" s="12" t="s">
        <v>3284</v>
      </c>
      <c r="P2436" s="12" t="str">
        <f>HYPERLINK("https://ceds.ed.gov/cedselementdetails.aspx?termid=9151")</f>
        <v>https://ceds.ed.gov/cedselementdetails.aspx?termid=9151</v>
      </c>
      <c r="Q2436" s="12" t="str">
        <f>HYPERLINK("https://ceds.ed.gov/elementComment.aspx?elementName=IDEA Indicator &amp;elementID=9151", "Click here to submit comment")</f>
        <v>Click here to submit comment</v>
      </c>
    </row>
    <row r="2437" spans="1:17" ht="210" x14ac:dyDescent="0.25">
      <c r="A2437" s="12" t="s">
        <v>7295</v>
      </c>
      <c r="B2437" s="12" t="s">
        <v>7298</v>
      </c>
      <c r="C2437" s="12" t="s">
        <v>7201</v>
      </c>
      <c r="D2437" s="12" t="s">
        <v>7176</v>
      </c>
      <c r="E2437" s="12" t="s">
        <v>4930</v>
      </c>
      <c r="F2437" s="12" t="s">
        <v>4931</v>
      </c>
      <c r="G2437" s="13" t="s">
        <v>7064</v>
      </c>
      <c r="H2437" s="12" t="s">
        <v>6633</v>
      </c>
      <c r="I2437" s="12"/>
      <c r="J2437" s="12"/>
      <c r="K2437" s="12"/>
      <c r="L2437" s="12"/>
      <c r="M2437" s="12" t="s">
        <v>4932</v>
      </c>
      <c r="N2437" s="12"/>
      <c r="O2437" s="12" t="s">
        <v>4933</v>
      </c>
      <c r="P2437" s="12" t="str">
        <f>HYPERLINK("https://ceds.ed.gov/cedselementdetails.aspx?termid=9218")</f>
        <v>https://ceds.ed.gov/cedselementdetails.aspx?termid=9218</v>
      </c>
      <c r="Q2437" s="12" t="str">
        <f>HYPERLINK("https://ceds.ed.gov/elementComment.aspx?elementName=Primary Disability Type &amp;elementID=9218", "Click here to submit comment")</f>
        <v>Click here to submit comment</v>
      </c>
    </row>
    <row r="2438" spans="1:17" ht="240" x14ac:dyDescent="0.25">
      <c r="A2438" s="12" t="s">
        <v>7295</v>
      </c>
      <c r="B2438" s="12" t="s">
        <v>7298</v>
      </c>
      <c r="C2438" s="12" t="s">
        <v>7310</v>
      </c>
      <c r="D2438" s="12" t="s">
        <v>7172</v>
      </c>
      <c r="E2438" s="12" t="s">
        <v>6336</v>
      </c>
      <c r="F2438" s="12" t="s">
        <v>6337</v>
      </c>
      <c r="G2438" s="13" t="s">
        <v>7156</v>
      </c>
      <c r="H2438" s="12"/>
      <c r="I2438" s="12"/>
      <c r="J2438" s="12"/>
      <c r="K2438" s="12"/>
      <c r="L2438" s="12"/>
      <c r="M2438" s="12" t="s">
        <v>6338</v>
      </c>
      <c r="N2438" s="12"/>
      <c r="O2438" s="12" t="s">
        <v>6339</v>
      </c>
      <c r="P2438" s="12" t="str">
        <f>HYPERLINK("https://ceds.ed.gov/cedselementdetails.aspx?termid=10471")</f>
        <v>https://ceds.ed.gov/cedselementdetails.aspx?termid=10471</v>
      </c>
      <c r="Q2438" s="12" t="str">
        <f>HYPERLINK("https://ceds.ed.gov/elementComment.aspx?elementName=Work-based Learning Opportunity Type &amp;elementID=10471", "Click here to submit comment")</f>
        <v>Click here to submit comment</v>
      </c>
    </row>
    <row r="2439" spans="1:17" ht="30" x14ac:dyDescent="0.25">
      <c r="A2439" s="12" t="s">
        <v>7295</v>
      </c>
      <c r="B2439" s="12" t="s">
        <v>7280</v>
      </c>
      <c r="C2439" s="12"/>
      <c r="D2439" s="12" t="s">
        <v>7172</v>
      </c>
      <c r="E2439" s="12" t="s">
        <v>2124</v>
      </c>
      <c r="F2439" s="12" t="s">
        <v>2125</v>
      </c>
      <c r="G2439" s="12" t="s">
        <v>12</v>
      </c>
      <c r="H2439" s="12"/>
      <c r="I2439" s="12" t="s">
        <v>1498</v>
      </c>
      <c r="J2439" s="12" t="s">
        <v>317</v>
      </c>
      <c r="K2439" s="12"/>
      <c r="L2439" s="12"/>
      <c r="M2439" s="12" t="s">
        <v>2126</v>
      </c>
      <c r="N2439" s="12"/>
      <c r="O2439" s="12" t="s">
        <v>2127</v>
      </c>
      <c r="P2439" s="12" t="str">
        <f>HYPERLINK("https://ceds.ed.gov/cedselementdetails.aspx?termid=10636")</f>
        <v>https://ceds.ed.gov/cedselementdetails.aspx?termid=10636</v>
      </c>
      <c r="Q2439" s="12" t="str">
        <f>HYPERLINK("https://ceds.ed.gov/elementComment.aspx?elementName=Course Section Maximum Capacity &amp;elementID=10636", "Click here to submit comment")</f>
        <v>Click here to submit comment</v>
      </c>
    </row>
    <row r="2440" spans="1:17" ht="409.5" x14ac:dyDescent="0.25">
      <c r="A2440" s="12" t="s">
        <v>7295</v>
      </c>
      <c r="B2440" s="12" t="s">
        <v>7280</v>
      </c>
      <c r="C2440" s="12"/>
      <c r="D2440" s="12" t="s">
        <v>7172</v>
      </c>
      <c r="E2440" s="12" t="s">
        <v>304</v>
      </c>
      <c r="F2440" s="12" t="s">
        <v>305</v>
      </c>
      <c r="G2440" s="13" t="s">
        <v>6744</v>
      </c>
      <c r="H2440" s="12"/>
      <c r="I2440" s="12"/>
      <c r="J2440" s="12" t="s">
        <v>99</v>
      </c>
      <c r="K2440" s="12"/>
      <c r="L2440" s="12"/>
      <c r="M2440" s="12" t="s">
        <v>306</v>
      </c>
      <c r="N2440" s="12" t="s">
        <v>307</v>
      </c>
      <c r="O2440" s="12" t="s">
        <v>308</v>
      </c>
      <c r="P2440" s="12" t="str">
        <f>HYPERLINK("https://ceds.ed.gov/cedselementdetails.aspx?termid=10244")</f>
        <v>https://ceds.ed.gov/cedselementdetails.aspx?termid=10244</v>
      </c>
      <c r="Q2440" s="12" t="str">
        <f>HYPERLINK("https://ceds.ed.gov/elementComment.aspx?elementName=Advanced Placement Course Code &amp;elementID=10244", "Click here to submit comment")</f>
        <v>Click here to submit comment</v>
      </c>
    </row>
    <row r="2441" spans="1:17" ht="150" x14ac:dyDescent="0.25">
      <c r="A2441" s="12" t="s">
        <v>7295</v>
      </c>
      <c r="B2441" s="12" t="s">
        <v>7280</v>
      </c>
      <c r="C2441" s="12"/>
      <c r="D2441" s="12" t="s">
        <v>7172</v>
      </c>
      <c r="E2441" s="12" t="s">
        <v>1953</v>
      </c>
      <c r="F2441" s="12" t="s">
        <v>1954</v>
      </c>
      <c r="G2441" s="12" t="s">
        <v>12</v>
      </c>
      <c r="H2441" s="12"/>
      <c r="I2441" s="12"/>
      <c r="J2441" s="12" t="s">
        <v>1955</v>
      </c>
      <c r="K2441" s="12"/>
      <c r="L2441" s="12" t="s">
        <v>1956</v>
      </c>
      <c r="M2441" s="12" t="s">
        <v>1957</v>
      </c>
      <c r="N2441" s="12"/>
      <c r="O2441" s="12" t="s">
        <v>1958</v>
      </c>
      <c r="P2441" s="12" t="str">
        <f>HYPERLINK("https://ceds.ed.gov/cedselementdetails.aspx?termid=10264")</f>
        <v>https://ceds.ed.gov/cedselementdetails.aspx?termid=10264</v>
      </c>
      <c r="Q2441" s="12" t="str">
        <f>HYPERLINK("https://ceds.ed.gov/elementComment.aspx?elementName=Course Academic Grade Scale Code &amp;elementID=10264", "Click here to submit comment")</f>
        <v>Click here to submit comment</v>
      </c>
    </row>
    <row r="2442" spans="1:17" ht="409.5" x14ac:dyDescent="0.25">
      <c r="A2442" s="12" t="s">
        <v>7295</v>
      </c>
      <c r="B2442" s="12" t="s">
        <v>7280</v>
      </c>
      <c r="C2442" s="12"/>
      <c r="D2442" s="12" t="s">
        <v>7172</v>
      </c>
      <c r="E2442" s="12" t="s">
        <v>1988</v>
      </c>
      <c r="F2442" s="12" t="s">
        <v>1989</v>
      </c>
      <c r="G2442" s="13" t="s">
        <v>6833</v>
      </c>
      <c r="H2442" s="12"/>
      <c r="I2442" s="12"/>
      <c r="J2442" s="12"/>
      <c r="K2442" s="12"/>
      <c r="L2442" s="12"/>
      <c r="M2442" s="12" t="s">
        <v>1990</v>
      </c>
      <c r="N2442" s="12"/>
      <c r="O2442" s="12" t="s">
        <v>1991</v>
      </c>
      <c r="P2442" s="12" t="str">
        <f>HYPERLINK("https://ceds.ed.gov/cedselementdetails.aspx?termid=10269")</f>
        <v>https://ceds.ed.gov/cedselementdetails.aspx?termid=10269</v>
      </c>
      <c r="Q2442" s="12" t="str">
        <f>HYPERLINK("https://ceds.ed.gov/elementComment.aspx?elementName=Course Credit Basis Type &amp;elementID=10269", "Click here to submit comment")</f>
        <v>Click here to submit comment</v>
      </c>
    </row>
    <row r="2443" spans="1:17" ht="255" x14ac:dyDescent="0.25">
      <c r="A2443" s="12" t="s">
        <v>7295</v>
      </c>
      <c r="B2443" s="12" t="s">
        <v>7280</v>
      </c>
      <c r="C2443" s="12"/>
      <c r="D2443" s="12" t="s">
        <v>7172</v>
      </c>
      <c r="E2443" s="12" t="s">
        <v>1992</v>
      </c>
      <c r="F2443" s="12" t="s">
        <v>1993</v>
      </c>
      <c r="G2443" s="13" t="s">
        <v>6834</v>
      </c>
      <c r="H2443" s="12"/>
      <c r="I2443" s="12"/>
      <c r="J2443" s="12"/>
      <c r="K2443" s="12"/>
      <c r="L2443" s="12"/>
      <c r="M2443" s="12" t="s">
        <v>1994</v>
      </c>
      <c r="N2443" s="12"/>
      <c r="O2443" s="12" t="s">
        <v>1995</v>
      </c>
      <c r="P2443" s="12" t="str">
        <f>HYPERLINK("https://ceds.ed.gov/cedselementdetails.aspx?termid=10270")</f>
        <v>https://ceds.ed.gov/cedselementdetails.aspx?termid=10270</v>
      </c>
      <c r="Q2443" s="12" t="str">
        <f>HYPERLINK("https://ceds.ed.gov/elementComment.aspx?elementName=Course Credit Level Type &amp;elementID=10270", "Click here to submit comment")</f>
        <v>Click here to submit comment</v>
      </c>
    </row>
    <row r="2444" spans="1:17" ht="120" x14ac:dyDescent="0.25">
      <c r="A2444" s="12" t="s">
        <v>7295</v>
      </c>
      <c r="B2444" s="12" t="s">
        <v>7280</v>
      </c>
      <c r="C2444" s="12"/>
      <c r="D2444" s="12" t="s">
        <v>7172</v>
      </c>
      <c r="E2444" s="12" t="s">
        <v>2027</v>
      </c>
      <c r="F2444" s="12" t="s">
        <v>2028</v>
      </c>
      <c r="G2444" s="13" t="s">
        <v>6836</v>
      </c>
      <c r="H2444" s="12" t="s">
        <v>6429</v>
      </c>
      <c r="I2444" s="12"/>
      <c r="J2444" s="12"/>
      <c r="K2444" s="12"/>
      <c r="L2444" s="12"/>
      <c r="M2444" s="12" t="s">
        <v>2029</v>
      </c>
      <c r="N2444" s="12" t="s">
        <v>2030</v>
      </c>
      <c r="O2444" s="12" t="s">
        <v>2031</v>
      </c>
      <c r="P2444" s="12" t="str">
        <f>HYPERLINK("https://ceds.ed.gov/cedselementdetails.aspx?termid=9060")</f>
        <v>https://ceds.ed.gov/cedselementdetails.aspx?termid=9060</v>
      </c>
      <c r="Q2444" s="12" t="str">
        <f>HYPERLINK("https://ceds.ed.gov/elementComment.aspx?elementName=Course Grade Point Average Applicability &amp;elementID=9060", "Click here to submit comment")</f>
        <v>Click here to submit comment</v>
      </c>
    </row>
    <row r="2445" spans="1:17" ht="45" x14ac:dyDescent="0.25">
      <c r="A2445" s="12" t="s">
        <v>7295</v>
      </c>
      <c r="B2445" s="12" t="s">
        <v>7280</v>
      </c>
      <c r="C2445" s="12"/>
      <c r="D2445" s="12" t="s">
        <v>7172</v>
      </c>
      <c r="E2445" s="12" t="s">
        <v>2032</v>
      </c>
      <c r="F2445" s="12" t="s">
        <v>2033</v>
      </c>
      <c r="G2445" s="13" t="s">
        <v>6837</v>
      </c>
      <c r="H2445" s="12"/>
      <c r="I2445" s="12"/>
      <c r="J2445" s="12"/>
      <c r="K2445" s="12"/>
      <c r="L2445" s="12"/>
      <c r="M2445" s="12" t="s">
        <v>2034</v>
      </c>
      <c r="N2445" s="12"/>
      <c r="O2445" s="12" t="s">
        <v>2035</v>
      </c>
      <c r="P2445" s="12" t="str">
        <f>HYPERLINK("https://ceds.ed.gov/cedselementdetails.aspx?termid=10273")</f>
        <v>https://ceds.ed.gov/cedselementdetails.aspx?termid=10273</v>
      </c>
      <c r="Q2445" s="12" t="str">
        <f>HYPERLINK("https://ceds.ed.gov/elementComment.aspx?elementName=Course Honors Type &amp;elementID=10273", "Click here to submit comment")</f>
        <v>Click here to submit comment</v>
      </c>
    </row>
    <row r="2446" spans="1:17" ht="409.5" x14ac:dyDescent="0.25">
      <c r="A2446" s="12" t="s">
        <v>7295</v>
      </c>
      <c r="B2446" s="12" t="s">
        <v>7280</v>
      </c>
      <c r="C2446" s="12"/>
      <c r="D2446" s="12" t="s">
        <v>7172</v>
      </c>
      <c r="E2446" s="12" t="s">
        <v>2040</v>
      </c>
      <c r="F2446" s="12" t="s">
        <v>2041</v>
      </c>
      <c r="G2446" s="13" t="s">
        <v>6838</v>
      </c>
      <c r="H2446" s="12"/>
      <c r="I2446" s="12"/>
      <c r="J2446" s="12"/>
      <c r="K2446" s="12"/>
      <c r="L2446" s="12"/>
      <c r="M2446" s="12" t="s">
        <v>2042</v>
      </c>
      <c r="N2446" s="12"/>
      <c r="O2446" s="12" t="s">
        <v>2043</v>
      </c>
      <c r="P2446" s="12" t="str">
        <f>HYPERLINK("https://ceds.ed.gov/cedselementdetails.aspx?termid=10274")</f>
        <v>https://ceds.ed.gov/cedselementdetails.aspx?termid=10274</v>
      </c>
      <c r="Q2446" s="12" t="str">
        <f>HYPERLINK("https://ceds.ed.gov/elementComment.aspx?elementName=Course Instruction Method &amp;elementID=10274", "Click here to submit comment")</f>
        <v>Click here to submit comment</v>
      </c>
    </row>
    <row r="2447" spans="1:17" ht="30" x14ac:dyDescent="0.25">
      <c r="A2447" s="12" t="s">
        <v>7295</v>
      </c>
      <c r="B2447" s="12" t="s">
        <v>7280</v>
      </c>
      <c r="C2447" s="12"/>
      <c r="D2447" s="12" t="s">
        <v>7172</v>
      </c>
      <c r="E2447" s="12" t="s">
        <v>2044</v>
      </c>
      <c r="F2447" s="12" t="s">
        <v>2045</v>
      </c>
      <c r="G2447" s="12" t="s">
        <v>12</v>
      </c>
      <c r="H2447" s="12"/>
      <c r="I2447" s="12"/>
      <c r="J2447" s="12" t="s">
        <v>99</v>
      </c>
      <c r="K2447" s="12"/>
      <c r="L2447" s="12"/>
      <c r="M2447" s="12" t="s">
        <v>2046</v>
      </c>
      <c r="N2447" s="12"/>
      <c r="O2447" s="12" t="s">
        <v>2047</v>
      </c>
      <c r="P2447" s="12" t="str">
        <f>HYPERLINK("https://ceds.ed.gov/cedselementdetails.aspx?termid=10275")</f>
        <v>https://ceds.ed.gov/cedselementdetails.aspx?termid=10275</v>
      </c>
      <c r="Q2447" s="12" t="str">
        <f>HYPERLINK("https://ceds.ed.gov/elementComment.aspx?elementName=Course Instruction Site Name &amp;elementID=10275", "Click here to submit comment")</f>
        <v>Click here to submit comment</v>
      </c>
    </row>
    <row r="2448" spans="1:17" ht="180" x14ac:dyDescent="0.25">
      <c r="A2448" s="12" t="s">
        <v>7295</v>
      </c>
      <c r="B2448" s="12" t="s">
        <v>7280</v>
      </c>
      <c r="C2448" s="12"/>
      <c r="D2448" s="12" t="s">
        <v>7172</v>
      </c>
      <c r="E2448" s="12" t="s">
        <v>2048</v>
      </c>
      <c r="F2448" s="12" t="s">
        <v>2049</v>
      </c>
      <c r="G2448" s="13" t="s">
        <v>6839</v>
      </c>
      <c r="H2448" s="12"/>
      <c r="I2448" s="12"/>
      <c r="J2448" s="12"/>
      <c r="K2448" s="12"/>
      <c r="L2448" s="12"/>
      <c r="M2448" s="12" t="s">
        <v>2050</v>
      </c>
      <c r="N2448" s="12"/>
      <c r="O2448" s="12" t="s">
        <v>2051</v>
      </c>
      <c r="P2448" s="12" t="str">
        <f>HYPERLINK("https://ceds.ed.gov/cedselementdetails.aspx?termid=10276")</f>
        <v>https://ceds.ed.gov/cedselementdetails.aspx?termid=10276</v>
      </c>
      <c r="Q2448" s="12" t="str">
        <f>HYPERLINK("https://ceds.ed.gov/elementComment.aspx?elementName=Course Instruction Site Type &amp;elementID=10276", "Click here to submit comment")</f>
        <v>Click here to submit comment</v>
      </c>
    </row>
    <row r="2449" spans="1:17" ht="375" x14ac:dyDescent="0.25">
      <c r="A2449" s="12" t="s">
        <v>7295</v>
      </c>
      <c r="B2449" s="12" t="s">
        <v>7280</v>
      </c>
      <c r="C2449" s="12"/>
      <c r="D2449" s="12" t="s">
        <v>7172</v>
      </c>
      <c r="E2449" s="12" t="s">
        <v>2061</v>
      </c>
      <c r="F2449" s="12" t="s">
        <v>2062</v>
      </c>
      <c r="G2449" s="13" t="s">
        <v>6842</v>
      </c>
      <c r="H2449" s="12"/>
      <c r="I2449" s="12"/>
      <c r="J2449" s="12"/>
      <c r="K2449" s="12"/>
      <c r="L2449" s="12"/>
      <c r="M2449" s="12" t="s">
        <v>2063</v>
      </c>
      <c r="N2449" s="12"/>
      <c r="O2449" s="12" t="s">
        <v>2064</v>
      </c>
      <c r="P2449" s="12" t="str">
        <f>HYPERLINK("https://ceds.ed.gov/cedselementdetails.aspx?termid=10278")</f>
        <v>https://ceds.ed.gov/cedselementdetails.aspx?termid=10278</v>
      </c>
      <c r="Q2449" s="12" t="str">
        <f>HYPERLINK("https://ceds.ed.gov/elementComment.aspx?elementName=Course Level Type &amp;elementID=10278", "Click here to submit comment")</f>
        <v>Click here to submit comment</v>
      </c>
    </row>
    <row r="2450" spans="1:17" ht="90" x14ac:dyDescent="0.25">
      <c r="A2450" s="12" t="s">
        <v>7295</v>
      </c>
      <c r="B2450" s="12" t="s">
        <v>7280</v>
      </c>
      <c r="C2450" s="12"/>
      <c r="D2450" s="12" t="s">
        <v>7172</v>
      </c>
      <c r="E2450" s="12" t="s">
        <v>2065</v>
      </c>
      <c r="F2450" s="12" t="s">
        <v>2066</v>
      </c>
      <c r="G2450" s="12" t="s">
        <v>12</v>
      </c>
      <c r="H2450" s="12"/>
      <c r="I2450" s="12"/>
      <c r="J2450" s="12" t="s">
        <v>327</v>
      </c>
      <c r="K2450" s="12"/>
      <c r="L2450" s="12"/>
      <c r="M2450" s="12" t="s">
        <v>2067</v>
      </c>
      <c r="N2450" s="12"/>
      <c r="O2450" s="12" t="s">
        <v>2068</v>
      </c>
      <c r="P2450" s="12" t="str">
        <f>HYPERLINK("https://ceds.ed.gov/cedselementdetails.aspx?termid=10279")</f>
        <v>https://ceds.ed.gov/cedselementdetails.aspx?termid=10279</v>
      </c>
      <c r="Q2450" s="12" t="str">
        <f>HYPERLINK("https://ceds.ed.gov/elementComment.aspx?elementName=Course Narrative Explanation Grade &amp;elementID=10279", "Click here to submit comment")</f>
        <v>Click here to submit comment</v>
      </c>
    </row>
    <row r="2451" spans="1:17" ht="90" x14ac:dyDescent="0.25">
      <c r="A2451" s="12" t="s">
        <v>7295</v>
      </c>
      <c r="B2451" s="12" t="s">
        <v>7280</v>
      </c>
      <c r="C2451" s="12"/>
      <c r="D2451" s="12" t="s">
        <v>7172</v>
      </c>
      <c r="E2451" s="12" t="s">
        <v>2069</v>
      </c>
      <c r="F2451" s="12" t="s">
        <v>2070</v>
      </c>
      <c r="G2451" s="12" t="s">
        <v>12</v>
      </c>
      <c r="H2451" s="12"/>
      <c r="I2451" s="12"/>
      <c r="J2451" s="12" t="s">
        <v>92</v>
      </c>
      <c r="K2451" s="12"/>
      <c r="L2451" s="12"/>
      <c r="M2451" s="12" t="s">
        <v>2071</v>
      </c>
      <c r="N2451" s="12"/>
      <c r="O2451" s="12" t="s">
        <v>2072</v>
      </c>
      <c r="P2451" s="12" t="str">
        <f>HYPERLINK("https://ceds.ed.gov/cedselementdetails.aspx?termid=10280")</f>
        <v>https://ceds.ed.gov/cedselementdetails.aspx?termid=10280</v>
      </c>
      <c r="Q2451" s="12" t="str">
        <f>HYPERLINK("https://ceds.ed.gov/elementComment.aspx?elementName=Course Number &amp;elementID=10280", "Click here to submit comment")</f>
        <v>Click here to submit comment</v>
      </c>
    </row>
    <row r="2452" spans="1:17" ht="210" x14ac:dyDescent="0.25">
      <c r="A2452" s="12" t="s">
        <v>7295</v>
      </c>
      <c r="B2452" s="12" t="s">
        <v>7280</v>
      </c>
      <c r="C2452" s="12"/>
      <c r="D2452" s="12" t="s">
        <v>7172</v>
      </c>
      <c r="E2452" s="12" t="s">
        <v>2081</v>
      </c>
      <c r="F2452" s="12" t="s">
        <v>2082</v>
      </c>
      <c r="G2452" s="13" t="s">
        <v>6843</v>
      </c>
      <c r="H2452" s="12" t="s">
        <v>6369</v>
      </c>
      <c r="I2452" s="12"/>
      <c r="J2452" s="12"/>
      <c r="K2452" s="12"/>
      <c r="L2452" s="12"/>
      <c r="M2452" s="12" t="s">
        <v>2083</v>
      </c>
      <c r="N2452" s="12"/>
      <c r="O2452" s="12" t="s">
        <v>2084</v>
      </c>
      <c r="P2452" s="12" t="str">
        <f>HYPERLINK("https://ceds.ed.gov/cedselementdetails.aspx?termid=9065")</f>
        <v>https://ceds.ed.gov/cedselementdetails.aspx?termid=9065</v>
      </c>
      <c r="Q2452" s="12" t="str">
        <f>HYPERLINK("https://ceds.ed.gov/elementComment.aspx?elementName=Course Repeat Code &amp;elementID=9065", "Click here to submit comment")</f>
        <v>Click here to submit comment</v>
      </c>
    </row>
    <row r="2453" spans="1:17" ht="75" x14ac:dyDescent="0.25">
      <c r="A2453" s="12" t="s">
        <v>7295</v>
      </c>
      <c r="B2453" s="12" t="s">
        <v>7280</v>
      </c>
      <c r="C2453" s="12"/>
      <c r="D2453" s="12" t="s">
        <v>7172</v>
      </c>
      <c r="E2453" s="12" t="s">
        <v>2128</v>
      </c>
      <c r="F2453" s="12" t="s">
        <v>2129</v>
      </c>
      <c r="G2453" s="12" t="s">
        <v>12</v>
      </c>
      <c r="H2453" s="12"/>
      <c r="I2453" s="12"/>
      <c r="J2453" s="12" t="s">
        <v>92</v>
      </c>
      <c r="K2453" s="12"/>
      <c r="L2453" s="12"/>
      <c r="M2453" s="12" t="s">
        <v>2130</v>
      </c>
      <c r="N2453" s="12"/>
      <c r="O2453" s="12" t="s">
        <v>2131</v>
      </c>
      <c r="P2453" s="12" t="str">
        <f>HYPERLINK("https://ceds.ed.gov/cedselementdetails.aspx?termid=10281")</f>
        <v>https://ceds.ed.gov/cedselementdetails.aspx?termid=10281</v>
      </c>
      <c r="Q2453" s="12" t="str">
        <f>HYPERLINK("https://ceds.ed.gov/elementComment.aspx?elementName=Course Section Number &amp;elementID=10281", "Click here to submit comment")</f>
        <v>Click here to submit comment</v>
      </c>
    </row>
    <row r="2454" spans="1:17" ht="165" x14ac:dyDescent="0.25">
      <c r="A2454" s="12" t="s">
        <v>7295</v>
      </c>
      <c r="B2454" s="12" t="s">
        <v>7280</v>
      </c>
      <c r="C2454" s="12"/>
      <c r="D2454" s="12" t="s">
        <v>7172</v>
      </c>
      <c r="E2454" s="12" t="s">
        <v>2309</v>
      </c>
      <c r="F2454" s="12" t="s">
        <v>2310</v>
      </c>
      <c r="G2454" s="13" t="s">
        <v>6859</v>
      </c>
      <c r="H2454" s="12" t="s">
        <v>2308</v>
      </c>
      <c r="I2454" s="12"/>
      <c r="J2454" s="12"/>
      <c r="K2454" s="12"/>
      <c r="L2454" s="12"/>
      <c r="M2454" s="12" t="s">
        <v>2311</v>
      </c>
      <c r="N2454" s="12"/>
      <c r="O2454" s="12" t="s">
        <v>2312</v>
      </c>
      <c r="P2454" s="12" t="str">
        <f>HYPERLINK("https://ceds.ed.gov/cedselementdetails.aspx?termid=10568")</f>
        <v>https://ceds.ed.gov/cedselementdetails.aspx?termid=10568</v>
      </c>
      <c r="Q2454" s="12" t="str">
        <f>HYPERLINK("https://ceds.ed.gov/elementComment.aspx?elementName=Developmental Education Type &amp;elementID=10568", "Click here to submit comment")</f>
        <v>Click here to submit comment</v>
      </c>
    </row>
    <row r="2455" spans="1:17" ht="105" x14ac:dyDescent="0.25">
      <c r="A2455" s="18" t="s">
        <v>7295</v>
      </c>
      <c r="B2455" s="18" t="s">
        <v>7280</v>
      </c>
      <c r="C2455" s="18"/>
      <c r="D2455" s="18" t="s">
        <v>7172</v>
      </c>
      <c r="E2455" s="18" t="s">
        <v>4701</v>
      </c>
      <c r="F2455" s="18" t="s">
        <v>4702</v>
      </c>
      <c r="G2455" s="18" t="s">
        <v>12</v>
      </c>
      <c r="H2455" s="18"/>
      <c r="I2455" s="18"/>
      <c r="J2455" s="18" t="s">
        <v>142</v>
      </c>
      <c r="K2455" s="18"/>
      <c r="L2455" s="12" t="s">
        <v>143</v>
      </c>
      <c r="M2455" s="18" t="s">
        <v>4703</v>
      </c>
      <c r="N2455" s="18"/>
      <c r="O2455" s="18" t="s">
        <v>4704</v>
      </c>
      <c r="P2455" s="18" t="str">
        <f>HYPERLINK("https://ceds.ed.gov/cedselementdetails.aspx?termid=10389")</f>
        <v>https://ceds.ed.gov/cedselementdetails.aspx?termid=10389</v>
      </c>
      <c r="Q2455" s="18" t="str">
        <f>HYPERLINK("https://ceds.ed.gov/elementComment.aspx?elementName=Original Course Identifier &amp;elementID=10389", "Click here to submit comment")</f>
        <v>Click here to submit comment</v>
      </c>
    </row>
    <row r="2456" spans="1:17" x14ac:dyDescent="0.25">
      <c r="A2456" s="18"/>
      <c r="B2456" s="18"/>
      <c r="C2456" s="18"/>
      <c r="D2456" s="18"/>
      <c r="E2456" s="18"/>
      <c r="F2456" s="18"/>
      <c r="G2456" s="18"/>
      <c r="H2456" s="18"/>
      <c r="I2456" s="18"/>
      <c r="J2456" s="18"/>
      <c r="K2456" s="18"/>
      <c r="L2456" s="12"/>
      <c r="M2456" s="18"/>
      <c r="N2456" s="18"/>
      <c r="O2456" s="18"/>
      <c r="P2456" s="18"/>
      <c r="Q2456" s="18"/>
    </row>
    <row r="2457" spans="1:17" ht="90" x14ac:dyDescent="0.25">
      <c r="A2457" s="18"/>
      <c r="B2457" s="18"/>
      <c r="C2457" s="18"/>
      <c r="D2457" s="18"/>
      <c r="E2457" s="18"/>
      <c r="F2457" s="18"/>
      <c r="G2457" s="18"/>
      <c r="H2457" s="18"/>
      <c r="I2457" s="18"/>
      <c r="J2457" s="18"/>
      <c r="K2457" s="18"/>
      <c r="L2457" s="12" t="s">
        <v>144</v>
      </c>
      <c r="M2457" s="18"/>
      <c r="N2457" s="18"/>
      <c r="O2457" s="18"/>
      <c r="P2457" s="18"/>
      <c r="Q2457" s="18"/>
    </row>
    <row r="2458" spans="1:17" ht="45" x14ac:dyDescent="0.25">
      <c r="A2458" s="12" t="s">
        <v>7295</v>
      </c>
      <c r="B2458" s="12" t="s">
        <v>7280</v>
      </c>
      <c r="C2458" s="12"/>
      <c r="D2458" s="12" t="s">
        <v>7172</v>
      </c>
      <c r="E2458" s="12" t="s">
        <v>4737</v>
      </c>
      <c r="F2458" s="12" t="s">
        <v>4738</v>
      </c>
      <c r="G2458" s="12" t="s">
        <v>12</v>
      </c>
      <c r="H2458" s="12"/>
      <c r="I2458" s="12"/>
      <c r="J2458" s="12" t="s">
        <v>92</v>
      </c>
      <c r="K2458" s="12"/>
      <c r="L2458" s="12"/>
      <c r="M2458" s="12" t="s">
        <v>4739</v>
      </c>
      <c r="N2458" s="12"/>
      <c r="O2458" s="12" t="s">
        <v>4740</v>
      </c>
      <c r="P2458" s="12" t="str">
        <f>HYPERLINK("https://ceds.ed.gov/cedselementdetails.aspx?termid=10391")</f>
        <v>https://ceds.ed.gov/cedselementdetails.aspx?termid=10391</v>
      </c>
      <c r="Q2458" s="12" t="str">
        <f>HYPERLINK("https://ceds.ed.gov/elementComment.aspx?elementName=Override School Course Number &amp;elementID=10391", "Click here to submit comment")</f>
        <v>Click here to submit comment</v>
      </c>
    </row>
    <row r="2459" spans="1:17" ht="240" x14ac:dyDescent="0.25">
      <c r="A2459" s="12" t="s">
        <v>7295</v>
      </c>
      <c r="B2459" s="12" t="s">
        <v>7280</v>
      </c>
      <c r="C2459" s="12"/>
      <c r="D2459" s="12" t="s">
        <v>7172</v>
      </c>
      <c r="E2459" s="12" t="s">
        <v>6336</v>
      </c>
      <c r="F2459" s="12" t="s">
        <v>6337</v>
      </c>
      <c r="G2459" s="13" t="s">
        <v>7156</v>
      </c>
      <c r="H2459" s="12"/>
      <c r="I2459" s="12"/>
      <c r="J2459" s="12"/>
      <c r="K2459" s="12"/>
      <c r="L2459" s="12"/>
      <c r="M2459" s="12" t="s">
        <v>6338</v>
      </c>
      <c r="N2459" s="12"/>
      <c r="O2459" s="12" t="s">
        <v>6339</v>
      </c>
      <c r="P2459" s="12" t="str">
        <f>HYPERLINK("https://ceds.ed.gov/cedselementdetails.aspx?termid=10471")</f>
        <v>https://ceds.ed.gov/cedselementdetails.aspx?termid=10471</v>
      </c>
      <c r="Q2459" s="12" t="str">
        <f>HYPERLINK("https://ceds.ed.gov/elementComment.aspx?elementName=Work-based Learning Opportunity Type &amp;elementID=10471", "Click here to submit comment")</f>
        <v>Click here to submit comment</v>
      </c>
    </row>
    <row r="2460" spans="1:17" ht="60" x14ac:dyDescent="0.25">
      <c r="A2460" s="12" t="s">
        <v>7295</v>
      </c>
      <c r="B2460" s="12" t="s">
        <v>7280</v>
      </c>
      <c r="C2460" s="12" t="s">
        <v>7281</v>
      </c>
      <c r="D2460" s="12" t="s">
        <v>7172</v>
      </c>
      <c r="E2460" s="12" t="s">
        <v>2141</v>
      </c>
      <c r="F2460" s="12" t="s">
        <v>2142</v>
      </c>
      <c r="G2460" s="12" t="s">
        <v>12</v>
      </c>
      <c r="H2460" s="12" t="s">
        <v>25</v>
      </c>
      <c r="I2460" s="12"/>
      <c r="J2460" s="12" t="s">
        <v>2143</v>
      </c>
      <c r="K2460" s="12"/>
      <c r="L2460" s="12"/>
      <c r="M2460" s="12" t="s">
        <v>2144</v>
      </c>
      <c r="N2460" s="12"/>
      <c r="O2460" s="12" t="s">
        <v>2145</v>
      </c>
      <c r="P2460" s="12" t="str">
        <f>HYPERLINK("https://ceds.ed.gov/cedselementdetails.aspx?termid=9066")</f>
        <v>https://ceds.ed.gov/cedselementdetails.aspx?termid=9066</v>
      </c>
      <c r="Q2460" s="12" t="str">
        <f>HYPERLINK("https://ceds.ed.gov/elementComment.aspx?elementName=Course Subject Abbreviation &amp;elementID=9066", "Click here to submit comment")</f>
        <v>Click here to submit comment</v>
      </c>
    </row>
    <row r="2461" spans="1:17" ht="30" x14ac:dyDescent="0.25">
      <c r="A2461" s="12" t="s">
        <v>7295</v>
      </c>
      <c r="B2461" s="12" t="s">
        <v>7280</v>
      </c>
      <c r="C2461" s="12" t="s">
        <v>7281</v>
      </c>
      <c r="D2461" s="12" t="s">
        <v>7172</v>
      </c>
      <c r="E2461" s="12" t="s">
        <v>4853</v>
      </c>
      <c r="F2461" s="12" t="s">
        <v>4854</v>
      </c>
      <c r="G2461" s="12" t="s">
        <v>12</v>
      </c>
      <c r="H2461" s="12" t="s">
        <v>25</v>
      </c>
      <c r="I2461" s="12"/>
      <c r="J2461" s="12" t="s">
        <v>99</v>
      </c>
      <c r="K2461" s="12"/>
      <c r="L2461" s="12"/>
      <c r="M2461" s="12" t="s">
        <v>4855</v>
      </c>
      <c r="N2461" s="12"/>
      <c r="O2461" s="12" t="s">
        <v>4856</v>
      </c>
      <c r="P2461" s="12" t="str">
        <f>HYPERLINK("https://ceds.ed.gov/cedselementdetails.aspx?termid=9068")</f>
        <v>https://ceds.ed.gov/cedselementdetails.aspx?termid=9068</v>
      </c>
      <c r="Q2461" s="12" t="str">
        <f>HYPERLINK("https://ceds.ed.gov/elementComment.aspx?elementName=Postsecondary Course Title &amp;elementID=9068", "Click here to submit comment")</f>
        <v>Click here to submit comment</v>
      </c>
    </row>
    <row r="2462" spans="1:17" ht="165" x14ac:dyDescent="0.25">
      <c r="A2462" s="12" t="s">
        <v>7295</v>
      </c>
      <c r="B2462" s="12" t="s">
        <v>7280</v>
      </c>
      <c r="C2462" s="12" t="s">
        <v>7281</v>
      </c>
      <c r="D2462" s="12" t="s">
        <v>7172</v>
      </c>
      <c r="E2462" s="12" t="s">
        <v>1996</v>
      </c>
      <c r="F2462" s="12" t="s">
        <v>1997</v>
      </c>
      <c r="G2462" s="13" t="s">
        <v>6835</v>
      </c>
      <c r="H2462" s="12" t="s">
        <v>25</v>
      </c>
      <c r="I2462" s="12"/>
      <c r="J2462" s="12"/>
      <c r="K2462" s="12"/>
      <c r="L2462" s="12"/>
      <c r="M2462" s="12" t="s">
        <v>1998</v>
      </c>
      <c r="N2462" s="12"/>
      <c r="O2462" s="12" t="s">
        <v>1999</v>
      </c>
      <c r="P2462" s="12" t="str">
        <f>HYPERLINK("https://ceds.ed.gov/cedselementdetails.aspx?termid=9057")</f>
        <v>https://ceds.ed.gov/cedselementdetails.aspx?termid=9057</v>
      </c>
      <c r="Q2462" s="12" t="str">
        <f>HYPERLINK("https://ceds.ed.gov/elementComment.aspx?elementName=Course Credit Units &amp;elementID=9057", "Click here to submit comment")</f>
        <v>Click here to submit comment</v>
      </c>
    </row>
    <row r="2463" spans="1:17" ht="105" x14ac:dyDescent="0.25">
      <c r="A2463" s="12" t="s">
        <v>7295</v>
      </c>
      <c r="B2463" s="12" t="s">
        <v>7280</v>
      </c>
      <c r="C2463" s="12" t="s">
        <v>7281</v>
      </c>
      <c r="D2463" s="12" t="s">
        <v>7172</v>
      </c>
      <c r="E2463" s="12" t="s">
        <v>2000</v>
      </c>
      <c r="F2463" s="12" t="s">
        <v>2001</v>
      </c>
      <c r="G2463" s="12" t="s">
        <v>12</v>
      </c>
      <c r="H2463" s="12" t="s">
        <v>25</v>
      </c>
      <c r="I2463" s="12"/>
      <c r="J2463" s="12" t="s">
        <v>1554</v>
      </c>
      <c r="K2463" s="12"/>
      <c r="L2463" s="12" t="s">
        <v>2002</v>
      </c>
      <c r="M2463" s="12" t="s">
        <v>2003</v>
      </c>
      <c r="N2463" s="12"/>
      <c r="O2463" s="12" t="s">
        <v>2004</v>
      </c>
      <c r="P2463" s="12" t="str">
        <f>HYPERLINK("https://ceds.ed.gov/cedselementdetails.aspx?termid=9058")</f>
        <v>https://ceds.ed.gov/cedselementdetails.aspx?termid=9058</v>
      </c>
      <c r="Q2463" s="12" t="str">
        <f>HYPERLINK("https://ceds.ed.gov/elementComment.aspx?elementName=Course Credit Value &amp;elementID=9058", "Click here to submit comment")</f>
        <v>Click here to submit comment</v>
      </c>
    </row>
    <row r="2464" spans="1:17" ht="30" x14ac:dyDescent="0.25">
      <c r="A2464" s="12" t="s">
        <v>7295</v>
      </c>
      <c r="B2464" s="12" t="s">
        <v>7280</v>
      </c>
      <c r="C2464" s="12" t="s">
        <v>7281</v>
      </c>
      <c r="D2464" s="12" t="s">
        <v>7172</v>
      </c>
      <c r="E2464" s="12" t="s">
        <v>1976</v>
      </c>
      <c r="F2464" s="12" t="s">
        <v>1977</v>
      </c>
      <c r="G2464" s="12" t="s">
        <v>12</v>
      </c>
      <c r="H2464" s="12" t="s">
        <v>6446</v>
      </c>
      <c r="I2464" s="12"/>
      <c r="J2464" s="12" t="s">
        <v>73</v>
      </c>
      <c r="K2464" s="12"/>
      <c r="L2464" s="12"/>
      <c r="M2464" s="12" t="s">
        <v>1978</v>
      </c>
      <c r="N2464" s="12"/>
      <c r="O2464" s="12" t="s">
        <v>1979</v>
      </c>
      <c r="P2464" s="12" t="str">
        <f>HYPERLINK("https://ceds.ed.gov/cedselementdetails.aspx?termid=9054")</f>
        <v>https://ceds.ed.gov/cedselementdetails.aspx?termid=9054</v>
      </c>
      <c r="Q2464" s="12" t="str">
        <f>HYPERLINK("https://ceds.ed.gov/elementComment.aspx?elementName=Course Begin Date &amp;elementID=9054", "Click here to submit comment")</f>
        <v>Click here to submit comment</v>
      </c>
    </row>
    <row r="2465" spans="1:17" ht="30" x14ac:dyDescent="0.25">
      <c r="A2465" s="12" t="s">
        <v>7295</v>
      </c>
      <c r="B2465" s="12" t="s">
        <v>7280</v>
      </c>
      <c r="C2465" s="12" t="s">
        <v>7281</v>
      </c>
      <c r="D2465" s="12" t="s">
        <v>7172</v>
      </c>
      <c r="E2465" s="12" t="s">
        <v>2018</v>
      </c>
      <c r="F2465" s="12" t="s">
        <v>2019</v>
      </c>
      <c r="G2465" s="12" t="s">
        <v>12</v>
      </c>
      <c r="H2465" s="12" t="s">
        <v>6446</v>
      </c>
      <c r="I2465" s="12"/>
      <c r="J2465" s="12" t="s">
        <v>73</v>
      </c>
      <c r="K2465" s="12"/>
      <c r="L2465" s="12"/>
      <c r="M2465" s="12" t="s">
        <v>2020</v>
      </c>
      <c r="N2465" s="12"/>
      <c r="O2465" s="12" t="s">
        <v>2021</v>
      </c>
      <c r="P2465" s="12" t="str">
        <f>HYPERLINK("https://ceds.ed.gov/cedselementdetails.aspx?termid=9059")</f>
        <v>https://ceds.ed.gov/cedselementdetails.aspx?termid=9059</v>
      </c>
      <c r="Q2465" s="12" t="str">
        <f>HYPERLINK("https://ceds.ed.gov/elementComment.aspx?elementName=Course End Date &amp;elementID=9059", "Click here to submit comment")</f>
        <v>Click here to submit comment</v>
      </c>
    </row>
    <row r="2466" spans="1:17" ht="105" x14ac:dyDescent="0.25">
      <c r="A2466" s="18" t="s">
        <v>7295</v>
      </c>
      <c r="B2466" s="18" t="s">
        <v>7280</v>
      </c>
      <c r="C2466" s="18" t="s">
        <v>7281</v>
      </c>
      <c r="D2466" s="18" t="s">
        <v>7172</v>
      </c>
      <c r="E2466" s="18" t="s">
        <v>321</v>
      </c>
      <c r="F2466" s="18" t="s">
        <v>322</v>
      </c>
      <c r="G2466" s="18" t="s">
        <v>12</v>
      </c>
      <c r="H2466" s="18"/>
      <c r="I2466" s="18"/>
      <c r="J2466" s="18" t="s">
        <v>142</v>
      </c>
      <c r="K2466" s="18"/>
      <c r="L2466" s="12" t="s">
        <v>143</v>
      </c>
      <c r="M2466" s="18" t="s">
        <v>323</v>
      </c>
      <c r="N2466" s="18"/>
      <c r="O2466" s="18" t="s">
        <v>324</v>
      </c>
      <c r="P2466" s="18" t="str">
        <f>HYPERLINK("https://ceds.ed.gov/cedselementdetails.aspx?termid=10246")</f>
        <v>https://ceds.ed.gov/cedselementdetails.aspx?termid=10246</v>
      </c>
      <c r="Q2466" s="18" t="str">
        <f>HYPERLINK("https://ceds.ed.gov/elementComment.aspx?elementName=Agency Course Identifier &amp;elementID=10246", "Click here to submit comment")</f>
        <v>Click here to submit comment</v>
      </c>
    </row>
    <row r="2467" spans="1:17" x14ac:dyDescent="0.25">
      <c r="A2467" s="18"/>
      <c r="B2467" s="18"/>
      <c r="C2467" s="18"/>
      <c r="D2467" s="18"/>
      <c r="E2467" s="18"/>
      <c r="F2467" s="18"/>
      <c r="G2467" s="18"/>
      <c r="H2467" s="18"/>
      <c r="I2467" s="18"/>
      <c r="J2467" s="18"/>
      <c r="K2467" s="18"/>
      <c r="L2467" s="12"/>
      <c r="M2467" s="18"/>
      <c r="N2467" s="18"/>
      <c r="O2467" s="18"/>
      <c r="P2467" s="18"/>
      <c r="Q2467" s="18"/>
    </row>
    <row r="2468" spans="1:17" ht="90" x14ac:dyDescent="0.25">
      <c r="A2468" s="18"/>
      <c r="B2468" s="18"/>
      <c r="C2468" s="18"/>
      <c r="D2468" s="18"/>
      <c r="E2468" s="18"/>
      <c r="F2468" s="18"/>
      <c r="G2468" s="18"/>
      <c r="H2468" s="18"/>
      <c r="I2468" s="18"/>
      <c r="J2468" s="18"/>
      <c r="K2468" s="18"/>
      <c r="L2468" s="12" t="s">
        <v>144</v>
      </c>
      <c r="M2468" s="18"/>
      <c r="N2468" s="18"/>
      <c r="O2468" s="18"/>
      <c r="P2468" s="18"/>
      <c r="Q2468" s="18"/>
    </row>
    <row r="2469" spans="1:17" ht="75" x14ac:dyDescent="0.25">
      <c r="A2469" s="12" t="s">
        <v>7295</v>
      </c>
      <c r="B2469" s="12" t="s">
        <v>7280</v>
      </c>
      <c r="C2469" s="12" t="s">
        <v>7281</v>
      </c>
      <c r="D2469" s="12" t="s">
        <v>7172</v>
      </c>
      <c r="E2469" s="12" t="s">
        <v>1826</v>
      </c>
      <c r="F2469" s="12" t="s">
        <v>1827</v>
      </c>
      <c r="G2469" s="14" t="s">
        <v>1828</v>
      </c>
      <c r="H2469" s="12" t="s">
        <v>6368</v>
      </c>
      <c r="I2469" s="12"/>
      <c r="J2469" s="12"/>
      <c r="K2469" s="12"/>
      <c r="L2469" s="12"/>
      <c r="M2469" s="12" t="s">
        <v>1829</v>
      </c>
      <c r="N2469" s="12" t="s">
        <v>1830</v>
      </c>
      <c r="O2469" s="12" t="s">
        <v>1831</v>
      </c>
      <c r="P2469" s="12" t="str">
        <f>HYPERLINK("https://ceds.ed.gov/cedselementdetails.aspx?termid=9043")</f>
        <v>https://ceds.ed.gov/cedselementdetails.aspx?termid=9043</v>
      </c>
      <c r="Q2469" s="12" t="str">
        <f>HYPERLINK("https://ceds.ed.gov/elementComment.aspx?elementName=Classification of Instructional Program Code &amp;elementID=9043", "Click here to submit comment")</f>
        <v>Click here to submit comment</v>
      </c>
    </row>
    <row r="2470" spans="1:17" ht="90" x14ac:dyDescent="0.25">
      <c r="A2470" s="12" t="s">
        <v>7295</v>
      </c>
      <c r="B2470" s="12" t="s">
        <v>7280</v>
      </c>
      <c r="C2470" s="12" t="s">
        <v>7281</v>
      </c>
      <c r="D2470" s="12" t="s">
        <v>7172</v>
      </c>
      <c r="E2470" s="12" t="s">
        <v>1837</v>
      </c>
      <c r="F2470" s="12" t="s">
        <v>1838</v>
      </c>
      <c r="G2470" s="13" t="s">
        <v>6819</v>
      </c>
      <c r="H2470" s="12" t="s">
        <v>6380</v>
      </c>
      <c r="I2470" s="12"/>
      <c r="J2470" s="12"/>
      <c r="K2470" s="12"/>
      <c r="L2470" s="12"/>
      <c r="M2470" s="12" t="s">
        <v>1839</v>
      </c>
      <c r="N2470" s="12" t="s">
        <v>1840</v>
      </c>
      <c r="O2470" s="12" t="s">
        <v>1841</v>
      </c>
      <c r="P2470" s="12" t="str">
        <f>HYPERLINK("https://ceds.ed.gov/cedselementdetails.aspx?termid=9045")</f>
        <v>https://ceds.ed.gov/cedselementdetails.aspx?termid=9045</v>
      </c>
      <c r="Q2470" s="12" t="str">
        <f>HYPERLINK("https://ceds.ed.gov/elementComment.aspx?elementName=Classification of Instructional Program Version &amp;elementID=9045", "Click here to submit comment")</f>
        <v>Click here to submit comment</v>
      </c>
    </row>
    <row r="2471" spans="1:17" ht="45" x14ac:dyDescent="0.25">
      <c r="A2471" s="12" t="s">
        <v>7295</v>
      </c>
      <c r="B2471" s="12" t="s">
        <v>7280</v>
      </c>
      <c r="C2471" s="12" t="s">
        <v>7281</v>
      </c>
      <c r="D2471" s="12" t="s">
        <v>7172</v>
      </c>
      <c r="E2471" s="12" t="s">
        <v>4540</v>
      </c>
      <c r="F2471" s="12" t="s">
        <v>4541</v>
      </c>
      <c r="G2471" s="12" t="s">
        <v>4542</v>
      </c>
      <c r="H2471" s="12"/>
      <c r="I2471" s="12"/>
      <c r="J2471" s="12"/>
      <c r="K2471" s="12"/>
      <c r="L2471" s="12"/>
      <c r="M2471" s="12" t="s">
        <v>4543</v>
      </c>
      <c r="N2471" s="12"/>
      <c r="O2471" s="12" t="s">
        <v>4544</v>
      </c>
      <c r="P2471" s="12" t="str">
        <f>HYPERLINK("https://ceds.ed.gov/cedselementdetails.aspx?termid=10383")</f>
        <v>https://ceds.ed.gov/cedselementdetails.aspx?termid=10383</v>
      </c>
      <c r="Q2471" s="12" t="str">
        <f>HYPERLINK("https://ceds.ed.gov/elementComment.aspx?elementName=NCES College Course Map Code &amp;elementID=10383", "Click here to submit comment")</f>
        <v>Click here to submit comment</v>
      </c>
    </row>
    <row r="2472" spans="1:17" ht="225" x14ac:dyDescent="0.25">
      <c r="A2472" s="18" t="s">
        <v>7295</v>
      </c>
      <c r="B2472" s="18" t="s">
        <v>7280</v>
      </c>
      <c r="C2472" s="18" t="s">
        <v>7191</v>
      </c>
      <c r="D2472" s="18" t="s">
        <v>7172</v>
      </c>
      <c r="E2472" s="18" t="s">
        <v>5745</v>
      </c>
      <c r="F2472" s="18" t="s">
        <v>5746</v>
      </c>
      <c r="G2472" s="18" t="s">
        <v>12</v>
      </c>
      <c r="H2472" s="18" t="s">
        <v>6670</v>
      </c>
      <c r="I2472" s="18"/>
      <c r="J2472" s="18" t="s">
        <v>5747</v>
      </c>
      <c r="K2472" s="18"/>
      <c r="L2472" s="12" t="s">
        <v>5748</v>
      </c>
      <c r="M2472" s="18" t="s">
        <v>5750</v>
      </c>
      <c r="N2472" s="18" t="s">
        <v>5751</v>
      </c>
      <c r="O2472" s="18" t="s">
        <v>5752</v>
      </c>
      <c r="P2472" s="18" t="str">
        <f>HYPERLINK("https://ceds.ed.gov/cedselementdetails.aspx?termid=9259")</f>
        <v>https://ceds.ed.gov/cedselementdetails.aspx?termid=9259</v>
      </c>
      <c r="Q2472" s="18" t="str">
        <f>HYPERLINK("https://ceds.ed.gov/elementComment.aspx?elementName=Social Security Number &amp;elementID=9259", "Click here to submit comment")</f>
        <v>Click here to submit comment</v>
      </c>
    </row>
    <row r="2473" spans="1:17" x14ac:dyDescent="0.25">
      <c r="A2473" s="18"/>
      <c r="B2473" s="18"/>
      <c r="C2473" s="18"/>
      <c r="D2473" s="18"/>
      <c r="E2473" s="18"/>
      <c r="F2473" s="18"/>
      <c r="G2473" s="18"/>
      <c r="H2473" s="18"/>
      <c r="I2473" s="18"/>
      <c r="J2473" s="18"/>
      <c r="K2473" s="18"/>
      <c r="L2473" s="12"/>
      <c r="M2473" s="18"/>
      <c r="N2473" s="18"/>
      <c r="O2473" s="18"/>
      <c r="P2473" s="18"/>
      <c r="Q2473" s="18"/>
    </row>
    <row r="2474" spans="1:17" ht="180" x14ac:dyDescent="0.25">
      <c r="A2474" s="18"/>
      <c r="B2474" s="18"/>
      <c r="C2474" s="18"/>
      <c r="D2474" s="18"/>
      <c r="E2474" s="18"/>
      <c r="F2474" s="18"/>
      <c r="G2474" s="18"/>
      <c r="H2474" s="18"/>
      <c r="I2474" s="18"/>
      <c r="J2474" s="18"/>
      <c r="K2474" s="18"/>
      <c r="L2474" s="12" t="s">
        <v>5749</v>
      </c>
      <c r="M2474" s="18"/>
      <c r="N2474" s="18"/>
      <c r="O2474" s="18"/>
      <c r="P2474" s="18"/>
      <c r="Q2474" s="18"/>
    </row>
    <row r="2475" spans="1:17" ht="105" x14ac:dyDescent="0.25">
      <c r="A2475" s="18" t="s">
        <v>7295</v>
      </c>
      <c r="B2475" s="18" t="s">
        <v>7280</v>
      </c>
      <c r="C2475" s="18" t="s">
        <v>7191</v>
      </c>
      <c r="D2475" s="18" t="s">
        <v>7172</v>
      </c>
      <c r="E2475" s="18" t="s">
        <v>5984</v>
      </c>
      <c r="F2475" s="18" t="s">
        <v>5985</v>
      </c>
      <c r="G2475" s="18" t="s">
        <v>12</v>
      </c>
      <c r="H2475" s="18" t="s">
        <v>6687</v>
      </c>
      <c r="I2475" s="18"/>
      <c r="J2475" s="18" t="s">
        <v>142</v>
      </c>
      <c r="K2475" s="18"/>
      <c r="L2475" s="12" t="s">
        <v>143</v>
      </c>
      <c r="M2475" s="18" t="s">
        <v>5986</v>
      </c>
      <c r="N2475" s="18"/>
      <c r="O2475" s="18" t="s">
        <v>5987</v>
      </c>
      <c r="P2475" s="18" t="str">
        <f>HYPERLINK("https://ceds.ed.gov/cedselementdetails.aspx?termid=9157")</f>
        <v>https://ceds.ed.gov/cedselementdetails.aspx?termid=9157</v>
      </c>
      <c r="Q2475" s="18" t="str">
        <f>HYPERLINK("https://ceds.ed.gov/elementComment.aspx?elementName=Student Identifier &amp;elementID=9157", "Click here to submit comment")</f>
        <v>Click here to submit comment</v>
      </c>
    </row>
    <row r="2476" spans="1:17" x14ac:dyDescent="0.25">
      <c r="A2476" s="18"/>
      <c r="B2476" s="18"/>
      <c r="C2476" s="18"/>
      <c r="D2476" s="18"/>
      <c r="E2476" s="18"/>
      <c r="F2476" s="18"/>
      <c r="G2476" s="18"/>
      <c r="H2476" s="18"/>
      <c r="I2476" s="18"/>
      <c r="J2476" s="18"/>
      <c r="K2476" s="18"/>
      <c r="L2476" s="12"/>
      <c r="M2476" s="18"/>
      <c r="N2476" s="18"/>
      <c r="O2476" s="18"/>
      <c r="P2476" s="18"/>
      <c r="Q2476" s="18"/>
    </row>
    <row r="2477" spans="1:17" ht="90" x14ac:dyDescent="0.25">
      <c r="A2477" s="18"/>
      <c r="B2477" s="18"/>
      <c r="C2477" s="18"/>
      <c r="D2477" s="18"/>
      <c r="E2477" s="18"/>
      <c r="F2477" s="18"/>
      <c r="G2477" s="18"/>
      <c r="H2477" s="18"/>
      <c r="I2477" s="18"/>
      <c r="J2477" s="18"/>
      <c r="K2477" s="18"/>
      <c r="L2477" s="12" t="s">
        <v>144</v>
      </c>
      <c r="M2477" s="18"/>
      <c r="N2477" s="18"/>
      <c r="O2477" s="18"/>
      <c r="P2477" s="18"/>
      <c r="Q2477" s="18"/>
    </row>
    <row r="2478" spans="1:17" ht="210" x14ac:dyDescent="0.25">
      <c r="A2478" s="12" t="s">
        <v>7295</v>
      </c>
      <c r="B2478" s="12" t="s">
        <v>7280</v>
      </c>
      <c r="C2478" s="12" t="s">
        <v>7191</v>
      </c>
      <c r="D2478" s="12" t="s">
        <v>7172</v>
      </c>
      <c r="E2478" s="12" t="s">
        <v>5980</v>
      </c>
      <c r="F2478" s="12" t="s">
        <v>5981</v>
      </c>
      <c r="G2478" s="13" t="s">
        <v>7124</v>
      </c>
      <c r="H2478" s="12" t="s">
        <v>6687</v>
      </c>
      <c r="I2478" s="12"/>
      <c r="J2478" s="12"/>
      <c r="K2478" s="12"/>
      <c r="L2478" s="12"/>
      <c r="M2478" s="12" t="s">
        <v>5982</v>
      </c>
      <c r="N2478" s="12"/>
      <c r="O2478" s="12" t="s">
        <v>5983</v>
      </c>
      <c r="P2478" s="12" t="str">
        <f>HYPERLINK("https://ceds.ed.gov/cedselementdetails.aspx?termid=9163")</f>
        <v>https://ceds.ed.gov/cedselementdetails.aspx?termid=9163</v>
      </c>
      <c r="Q2478" s="12" t="str">
        <f>HYPERLINK("https://ceds.ed.gov/elementComment.aspx?elementName=Student Identification System &amp;elementID=9163", "Click here to submit comment")</f>
        <v>Click here to submit comment</v>
      </c>
    </row>
    <row r="2479" spans="1:17" ht="45" x14ac:dyDescent="0.25">
      <c r="A2479" s="12" t="s">
        <v>7295</v>
      </c>
      <c r="B2479" s="12" t="s">
        <v>7280</v>
      </c>
      <c r="C2479" s="12" t="s">
        <v>7191</v>
      </c>
      <c r="D2479" s="12" t="s">
        <v>7172</v>
      </c>
      <c r="E2479" s="12" t="s">
        <v>2073</v>
      </c>
      <c r="F2479" s="12" t="s">
        <v>2074</v>
      </c>
      <c r="G2479" s="12" t="s">
        <v>12</v>
      </c>
      <c r="H2479" s="12" t="s">
        <v>25</v>
      </c>
      <c r="I2479" s="12"/>
      <c r="J2479" s="12" t="s">
        <v>22</v>
      </c>
      <c r="K2479" s="12"/>
      <c r="L2479" s="12"/>
      <c r="M2479" s="12" t="s">
        <v>2075</v>
      </c>
      <c r="N2479" s="12"/>
      <c r="O2479" s="12" t="s">
        <v>2076</v>
      </c>
      <c r="P2479" s="12" t="str">
        <f>HYPERLINK("https://ceds.ed.gov/cedselementdetails.aspx?termid=9063")</f>
        <v>https://ceds.ed.gov/cedselementdetails.aspx?termid=9063</v>
      </c>
      <c r="Q2479" s="12" t="str">
        <f>HYPERLINK("https://ceds.ed.gov/elementComment.aspx?elementName=Course Override School &amp;elementID=9063", "Click here to submit comment")</f>
        <v>Click here to submit comment</v>
      </c>
    </row>
    <row r="2480" spans="1:17" ht="45" x14ac:dyDescent="0.25">
      <c r="A2480" s="12" t="s">
        <v>7295</v>
      </c>
      <c r="B2480" s="12" t="s">
        <v>7280</v>
      </c>
      <c r="C2480" s="12" t="s">
        <v>7191</v>
      </c>
      <c r="D2480" s="12" t="s">
        <v>7172</v>
      </c>
      <c r="E2480" s="12" t="s">
        <v>2253</v>
      </c>
      <c r="F2480" s="12" t="s">
        <v>2254</v>
      </c>
      <c r="G2480" s="12" t="s">
        <v>6364</v>
      </c>
      <c r="H2480" s="12" t="s">
        <v>25</v>
      </c>
      <c r="I2480" s="12"/>
      <c r="J2480" s="12"/>
      <c r="K2480" s="12"/>
      <c r="L2480" s="12"/>
      <c r="M2480" s="12" t="s">
        <v>2255</v>
      </c>
      <c r="N2480" s="12"/>
      <c r="O2480" s="12" t="s">
        <v>2256</v>
      </c>
      <c r="P2480" s="12" t="str">
        <f>HYPERLINK("https://ceds.ed.gov/cedselementdetails.aspx?termid=9077")</f>
        <v>https://ceds.ed.gov/cedselementdetails.aspx?termid=9077</v>
      </c>
      <c r="Q2480" s="12" t="str">
        <f>HYPERLINK("https://ceds.ed.gov/elementComment.aspx?elementName=Degree Applicability &amp;elementID=9077", "Click here to submit comment")</f>
        <v>Click here to submit comment</v>
      </c>
    </row>
    <row r="2481" spans="1:17" ht="30" x14ac:dyDescent="0.25">
      <c r="A2481" s="12" t="s">
        <v>7295</v>
      </c>
      <c r="B2481" s="12" t="s">
        <v>7280</v>
      </c>
      <c r="C2481" s="12" t="s">
        <v>7191</v>
      </c>
      <c r="D2481" s="12" t="s">
        <v>7172</v>
      </c>
      <c r="E2481" s="12" t="s">
        <v>1948</v>
      </c>
      <c r="F2481" s="12" t="s">
        <v>1949</v>
      </c>
      <c r="G2481" s="12" t="s">
        <v>12</v>
      </c>
      <c r="H2481" s="12" t="s">
        <v>6446</v>
      </c>
      <c r="I2481" s="12"/>
      <c r="J2481" s="12" t="s">
        <v>1950</v>
      </c>
      <c r="K2481" s="12"/>
      <c r="L2481" s="12"/>
      <c r="M2481" s="12" t="s">
        <v>1951</v>
      </c>
      <c r="N2481" s="12"/>
      <c r="O2481" s="12" t="s">
        <v>1952</v>
      </c>
      <c r="P2481" s="12" t="str">
        <f>HYPERLINK("https://ceds.ed.gov/cedselementdetails.aspx?termid=9053")</f>
        <v>https://ceds.ed.gov/cedselementdetails.aspx?termid=9053</v>
      </c>
      <c r="Q2481" s="12" t="str">
        <f>HYPERLINK("https://ceds.ed.gov/elementComment.aspx?elementName=Course Academic Grade &amp;elementID=9053", "Click here to submit comment")</f>
        <v>Click here to submit comment</v>
      </c>
    </row>
    <row r="2482" spans="1:17" ht="120" x14ac:dyDescent="0.25">
      <c r="A2482" s="12" t="s">
        <v>7295</v>
      </c>
      <c r="B2482" s="12" t="s">
        <v>7280</v>
      </c>
      <c r="C2482" s="12" t="s">
        <v>7191</v>
      </c>
      <c r="D2482" s="12" t="s">
        <v>7172</v>
      </c>
      <c r="E2482" s="12" t="s">
        <v>4588</v>
      </c>
      <c r="F2482" s="12" t="s">
        <v>4589</v>
      </c>
      <c r="G2482" s="12" t="s">
        <v>12</v>
      </c>
      <c r="H2482" s="12" t="s">
        <v>6596</v>
      </c>
      <c r="I2482" s="12"/>
      <c r="J2482" s="12" t="s">
        <v>1554</v>
      </c>
      <c r="K2482" s="12"/>
      <c r="L2482" s="12"/>
      <c r="M2482" s="12" t="s">
        <v>4590</v>
      </c>
      <c r="N2482" s="12"/>
      <c r="O2482" s="12" t="s">
        <v>4591</v>
      </c>
      <c r="P2482" s="12" t="str">
        <f>HYPERLINK("https://ceds.ed.gov/cedselementdetails.aspx?termid=9200")</f>
        <v>https://ceds.ed.gov/cedselementdetails.aspx?termid=9200</v>
      </c>
      <c r="Q2482" s="12" t="str">
        <f>HYPERLINK("https://ceds.ed.gov/elementComment.aspx?elementName=Number of Credits Earned &amp;elementID=9200", "Click here to submit comment")</f>
        <v>Click here to submit comment</v>
      </c>
    </row>
    <row r="2483" spans="1:17" ht="60" x14ac:dyDescent="0.25">
      <c r="A2483" s="12" t="s">
        <v>7295</v>
      </c>
      <c r="B2483" s="12" t="s">
        <v>7280</v>
      </c>
      <c r="C2483" s="12" t="s">
        <v>7191</v>
      </c>
      <c r="D2483" s="12" t="s">
        <v>7172</v>
      </c>
      <c r="E2483" s="12" t="s">
        <v>2077</v>
      </c>
      <c r="F2483" s="12" t="s">
        <v>2078</v>
      </c>
      <c r="G2483" s="12" t="s">
        <v>12</v>
      </c>
      <c r="H2483" s="12" t="s">
        <v>25</v>
      </c>
      <c r="I2483" s="12"/>
      <c r="J2483" s="12" t="s">
        <v>1554</v>
      </c>
      <c r="K2483" s="12"/>
      <c r="L2483" s="12"/>
      <c r="M2483" s="12" t="s">
        <v>2079</v>
      </c>
      <c r="N2483" s="12"/>
      <c r="O2483" s="12" t="s">
        <v>2080</v>
      </c>
      <c r="P2483" s="12" t="str">
        <f>HYPERLINK("https://ceds.ed.gov/cedselementdetails.aspx?termid=9064")</f>
        <v>https://ceds.ed.gov/cedselementdetails.aspx?termid=9064</v>
      </c>
      <c r="Q2483" s="12" t="str">
        <f>HYPERLINK("https://ceds.ed.gov/elementComment.aspx?elementName=Course Quality Points Earned &amp;elementID=9064", "Click here to submit comment")</f>
        <v>Click here to submit comment</v>
      </c>
    </row>
    <row r="2484" spans="1:17" ht="30" x14ac:dyDescent="0.25">
      <c r="A2484" s="12" t="s">
        <v>7295</v>
      </c>
      <c r="B2484" s="12" t="s">
        <v>7280</v>
      </c>
      <c r="C2484" s="12" t="s">
        <v>7191</v>
      </c>
      <c r="D2484" s="12" t="s">
        <v>7172</v>
      </c>
      <c r="E2484" s="12" t="s">
        <v>1963</v>
      </c>
      <c r="F2484" s="12" t="s">
        <v>1964</v>
      </c>
      <c r="G2484" s="12" t="s">
        <v>12</v>
      </c>
      <c r="H2484" s="12"/>
      <c r="I2484" s="12"/>
      <c r="J2484" s="12" t="s">
        <v>73</v>
      </c>
      <c r="K2484" s="12"/>
      <c r="L2484" s="12"/>
      <c r="M2484" s="12" t="s">
        <v>1965</v>
      </c>
      <c r="N2484" s="12"/>
      <c r="O2484" s="12" t="s">
        <v>1966</v>
      </c>
      <c r="P2484" s="12" t="str">
        <f>HYPERLINK("https://ceds.ed.gov/cedselementdetails.aspx?termid=10266")</f>
        <v>https://ceds.ed.gov/cedselementdetails.aspx?termid=10266</v>
      </c>
      <c r="Q2484" s="12" t="str">
        <f>HYPERLINK("https://ceds.ed.gov/elementComment.aspx?elementName=Course Add Date &amp;elementID=10266", "Click here to submit comment")</f>
        <v>Click here to submit comment</v>
      </c>
    </row>
    <row r="2485" spans="1:17" ht="30" x14ac:dyDescent="0.25">
      <c r="A2485" s="12" t="s">
        <v>7295</v>
      </c>
      <c r="B2485" s="12" t="s">
        <v>7280</v>
      </c>
      <c r="C2485" s="12" t="s">
        <v>7191</v>
      </c>
      <c r="D2485" s="12" t="s">
        <v>7172</v>
      </c>
      <c r="E2485" s="12" t="s">
        <v>2013</v>
      </c>
      <c r="F2485" s="12" t="s">
        <v>2014</v>
      </c>
      <c r="G2485" s="12" t="s">
        <v>12</v>
      </c>
      <c r="H2485" s="12" t="s">
        <v>2017</v>
      </c>
      <c r="I2485" s="12"/>
      <c r="J2485" s="12" t="s">
        <v>73</v>
      </c>
      <c r="K2485" s="12"/>
      <c r="L2485" s="12"/>
      <c r="M2485" s="12" t="s">
        <v>2015</v>
      </c>
      <c r="N2485" s="12"/>
      <c r="O2485" s="12" t="s">
        <v>2016</v>
      </c>
      <c r="P2485" s="12" t="str">
        <f>HYPERLINK("https://ceds.ed.gov/cedselementdetails.aspx?termid=10271")</f>
        <v>https://ceds.ed.gov/cedselementdetails.aspx?termid=10271</v>
      </c>
      <c r="Q2485" s="12" t="str">
        <f>HYPERLINK("https://ceds.ed.gov/elementComment.aspx?elementName=Course Drop Date &amp;elementID=10271", "Click here to submit comment")</f>
        <v>Click here to submit comment</v>
      </c>
    </row>
    <row r="2486" spans="1:17" ht="90" x14ac:dyDescent="0.25">
      <c r="A2486" s="12" t="s">
        <v>7295</v>
      </c>
      <c r="B2486" s="12" t="s">
        <v>7280</v>
      </c>
      <c r="C2486" s="12" t="s">
        <v>7191</v>
      </c>
      <c r="D2486" s="12" t="s">
        <v>7172</v>
      </c>
      <c r="E2486" s="12" t="s">
        <v>5968</v>
      </c>
      <c r="F2486" s="12" t="s">
        <v>5969</v>
      </c>
      <c r="G2486" s="12" t="s">
        <v>12</v>
      </c>
      <c r="H2486" s="12" t="s">
        <v>6369</v>
      </c>
      <c r="I2486" s="12"/>
      <c r="J2486" s="12" t="s">
        <v>1950</v>
      </c>
      <c r="K2486" s="12"/>
      <c r="L2486" s="12"/>
      <c r="M2486" s="12" t="s">
        <v>5970</v>
      </c>
      <c r="N2486" s="12"/>
      <c r="O2486" s="12" t="s">
        <v>5971</v>
      </c>
      <c r="P2486" s="12" t="str">
        <f>HYPERLINK("https://ceds.ed.gov/cedselementdetails.aspx?termid=9124")</f>
        <v>https://ceds.ed.gov/cedselementdetails.aspx?termid=9124</v>
      </c>
      <c r="Q2486" s="12" t="str">
        <f>HYPERLINK("https://ceds.ed.gov/elementComment.aspx?elementName=Student Course Section Grade Earned &amp;elementID=9124", "Click here to submit comment")</f>
        <v>Click here to submit comment</v>
      </c>
    </row>
    <row r="2487" spans="1:17" ht="45" x14ac:dyDescent="0.25">
      <c r="A2487" s="12" t="s">
        <v>7295</v>
      </c>
      <c r="B2487" s="12" t="s">
        <v>7280</v>
      </c>
      <c r="C2487" s="12" t="s">
        <v>7191</v>
      </c>
      <c r="D2487" s="12" t="s">
        <v>7172</v>
      </c>
      <c r="E2487" s="12" t="s">
        <v>5972</v>
      </c>
      <c r="F2487" s="12" t="s">
        <v>5973</v>
      </c>
      <c r="G2487" s="12" t="s">
        <v>12</v>
      </c>
      <c r="H2487" s="12"/>
      <c r="I2487" s="12"/>
      <c r="J2487" s="12" t="s">
        <v>68</v>
      </c>
      <c r="K2487" s="12"/>
      <c r="L2487" s="12"/>
      <c r="M2487" s="12" t="s">
        <v>5974</v>
      </c>
      <c r="N2487" s="12"/>
      <c r="O2487" s="12" t="s">
        <v>5975</v>
      </c>
      <c r="P2487" s="12" t="str">
        <f>HYPERLINK("https://ceds.ed.gov/cedselementdetails.aspx?termid=10552")</f>
        <v>https://ceds.ed.gov/cedselementdetails.aspx?termid=10552</v>
      </c>
      <c r="Q2487" s="12" t="str">
        <f>HYPERLINK("https://ceds.ed.gov/elementComment.aspx?elementName=Student Course Section Grade Narrative &amp;elementID=10552", "Click here to submit comment")</f>
        <v>Click here to submit comment</v>
      </c>
    </row>
    <row r="2488" spans="1:17" ht="90" x14ac:dyDescent="0.25">
      <c r="A2488" s="12" t="s">
        <v>7295</v>
      </c>
      <c r="B2488" s="12" t="s">
        <v>7280</v>
      </c>
      <c r="C2488" s="12" t="s">
        <v>7282</v>
      </c>
      <c r="D2488" s="12" t="s">
        <v>7176</v>
      </c>
      <c r="E2488" s="12" t="s">
        <v>4372</v>
      </c>
      <c r="F2488" s="12" t="s">
        <v>4373</v>
      </c>
      <c r="G2488" s="12" t="s">
        <v>12</v>
      </c>
      <c r="H2488" s="12" t="s">
        <v>6369</v>
      </c>
      <c r="I2488" s="12"/>
      <c r="J2488" s="12" t="s">
        <v>92</v>
      </c>
      <c r="K2488" s="12"/>
      <c r="L2488" s="12"/>
      <c r="M2488" s="12" t="s">
        <v>4374</v>
      </c>
      <c r="N2488" s="12"/>
      <c r="O2488" s="12" t="s">
        <v>4375</v>
      </c>
      <c r="P2488" s="12" t="str">
        <f>HYPERLINK("https://ceds.ed.gov/cedselementdetails.aspx?termid=9182")</f>
        <v>https://ceds.ed.gov/cedselementdetails.aspx?termid=9182</v>
      </c>
      <c r="Q2488" s="12" t="str">
        <f>HYPERLINK("https://ceds.ed.gov/elementComment.aspx?elementName=Marking Period Name &amp;elementID=9182", "Click here to submit comment")</f>
        <v>Click here to submit comment</v>
      </c>
    </row>
    <row r="2489" spans="1:17" ht="45" x14ac:dyDescent="0.25">
      <c r="A2489" s="12" t="s">
        <v>7295</v>
      </c>
      <c r="B2489" s="12" t="s">
        <v>7280</v>
      </c>
      <c r="C2489" s="12" t="s">
        <v>7282</v>
      </c>
      <c r="D2489" s="12" t="s">
        <v>7176</v>
      </c>
      <c r="E2489" s="12" t="s">
        <v>5976</v>
      </c>
      <c r="F2489" s="12" t="s">
        <v>5977</v>
      </c>
      <c r="G2489" s="12" t="s">
        <v>6364</v>
      </c>
      <c r="H2489" s="12"/>
      <c r="I2489" s="12"/>
      <c r="J2489" s="12"/>
      <c r="K2489" s="12"/>
      <c r="L2489" s="12"/>
      <c r="M2489" s="12" t="s">
        <v>5978</v>
      </c>
      <c r="N2489" s="12"/>
      <c r="O2489" s="12" t="s">
        <v>5979</v>
      </c>
      <c r="P2489" s="12" t="str">
        <f>HYPERLINK("https://ceds.ed.gov/cedselementdetails.aspx?termid=10191")</f>
        <v>https://ceds.ed.gov/cedselementdetails.aspx?termid=10191</v>
      </c>
      <c r="Q2489" s="12" t="str">
        <f>HYPERLINK("https://ceds.ed.gov/elementComment.aspx?elementName=Student Course Section Mark Final Indicator &amp;elementID=10191", "Click here to submit comment")</f>
        <v>Click here to submit comment</v>
      </c>
    </row>
    <row r="2490" spans="1:17" ht="90" x14ac:dyDescent="0.25">
      <c r="A2490" s="12" t="s">
        <v>7295</v>
      </c>
      <c r="B2490" s="12" t="s">
        <v>7280</v>
      </c>
      <c r="C2490" s="12" t="s">
        <v>7282</v>
      </c>
      <c r="D2490" s="12" t="s">
        <v>7176</v>
      </c>
      <c r="E2490" s="12" t="s">
        <v>4401</v>
      </c>
      <c r="F2490" s="12" t="s">
        <v>4402</v>
      </c>
      <c r="G2490" s="12" t="s">
        <v>12</v>
      </c>
      <c r="H2490" s="12" t="s">
        <v>6369</v>
      </c>
      <c r="I2490" s="12"/>
      <c r="J2490" s="12" t="s">
        <v>1950</v>
      </c>
      <c r="K2490" s="12"/>
      <c r="L2490" s="12"/>
      <c r="M2490" s="12" t="s">
        <v>4403</v>
      </c>
      <c r="N2490" s="12"/>
      <c r="O2490" s="12" t="s">
        <v>4404</v>
      </c>
      <c r="P2490" s="12" t="str">
        <f>HYPERLINK("https://ceds.ed.gov/cedselementdetails.aspx?termid=9183")</f>
        <v>https://ceds.ed.gov/cedselementdetails.aspx?termid=9183</v>
      </c>
      <c r="Q2490" s="12" t="str">
        <f>HYPERLINK("https://ceds.ed.gov/elementComment.aspx?elementName=Mid Term Mark &amp;elementID=9183", "Click here to submit comment")</f>
        <v>Click here to submit comment</v>
      </c>
    </row>
    <row r="2491" spans="1:17" ht="90" x14ac:dyDescent="0.25">
      <c r="A2491" s="12" t="s">
        <v>7295</v>
      </c>
      <c r="B2491" s="12" t="s">
        <v>7280</v>
      </c>
      <c r="C2491" s="12" t="s">
        <v>7282</v>
      </c>
      <c r="D2491" s="12" t="s">
        <v>7176</v>
      </c>
      <c r="E2491" s="12" t="s">
        <v>5968</v>
      </c>
      <c r="F2491" s="12" t="s">
        <v>5969</v>
      </c>
      <c r="G2491" s="12" t="s">
        <v>12</v>
      </c>
      <c r="H2491" s="12" t="s">
        <v>6369</v>
      </c>
      <c r="I2491" s="12"/>
      <c r="J2491" s="12" t="s">
        <v>1950</v>
      </c>
      <c r="K2491" s="12"/>
      <c r="L2491" s="12"/>
      <c r="M2491" s="12" t="s">
        <v>5970</v>
      </c>
      <c r="N2491" s="12"/>
      <c r="O2491" s="12" t="s">
        <v>5971</v>
      </c>
      <c r="P2491" s="12" t="str">
        <f>HYPERLINK("https://ceds.ed.gov/cedselementdetails.aspx?termid=9124")</f>
        <v>https://ceds.ed.gov/cedselementdetails.aspx?termid=9124</v>
      </c>
      <c r="Q2491" s="12" t="str">
        <f>HYPERLINK("https://ceds.ed.gov/elementComment.aspx?elementName=Student Course Section Grade Earned &amp;elementID=9124", "Click here to submit comment")</f>
        <v>Click here to submit comment</v>
      </c>
    </row>
    <row r="2492" spans="1:17" ht="135" x14ac:dyDescent="0.25">
      <c r="A2492" s="12" t="s">
        <v>7295</v>
      </c>
      <c r="B2492" s="12" t="s">
        <v>7280</v>
      </c>
      <c r="C2492" s="12" t="s">
        <v>7282</v>
      </c>
      <c r="D2492" s="12" t="s">
        <v>7176</v>
      </c>
      <c r="E2492" s="12" t="s">
        <v>3129</v>
      </c>
      <c r="F2492" s="12" t="s">
        <v>3130</v>
      </c>
      <c r="G2492" s="12" t="s">
        <v>12</v>
      </c>
      <c r="H2492" s="12"/>
      <c r="I2492" s="12"/>
      <c r="J2492" s="12" t="s">
        <v>794</v>
      </c>
      <c r="K2492" s="12"/>
      <c r="L2492" s="12" t="s">
        <v>3131</v>
      </c>
      <c r="M2492" s="12" t="s">
        <v>3132</v>
      </c>
      <c r="N2492" s="12"/>
      <c r="O2492" s="12" t="s">
        <v>3133</v>
      </c>
      <c r="P2492" s="12" t="str">
        <f>HYPERLINK("https://ceds.ed.gov/cedselementdetails.aspx?termid=9609")</f>
        <v>https://ceds.ed.gov/cedselementdetails.aspx?termid=9609</v>
      </c>
      <c r="Q2492" s="12" t="str">
        <f>HYPERLINK("https://ceds.ed.gov/elementComment.aspx?elementName=Grade Value Qualifier &amp;elementID=9609", "Click here to submit comment")</f>
        <v>Click here to submit comment</v>
      </c>
    </row>
    <row r="2493" spans="1:17" ht="285" x14ac:dyDescent="0.25">
      <c r="A2493" s="12" t="s">
        <v>7295</v>
      </c>
      <c r="B2493" s="12" t="s">
        <v>7280</v>
      </c>
      <c r="C2493" s="12" t="s">
        <v>7282</v>
      </c>
      <c r="D2493" s="12" t="s">
        <v>7172</v>
      </c>
      <c r="E2493" s="12" t="s">
        <v>1959</v>
      </c>
      <c r="F2493" s="12" t="s">
        <v>1960</v>
      </c>
      <c r="G2493" s="13" t="s">
        <v>6830</v>
      </c>
      <c r="H2493" s="12"/>
      <c r="I2493" s="12"/>
      <c r="J2493" s="12"/>
      <c r="K2493" s="12"/>
      <c r="L2493" s="12"/>
      <c r="M2493" s="12" t="s">
        <v>1961</v>
      </c>
      <c r="N2493" s="12"/>
      <c r="O2493" s="12" t="s">
        <v>1962</v>
      </c>
      <c r="P2493" s="12" t="str">
        <f>HYPERLINK("https://ceds.ed.gov/cedselementdetails.aspx?termid=10265")</f>
        <v>https://ceds.ed.gov/cedselementdetails.aspx?termid=10265</v>
      </c>
      <c r="Q2493" s="12" t="str">
        <f>HYPERLINK("https://ceds.ed.gov/elementComment.aspx?elementName=Course Academic Grade Status Code &amp;elementID=10265", "Click here to submit comment")</f>
        <v>Click here to submit comment</v>
      </c>
    </row>
    <row r="2494" spans="1:17" ht="345" x14ac:dyDescent="0.25">
      <c r="A2494" s="12" t="s">
        <v>7295</v>
      </c>
      <c r="B2494" s="12" t="s">
        <v>7280</v>
      </c>
      <c r="C2494" s="12" t="s">
        <v>7283</v>
      </c>
      <c r="D2494" s="12" t="s">
        <v>7172</v>
      </c>
      <c r="E2494" s="12" t="s">
        <v>5868</v>
      </c>
      <c r="F2494" s="12" t="s">
        <v>5869</v>
      </c>
      <c r="G2494" s="13" t="s">
        <v>7118</v>
      </c>
      <c r="H2494" s="12" t="s">
        <v>6675</v>
      </c>
      <c r="I2494" s="12"/>
      <c r="J2494" s="12"/>
      <c r="K2494" s="12"/>
      <c r="L2494" s="12"/>
      <c r="M2494" s="12" t="s">
        <v>5870</v>
      </c>
      <c r="N2494" s="12"/>
      <c r="O2494" s="12" t="s">
        <v>5871</v>
      </c>
      <c r="P2494" s="12" t="str">
        <f>HYPERLINK("https://ceds.ed.gov/cedselementdetails.aspx?termid=9162")</f>
        <v>https://ceds.ed.gov/cedselementdetails.aspx?termid=9162</v>
      </c>
      <c r="Q2494" s="12" t="str">
        <f>HYPERLINK("https://ceds.ed.gov/elementComment.aspx?elementName=Staff Member Identification System &amp;elementID=9162", "Click here to submit comment")</f>
        <v>Click here to submit comment</v>
      </c>
    </row>
    <row r="2495" spans="1:17" ht="105" x14ac:dyDescent="0.25">
      <c r="A2495" s="18" t="s">
        <v>7295</v>
      </c>
      <c r="B2495" s="18" t="s">
        <v>7280</v>
      </c>
      <c r="C2495" s="18" t="s">
        <v>7283</v>
      </c>
      <c r="D2495" s="18" t="s">
        <v>7172</v>
      </c>
      <c r="E2495" s="18" t="s">
        <v>5872</v>
      </c>
      <c r="F2495" s="18" t="s">
        <v>5873</v>
      </c>
      <c r="G2495" s="18" t="s">
        <v>12</v>
      </c>
      <c r="H2495" s="18" t="s">
        <v>6676</v>
      </c>
      <c r="I2495" s="18"/>
      <c r="J2495" s="18" t="s">
        <v>142</v>
      </c>
      <c r="K2495" s="18"/>
      <c r="L2495" s="12" t="s">
        <v>143</v>
      </c>
      <c r="M2495" s="18" t="s">
        <v>5874</v>
      </c>
      <c r="N2495" s="18"/>
      <c r="O2495" s="18" t="s">
        <v>5875</v>
      </c>
      <c r="P2495" s="18" t="str">
        <f>HYPERLINK("https://ceds.ed.gov/cedselementdetails.aspx?termid=9156")</f>
        <v>https://ceds.ed.gov/cedselementdetails.aspx?termid=9156</v>
      </c>
      <c r="Q2495" s="18" t="str">
        <f>HYPERLINK("https://ceds.ed.gov/elementComment.aspx?elementName=Staff Member Identifier &amp;elementID=9156", "Click here to submit comment")</f>
        <v>Click here to submit comment</v>
      </c>
    </row>
    <row r="2496" spans="1:17" x14ac:dyDescent="0.25">
      <c r="A2496" s="18"/>
      <c r="B2496" s="18"/>
      <c r="C2496" s="18"/>
      <c r="D2496" s="18"/>
      <c r="E2496" s="18"/>
      <c r="F2496" s="18"/>
      <c r="G2496" s="18"/>
      <c r="H2496" s="18"/>
      <c r="I2496" s="18"/>
      <c r="J2496" s="18"/>
      <c r="K2496" s="18"/>
      <c r="L2496" s="12"/>
      <c r="M2496" s="18"/>
      <c r="N2496" s="18"/>
      <c r="O2496" s="18"/>
      <c r="P2496" s="18"/>
      <c r="Q2496" s="18"/>
    </row>
    <row r="2497" spans="1:17" ht="90" x14ac:dyDescent="0.25">
      <c r="A2497" s="18"/>
      <c r="B2497" s="18"/>
      <c r="C2497" s="18"/>
      <c r="D2497" s="18"/>
      <c r="E2497" s="18"/>
      <c r="F2497" s="18"/>
      <c r="G2497" s="18"/>
      <c r="H2497" s="18"/>
      <c r="I2497" s="18"/>
      <c r="J2497" s="18"/>
      <c r="K2497" s="18"/>
      <c r="L2497" s="12" t="s">
        <v>144</v>
      </c>
      <c r="M2497" s="18"/>
      <c r="N2497" s="18"/>
      <c r="O2497" s="18"/>
      <c r="P2497" s="18"/>
      <c r="Q2497" s="18"/>
    </row>
    <row r="2498" spans="1:17" ht="30" x14ac:dyDescent="0.25">
      <c r="A2498" s="12" t="s">
        <v>7295</v>
      </c>
      <c r="B2498" s="12" t="s">
        <v>7280</v>
      </c>
      <c r="C2498" s="12" t="s">
        <v>7283</v>
      </c>
      <c r="D2498" s="12" t="s">
        <v>7176</v>
      </c>
      <c r="E2498" s="12" t="s">
        <v>1492</v>
      </c>
      <c r="F2498" s="12" t="s">
        <v>1493</v>
      </c>
      <c r="G2498" s="12" t="s">
        <v>12</v>
      </c>
      <c r="H2498" s="12"/>
      <c r="I2498" s="12"/>
      <c r="J2498" s="12" t="s">
        <v>73</v>
      </c>
      <c r="K2498" s="12"/>
      <c r="L2498" s="12"/>
      <c r="M2498" s="12" t="s">
        <v>1494</v>
      </c>
      <c r="N2498" s="12"/>
      <c r="O2498" s="12" t="s">
        <v>1495</v>
      </c>
      <c r="P2498" s="12" t="str">
        <f>HYPERLINK("https://ceds.ed.gov/cedselementdetails.aspx?termid=9517")</f>
        <v>https://ceds.ed.gov/cedselementdetails.aspx?termid=9517</v>
      </c>
      <c r="Q2498" s="12" t="str">
        <f>HYPERLINK("https://ceds.ed.gov/elementComment.aspx?elementName=Assignment Start Date &amp;elementID=9517", "Click here to submit comment")</f>
        <v>Click here to submit comment</v>
      </c>
    </row>
    <row r="2499" spans="1:17" ht="30" x14ac:dyDescent="0.25">
      <c r="A2499" s="12" t="s">
        <v>7295</v>
      </c>
      <c r="B2499" s="12" t="s">
        <v>7280</v>
      </c>
      <c r="C2499" s="12" t="s">
        <v>7283</v>
      </c>
      <c r="D2499" s="12" t="s">
        <v>7176</v>
      </c>
      <c r="E2499" s="12" t="s">
        <v>1488</v>
      </c>
      <c r="F2499" s="12" t="s">
        <v>1489</v>
      </c>
      <c r="G2499" s="12" t="s">
        <v>12</v>
      </c>
      <c r="H2499" s="12"/>
      <c r="I2499" s="12"/>
      <c r="J2499" s="12" t="s">
        <v>73</v>
      </c>
      <c r="K2499" s="12"/>
      <c r="L2499" s="12"/>
      <c r="M2499" s="12" t="s">
        <v>1490</v>
      </c>
      <c r="N2499" s="12"/>
      <c r="O2499" s="12" t="s">
        <v>1491</v>
      </c>
      <c r="P2499" s="12" t="str">
        <f>HYPERLINK("https://ceds.ed.gov/cedselementdetails.aspx?termid=9518")</f>
        <v>https://ceds.ed.gov/cedselementdetails.aspx?termid=9518</v>
      </c>
      <c r="Q2499" s="12" t="str">
        <f>HYPERLINK("https://ceds.ed.gov/elementComment.aspx?elementName=Assignment End Date &amp;elementID=9518", "Click here to submit comment")</f>
        <v>Click here to submit comment</v>
      </c>
    </row>
    <row r="2500" spans="1:17" ht="195" x14ac:dyDescent="0.25">
      <c r="A2500" s="12" t="s">
        <v>7295</v>
      </c>
      <c r="B2500" s="12" t="s">
        <v>7311</v>
      </c>
      <c r="C2500" s="12" t="s">
        <v>7171</v>
      </c>
      <c r="D2500" s="12" t="s">
        <v>7172</v>
      </c>
      <c r="E2500" s="12" t="s">
        <v>3017</v>
      </c>
      <c r="F2500" s="12" t="s">
        <v>3018</v>
      </c>
      <c r="G2500" s="12" t="s">
        <v>12</v>
      </c>
      <c r="H2500" s="12" t="s">
        <v>6540</v>
      </c>
      <c r="I2500" s="12"/>
      <c r="J2500" s="12" t="s">
        <v>1349</v>
      </c>
      <c r="K2500" s="12"/>
      <c r="L2500" s="12" t="s">
        <v>3019</v>
      </c>
      <c r="M2500" s="12" t="s">
        <v>3020</v>
      </c>
      <c r="N2500" s="12"/>
      <c r="O2500" s="12" t="s">
        <v>3021</v>
      </c>
      <c r="P2500" s="12" t="str">
        <f>HYPERLINK("https://ceds.ed.gov/cedselementdetails.aspx?termid=9115")</f>
        <v>https://ceds.ed.gov/cedselementdetails.aspx?termid=9115</v>
      </c>
      <c r="Q2500" s="12" t="str">
        <f>HYPERLINK("https://ceds.ed.gov/elementComment.aspx?elementName=First Name &amp;elementID=9115", "Click here to submit comment")</f>
        <v>Click here to submit comment</v>
      </c>
    </row>
    <row r="2501" spans="1:17" x14ac:dyDescent="0.25">
      <c r="A2501" s="18" t="s">
        <v>7295</v>
      </c>
      <c r="B2501" s="18" t="s">
        <v>7311</v>
      </c>
      <c r="C2501" s="18" t="s">
        <v>7171</v>
      </c>
      <c r="D2501" s="18" t="s">
        <v>7172</v>
      </c>
      <c r="E2501" s="18" t="s">
        <v>4405</v>
      </c>
      <c r="F2501" s="18" t="s">
        <v>4406</v>
      </c>
      <c r="G2501" s="18" t="s">
        <v>12</v>
      </c>
      <c r="H2501" s="18" t="s">
        <v>6540</v>
      </c>
      <c r="I2501" s="18"/>
      <c r="J2501" s="18" t="s">
        <v>1349</v>
      </c>
      <c r="K2501" s="18"/>
      <c r="L2501" s="12" t="s">
        <v>3078</v>
      </c>
      <c r="M2501" s="18" t="s">
        <v>4407</v>
      </c>
      <c r="N2501" s="18"/>
      <c r="O2501" s="18" t="s">
        <v>4408</v>
      </c>
      <c r="P2501" s="18" t="str">
        <f>HYPERLINK("https://ceds.ed.gov/cedselementdetails.aspx?termid=9184")</f>
        <v>https://ceds.ed.gov/cedselementdetails.aspx?termid=9184</v>
      </c>
      <c r="Q2501" s="18" t="str">
        <f>HYPERLINK("https://ceds.ed.gov/elementComment.aspx?elementName=Middle Name &amp;elementID=9184", "Click here to submit comment")</f>
        <v>Click here to submit comment</v>
      </c>
    </row>
    <row r="2502" spans="1:17" ht="90" x14ac:dyDescent="0.25">
      <c r="A2502" s="18"/>
      <c r="B2502" s="18"/>
      <c r="C2502" s="18"/>
      <c r="D2502" s="18"/>
      <c r="E2502" s="18"/>
      <c r="F2502" s="18"/>
      <c r="G2502" s="18"/>
      <c r="H2502" s="18"/>
      <c r="I2502" s="18"/>
      <c r="J2502" s="18"/>
      <c r="K2502" s="18"/>
      <c r="L2502" s="12" t="s">
        <v>3079</v>
      </c>
      <c r="M2502" s="18"/>
      <c r="N2502" s="18"/>
      <c r="O2502" s="18"/>
      <c r="P2502" s="18"/>
      <c r="Q2502" s="18"/>
    </row>
    <row r="2503" spans="1:17" x14ac:dyDescent="0.25">
      <c r="A2503" s="18" t="s">
        <v>7295</v>
      </c>
      <c r="B2503" s="18" t="s">
        <v>7311</v>
      </c>
      <c r="C2503" s="18" t="s">
        <v>7171</v>
      </c>
      <c r="D2503" s="18" t="s">
        <v>7172</v>
      </c>
      <c r="E2503" s="18" t="s">
        <v>3684</v>
      </c>
      <c r="F2503" s="18" t="s">
        <v>3685</v>
      </c>
      <c r="G2503" s="18" t="s">
        <v>12</v>
      </c>
      <c r="H2503" s="18" t="s">
        <v>6540</v>
      </c>
      <c r="I2503" s="18"/>
      <c r="J2503" s="18" t="s">
        <v>1349</v>
      </c>
      <c r="K2503" s="18"/>
      <c r="L2503" s="12" t="s">
        <v>3078</v>
      </c>
      <c r="M2503" s="18" t="s">
        <v>3686</v>
      </c>
      <c r="N2503" s="18" t="s">
        <v>3687</v>
      </c>
      <c r="O2503" s="18" t="s">
        <v>3688</v>
      </c>
      <c r="P2503" s="18" t="str">
        <f>HYPERLINK("https://ceds.ed.gov/cedselementdetails.aspx?termid=9172")</f>
        <v>https://ceds.ed.gov/cedselementdetails.aspx?termid=9172</v>
      </c>
      <c r="Q2503" s="18" t="str">
        <f>HYPERLINK("https://ceds.ed.gov/elementComment.aspx?elementName=Last or Surname &amp;elementID=9172", "Click here to submit comment")</f>
        <v>Click here to submit comment</v>
      </c>
    </row>
    <row r="2504" spans="1:17" ht="90" x14ac:dyDescent="0.25">
      <c r="A2504" s="18"/>
      <c r="B2504" s="18"/>
      <c r="C2504" s="18"/>
      <c r="D2504" s="18"/>
      <c r="E2504" s="18"/>
      <c r="F2504" s="18"/>
      <c r="G2504" s="18"/>
      <c r="H2504" s="18"/>
      <c r="I2504" s="18"/>
      <c r="J2504" s="18"/>
      <c r="K2504" s="18"/>
      <c r="L2504" s="12" t="s">
        <v>3079</v>
      </c>
      <c r="M2504" s="18"/>
      <c r="N2504" s="18"/>
      <c r="O2504" s="18"/>
      <c r="P2504" s="18"/>
      <c r="Q2504" s="18"/>
    </row>
    <row r="2505" spans="1:17" x14ac:dyDescent="0.25">
      <c r="A2505" s="18" t="s">
        <v>7295</v>
      </c>
      <c r="B2505" s="18" t="s">
        <v>7311</v>
      </c>
      <c r="C2505" s="18" t="s">
        <v>7171</v>
      </c>
      <c r="D2505" s="18" t="s">
        <v>7172</v>
      </c>
      <c r="E2505" s="18" t="s">
        <v>3076</v>
      </c>
      <c r="F2505" s="18" t="s">
        <v>3077</v>
      </c>
      <c r="G2505" s="18" t="s">
        <v>12</v>
      </c>
      <c r="H2505" s="18" t="s">
        <v>6543</v>
      </c>
      <c r="I2505" s="18"/>
      <c r="J2505" s="18" t="s">
        <v>2143</v>
      </c>
      <c r="K2505" s="18"/>
      <c r="L2505" s="12" t="s">
        <v>3078</v>
      </c>
      <c r="M2505" s="18" t="s">
        <v>3080</v>
      </c>
      <c r="N2505" s="18"/>
      <c r="O2505" s="18" t="s">
        <v>3081</v>
      </c>
      <c r="P2505" s="18" t="str">
        <f>HYPERLINK("https://ceds.ed.gov/cedselementdetails.aspx?termid=9121")</f>
        <v>https://ceds.ed.gov/cedselementdetails.aspx?termid=9121</v>
      </c>
      <c r="Q2505" s="18" t="str">
        <f>HYPERLINK("https://ceds.ed.gov/elementComment.aspx?elementName=Generation Code or Suffix &amp;elementID=9121", "Click here to submit comment")</f>
        <v>Click here to submit comment</v>
      </c>
    </row>
    <row r="2506" spans="1:17" ht="90" x14ac:dyDescent="0.25">
      <c r="A2506" s="18"/>
      <c r="B2506" s="18"/>
      <c r="C2506" s="18"/>
      <c r="D2506" s="18"/>
      <c r="E2506" s="18"/>
      <c r="F2506" s="18"/>
      <c r="G2506" s="18"/>
      <c r="H2506" s="18"/>
      <c r="I2506" s="18"/>
      <c r="J2506" s="18"/>
      <c r="K2506" s="18"/>
      <c r="L2506" s="12" t="s">
        <v>3079</v>
      </c>
      <c r="M2506" s="18"/>
      <c r="N2506" s="18"/>
      <c r="O2506" s="18"/>
      <c r="P2506" s="18"/>
      <c r="Q2506" s="18"/>
    </row>
    <row r="2507" spans="1:17" ht="105" x14ac:dyDescent="0.25">
      <c r="A2507" s="12" t="s">
        <v>7295</v>
      </c>
      <c r="B2507" s="12" t="s">
        <v>7311</v>
      </c>
      <c r="C2507" s="12" t="s">
        <v>7171</v>
      </c>
      <c r="D2507" s="12" t="s">
        <v>7172</v>
      </c>
      <c r="E2507" s="12" t="s">
        <v>4835</v>
      </c>
      <c r="F2507" s="12" t="s">
        <v>4836</v>
      </c>
      <c r="G2507" s="12" t="s">
        <v>12</v>
      </c>
      <c r="H2507" s="12" t="s">
        <v>6627</v>
      </c>
      <c r="I2507" s="12"/>
      <c r="J2507" s="12" t="s">
        <v>92</v>
      </c>
      <c r="K2507" s="12"/>
      <c r="L2507" s="12"/>
      <c r="M2507" s="12" t="s">
        <v>4837</v>
      </c>
      <c r="N2507" s="12" t="s">
        <v>4838</v>
      </c>
      <c r="O2507" s="12" t="s">
        <v>4839</v>
      </c>
      <c r="P2507" s="12" t="str">
        <f>HYPERLINK("https://ceds.ed.gov/cedselementdetails.aspx?termid=9212")</f>
        <v>https://ceds.ed.gov/cedselementdetails.aspx?termid=9212</v>
      </c>
      <c r="Q2507" s="12" t="str">
        <f>HYPERLINK("https://ceds.ed.gov/elementComment.aspx?elementName=Personal Title or Prefix &amp;elementID=9212", "Click here to submit comment")</f>
        <v>Click here to submit comment</v>
      </c>
    </row>
    <row r="2508" spans="1:17" ht="30" x14ac:dyDescent="0.25">
      <c r="A2508" s="12" t="s">
        <v>7295</v>
      </c>
      <c r="B2508" s="12" t="s">
        <v>7311</v>
      </c>
      <c r="C2508" s="12" t="s">
        <v>7173</v>
      </c>
      <c r="D2508" s="12" t="s">
        <v>7172</v>
      </c>
      <c r="E2508" s="12" t="s">
        <v>4705</v>
      </c>
      <c r="F2508" s="12" t="s">
        <v>4706</v>
      </c>
      <c r="G2508" s="12" t="s">
        <v>12</v>
      </c>
      <c r="H2508" s="12"/>
      <c r="I2508" s="12"/>
      <c r="J2508" s="12" t="s">
        <v>1349</v>
      </c>
      <c r="K2508" s="12"/>
      <c r="L2508" s="12" t="s">
        <v>4707</v>
      </c>
      <c r="M2508" s="12" t="s">
        <v>4708</v>
      </c>
      <c r="N2508" s="12"/>
      <c r="O2508" s="12" t="s">
        <v>4709</v>
      </c>
      <c r="P2508" s="12" t="str">
        <f>HYPERLINK("https://ceds.ed.gov/cedselementdetails.aspx?termid=10486")</f>
        <v>https://ceds.ed.gov/cedselementdetails.aspx?termid=10486</v>
      </c>
      <c r="Q2508" s="12" t="str">
        <f>HYPERLINK("https://ceds.ed.gov/elementComment.aspx?elementName=Other First Name &amp;elementID=10486", "Click here to submit comment")</f>
        <v>Click here to submit comment</v>
      </c>
    </row>
    <row r="2509" spans="1:17" ht="30" x14ac:dyDescent="0.25">
      <c r="A2509" s="12" t="s">
        <v>7295</v>
      </c>
      <c r="B2509" s="12" t="s">
        <v>7311</v>
      </c>
      <c r="C2509" s="12" t="s">
        <v>7173</v>
      </c>
      <c r="D2509" s="12" t="s">
        <v>7172</v>
      </c>
      <c r="E2509" s="12" t="s">
        <v>4710</v>
      </c>
      <c r="F2509" s="12" t="s">
        <v>4711</v>
      </c>
      <c r="G2509" s="12" t="s">
        <v>12</v>
      </c>
      <c r="H2509" s="12"/>
      <c r="I2509" s="12"/>
      <c r="J2509" s="12" t="s">
        <v>1349</v>
      </c>
      <c r="K2509" s="12"/>
      <c r="L2509" s="12" t="s">
        <v>4712</v>
      </c>
      <c r="M2509" s="12" t="s">
        <v>4713</v>
      </c>
      <c r="N2509" s="12"/>
      <c r="O2509" s="12" t="s">
        <v>4714</v>
      </c>
      <c r="P2509" s="12" t="str">
        <f>HYPERLINK("https://ceds.ed.gov/cedselementdetails.aspx?termid=10485")</f>
        <v>https://ceds.ed.gov/cedselementdetails.aspx?termid=10485</v>
      </c>
      <c r="Q2509" s="12" t="str">
        <f>HYPERLINK("https://ceds.ed.gov/elementComment.aspx?elementName=Other Last Name &amp;elementID=10485", "Click here to submit comment")</f>
        <v>Click here to submit comment</v>
      </c>
    </row>
    <row r="2510" spans="1:17" ht="30" x14ac:dyDescent="0.25">
      <c r="A2510" s="12" t="s">
        <v>7295</v>
      </c>
      <c r="B2510" s="12" t="s">
        <v>7311</v>
      </c>
      <c r="C2510" s="12" t="s">
        <v>7173</v>
      </c>
      <c r="D2510" s="12" t="s">
        <v>7172</v>
      </c>
      <c r="E2510" s="12" t="s">
        <v>4715</v>
      </c>
      <c r="F2510" s="12" t="s">
        <v>4716</v>
      </c>
      <c r="G2510" s="12" t="s">
        <v>12</v>
      </c>
      <c r="H2510" s="12"/>
      <c r="I2510" s="12"/>
      <c r="J2510" s="12" t="s">
        <v>1349</v>
      </c>
      <c r="K2510" s="12"/>
      <c r="L2510" s="12" t="s">
        <v>4717</v>
      </c>
      <c r="M2510" s="12" t="s">
        <v>4718</v>
      </c>
      <c r="N2510" s="12"/>
      <c r="O2510" s="12" t="s">
        <v>4719</v>
      </c>
      <c r="P2510" s="12" t="str">
        <f>HYPERLINK("https://ceds.ed.gov/cedselementdetails.aspx?termid=10487")</f>
        <v>https://ceds.ed.gov/cedselementdetails.aspx?termid=10487</v>
      </c>
      <c r="Q2510" s="12" t="str">
        <f>HYPERLINK("https://ceds.ed.gov/elementComment.aspx?elementName=Other Middle Name &amp;elementID=10487", "Click here to submit comment")</f>
        <v>Click here to submit comment</v>
      </c>
    </row>
    <row r="2511" spans="1:17" ht="150" x14ac:dyDescent="0.25">
      <c r="A2511" s="12" t="s">
        <v>7295</v>
      </c>
      <c r="B2511" s="12" t="s">
        <v>7311</v>
      </c>
      <c r="C2511" s="12" t="s">
        <v>7173</v>
      </c>
      <c r="D2511" s="12" t="s">
        <v>7172</v>
      </c>
      <c r="E2511" s="12" t="s">
        <v>4720</v>
      </c>
      <c r="F2511" s="12" t="s">
        <v>4721</v>
      </c>
      <c r="G2511" s="12" t="s">
        <v>12</v>
      </c>
      <c r="H2511" s="12" t="s">
        <v>6543</v>
      </c>
      <c r="I2511" s="12"/>
      <c r="J2511" s="12" t="s">
        <v>142</v>
      </c>
      <c r="K2511" s="12"/>
      <c r="L2511" s="12"/>
      <c r="M2511" s="12" t="s">
        <v>4722</v>
      </c>
      <c r="N2511" s="12"/>
      <c r="O2511" s="12" t="s">
        <v>4723</v>
      </c>
      <c r="P2511" s="12" t="str">
        <f>HYPERLINK("https://ceds.ed.gov/cedselementdetails.aspx?termid=9206")</f>
        <v>https://ceds.ed.gov/cedselementdetails.aspx?termid=9206</v>
      </c>
      <c r="Q2511" s="12" t="str">
        <f>HYPERLINK("https://ceds.ed.gov/elementComment.aspx?elementName=Other Name &amp;elementID=9206", "Click here to submit comment")</f>
        <v>Click here to submit comment</v>
      </c>
    </row>
    <row r="2512" spans="1:17" ht="165" x14ac:dyDescent="0.25">
      <c r="A2512" s="12" t="s">
        <v>7295</v>
      </c>
      <c r="B2512" s="12" t="s">
        <v>7311</v>
      </c>
      <c r="C2512" s="12" t="s">
        <v>7173</v>
      </c>
      <c r="D2512" s="12" t="s">
        <v>7172</v>
      </c>
      <c r="E2512" s="12" t="s">
        <v>4724</v>
      </c>
      <c r="F2512" s="12" t="s">
        <v>4725</v>
      </c>
      <c r="G2512" s="13" t="s">
        <v>7046</v>
      </c>
      <c r="H2512" s="12" t="s">
        <v>6619</v>
      </c>
      <c r="I2512" s="12"/>
      <c r="J2512" s="12" t="s">
        <v>92</v>
      </c>
      <c r="K2512" s="12"/>
      <c r="L2512" s="12"/>
      <c r="M2512" s="12" t="s">
        <v>4726</v>
      </c>
      <c r="N2512" s="12"/>
      <c r="O2512" s="12" t="s">
        <v>4727</v>
      </c>
      <c r="P2512" s="12" t="str">
        <f>HYPERLINK("https://ceds.ed.gov/cedselementdetails.aspx?termid=9627")</f>
        <v>https://ceds.ed.gov/cedselementdetails.aspx?termid=9627</v>
      </c>
      <c r="Q2512" s="12" t="str">
        <f>HYPERLINK("https://ceds.ed.gov/elementComment.aspx?elementName=Other Name Type &amp;elementID=9627", "Click here to submit comment")</f>
        <v>Click here to submit comment</v>
      </c>
    </row>
    <row r="2513" spans="1:17" ht="225" x14ac:dyDescent="0.25">
      <c r="A2513" s="18" t="s">
        <v>7295</v>
      </c>
      <c r="B2513" s="18" t="s">
        <v>7311</v>
      </c>
      <c r="C2513" s="18" t="s">
        <v>7174</v>
      </c>
      <c r="D2513" s="18" t="s">
        <v>7172</v>
      </c>
      <c r="E2513" s="18" t="s">
        <v>5745</v>
      </c>
      <c r="F2513" s="18" t="s">
        <v>5746</v>
      </c>
      <c r="G2513" s="18" t="s">
        <v>12</v>
      </c>
      <c r="H2513" s="18" t="s">
        <v>6670</v>
      </c>
      <c r="I2513" s="18"/>
      <c r="J2513" s="18" t="s">
        <v>5747</v>
      </c>
      <c r="K2513" s="18"/>
      <c r="L2513" s="12" t="s">
        <v>5748</v>
      </c>
      <c r="M2513" s="18" t="s">
        <v>5750</v>
      </c>
      <c r="N2513" s="18" t="s">
        <v>5751</v>
      </c>
      <c r="O2513" s="18" t="s">
        <v>5752</v>
      </c>
      <c r="P2513" s="18" t="str">
        <f>HYPERLINK("https://ceds.ed.gov/cedselementdetails.aspx?termid=9259")</f>
        <v>https://ceds.ed.gov/cedselementdetails.aspx?termid=9259</v>
      </c>
      <c r="Q2513" s="18" t="str">
        <f>HYPERLINK("https://ceds.ed.gov/elementComment.aspx?elementName=Social Security Number &amp;elementID=9259", "Click here to submit comment")</f>
        <v>Click here to submit comment</v>
      </c>
    </row>
    <row r="2514" spans="1:17" x14ac:dyDescent="0.25">
      <c r="A2514" s="18"/>
      <c r="B2514" s="18"/>
      <c r="C2514" s="18"/>
      <c r="D2514" s="18"/>
      <c r="E2514" s="18"/>
      <c r="F2514" s="18"/>
      <c r="G2514" s="18"/>
      <c r="H2514" s="18"/>
      <c r="I2514" s="18"/>
      <c r="J2514" s="18"/>
      <c r="K2514" s="18"/>
      <c r="L2514" s="12"/>
      <c r="M2514" s="18"/>
      <c r="N2514" s="18"/>
      <c r="O2514" s="18"/>
      <c r="P2514" s="18"/>
      <c r="Q2514" s="18"/>
    </row>
    <row r="2515" spans="1:17" ht="180" x14ac:dyDescent="0.25">
      <c r="A2515" s="18"/>
      <c r="B2515" s="18"/>
      <c r="C2515" s="18"/>
      <c r="D2515" s="18"/>
      <c r="E2515" s="18"/>
      <c r="F2515" s="18"/>
      <c r="G2515" s="18"/>
      <c r="H2515" s="18"/>
      <c r="I2515" s="18"/>
      <c r="J2515" s="18"/>
      <c r="K2515" s="18"/>
      <c r="L2515" s="12" t="s">
        <v>5749</v>
      </c>
      <c r="M2515" s="18"/>
      <c r="N2515" s="18"/>
      <c r="O2515" s="18"/>
      <c r="P2515" s="18"/>
      <c r="Q2515" s="18"/>
    </row>
    <row r="2516" spans="1:17" ht="105" x14ac:dyDescent="0.25">
      <c r="A2516" s="18" t="s">
        <v>7295</v>
      </c>
      <c r="B2516" s="18" t="s">
        <v>7311</v>
      </c>
      <c r="C2516" s="18" t="s">
        <v>7174</v>
      </c>
      <c r="D2516" s="18" t="s">
        <v>7172</v>
      </c>
      <c r="E2516" s="18" t="s">
        <v>5872</v>
      </c>
      <c r="F2516" s="18" t="s">
        <v>5873</v>
      </c>
      <c r="G2516" s="18" t="s">
        <v>12</v>
      </c>
      <c r="H2516" s="18" t="s">
        <v>6676</v>
      </c>
      <c r="I2516" s="18"/>
      <c r="J2516" s="18" t="s">
        <v>142</v>
      </c>
      <c r="K2516" s="18"/>
      <c r="L2516" s="12" t="s">
        <v>143</v>
      </c>
      <c r="M2516" s="18" t="s">
        <v>5874</v>
      </c>
      <c r="N2516" s="18"/>
      <c r="O2516" s="18" t="s">
        <v>5875</v>
      </c>
      <c r="P2516" s="18" t="str">
        <f>HYPERLINK("https://ceds.ed.gov/cedselementdetails.aspx?termid=9156")</f>
        <v>https://ceds.ed.gov/cedselementdetails.aspx?termid=9156</v>
      </c>
      <c r="Q2516" s="18" t="str">
        <f>HYPERLINK("https://ceds.ed.gov/elementComment.aspx?elementName=Staff Member Identifier &amp;elementID=9156", "Click here to submit comment")</f>
        <v>Click here to submit comment</v>
      </c>
    </row>
    <row r="2517" spans="1:17" x14ac:dyDescent="0.25">
      <c r="A2517" s="18"/>
      <c r="B2517" s="18"/>
      <c r="C2517" s="18"/>
      <c r="D2517" s="18"/>
      <c r="E2517" s="18"/>
      <c r="F2517" s="18"/>
      <c r="G2517" s="18"/>
      <c r="H2517" s="18"/>
      <c r="I2517" s="18"/>
      <c r="J2517" s="18"/>
      <c r="K2517" s="18"/>
      <c r="L2517" s="12"/>
      <c r="M2517" s="18"/>
      <c r="N2517" s="18"/>
      <c r="O2517" s="18"/>
      <c r="P2517" s="18"/>
      <c r="Q2517" s="18"/>
    </row>
    <row r="2518" spans="1:17" ht="90" x14ac:dyDescent="0.25">
      <c r="A2518" s="18"/>
      <c r="B2518" s="18"/>
      <c r="C2518" s="18"/>
      <c r="D2518" s="18"/>
      <c r="E2518" s="18"/>
      <c r="F2518" s="18"/>
      <c r="G2518" s="18"/>
      <c r="H2518" s="18"/>
      <c r="I2518" s="18"/>
      <c r="J2518" s="18"/>
      <c r="K2518" s="18"/>
      <c r="L2518" s="12" t="s">
        <v>144</v>
      </c>
      <c r="M2518" s="18"/>
      <c r="N2518" s="18"/>
      <c r="O2518" s="18"/>
      <c r="P2518" s="18"/>
      <c r="Q2518" s="18"/>
    </row>
    <row r="2519" spans="1:17" ht="345" x14ac:dyDescent="0.25">
      <c r="A2519" s="12" t="s">
        <v>7295</v>
      </c>
      <c r="B2519" s="12" t="s">
        <v>7311</v>
      </c>
      <c r="C2519" s="12" t="s">
        <v>7174</v>
      </c>
      <c r="D2519" s="12" t="s">
        <v>7172</v>
      </c>
      <c r="E2519" s="12" t="s">
        <v>5868</v>
      </c>
      <c r="F2519" s="12" t="s">
        <v>5869</v>
      </c>
      <c r="G2519" s="13" t="s">
        <v>7118</v>
      </c>
      <c r="H2519" s="12" t="s">
        <v>6675</v>
      </c>
      <c r="I2519" s="12"/>
      <c r="J2519" s="12"/>
      <c r="K2519" s="12"/>
      <c r="L2519" s="12"/>
      <c r="M2519" s="12" t="s">
        <v>5870</v>
      </c>
      <c r="N2519" s="12"/>
      <c r="O2519" s="12" t="s">
        <v>5871</v>
      </c>
      <c r="P2519" s="12" t="str">
        <f>HYPERLINK("https://ceds.ed.gov/cedselementdetails.aspx?termid=9162")</f>
        <v>https://ceds.ed.gov/cedselementdetails.aspx?termid=9162</v>
      </c>
      <c r="Q2519" s="12" t="str">
        <f>HYPERLINK("https://ceds.ed.gov/elementComment.aspx?elementName=Staff Member Identification System &amp;elementID=9162", "Click here to submit comment")</f>
        <v>Click here to submit comment</v>
      </c>
    </row>
    <row r="2520" spans="1:17" ht="255" x14ac:dyDescent="0.25">
      <c r="A2520" s="12" t="s">
        <v>7295</v>
      </c>
      <c r="B2520" s="12" t="s">
        <v>7311</v>
      </c>
      <c r="C2520" s="12" t="s">
        <v>7174</v>
      </c>
      <c r="D2520" s="12" t="s">
        <v>7172</v>
      </c>
      <c r="E2520" s="12" t="s">
        <v>4831</v>
      </c>
      <c r="F2520" s="12" t="s">
        <v>4832</v>
      </c>
      <c r="G2520" s="13" t="s">
        <v>7053</v>
      </c>
      <c r="H2520" s="12"/>
      <c r="I2520" s="12"/>
      <c r="J2520" s="12"/>
      <c r="K2520" s="12"/>
      <c r="L2520" s="12"/>
      <c r="M2520" s="12" t="s">
        <v>4833</v>
      </c>
      <c r="N2520" s="12"/>
      <c r="O2520" s="12" t="s">
        <v>4834</v>
      </c>
      <c r="P2520" s="12" t="str">
        <f>HYPERLINK("https://ceds.ed.gov/cedselementdetails.aspx?termid=9611")</f>
        <v>https://ceds.ed.gov/cedselementdetails.aspx?termid=9611</v>
      </c>
      <c r="Q2520" s="12" t="str">
        <f>HYPERLINK("https://ceds.ed.gov/elementComment.aspx?elementName=Personal Information Verification &amp;elementID=9611", "Click here to submit comment")</f>
        <v>Click here to submit comment</v>
      </c>
    </row>
    <row r="2521" spans="1:17" ht="105" x14ac:dyDescent="0.25">
      <c r="A2521" s="12" t="s">
        <v>7295</v>
      </c>
      <c r="B2521" s="12" t="s">
        <v>7311</v>
      </c>
      <c r="C2521" s="12" t="s">
        <v>7175</v>
      </c>
      <c r="D2521" s="12" t="s">
        <v>7172</v>
      </c>
      <c r="E2521" s="12" t="s">
        <v>201</v>
      </c>
      <c r="F2521" s="12" t="s">
        <v>202</v>
      </c>
      <c r="G2521" s="13" t="s">
        <v>6728</v>
      </c>
      <c r="H2521" s="12" t="s">
        <v>205</v>
      </c>
      <c r="I2521" s="12"/>
      <c r="J2521" s="12" t="s">
        <v>92</v>
      </c>
      <c r="K2521" s="12"/>
      <c r="L2521" s="12"/>
      <c r="M2521" s="12" t="s">
        <v>203</v>
      </c>
      <c r="N2521" s="12"/>
      <c r="O2521" s="12" t="s">
        <v>204</v>
      </c>
      <c r="P2521" s="12" t="str">
        <f>HYPERLINK("https://ceds.ed.gov/cedselementdetails.aspx?termid=9698")</f>
        <v>https://ceds.ed.gov/cedselementdetails.aspx?termid=9698</v>
      </c>
      <c r="Q2521" s="12" t="str">
        <f>HYPERLINK("https://ceds.ed.gov/elementComment.aspx?elementName=Address Type for Staff &amp;elementID=9698", "Click here to submit comment")</f>
        <v>Click here to submit comment</v>
      </c>
    </row>
    <row r="2522" spans="1:17" ht="225" x14ac:dyDescent="0.25">
      <c r="A2522" s="12" t="s">
        <v>7295</v>
      </c>
      <c r="B2522" s="12" t="s">
        <v>7311</v>
      </c>
      <c r="C2522" s="12" t="s">
        <v>7175</v>
      </c>
      <c r="D2522" s="12" t="s">
        <v>7172</v>
      </c>
      <c r="E2522" s="12" t="s">
        <v>172</v>
      </c>
      <c r="F2522" s="12" t="s">
        <v>173</v>
      </c>
      <c r="G2522" s="12" t="s">
        <v>12</v>
      </c>
      <c r="H2522" s="12" t="s">
        <v>6377</v>
      </c>
      <c r="I2522" s="12"/>
      <c r="J2522" s="12" t="s">
        <v>92</v>
      </c>
      <c r="K2522" s="12"/>
      <c r="L2522" s="12"/>
      <c r="M2522" s="12" t="s">
        <v>174</v>
      </c>
      <c r="N2522" s="12"/>
      <c r="O2522" s="12" t="s">
        <v>175</v>
      </c>
      <c r="P2522" s="12" t="str">
        <f>HYPERLINK("https://ceds.ed.gov/cedselementdetails.aspx?termid=9019")</f>
        <v>https://ceds.ed.gov/cedselementdetails.aspx?termid=9019</v>
      </c>
      <c r="Q2522" s="12" t="str">
        <f>HYPERLINK("https://ceds.ed.gov/elementComment.aspx?elementName=Address Apartment Room or Suite Number &amp;elementID=9019", "Click here to submit comment")</f>
        <v>Click here to submit comment</v>
      </c>
    </row>
    <row r="2523" spans="1:17" ht="225" x14ac:dyDescent="0.25">
      <c r="A2523" s="12" t="s">
        <v>7295</v>
      </c>
      <c r="B2523" s="12" t="s">
        <v>7311</v>
      </c>
      <c r="C2523" s="12" t="s">
        <v>7175</v>
      </c>
      <c r="D2523" s="12" t="s">
        <v>7172</v>
      </c>
      <c r="E2523" s="12" t="s">
        <v>189</v>
      </c>
      <c r="F2523" s="12" t="s">
        <v>190</v>
      </c>
      <c r="G2523" s="12" t="s">
        <v>12</v>
      </c>
      <c r="H2523" s="12" t="s">
        <v>6377</v>
      </c>
      <c r="I2523" s="12"/>
      <c r="J2523" s="12" t="s">
        <v>142</v>
      </c>
      <c r="K2523" s="12"/>
      <c r="L2523" s="12"/>
      <c r="M2523" s="12" t="s">
        <v>191</v>
      </c>
      <c r="N2523" s="12"/>
      <c r="O2523" s="12" t="s">
        <v>192</v>
      </c>
      <c r="P2523" s="12" t="str">
        <f>HYPERLINK("https://ceds.ed.gov/cedselementdetails.aspx?termid=9269")</f>
        <v>https://ceds.ed.gov/cedselementdetails.aspx?termid=9269</v>
      </c>
      <c r="Q2523" s="12" t="str">
        <f>HYPERLINK("https://ceds.ed.gov/elementComment.aspx?elementName=Address Street Number and Name &amp;elementID=9269", "Click here to submit comment")</f>
        <v>Click here to submit comment</v>
      </c>
    </row>
    <row r="2524" spans="1:17" ht="225" x14ac:dyDescent="0.25">
      <c r="A2524" s="12" t="s">
        <v>7295</v>
      </c>
      <c r="B2524" s="12" t="s">
        <v>7311</v>
      </c>
      <c r="C2524" s="12" t="s">
        <v>7175</v>
      </c>
      <c r="D2524" s="12" t="s">
        <v>7172</v>
      </c>
      <c r="E2524" s="12" t="s">
        <v>176</v>
      </c>
      <c r="F2524" s="12" t="s">
        <v>177</v>
      </c>
      <c r="G2524" s="12" t="s">
        <v>12</v>
      </c>
      <c r="H2524" s="12" t="s">
        <v>6377</v>
      </c>
      <c r="I2524" s="12"/>
      <c r="J2524" s="12" t="s">
        <v>92</v>
      </c>
      <c r="K2524" s="12"/>
      <c r="L2524" s="12"/>
      <c r="M2524" s="12" t="s">
        <v>178</v>
      </c>
      <c r="N2524" s="12"/>
      <c r="O2524" s="12" t="s">
        <v>179</v>
      </c>
      <c r="P2524" s="12" t="str">
        <f>HYPERLINK("https://ceds.ed.gov/cedselementdetails.aspx?termid=9040")</f>
        <v>https://ceds.ed.gov/cedselementdetails.aspx?termid=9040</v>
      </c>
      <c r="Q2524" s="12" t="str">
        <f>HYPERLINK("https://ceds.ed.gov/elementComment.aspx?elementName=Address City &amp;elementID=9040", "Click here to submit comment")</f>
        <v>Click here to submit comment</v>
      </c>
    </row>
    <row r="2525" spans="1:17" ht="409.5" x14ac:dyDescent="0.25">
      <c r="A2525" s="12" t="s">
        <v>7295</v>
      </c>
      <c r="B2525" s="12" t="s">
        <v>7311</v>
      </c>
      <c r="C2525" s="12" t="s">
        <v>7175</v>
      </c>
      <c r="D2525" s="12" t="s">
        <v>7172</v>
      </c>
      <c r="E2525" s="12" t="s">
        <v>5898</v>
      </c>
      <c r="F2525" s="12" t="s">
        <v>5899</v>
      </c>
      <c r="G2525" s="13" t="s">
        <v>7120</v>
      </c>
      <c r="H2525" s="12" t="s">
        <v>6678</v>
      </c>
      <c r="I2525" s="12"/>
      <c r="J2525" s="12"/>
      <c r="K2525" s="12"/>
      <c r="L2525" s="12"/>
      <c r="M2525" s="12" t="s">
        <v>5900</v>
      </c>
      <c r="N2525" s="12"/>
      <c r="O2525" s="12" t="s">
        <v>5901</v>
      </c>
      <c r="P2525" s="12" t="str">
        <f>HYPERLINK("https://ceds.ed.gov/cedselementdetails.aspx?termid=9267")</f>
        <v>https://ceds.ed.gov/cedselementdetails.aspx?termid=9267</v>
      </c>
      <c r="Q2525" s="12" t="str">
        <f>HYPERLINK("https://ceds.ed.gov/elementComment.aspx?elementName=State Abbreviation &amp;elementID=9267", "Click here to submit comment")</f>
        <v>Click here to submit comment</v>
      </c>
    </row>
    <row r="2526" spans="1:17" ht="225" x14ac:dyDescent="0.25">
      <c r="A2526" s="12" t="s">
        <v>7295</v>
      </c>
      <c r="B2526" s="12" t="s">
        <v>7311</v>
      </c>
      <c r="C2526" s="12" t="s">
        <v>7175</v>
      </c>
      <c r="D2526" s="12" t="s">
        <v>7172</v>
      </c>
      <c r="E2526" s="12" t="s">
        <v>184</v>
      </c>
      <c r="F2526" s="12" t="s">
        <v>185</v>
      </c>
      <c r="G2526" s="12" t="s">
        <v>12</v>
      </c>
      <c r="H2526" s="12" t="s">
        <v>6377</v>
      </c>
      <c r="I2526" s="12"/>
      <c r="J2526" s="12" t="s">
        <v>186</v>
      </c>
      <c r="K2526" s="12"/>
      <c r="L2526" s="12"/>
      <c r="M2526" s="12" t="s">
        <v>187</v>
      </c>
      <c r="N2526" s="12"/>
      <c r="O2526" s="12" t="s">
        <v>188</v>
      </c>
      <c r="P2526" s="12" t="str">
        <f>HYPERLINK("https://ceds.ed.gov/cedselementdetails.aspx?termid=9214")</f>
        <v>https://ceds.ed.gov/cedselementdetails.aspx?termid=9214</v>
      </c>
      <c r="Q2526" s="12" t="str">
        <f>HYPERLINK("https://ceds.ed.gov/elementComment.aspx?elementName=Address Postal Code &amp;elementID=9214", "Click here to submit comment")</f>
        <v>Click here to submit comment</v>
      </c>
    </row>
    <row r="2527" spans="1:17" ht="225" x14ac:dyDescent="0.25">
      <c r="A2527" s="12" t="s">
        <v>7295</v>
      </c>
      <c r="B2527" s="12" t="s">
        <v>7311</v>
      </c>
      <c r="C2527" s="12" t="s">
        <v>7175</v>
      </c>
      <c r="D2527" s="12" t="s">
        <v>7172</v>
      </c>
      <c r="E2527" s="12" t="s">
        <v>180</v>
      </c>
      <c r="F2527" s="12" t="s">
        <v>181</v>
      </c>
      <c r="G2527" s="12" t="s">
        <v>12</v>
      </c>
      <c r="H2527" s="12" t="s">
        <v>6377</v>
      </c>
      <c r="I2527" s="12"/>
      <c r="J2527" s="12" t="s">
        <v>92</v>
      </c>
      <c r="K2527" s="12"/>
      <c r="L2527" s="12"/>
      <c r="M2527" s="12" t="s">
        <v>182</v>
      </c>
      <c r="N2527" s="12"/>
      <c r="O2527" s="12" t="s">
        <v>183</v>
      </c>
      <c r="P2527" s="12" t="str">
        <f>HYPERLINK("https://ceds.ed.gov/cedselementdetails.aspx?termid=9190")</f>
        <v>https://ceds.ed.gov/cedselementdetails.aspx?termid=9190</v>
      </c>
      <c r="Q2527" s="12" t="str">
        <f>HYPERLINK("https://ceds.ed.gov/elementComment.aspx?elementName=Address County Name &amp;elementID=9190", "Click here to submit comment")</f>
        <v>Click here to submit comment</v>
      </c>
    </row>
    <row r="2528" spans="1:17" ht="409.5" x14ac:dyDescent="0.25">
      <c r="A2528" s="12" t="s">
        <v>7295</v>
      </c>
      <c r="B2528" s="12" t="s">
        <v>7311</v>
      </c>
      <c r="C2528" s="12" t="s">
        <v>7175</v>
      </c>
      <c r="D2528" s="12" t="s">
        <v>7172</v>
      </c>
      <c r="E2528" s="12" t="s">
        <v>1934</v>
      </c>
      <c r="F2528" s="12" t="s">
        <v>1935</v>
      </c>
      <c r="G2528" s="13" t="s">
        <v>6829</v>
      </c>
      <c r="H2528" s="12" t="s">
        <v>6467</v>
      </c>
      <c r="I2528" s="12" t="s">
        <v>98</v>
      </c>
      <c r="J2528" s="12"/>
      <c r="K2528" s="12"/>
      <c r="L2528" s="14" t="s">
        <v>1936</v>
      </c>
      <c r="M2528" s="12" t="s">
        <v>1937</v>
      </c>
      <c r="N2528" s="12"/>
      <c r="O2528" s="12" t="s">
        <v>1938</v>
      </c>
      <c r="P2528" s="12" t="str">
        <f>HYPERLINK("https://ceds.ed.gov/cedselementdetails.aspx?termid=9050")</f>
        <v>https://ceds.ed.gov/cedselementdetails.aspx?termid=9050</v>
      </c>
      <c r="Q2528" s="12" t="str">
        <f>HYPERLINK("https://ceds.ed.gov/elementComment.aspx?elementName=Country Code &amp;elementID=9050", "Click here to submit comment")</f>
        <v>Click here to submit comment</v>
      </c>
    </row>
    <row r="2529" spans="1:17" ht="75" x14ac:dyDescent="0.25">
      <c r="A2529" s="12" t="s">
        <v>7295</v>
      </c>
      <c r="B2529" s="12" t="s">
        <v>7311</v>
      </c>
      <c r="C2529" s="12" t="s">
        <v>7175</v>
      </c>
      <c r="D2529" s="12" t="s">
        <v>7176</v>
      </c>
      <c r="E2529" s="12" t="s">
        <v>3693</v>
      </c>
      <c r="F2529" s="12" t="s">
        <v>3694</v>
      </c>
      <c r="G2529" s="12" t="s">
        <v>12</v>
      </c>
      <c r="H2529" s="12"/>
      <c r="I2529" s="12"/>
      <c r="J2529" s="12" t="s">
        <v>1201</v>
      </c>
      <c r="K2529" s="12"/>
      <c r="L2529" s="12"/>
      <c r="M2529" s="12" t="s">
        <v>3695</v>
      </c>
      <c r="N2529" s="12"/>
      <c r="O2529" s="12" t="s">
        <v>3693</v>
      </c>
      <c r="P2529" s="12" t="str">
        <f>HYPERLINK("https://ceds.ed.gov/cedselementdetails.aspx?termid=9599")</f>
        <v>https://ceds.ed.gov/cedselementdetails.aspx?termid=9599</v>
      </c>
      <c r="Q2529" s="12" t="str">
        <f>HYPERLINK("https://ceds.ed.gov/elementComment.aspx?elementName=Latitude &amp;elementID=9599", "Click here to submit comment")</f>
        <v>Click here to submit comment</v>
      </c>
    </row>
    <row r="2530" spans="1:17" ht="75" x14ac:dyDescent="0.25">
      <c r="A2530" s="12" t="s">
        <v>7295</v>
      </c>
      <c r="B2530" s="12" t="s">
        <v>7311</v>
      </c>
      <c r="C2530" s="12" t="s">
        <v>7175</v>
      </c>
      <c r="D2530" s="12" t="s">
        <v>7176</v>
      </c>
      <c r="E2530" s="12" t="s">
        <v>4361</v>
      </c>
      <c r="F2530" s="12" t="s">
        <v>4362</v>
      </c>
      <c r="G2530" s="12" t="s">
        <v>12</v>
      </c>
      <c r="H2530" s="12"/>
      <c r="I2530" s="12"/>
      <c r="J2530" s="12" t="s">
        <v>1201</v>
      </c>
      <c r="K2530" s="12"/>
      <c r="L2530" s="12"/>
      <c r="M2530" s="12" t="s">
        <v>4363</v>
      </c>
      <c r="N2530" s="12"/>
      <c r="O2530" s="12" t="s">
        <v>4361</v>
      </c>
      <c r="P2530" s="12" t="str">
        <f>HYPERLINK("https://ceds.ed.gov/cedselementdetails.aspx?termid=9600")</f>
        <v>https://ceds.ed.gov/cedselementdetails.aspx?termid=9600</v>
      </c>
      <c r="Q2530" s="12" t="str">
        <f>HYPERLINK("https://ceds.ed.gov/elementComment.aspx?elementName=Longitude &amp;elementID=9600", "Click here to submit comment")</f>
        <v>Click here to submit comment</v>
      </c>
    </row>
    <row r="2531" spans="1:17" ht="240" x14ac:dyDescent="0.25">
      <c r="A2531" s="12" t="s">
        <v>7295</v>
      </c>
      <c r="B2531" s="12" t="s">
        <v>7311</v>
      </c>
      <c r="C2531" s="12" t="s">
        <v>7178</v>
      </c>
      <c r="D2531" s="12" t="s">
        <v>7172</v>
      </c>
      <c r="E2531" s="12" t="s">
        <v>1571</v>
      </c>
      <c r="F2531" s="12" t="s">
        <v>1572</v>
      </c>
      <c r="G2531" s="12" t="s">
        <v>12</v>
      </c>
      <c r="H2531" s="12" t="s">
        <v>6432</v>
      </c>
      <c r="I2531" s="12"/>
      <c r="J2531" s="12" t="s">
        <v>73</v>
      </c>
      <c r="K2531" s="12"/>
      <c r="L2531" s="12"/>
      <c r="M2531" s="12" t="s">
        <v>1573</v>
      </c>
      <c r="N2531" s="12"/>
      <c r="O2531" s="12" t="s">
        <v>1571</v>
      </c>
      <c r="P2531" s="12" t="str">
        <f>HYPERLINK("https://ceds.ed.gov/cedselementdetails.aspx?termid=9033")</f>
        <v>https://ceds.ed.gov/cedselementdetails.aspx?termid=9033</v>
      </c>
      <c r="Q2531" s="12" t="str">
        <f>HYPERLINK("https://ceds.ed.gov/elementComment.aspx?elementName=Birthdate &amp;elementID=9033", "Click here to submit comment")</f>
        <v>Click here to submit comment</v>
      </c>
    </row>
    <row r="2532" spans="1:17" ht="255" x14ac:dyDescent="0.25">
      <c r="A2532" s="12" t="s">
        <v>7295</v>
      </c>
      <c r="B2532" s="12" t="s">
        <v>7311</v>
      </c>
      <c r="C2532" s="12" t="s">
        <v>7178</v>
      </c>
      <c r="D2532" s="12" t="s">
        <v>7172</v>
      </c>
      <c r="E2532" s="12" t="s">
        <v>5711</v>
      </c>
      <c r="F2532" s="12" t="s">
        <v>5712</v>
      </c>
      <c r="G2532" s="13" t="s">
        <v>7112</v>
      </c>
      <c r="H2532" s="12" t="s">
        <v>6666</v>
      </c>
      <c r="I2532" s="12"/>
      <c r="J2532" s="12"/>
      <c r="K2532" s="12"/>
      <c r="L2532" s="12" t="s">
        <v>5713</v>
      </c>
      <c r="M2532" s="12" t="s">
        <v>5714</v>
      </c>
      <c r="N2532" s="12"/>
      <c r="O2532" s="12" t="s">
        <v>5711</v>
      </c>
      <c r="P2532" s="12" t="str">
        <f>HYPERLINK("https://ceds.ed.gov/cedselementdetails.aspx?termid=9255")</f>
        <v>https://ceds.ed.gov/cedselementdetails.aspx?termid=9255</v>
      </c>
      <c r="Q2532" s="12" t="str">
        <f>HYPERLINK("https://ceds.ed.gov/elementComment.aspx?elementName=Sex &amp;elementID=9255", "Click here to submit comment")</f>
        <v>Click here to submit comment</v>
      </c>
    </row>
    <row r="2533" spans="1:17" ht="30" x14ac:dyDescent="0.25">
      <c r="A2533" s="18" t="s">
        <v>7295</v>
      </c>
      <c r="B2533" s="18" t="s">
        <v>7311</v>
      </c>
      <c r="C2533" s="18" t="s">
        <v>7178</v>
      </c>
      <c r="D2533" s="18" t="s">
        <v>7172</v>
      </c>
      <c r="E2533" s="18" t="s">
        <v>359</v>
      </c>
      <c r="F2533" s="18" t="s">
        <v>360</v>
      </c>
      <c r="G2533" s="20" t="s">
        <v>6749</v>
      </c>
      <c r="H2533" s="18" t="s">
        <v>6390</v>
      </c>
      <c r="I2533" s="18"/>
      <c r="J2533" s="18"/>
      <c r="K2533" s="18"/>
      <c r="L2533" s="12" t="s">
        <v>361</v>
      </c>
      <c r="M2533" s="18" t="s">
        <v>365</v>
      </c>
      <c r="N2533" s="18"/>
      <c r="O2533" s="18" t="s">
        <v>366</v>
      </c>
      <c r="P2533" s="18" t="str">
        <f>HYPERLINK("https://ceds.ed.gov/cedselementdetails.aspx?termid=9655")</f>
        <v>https://ceds.ed.gov/cedselementdetails.aspx?termid=9655</v>
      </c>
      <c r="Q2533" s="18" t="str">
        <f>HYPERLINK("https://ceds.ed.gov/elementComment.aspx?elementName=American Indian or Alaska Native &amp;elementID=9655", "Click here to submit comment")</f>
        <v>Click here to submit comment</v>
      </c>
    </row>
    <row r="2534" spans="1:17" x14ac:dyDescent="0.25">
      <c r="A2534" s="18"/>
      <c r="B2534" s="18"/>
      <c r="C2534" s="18"/>
      <c r="D2534" s="18"/>
      <c r="E2534" s="18"/>
      <c r="F2534" s="18"/>
      <c r="G2534" s="18"/>
      <c r="H2534" s="18"/>
      <c r="I2534" s="18"/>
      <c r="J2534" s="18"/>
      <c r="K2534" s="18"/>
      <c r="L2534" s="12"/>
      <c r="M2534" s="18"/>
      <c r="N2534" s="18"/>
      <c r="O2534" s="18"/>
      <c r="P2534" s="18"/>
      <c r="Q2534" s="18"/>
    </row>
    <row r="2535" spans="1:17" x14ac:dyDescent="0.25">
      <c r="A2535" s="18"/>
      <c r="B2535" s="18"/>
      <c r="C2535" s="18"/>
      <c r="D2535" s="18"/>
      <c r="E2535" s="18"/>
      <c r="F2535" s="18"/>
      <c r="G2535" s="18"/>
      <c r="H2535" s="18"/>
      <c r="I2535" s="18"/>
      <c r="J2535" s="18"/>
      <c r="K2535" s="18"/>
      <c r="L2535" s="12" t="s">
        <v>362</v>
      </c>
      <c r="M2535" s="18"/>
      <c r="N2535" s="18"/>
      <c r="O2535" s="18"/>
      <c r="P2535" s="18"/>
      <c r="Q2535" s="18"/>
    </row>
    <row r="2536" spans="1:17" ht="30" x14ac:dyDescent="0.25">
      <c r="A2536" s="18"/>
      <c r="B2536" s="18"/>
      <c r="C2536" s="18"/>
      <c r="D2536" s="18"/>
      <c r="E2536" s="18"/>
      <c r="F2536" s="18"/>
      <c r="G2536" s="18"/>
      <c r="H2536" s="18"/>
      <c r="I2536" s="18"/>
      <c r="J2536" s="18"/>
      <c r="K2536" s="18"/>
      <c r="L2536" s="12" t="s">
        <v>363</v>
      </c>
      <c r="M2536" s="18"/>
      <c r="N2536" s="18"/>
      <c r="O2536" s="18"/>
      <c r="P2536" s="18"/>
      <c r="Q2536" s="18"/>
    </row>
    <row r="2537" spans="1:17" x14ac:dyDescent="0.25">
      <c r="A2537" s="18"/>
      <c r="B2537" s="18"/>
      <c r="C2537" s="18"/>
      <c r="D2537" s="18"/>
      <c r="E2537" s="18"/>
      <c r="F2537" s="18"/>
      <c r="G2537" s="18"/>
      <c r="H2537" s="18"/>
      <c r="I2537" s="18"/>
      <c r="J2537" s="18"/>
      <c r="K2537" s="18"/>
      <c r="L2537" s="12" t="s">
        <v>364</v>
      </c>
      <c r="M2537" s="18"/>
      <c r="N2537" s="18"/>
      <c r="O2537" s="18"/>
      <c r="P2537" s="18"/>
      <c r="Q2537" s="18"/>
    </row>
    <row r="2538" spans="1:17" ht="30" x14ac:dyDescent="0.25">
      <c r="A2538" s="18" t="s">
        <v>7295</v>
      </c>
      <c r="B2538" s="18" t="s">
        <v>7311</v>
      </c>
      <c r="C2538" s="18" t="s">
        <v>7178</v>
      </c>
      <c r="D2538" s="18" t="s">
        <v>7172</v>
      </c>
      <c r="E2538" s="18" t="s">
        <v>401</v>
      </c>
      <c r="F2538" s="18" t="s">
        <v>402</v>
      </c>
      <c r="G2538" s="20" t="s">
        <v>6749</v>
      </c>
      <c r="H2538" s="18" t="s">
        <v>6390</v>
      </c>
      <c r="I2538" s="18"/>
      <c r="J2538" s="18"/>
      <c r="K2538" s="18"/>
      <c r="L2538" s="12" t="s">
        <v>361</v>
      </c>
      <c r="M2538" s="18" t="s">
        <v>403</v>
      </c>
      <c r="N2538" s="18"/>
      <c r="O2538" s="18" t="s">
        <v>401</v>
      </c>
      <c r="P2538" s="18" t="str">
        <f>HYPERLINK("https://ceds.ed.gov/cedselementdetails.aspx?termid=9656")</f>
        <v>https://ceds.ed.gov/cedselementdetails.aspx?termid=9656</v>
      </c>
      <c r="Q2538" s="18" t="str">
        <f>HYPERLINK("https://ceds.ed.gov/elementComment.aspx?elementName=Asian &amp;elementID=9656", "Click here to submit comment")</f>
        <v>Click here to submit comment</v>
      </c>
    </row>
    <row r="2539" spans="1:17" x14ac:dyDescent="0.25">
      <c r="A2539" s="18"/>
      <c r="B2539" s="18"/>
      <c r="C2539" s="18"/>
      <c r="D2539" s="18"/>
      <c r="E2539" s="18"/>
      <c r="F2539" s="18"/>
      <c r="G2539" s="18"/>
      <c r="H2539" s="18"/>
      <c r="I2539" s="18"/>
      <c r="J2539" s="18"/>
      <c r="K2539" s="18"/>
      <c r="L2539" s="12"/>
      <c r="M2539" s="18"/>
      <c r="N2539" s="18"/>
      <c r="O2539" s="18"/>
      <c r="P2539" s="18"/>
      <c r="Q2539" s="18"/>
    </row>
    <row r="2540" spans="1:17" x14ac:dyDescent="0.25">
      <c r="A2540" s="18"/>
      <c r="B2540" s="18"/>
      <c r="C2540" s="18"/>
      <c r="D2540" s="18"/>
      <c r="E2540" s="18"/>
      <c r="F2540" s="18"/>
      <c r="G2540" s="18"/>
      <c r="H2540" s="18"/>
      <c r="I2540" s="18"/>
      <c r="J2540" s="18"/>
      <c r="K2540" s="18"/>
      <c r="L2540" s="12" t="s">
        <v>362</v>
      </c>
      <c r="M2540" s="18"/>
      <c r="N2540" s="18"/>
      <c r="O2540" s="18"/>
      <c r="P2540" s="18"/>
      <c r="Q2540" s="18"/>
    </row>
    <row r="2541" spans="1:17" ht="30" x14ac:dyDescent="0.25">
      <c r="A2541" s="18"/>
      <c r="B2541" s="18"/>
      <c r="C2541" s="18"/>
      <c r="D2541" s="18"/>
      <c r="E2541" s="18"/>
      <c r="F2541" s="18"/>
      <c r="G2541" s="18"/>
      <c r="H2541" s="18"/>
      <c r="I2541" s="18"/>
      <c r="J2541" s="18"/>
      <c r="K2541" s="18"/>
      <c r="L2541" s="12" t="s">
        <v>363</v>
      </c>
      <c r="M2541" s="18"/>
      <c r="N2541" s="18"/>
      <c r="O2541" s="18"/>
      <c r="P2541" s="18"/>
      <c r="Q2541" s="18"/>
    </row>
    <row r="2542" spans="1:17" x14ac:dyDescent="0.25">
      <c r="A2542" s="18"/>
      <c r="B2542" s="18"/>
      <c r="C2542" s="18"/>
      <c r="D2542" s="18"/>
      <c r="E2542" s="18"/>
      <c r="F2542" s="18"/>
      <c r="G2542" s="18"/>
      <c r="H2542" s="18"/>
      <c r="I2542" s="18"/>
      <c r="J2542" s="18"/>
      <c r="K2542" s="18"/>
      <c r="L2542" s="12" t="s">
        <v>364</v>
      </c>
      <c r="M2542" s="18"/>
      <c r="N2542" s="18"/>
      <c r="O2542" s="18"/>
      <c r="P2542" s="18"/>
      <c r="Q2542" s="18"/>
    </row>
    <row r="2543" spans="1:17" ht="30" x14ac:dyDescent="0.25">
      <c r="A2543" s="18" t="s">
        <v>7295</v>
      </c>
      <c r="B2543" s="18" t="s">
        <v>7311</v>
      </c>
      <c r="C2543" s="18" t="s">
        <v>7178</v>
      </c>
      <c r="D2543" s="18" t="s">
        <v>7172</v>
      </c>
      <c r="E2543" s="18" t="s">
        <v>1579</v>
      </c>
      <c r="F2543" s="18" t="s">
        <v>1580</v>
      </c>
      <c r="G2543" s="20" t="s">
        <v>6749</v>
      </c>
      <c r="H2543" s="18" t="s">
        <v>6390</v>
      </c>
      <c r="I2543" s="18"/>
      <c r="J2543" s="18"/>
      <c r="K2543" s="18"/>
      <c r="L2543" s="12" t="s">
        <v>361</v>
      </c>
      <c r="M2543" s="18" t="s">
        <v>1581</v>
      </c>
      <c r="N2543" s="18"/>
      <c r="O2543" s="18" t="s">
        <v>1582</v>
      </c>
      <c r="P2543" s="18" t="str">
        <f>HYPERLINK("https://ceds.ed.gov/cedselementdetails.aspx?termid=9657")</f>
        <v>https://ceds.ed.gov/cedselementdetails.aspx?termid=9657</v>
      </c>
      <c r="Q2543" s="18" t="str">
        <f>HYPERLINK("https://ceds.ed.gov/elementComment.aspx?elementName=Black or African American &amp;elementID=9657", "Click here to submit comment")</f>
        <v>Click here to submit comment</v>
      </c>
    </row>
    <row r="2544" spans="1:17" x14ac:dyDescent="0.25">
      <c r="A2544" s="18"/>
      <c r="B2544" s="18"/>
      <c r="C2544" s="18"/>
      <c r="D2544" s="18"/>
      <c r="E2544" s="18"/>
      <c r="F2544" s="18"/>
      <c r="G2544" s="18"/>
      <c r="H2544" s="18"/>
      <c r="I2544" s="18"/>
      <c r="J2544" s="18"/>
      <c r="K2544" s="18"/>
      <c r="L2544" s="12"/>
      <c r="M2544" s="18"/>
      <c r="N2544" s="18"/>
      <c r="O2544" s="18"/>
      <c r="P2544" s="18"/>
      <c r="Q2544" s="18"/>
    </row>
    <row r="2545" spans="1:17" x14ac:dyDescent="0.25">
      <c r="A2545" s="18"/>
      <c r="B2545" s="18"/>
      <c r="C2545" s="18"/>
      <c r="D2545" s="18"/>
      <c r="E2545" s="18"/>
      <c r="F2545" s="18"/>
      <c r="G2545" s="18"/>
      <c r="H2545" s="18"/>
      <c r="I2545" s="18"/>
      <c r="J2545" s="18"/>
      <c r="K2545" s="18"/>
      <c r="L2545" s="12" t="s">
        <v>362</v>
      </c>
      <c r="M2545" s="18"/>
      <c r="N2545" s="18"/>
      <c r="O2545" s="18"/>
      <c r="P2545" s="18"/>
      <c r="Q2545" s="18"/>
    </row>
    <row r="2546" spans="1:17" ht="30" x14ac:dyDescent="0.25">
      <c r="A2546" s="18"/>
      <c r="B2546" s="18"/>
      <c r="C2546" s="18"/>
      <c r="D2546" s="18"/>
      <c r="E2546" s="18"/>
      <c r="F2546" s="18"/>
      <c r="G2546" s="18"/>
      <c r="H2546" s="18"/>
      <c r="I2546" s="18"/>
      <c r="J2546" s="18"/>
      <c r="K2546" s="18"/>
      <c r="L2546" s="12" t="s">
        <v>363</v>
      </c>
      <c r="M2546" s="18"/>
      <c r="N2546" s="18"/>
      <c r="O2546" s="18"/>
      <c r="P2546" s="18"/>
      <c r="Q2546" s="18"/>
    </row>
    <row r="2547" spans="1:17" x14ac:dyDescent="0.25">
      <c r="A2547" s="18"/>
      <c r="B2547" s="18"/>
      <c r="C2547" s="18"/>
      <c r="D2547" s="18"/>
      <c r="E2547" s="18"/>
      <c r="F2547" s="18"/>
      <c r="G2547" s="18"/>
      <c r="H2547" s="18"/>
      <c r="I2547" s="18"/>
      <c r="J2547" s="18"/>
      <c r="K2547" s="18"/>
      <c r="L2547" s="12" t="s">
        <v>364</v>
      </c>
      <c r="M2547" s="18"/>
      <c r="N2547" s="18"/>
      <c r="O2547" s="18"/>
      <c r="P2547" s="18"/>
      <c r="Q2547" s="18"/>
    </row>
    <row r="2548" spans="1:17" ht="30" x14ac:dyDescent="0.25">
      <c r="A2548" s="18" t="s">
        <v>7295</v>
      </c>
      <c r="B2548" s="18" t="s">
        <v>7311</v>
      </c>
      <c r="C2548" s="18" t="s">
        <v>7178</v>
      </c>
      <c r="D2548" s="18" t="s">
        <v>7172</v>
      </c>
      <c r="E2548" s="18" t="s">
        <v>4536</v>
      </c>
      <c r="F2548" s="18" t="s">
        <v>4537</v>
      </c>
      <c r="G2548" s="20" t="s">
        <v>6749</v>
      </c>
      <c r="H2548" s="18" t="s">
        <v>6390</v>
      </c>
      <c r="I2548" s="18"/>
      <c r="J2548" s="18"/>
      <c r="K2548" s="18"/>
      <c r="L2548" s="12" t="s">
        <v>361</v>
      </c>
      <c r="M2548" s="18" t="s">
        <v>4538</v>
      </c>
      <c r="N2548" s="18"/>
      <c r="O2548" s="18" t="s">
        <v>4539</v>
      </c>
      <c r="P2548" s="18" t="str">
        <f>HYPERLINK("https://ceds.ed.gov/cedselementdetails.aspx?termid=9658")</f>
        <v>https://ceds.ed.gov/cedselementdetails.aspx?termid=9658</v>
      </c>
      <c r="Q2548" s="18" t="str">
        <f>HYPERLINK("https://ceds.ed.gov/elementComment.aspx?elementName=Native Hawaiian or Other Pacific Islander &amp;elementID=9658", "Click here to submit comment")</f>
        <v>Click here to submit comment</v>
      </c>
    </row>
    <row r="2549" spans="1:17" x14ac:dyDescent="0.25">
      <c r="A2549" s="18"/>
      <c r="B2549" s="18"/>
      <c r="C2549" s="18"/>
      <c r="D2549" s="18"/>
      <c r="E2549" s="18"/>
      <c r="F2549" s="18"/>
      <c r="G2549" s="18"/>
      <c r="H2549" s="18"/>
      <c r="I2549" s="18"/>
      <c r="J2549" s="18"/>
      <c r="K2549" s="18"/>
      <c r="L2549" s="12"/>
      <c r="M2549" s="18"/>
      <c r="N2549" s="18"/>
      <c r="O2549" s="18"/>
      <c r="P2549" s="18"/>
      <c r="Q2549" s="18"/>
    </row>
    <row r="2550" spans="1:17" x14ac:dyDescent="0.25">
      <c r="A2550" s="18"/>
      <c r="B2550" s="18"/>
      <c r="C2550" s="18"/>
      <c r="D2550" s="18"/>
      <c r="E2550" s="18"/>
      <c r="F2550" s="18"/>
      <c r="G2550" s="18"/>
      <c r="H2550" s="18"/>
      <c r="I2550" s="18"/>
      <c r="J2550" s="18"/>
      <c r="K2550" s="18"/>
      <c r="L2550" s="12" t="s">
        <v>362</v>
      </c>
      <c r="M2550" s="18"/>
      <c r="N2550" s="18"/>
      <c r="O2550" s="18"/>
      <c r="P2550" s="18"/>
      <c r="Q2550" s="18"/>
    </row>
    <row r="2551" spans="1:17" ht="30" x14ac:dyDescent="0.25">
      <c r="A2551" s="18"/>
      <c r="B2551" s="18"/>
      <c r="C2551" s="18"/>
      <c r="D2551" s="18"/>
      <c r="E2551" s="18"/>
      <c r="F2551" s="18"/>
      <c r="G2551" s="18"/>
      <c r="H2551" s="18"/>
      <c r="I2551" s="18"/>
      <c r="J2551" s="18"/>
      <c r="K2551" s="18"/>
      <c r="L2551" s="12" t="s">
        <v>363</v>
      </c>
      <c r="M2551" s="18"/>
      <c r="N2551" s="18"/>
      <c r="O2551" s="18"/>
      <c r="P2551" s="18"/>
      <c r="Q2551" s="18"/>
    </row>
    <row r="2552" spans="1:17" x14ac:dyDescent="0.25">
      <c r="A2552" s="18"/>
      <c r="B2552" s="18"/>
      <c r="C2552" s="18"/>
      <c r="D2552" s="18"/>
      <c r="E2552" s="18"/>
      <c r="F2552" s="18"/>
      <c r="G2552" s="18"/>
      <c r="H2552" s="18"/>
      <c r="I2552" s="18"/>
      <c r="J2552" s="18"/>
      <c r="K2552" s="18"/>
      <c r="L2552" s="12" t="s">
        <v>364</v>
      </c>
      <c r="M2552" s="18"/>
      <c r="N2552" s="18"/>
      <c r="O2552" s="18"/>
      <c r="P2552" s="18"/>
      <c r="Q2552" s="18"/>
    </row>
    <row r="2553" spans="1:17" ht="30" x14ac:dyDescent="0.25">
      <c r="A2553" s="18" t="s">
        <v>7295</v>
      </c>
      <c r="B2553" s="18" t="s">
        <v>7311</v>
      </c>
      <c r="C2553" s="18" t="s">
        <v>7178</v>
      </c>
      <c r="D2553" s="18" t="s">
        <v>7172</v>
      </c>
      <c r="E2553" s="18" t="s">
        <v>6333</v>
      </c>
      <c r="F2553" s="18" t="s">
        <v>6334</v>
      </c>
      <c r="G2553" s="20" t="s">
        <v>6749</v>
      </c>
      <c r="H2553" s="18" t="s">
        <v>6390</v>
      </c>
      <c r="I2553" s="18"/>
      <c r="J2553" s="18"/>
      <c r="K2553" s="18"/>
      <c r="L2553" s="12" t="s">
        <v>361</v>
      </c>
      <c r="M2553" s="18" t="s">
        <v>6335</v>
      </c>
      <c r="N2553" s="18"/>
      <c r="O2553" s="18" t="s">
        <v>6333</v>
      </c>
      <c r="P2553" s="18" t="str">
        <f>HYPERLINK("https://ceds.ed.gov/cedselementdetails.aspx?termid=9659")</f>
        <v>https://ceds.ed.gov/cedselementdetails.aspx?termid=9659</v>
      </c>
      <c r="Q2553" s="18" t="str">
        <f>HYPERLINK("https://ceds.ed.gov/elementComment.aspx?elementName=White &amp;elementID=9659", "Click here to submit comment")</f>
        <v>Click here to submit comment</v>
      </c>
    </row>
    <row r="2554" spans="1:17" x14ac:dyDescent="0.25">
      <c r="A2554" s="18"/>
      <c r="B2554" s="18"/>
      <c r="C2554" s="18"/>
      <c r="D2554" s="18"/>
      <c r="E2554" s="18"/>
      <c r="F2554" s="18"/>
      <c r="G2554" s="18"/>
      <c r="H2554" s="18"/>
      <c r="I2554" s="18"/>
      <c r="J2554" s="18"/>
      <c r="K2554" s="18"/>
      <c r="L2554" s="12"/>
      <c r="M2554" s="18"/>
      <c r="N2554" s="18"/>
      <c r="O2554" s="18"/>
      <c r="P2554" s="18"/>
      <c r="Q2554" s="18"/>
    </row>
    <row r="2555" spans="1:17" x14ac:dyDescent="0.25">
      <c r="A2555" s="18"/>
      <c r="B2555" s="18"/>
      <c r="C2555" s="18"/>
      <c r="D2555" s="18"/>
      <c r="E2555" s="18"/>
      <c r="F2555" s="18"/>
      <c r="G2555" s="18"/>
      <c r="H2555" s="18"/>
      <c r="I2555" s="18"/>
      <c r="J2555" s="18"/>
      <c r="K2555" s="18"/>
      <c r="L2555" s="12" t="s">
        <v>362</v>
      </c>
      <c r="M2555" s="18"/>
      <c r="N2555" s="18"/>
      <c r="O2555" s="18"/>
      <c r="P2555" s="18"/>
      <c r="Q2555" s="18"/>
    </row>
    <row r="2556" spans="1:17" ht="30" x14ac:dyDescent="0.25">
      <c r="A2556" s="18"/>
      <c r="B2556" s="18"/>
      <c r="C2556" s="18"/>
      <c r="D2556" s="18"/>
      <c r="E2556" s="18"/>
      <c r="F2556" s="18"/>
      <c r="G2556" s="18"/>
      <c r="H2556" s="18"/>
      <c r="I2556" s="18"/>
      <c r="J2556" s="18"/>
      <c r="K2556" s="18"/>
      <c r="L2556" s="12" t="s">
        <v>363</v>
      </c>
      <c r="M2556" s="18"/>
      <c r="N2556" s="18"/>
      <c r="O2556" s="18"/>
      <c r="P2556" s="18"/>
      <c r="Q2556" s="18"/>
    </row>
    <row r="2557" spans="1:17" x14ac:dyDescent="0.25">
      <c r="A2557" s="18"/>
      <c r="B2557" s="18"/>
      <c r="C2557" s="18"/>
      <c r="D2557" s="18"/>
      <c r="E2557" s="18"/>
      <c r="F2557" s="18"/>
      <c r="G2557" s="18"/>
      <c r="H2557" s="18"/>
      <c r="I2557" s="18"/>
      <c r="J2557" s="18"/>
      <c r="K2557" s="18"/>
      <c r="L2557" s="12" t="s">
        <v>364</v>
      </c>
      <c r="M2557" s="18"/>
      <c r="N2557" s="18"/>
      <c r="O2557" s="18"/>
      <c r="P2557" s="18"/>
      <c r="Q2557" s="18"/>
    </row>
    <row r="2558" spans="1:17" ht="30" x14ac:dyDescent="0.25">
      <c r="A2558" s="18" t="s">
        <v>7295</v>
      </c>
      <c r="B2558" s="18" t="s">
        <v>7311</v>
      </c>
      <c r="C2558" s="18" t="s">
        <v>7178</v>
      </c>
      <c r="D2558" s="18" t="s">
        <v>7172</v>
      </c>
      <c r="E2558" s="18" t="s">
        <v>3227</v>
      </c>
      <c r="F2558" s="18" t="s">
        <v>3228</v>
      </c>
      <c r="G2558" s="20" t="s">
        <v>6749</v>
      </c>
      <c r="H2558" s="18" t="s">
        <v>6390</v>
      </c>
      <c r="I2558" s="18"/>
      <c r="J2558" s="18"/>
      <c r="K2558" s="18"/>
      <c r="L2558" s="12" t="s">
        <v>361</v>
      </c>
      <c r="M2558" s="18" t="s">
        <v>3229</v>
      </c>
      <c r="N2558" s="18"/>
      <c r="O2558" s="18" t="s">
        <v>3230</v>
      </c>
      <c r="P2558" s="18" t="str">
        <f>HYPERLINK("https://ceds.ed.gov/cedselementdetails.aspx?termid=9144")</f>
        <v>https://ceds.ed.gov/cedselementdetails.aspx?termid=9144</v>
      </c>
      <c r="Q2558" s="18" t="str">
        <f>HYPERLINK("https://ceds.ed.gov/elementComment.aspx?elementName=Hispanic or Latino Ethnicity &amp;elementID=9144", "Click here to submit comment")</f>
        <v>Click here to submit comment</v>
      </c>
    </row>
    <row r="2559" spans="1:17" x14ac:dyDescent="0.25">
      <c r="A2559" s="18"/>
      <c r="B2559" s="18"/>
      <c r="C2559" s="18"/>
      <c r="D2559" s="18"/>
      <c r="E2559" s="18"/>
      <c r="F2559" s="18"/>
      <c r="G2559" s="18"/>
      <c r="H2559" s="18"/>
      <c r="I2559" s="18"/>
      <c r="J2559" s="18"/>
      <c r="K2559" s="18"/>
      <c r="L2559" s="12"/>
      <c r="M2559" s="18"/>
      <c r="N2559" s="18"/>
      <c r="O2559" s="18"/>
      <c r="P2559" s="18"/>
      <c r="Q2559" s="18"/>
    </row>
    <row r="2560" spans="1:17" x14ac:dyDescent="0.25">
      <c r="A2560" s="18"/>
      <c r="B2560" s="18"/>
      <c r="C2560" s="18"/>
      <c r="D2560" s="18"/>
      <c r="E2560" s="18"/>
      <c r="F2560" s="18"/>
      <c r="G2560" s="18"/>
      <c r="H2560" s="18"/>
      <c r="I2560" s="18"/>
      <c r="J2560" s="18"/>
      <c r="K2560" s="18"/>
      <c r="L2560" s="12" t="s">
        <v>362</v>
      </c>
      <c r="M2560" s="18"/>
      <c r="N2560" s="18"/>
      <c r="O2560" s="18"/>
      <c r="P2560" s="18"/>
      <c r="Q2560" s="18"/>
    </row>
    <row r="2561" spans="1:17" ht="30" x14ac:dyDescent="0.25">
      <c r="A2561" s="18"/>
      <c r="B2561" s="18"/>
      <c r="C2561" s="18"/>
      <c r="D2561" s="18"/>
      <c r="E2561" s="18"/>
      <c r="F2561" s="18"/>
      <c r="G2561" s="18"/>
      <c r="H2561" s="18"/>
      <c r="I2561" s="18"/>
      <c r="J2561" s="18"/>
      <c r="K2561" s="18"/>
      <c r="L2561" s="12" t="s">
        <v>363</v>
      </c>
      <c r="M2561" s="18"/>
      <c r="N2561" s="18"/>
      <c r="O2561" s="18"/>
      <c r="P2561" s="18"/>
      <c r="Q2561" s="18"/>
    </row>
    <row r="2562" spans="1:17" x14ac:dyDescent="0.25">
      <c r="A2562" s="18"/>
      <c r="B2562" s="18"/>
      <c r="C2562" s="18"/>
      <c r="D2562" s="18"/>
      <c r="E2562" s="18"/>
      <c r="F2562" s="18"/>
      <c r="G2562" s="18"/>
      <c r="H2562" s="18"/>
      <c r="I2562" s="18"/>
      <c r="J2562" s="18"/>
      <c r="K2562" s="18"/>
      <c r="L2562" s="12" t="s">
        <v>364</v>
      </c>
      <c r="M2562" s="18"/>
      <c r="N2562" s="18"/>
      <c r="O2562" s="18"/>
      <c r="P2562" s="18"/>
      <c r="Q2562" s="18"/>
    </row>
    <row r="2563" spans="1:17" ht="105" x14ac:dyDescent="0.25">
      <c r="A2563" s="12" t="s">
        <v>7295</v>
      </c>
      <c r="B2563" s="12" t="s">
        <v>7311</v>
      </c>
      <c r="C2563" s="12" t="s">
        <v>7178</v>
      </c>
      <c r="D2563" s="12" t="s">
        <v>7172</v>
      </c>
      <c r="E2563" s="12" t="s">
        <v>6272</v>
      </c>
      <c r="F2563" s="12" t="s">
        <v>6273</v>
      </c>
      <c r="G2563" s="13" t="s">
        <v>7150</v>
      </c>
      <c r="H2563" s="12" t="s">
        <v>6698</v>
      </c>
      <c r="I2563" s="12"/>
      <c r="J2563" s="12"/>
      <c r="K2563" s="12"/>
      <c r="L2563" s="12" t="s">
        <v>5713</v>
      </c>
      <c r="M2563" s="12" t="s">
        <v>6274</v>
      </c>
      <c r="N2563" s="12"/>
      <c r="O2563" s="12" t="s">
        <v>6275</v>
      </c>
      <c r="P2563" s="12" t="str">
        <f>HYPERLINK("https://ceds.ed.gov/cedselementdetails.aspx?termid=9299")</f>
        <v>https://ceds.ed.gov/cedselementdetails.aspx?termid=9299</v>
      </c>
      <c r="Q2563" s="12" t="str">
        <f>HYPERLINK("https://ceds.ed.gov/elementComment.aspx?elementName=United States Citizenship Status &amp;elementID=9299", "Click here to submit comment")</f>
        <v>Click here to submit comment</v>
      </c>
    </row>
    <row r="2564" spans="1:17" ht="210" x14ac:dyDescent="0.25">
      <c r="A2564" s="12" t="s">
        <v>7295</v>
      </c>
      <c r="B2564" s="12" t="s">
        <v>7311</v>
      </c>
      <c r="C2564" s="12" t="s">
        <v>7234</v>
      </c>
      <c r="D2564" s="12" t="s">
        <v>7172</v>
      </c>
      <c r="E2564" s="12" t="s">
        <v>3222</v>
      </c>
      <c r="F2564" s="12" t="s">
        <v>3223</v>
      </c>
      <c r="G2564" s="12" t="s">
        <v>12</v>
      </c>
      <c r="H2564" s="12" t="s">
        <v>6563</v>
      </c>
      <c r="I2564" s="12"/>
      <c r="J2564" s="12" t="s">
        <v>73</v>
      </c>
      <c r="K2564" s="12"/>
      <c r="L2564" s="12" t="s">
        <v>3224</v>
      </c>
      <c r="M2564" s="12" t="s">
        <v>3225</v>
      </c>
      <c r="N2564" s="12"/>
      <c r="O2564" s="12" t="s">
        <v>3226</v>
      </c>
      <c r="P2564" s="12" t="str">
        <f>HYPERLINK("https://ceds.ed.gov/cedselementdetails.aspx?termid=9143")</f>
        <v>https://ceds.ed.gov/cedselementdetails.aspx?termid=9143</v>
      </c>
      <c r="Q2564" s="12" t="str">
        <f>HYPERLINK("https://ceds.ed.gov/elementComment.aspx?elementName=Hire Date &amp;elementID=9143", "Click here to submit comment")</f>
        <v>Click here to submit comment</v>
      </c>
    </row>
    <row r="2565" spans="1:17" ht="405" x14ac:dyDescent="0.25">
      <c r="A2565" s="12" t="s">
        <v>7295</v>
      </c>
      <c r="B2565" s="12" t="s">
        <v>7311</v>
      </c>
      <c r="C2565" s="12" t="s">
        <v>7234</v>
      </c>
      <c r="D2565" s="12" t="s">
        <v>7172</v>
      </c>
      <c r="E2565" s="12" t="s">
        <v>2822</v>
      </c>
      <c r="F2565" s="12" t="s">
        <v>2823</v>
      </c>
      <c r="G2565" s="12" t="s">
        <v>6364</v>
      </c>
      <c r="H2565" s="12" t="s">
        <v>37</v>
      </c>
      <c r="I2565" s="12"/>
      <c r="J2565" s="12"/>
      <c r="K2565" s="12"/>
      <c r="L2565" s="12" t="s">
        <v>2824</v>
      </c>
      <c r="M2565" s="12" t="s">
        <v>2825</v>
      </c>
      <c r="N2565" s="12"/>
      <c r="O2565" s="12" t="s">
        <v>2826</v>
      </c>
      <c r="P2565" s="12" t="str">
        <f>HYPERLINK("https://ceds.ed.gov/cedselementdetails.aspx?termid=9711")</f>
        <v>https://ceds.ed.gov/cedselementdetails.aspx?termid=9711</v>
      </c>
      <c r="Q2565" s="12" t="str">
        <f>HYPERLINK("https://ceds.ed.gov/elementComment.aspx?elementName=Faculty Status &amp;elementID=9711", "Click here to submit comment")</f>
        <v>Click here to submit comment</v>
      </c>
    </row>
    <row r="2566" spans="1:17" ht="180" x14ac:dyDescent="0.25">
      <c r="A2566" s="12" t="s">
        <v>7295</v>
      </c>
      <c r="B2566" s="12" t="s">
        <v>7311</v>
      </c>
      <c r="C2566" s="12" t="s">
        <v>7234</v>
      </c>
      <c r="D2566" s="12" t="s">
        <v>7172</v>
      </c>
      <c r="E2566" s="12" t="s">
        <v>3063</v>
      </c>
      <c r="F2566" s="12" t="s">
        <v>3064</v>
      </c>
      <c r="G2566" s="13" t="s">
        <v>6935</v>
      </c>
      <c r="H2566" s="12" t="s">
        <v>37</v>
      </c>
      <c r="I2566" s="12"/>
      <c r="J2566" s="12"/>
      <c r="K2566" s="12"/>
      <c r="L2566" s="12" t="s">
        <v>3065</v>
      </c>
      <c r="M2566" s="12" t="s">
        <v>3066</v>
      </c>
      <c r="N2566" s="12"/>
      <c r="O2566" s="12" t="s">
        <v>3067</v>
      </c>
      <c r="P2566" s="12" t="str">
        <f>HYPERLINK("https://ceds.ed.gov/cedselementdetails.aspx?termid=9713")</f>
        <v>https://ceds.ed.gov/cedselementdetails.aspx?termid=9713</v>
      </c>
      <c r="Q2566" s="12" t="str">
        <f>HYPERLINK("https://ceds.ed.gov/elementComment.aspx?elementName=Full-time Status &amp;elementID=9713", "Click here to submit comment")</f>
        <v>Click here to submit comment</v>
      </c>
    </row>
    <row r="2567" spans="1:17" ht="75" x14ac:dyDescent="0.25">
      <c r="A2567" s="12" t="s">
        <v>7295</v>
      </c>
      <c r="B2567" s="12" t="s">
        <v>7311</v>
      </c>
      <c r="C2567" s="12" t="s">
        <v>7234</v>
      </c>
      <c r="D2567" s="12" t="s">
        <v>7172</v>
      </c>
      <c r="E2567" s="12" t="s">
        <v>1908</v>
      </c>
      <c r="F2567" s="12" t="s">
        <v>1909</v>
      </c>
      <c r="G2567" s="13" t="s">
        <v>6825</v>
      </c>
      <c r="H2567" s="12" t="s">
        <v>37</v>
      </c>
      <c r="I2567" s="12"/>
      <c r="J2567" s="12"/>
      <c r="K2567" s="12"/>
      <c r="L2567" s="12" t="s">
        <v>1910</v>
      </c>
      <c r="M2567" s="12" t="s">
        <v>1911</v>
      </c>
      <c r="N2567" s="12"/>
      <c r="O2567" s="12" t="s">
        <v>1912</v>
      </c>
      <c r="P2567" s="12" t="str">
        <f>HYPERLINK("https://ceds.ed.gov/cedselementdetails.aspx?termid=9714")</f>
        <v>https://ceds.ed.gov/cedselementdetails.aspx?termid=9714</v>
      </c>
      <c r="Q2567" s="12" t="str">
        <f>HYPERLINK("https://ceds.ed.gov/elementComment.aspx?elementName=Contract Type &amp;elementID=9714", "Click here to submit comment")</f>
        <v>Click here to submit comment</v>
      </c>
    </row>
    <row r="2568" spans="1:17" ht="120" x14ac:dyDescent="0.25">
      <c r="A2568" s="12" t="s">
        <v>7295</v>
      </c>
      <c r="B2568" s="12" t="s">
        <v>7311</v>
      </c>
      <c r="C2568" s="12" t="s">
        <v>7234</v>
      </c>
      <c r="D2568" s="12" t="s">
        <v>7172</v>
      </c>
      <c r="E2568" s="12" t="s">
        <v>5884</v>
      </c>
      <c r="F2568" s="12" t="s">
        <v>5885</v>
      </c>
      <c r="G2568" s="12" t="s">
        <v>12</v>
      </c>
      <c r="H2568" s="12" t="s">
        <v>37</v>
      </c>
      <c r="I2568" s="12"/>
      <c r="J2568" s="12" t="s">
        <v>5886</v>
      </c>
      <c r="K2568" s="12"/>
      <c r="L2568" s="12"/>
      <c r="M2568" s="12" t="s">
        <v>5887</v>
      </c>
      <c r="N2568" s="12"/>
      <c r="O2568" s="12" t="s">
        <v>5888</v>
      </c>
      <c r="P2568" s="12" t="str">
        <f>HYPERLINK("https://ceds.ed.gov/cedselementdetails.aspx?termid=9707")</f>
        <v>https://ceds.ed.gov/cedselementdetails.aspx?termid=9707</v>
      </c>
      <c r="Q2568" s="12" t="str">
        <f>HYPERLINK("https://ceds.ed.gov/elementComment.aspx?elementName=Standard Occupational Classification &amp;elementID=9707", "Click here to submit comment")</f>
        <v>Click here to submit comment</v>
      </c>
    </row>
    <row r="2569" spans="1:17" ht="390" x14ac:dyDescent="0.25">
      <c r="A2569" s="12" t="s">
        <v>7295</v>
      </c>
      <c r="B2569" s="12" t="s">
        <v>7311</v>
      </c>
      <c r="C2569" s="12" t="s">
        <v>7234</v>
      </c>
      <c r="D2569" s="12" t="s">
        <v>7172</v>
      </c>
      <c r="E2569" s="12" t="s">
        <v>3626</v>
      </c>
      <c r="F2569" s="12" t="s">
        <v>3627</v>
      </c>
      <c r="G2569" s="13" t="s">
        <v>6982</v>
      </c>
      <c r="H2569" s="12" t="s">
        <v>37</v>
      </c>
      <c r="I2569" s="12"/>
      <c r="J2569" s="12"/>
      <c r="K2569" s="12"/>
      <c r="L2569" s="12" t="s">
        <v>3628</v>
      </c>
      <c r="M2569" s="12" t="s">
        <v>3629</v>
      </c>
      <c r="N2569" s="12"/>
      <c r="O2569" s="12" t="s">
        <v>3630</v>
      </c>
      <c r="P2569" s="12" t="str">
        <f>HYPERLINK("https://ceds.ed.gov/cedselementdetails.aspx?termid=9708")</f>
        <v>https://ceds.ed.gov/cedselementdetails.aspx?termid=9708</v>
      </c>
      <c r="Q2569" s="12" t="str">
        <f>HYPERLINK("https://ceds.ed.gov/elementComment.aspx?elementName=IPEDS Occupational Category &amp;elementID=9708", "Click here to submit comment")</f>
        <v>Click here to submit comment</v>
      </c>
    </row>
    <row r="2570" spans="1:17" ht="90" x14ac:dyDescent="0.25">
      <c r="A2570" s="12" t="s">
        <v>7295</v>
      </c>
      <c r="B2570" s="12" t="s">
        <v>7311</v>
      </c>
      <c r="C2570" s="12" t="s">
        <v>7234</v>
      </c>
      <c r="D2570" s="12" t="s">
        <v>7172</v>
      </c>
      <c r="E2570" s="12" t="s">
        <v>3578</v>
      </c>
      <c r="F2570" s="12" t="s">
        <v>3579</v>
      </c>
      <c r="G2570" s="12" t="s">
        <v>6364</v>
      </c>
      <c r="H2570" s="12"/>
      <c r="I2570" s="12"/>
      <c r="J2570" s="12"/>
      <c r="K2570" s="12"/>
      <c r="L2570" s="12" t="s">
        <v>2824</v>
      </c>
      <c r="M2570" s="12" t="s">
        <v>3580</v>
      </c>
      <c r="N2570" s="12"/>
      <c r="O2570" s="12" t="s">
        <v>3581</v>
      </c>
      <c r="P2570" s="12" t="str">
        <f>HYPERLINK("https://ceds.ed.gov/cedselementdetails.aspx?termid=9709")</f>
        <v>https://ceds.ed.gov/cedselementdetails.aspx?termid=9709</v>
      </c>
      <c r="Q2570" s="12" t="str">
        <f>HYPERLINK("https://ceds.ed.gov/elementComment.aspx?elementName=Instructional Staff Status &amp;elementID=9709", "Click here to submit comment")</f>
        <v>Click here to submit comment</v>
      </c>
    </row>
    <row r="2571" spans="1:17" ht="180" x14ac:dyDescent="0.25">
      <c r="A2571" s="12" t="s">
        <v>7295</v>
      </c>
      <c r="B2571" s="12" t="s">
        <v>7311</v>
      </c>
      <c r="C2571" s="12" t="s">
        <v>7234</v>
      </c>
      <c r="D2571" s="12" t="s">
        <v>7172</v>
      </c>
      <c r="E2571" s="12" t="s">
        <v>4384</v>
      </c>
      <c r="F2571" s="12" t="s">
        <v>4385</v>
      </c>
      <c r="G2571" s="12" t="s">
        <v>6364</v>
      </c>
      <c r="H2571" s="12" t="s">
        <v>37</v>
      </c>
      <c r="I2571" s="12"/>
      <c r="J2571" s="12"/>
      <c r="K2571" s="12"/>
      <c r="L2571" s="12" t="s">
        <v>2824</v>
      </c>
      <c r="M2571" s="12" t="s">
        <v>4386</v>
      </c>
      <c r="N2571" s="12"/>
      <c r="O2571" s="12" t="s">
        <v>4387</v>
      </c>
      <c r="P2571" s="12" t="str">
        <f>HYPERLINK("https://ceds.ed.gov/cedselementdetails.aspx?termid=9710")</f>
        <v>https://ceds.ed.gov/cedselementdetails.aspx?termid=9710</v>
      </c>
      <c r="Q2571" s="12" t="str">
        <f>HYPERLINK("https://ceds.ed.gov/elementComment.aspx?elementName=Medical School Staff Status &amp;elementID=9710", "Click here to submit comment")</f>
        <v>Click here to submit comment</v>
      </c>
    </row>
    <row r="2572" spans="1:17" ht="90" x14ac:dyDescent="0.25">
      <c r="A2572" s="12" t="s">
        <v>7295</v>
      </c>
      <c r="B2572" s="12" t="s">
        <v>7311</v>
      </c>
      <c r="C2572" s="12" t="s">
        <v>7234</v>
      </c>
      <c r="D2572" s="12" t="s">
        <v>7172</v>
      </c>
      <c r="E2572" s="12" t="s">
        <v>3569</v>
      </c>
      <c r="F2572" s="12" t="s">
        <v>3570</v>
      </c>
      <c r="G2572" s="13" t="s">
        <v>6978</v>
      </c>
      <c r="H2572" s="12" t="s">
        <v>37</v>
      </c>
      <c r="I2572" s="12"/>
      <c r="J2572" s="12"/>
      <c r="K2572" s="12"/>
      <c r="L2572" s="12" t="s">
        <v>3571</v>
      </c>
      <c r="M2572" s="12" t="s">
        <v>3572</v>
      </c>
      <c r="N2572" s="12"/>
      <c r="O2572" s="12" t="s">
        <v>3573</v>
      </c>
      <c r="P2572" s="12" t="str">
        <f>HYPERLINK("https://ceds.ed.gov/cedselementdetails.aspx?termid=9712")</f>
        <v>https://ceds.ed.gov/cedselementdetails.aspx?termid=9712</v>
      </c>
      <c r="Q2572" s="12" t="str">
        <f>HYPERLINK("https://ceds.ed.gov/elementComment.aspx?elementName=Instructional Staff Contract Length &amp;elementID=9712", "Click here to submit comment")</f>
        <v>Click here to submit comment</v>
      </c>
    </row>
    <row r="2573" spans="1:17" ht="105" x14ac:dyDescent="0.25">
      <c r="A2573" s="12" t="s">
        <v>7295</v>
      </c>
      <c r="B2573" s="12" t="s">
        <v>7311</v>
      </c>
      <c r="C2573" s="12" t="s">
        <v>7234</v>
      </c>
      <c r="D2573" s="12" t="s">
        <v>7172</v>
      </c>
      <c r="E2573" s="12" t="s">
        <v>3574</v>
      </c>
      <c r="F2573" s="12" t="s">
        <v>3575</v>
      </c>
      <c r="G2573" s="13" t="s">
        <v>6979</v>
      </c>
      <c r="H2573" s="12" t="s">
        <v>37</v>
      </c>
      <c r="I2573" s="12"/>
      <c r="J2573" s="12"/>
      <c r="K2573" s="12"/>
      <c r="L2573" s="12" t="s">
        <v>1910</v>
      </c>
      <c r="M2573" s="12" t="s">
        <v>3576</v>
      </c>
      <c r="N2573" s="12"/>
      <c r="O2573" s="12" t="s">
        <v>3577</v>
      </c>
      <c r="P2573" s="12" t="str">
        <f>HYPERLINK("https://ceds.ed.gov/cedselementdetails.aspx?termid=9716")</f>
        <v>https://ceds.ed.gov/cedselementdetails.aspx?termid=9716</v>
      </c>
      <c r="Q2573" s="12" t="str">
        <f>HYPERLINK("https://ceds.ed.gov/elementComment.aspx?elementName=Instructional Staff Faculty Tenure Status &amp;elementID=9716", "Click here to submit comment")</f>
        <v>Click here to submit comment</v>
      </c>
    </row>
    <row r="2574" spans="1:17" ht="135" x14ac:dyDescent="0.25">
      <c r="A2574" s="12" t="s">
        <v>7295</v>
      </c>
      <c r="B2574" s="12" t="s">
        <v>7311</v>
      </c>
      <c r="C2574" s="12" t="s">
        <v>7234</v>
      </c>
      <c r="D2574" s="12" t="s">
        <v>7172</v>
      </c>
      <c r="E2574" s="12" t="s">
        <v>31</v>
      </c>
      <c r="F2574" s="12" t="s">
        <v>32</v>
      </c>
      <c r="G2574" s="13" t="s">
        <v>6720</v>
      </c>
      <c r="H2574" s="12" t="s">
        <v>37</v>
      </c>
      <c r="I2574" s="12"/>
      <c r="J2574" s="12"/>
      <c r="K2574" s="12"/>
      <c r="L2574" s="12" t="s">
        <v>34</v>
      </c>
      <c r="M2574" s="12" t="s">
        <v>35</v>
      </c>
      <c r="N2574" s="12"/>
      <c r="O2574" s="12" t="s">
        <v>36</v>
      </c>
      <c r="P2574" s="12" t="str">
        <f>HYPERLINK("https://ceds.ed.gov/cedselementdetails.aspx?termid=9717")</f>
        <v>https://ceds.ed.gov/cedselementdetails.aspx?termid=9717</v>
      </c>
      <c r="Q2574" s="12" t="str">
        <f>HYPERLINK("https://ceds.ed.gov/elementComment.aspx?elementName=Academic Rank &amp;elementID=9717", "Click here to submit comment")</f>
        <v>Click here to submit comment</v>
      </c>
    </row>
    <row r="2575" spans="1:17" ht="120" x14ac:dyDescent="0.25">
      <c r="A2575" s="12" t="s">
        <v>7295</v>
      </c>
      <c r="B2575" s="12" t="s">
        <v>7311</v>
      </c>
      <c r="C2575" s="12" t="s">
        <v>7234</v>
      </c>
      <c r="D2575" s="12" t="s">
        <v>7172</v>
      </c>
      <c r="E2575" s="12" t="s">
        <v>3539</v>
      </c>
      <c r="F2575" s="12" t="s">
        <v>3540</v>
      </c>
      <c r="G2575" s="13" t="s">
        <v>6976</v>
      </c>
      <c r="H2575" s="12" t="s">
        <v>37</v>
      </c>
      <c r="I2575" s="12"/>
      <c r="J2575" s="12"/>
      <c r="K2575" s="12"/>
      <c r="L2575" s="12" t="s">
        <v>3541</v>
      </c>
      <c r="M2575" s="12" t="s">
        <v>3542</v>
      </c>
      <c r="N2575" s="12"/>
      <c r="O2575" s="12" t="s">
        <v>3543</v>
      </c>
      <c r="P2575" s="12" t="str">
        <f>HYPERLINK("https://ceds.ed.gov/cedselementdetails.aspx?termid=9719")</f>
        <v>https://ceds.ed.gov/cedselementdetails.aspx?termid=9719</v>
      </c>
      <c r="Q2575" s="12" t="str">
        <f>HYPERLINK("https://ceds.ed.gov/elementComment.aspx?elementName=Instruction Credit Type &amp;elementID=9719", "Click here to submit comment")</f>
        <v>Click here to submit comment</v>
      </c>
    </row>
    <row r="2576" spans="1:17" ht="150" x14ac:dyDescent="0.25">
      <c r="A2576" s="12" t="s">
        <v>7295</v>
      </c>
      <c r="B2576" s="12" t="s">
        <v>7311</v>
      </c>
      <c r="C2576" s="12" t="s">
        <v>7234</v>
      </c>
      <c r="D2576" s="12" t="s">
        <v>7172</v>
      </c>
      <c r="E2576" s="12" t="s">
        <v>3142</v>
      </c>
      <c r="F2576" s="12" t="s">
        <v>3143</v>
      </c>
      <c r="G2576" s="12" t="s">
        <v>6364</v>
      </c>
      <c r="H2576" s="12" t="s">
        <v>37</v>
      </c>
      <c r="I2576" s="12"/>
      <c r="J2576" s="12"/>
      <c r="K2576" s="12"/>
      <c r="L2576" s="12" t="s">
        <v>369</v>
      </c>
      <c r="M2576" s="12" t="s">
        <v>3144</v>
      </c>
      <c r="N2576" s="12"/>
      <c r="O2576" s="12" t="s">
        <v>3145</v>
      </c>
      <c r="P2576" s="12" t="str">
        <f>HYPERLINK("https://ceds.ed.gov/cedselementdetails.aspx?termid=9720")</f>
        <v>https://ceds.ed.gov/cedselementdetails.aspx?termid=9720</v>
      </c>
      <c r="Q2576" s="12" t="str">
        <f>HYPERLINK("https://ceds.ed.gov/elementComment.aspx?elementName=Graduate Assistant Status &amp;elementID=9720", "Click here to submit comment")</f>
        <v>Click here to submit comment</v>
      </c>
    </row>
    <row r="2577" spans="1:17" ht="195" x14ac:dyDescent="0.25">
      <c r="A2577" s="12" t="s">
        <v>7295</v>
      </c>
      <c r="B2577" s="12" t="s">
        <v>7311</v>
      </c>
      <c r="C2577" s="12" t="s">
        <v>7234</v>
      </c>
      <c r="D2577" s="12" t="s">
        <v>7172</v>
      </c>
      <c r="E2577" s="12" t="s">
        <v>3138</v>
      </c>
      <c r="F2577" s="12" t="s">
        <v>3139</v>
      </c>
      <c r="G2577" s="13" t="s">
        <v>6941</v>
      </c>
      <c r="H2577" s="12" t="s">
        <v>37</v>
      </c>
      <c r="I2577" s="12"/>
      <c r="J2577" s="12"/>
      <c r="K2577" s="12"/>
      <c r="L2577" s="12" t="s">
        <v>1910</v>
      </c>
      <c r="M2577" s="12" t="s">
        <v>3140</v>
      </c>
      <c r="N2577" s="12"/>
      <c r="O2577" s="12" t="s">
        <v>3141</v>
      </c>
      <c r="P2577" s="12" t="str">
        <f>HYPERLINK("https://ceds.ed.gov/cedselementdetails.aspx?termid=9721")</f>
        <v>https://ceds.ed.gov/cedselementdetails.aspx?termid=9721</v>
      </c>
      <c r="Q2577" s="12" t="str">
        <f>HYPERLINK("https://ceds.ed.gov/elementComment.aspx?elementName=Graduate Assistant IPEDS Occupation Category &amp;elementID=9721", "Click here to submit comment")</f>
        <v>Click here to submit comment</v>
      </c>
    </row>
    <row r="2578" spans="1:17" ht="30" x14ac:dyDescent="0.25">
      <c r="A2578" s="12" t="s">
        <v>7295</v>
      </c>
      <c r="B2578" s="12" t="s">
        <v>7311</v>
      </c>
      <c r="C2578" s="12" t="s">
        <v>7234</v>
      </c>
      <c r="D2578" s="12" t="s">
        <v>7172</v>
      </c>
      <c r="E2578" s="12" t="s">
        <v>367</v>
      </c>
      <c r="F2578" s="12" t="s">
        <v>368</v>
      </c>
      <c r="G2578" s="12" t="s">
        <v>12</v>
      </c>
      <c r="H2578" s="12" t="s">
        <v>37</v>
      </c>
      <c r="I2578" s="12"/>
      <c r="J2578" s="12" t="s">
        <v>317</v>
      </c>
      <c r="K2578" s="12"/>
      <c r="L2578" s="12" t="s">
        <v>369</v>
      </c>
      <c r="M2578" s="12" t="s">
        <v>370</v>
      </c>
      <c r="N2578" s="12"/>
      <c r="O2578" s="12" t="s">
        <v>371</v>
      </c>
      <c r="P2578" s="12" t="str">
        <f>HYPERLINK("https://ceds.ed.gov/cedselementdetails.aspx?termid=9722")</f>
        <v>https://ceds.ed.gov/cedselementdetails.aspx?termid=9722</v>
      </c>
      <c r="Q2578" s="12" t="str">
        <f>HYPERLINK("https://ceds.ed.gov/elementComment.aspx?elementName=Annual Base Contractual Salary &amp;elementID=9722", "Click here to submit comment")</f>
        <v>Click here to submit comment</v>
      </c>
    </row>
    <row r="2579" spans="1:17" ht="60" x14ac:dyDescent="0.25">
      <c r="A2579" s="12" t="s">
        <v>7295</v>
      </c>
      <c r="B2579" s="12" t="s">
        <v>7311</v>
      </c>
      <c r="C2579" s="12" t="s">
        <v>7234</v>
      </c>
      <c r="D2579" s="12" t="s">
        <v>7172</v>
      </c>
      <c r="E2579" s="12" t="s">
        <v>2691</v>
      </c>
      <c r="F2579" s="12" t="s">
        <v>2692</v>
      </c>
      <c r="G2579" s="12" t="s">
        <v>12</v>
      </c>
      <c r="H2579" s="12" t="s">
        <v>205</v>
      </c>
      <c r="I2579" s="12"/>
      <c r="J2579" s="12" t="s">
        <v>73</v>
      </c>
      <c r="K2579" s="12"/>
      <c r="L2579" s="12"/>
      <c r="M2579" s="12" t="s">
        <v>2693</v>
      </c>
      <c r="N2579" s="12"/>
      <c r="O2579" s="12" t="s">
        <v>2694</v>
      </c>
      <c r="P2579" s="12" t="str">
        <f>HYPERLINK("https://ceds.ed.gov/cedselementdetails.aspx?termid=9794")</f>
        <v>https://ceds.ed.gov/cedselementdetails.aspx?termid=9794</v>
      </c>
      <c r="Q2579" s="12" t="str">
        <f>HYPERLINK("https://ceds.ed.gov/elementComment.aspx?elementName=Employment End Date &amp;elementID=9794", "Click here to submit comment")</f>
        <v>Click here to submit comment</v>
      </c>
    </row>
    <row r="2580" spans="1:17" ht="60" x14ac:dyDescent="0.25">
      <c r="A2580" s="12" t="s">
        <v>7295</v>
      </c>
      <c r="B2580" s="12" t="s">
        <v>7311</v>
      </c>
      <c r="C2580" s="12" t="s">
        <v>7234</v>
      </c>
      <c r="D2580" s="12" t="s">
        <v>7172</v>
      </c>
      <c r="E2580" s="12" t="s">
        <v>2727</v>
      </c>
      <c r="F2580" s="12" t="s">
        <v>2728</v>
      </c>
      <c r="G2580" s="12" t="s">
        <v>12</v>
      </c>
      <c r="H2580" s="12" t="s">
        <v>6523</v>
      </c>
      <c r="I2580" s="12"/>
      <c r="J2580" s="12" t="s">
        <v>73</v>
      </c>
      <c r="K2580" s="12"/>
      <c r="L2580" s="12"/>
      <c r="M2580" s="12" t="s">
        <v>2729</v>
      </c>
      <c r="N2580" s="12"/>
      <c r="O2580" s="12" t="s">
        <v>2730</v>
      </c>
      <c r="P2580" s="12" t="str">
        <f>HYPERLINK("https://ceds.ed.gov/cedselementdetails.aspx?termid=9345")</f>
        <v>https://ceds.ed.gov/cedselementdetails.aspx?termid=9345</v>
      </c>
      <c r="Q2580" s="12" t="str">
        <f>HYPERLINK("https://ceds.ed.gov/elementComment.aspx?elementName=Employment Start Date &amp;elementID=9345", "Click here to submit comment")</f>
        <v>Click here to submit comment</v>
      </c>
    </row>
    <row r="2581" spans="1:17" ht="75" x14ac:dyDescent="0.25">
      <c r="A2581" s="12" t="s">
        <v>7295</v>
      </c>
      <c r="B2581" s="12" t="s">
        <v>7311</v>
      </c>
      <c r="C2581" s="12" t="s">
        <v>7235</v>
      </c>
      <c r="D2581" s="12" t="s">
        <v>7172</v>
      </c>
      <c r="E2581" s="12" t="s">
        <v>1655</v>
      </c>
      <c r="F2581" s="12" t="s">
        <v>1656</v>
      </c>
      <c r="G2581" s="12" t="s">
        <v>6364</v>
      </c>
      <c r="H2581" s="12"/>
      <c r="I2581" s="12"/>
      <c r="J2581" s="12"/>
      <c r="K2581" s="12"/>
      <c r="L2581" s="12"/>
      <c r="M2581" s="12" t="s">
        <v>1657</v>
      </c>
      <c r="N2581" s="12" t="s">
        <v>1658</v>
      </c>
      <c r="O2581" s="12" t="s">
        <v>1659</v>
      </c>
      <c r="P2581" s="12" t="str">
        <f>HYPERLINK("https://ceds.ed.gov/cedselementdetails.aspx?termid=10284")</f>
        <v>https://ceds.ed.gov/cedselementdetails.aspx?termid=10284</v>
      </c>
      <c r="Q2581" s="12" t="str">
        <f>HYPERLINK("https://ceds.ed.gov/elementComment.aspx?elementName=Career and Technical Education Instructor Industry Certification &amp;elementID=10284", "Click here to submit comment")</f>
        <v>Click here to submit comment</v>
      </c>
    </row>
    <row r="2582" spans="1:17" ht="90" x14ac:dyDescent="0.25">
      <c r="A2582" s="12" t="s">
        <v>7295</v>
      </c>
      <c r="B2582" s="12" t="s">
        <v>7311</v>
      </c>
      <c r="C2582" s="12" t="s">
        <v>7235</v>
      </c>
      <c r="D2582" s="12" t="s">
        <v>7172</v>
      </c>
      <c r="E2582" s="12" t="s">
        <v>2166</v>
      </c>
      <c r="F2582" s="12" t="s">
        <v>2167</v>
      </c>
      <c r="G2582" s="13" t="s">
        <v>6849</v>
      </c>
      <c r="H2582" s="12"/>
      <c r="I2582" s="12"/>
      <c r="J2582" s="12"/>
      <c r="K2582" s="12"/>
      <c r="L2582" s="12"/>
      <c r="M2582" s="12" t="s">
        <v>2168</v>
      </c>
      <c r="N2582" s="12"/>
      <c r="O2582" s="12" t="s">
        <v>2169</v>
      </c>
      <c r="P2582" s="12" t="str">
        <f>HYPERLINK("https://ceds.ed.gov/cedselementdetails.aspx?termid=9071")</f>
        <v>https://ceds.ed.gov/cedselementdetails.aspx?termid=9071</v>
      </c>
      <c r="Q2582" s="12" t="str">
        <f>HYPERLINK("https://ceds.ed.gov/elementComment.aspx?elementName=Credential Type &amp;elementID=9071", "Click here to submit comment")</f>
        <v>Click here to submit comment</v>
      </c>
    </row>
    <row r="2583" spans="1:17" ht="135" x14ac:dyDescent="0.25">
      <c r="A2583" s="12" t="s">
        <v>7295</v>
      </c>
      <c r="B2583" s="12" t="s">
        <v>7312</v>
      </c>
      <c r="C2583" s="12"/>
      <c r="D2583" s="12" t="s">
        <v>7172</v>
      </c>
      <c r="E2583" s="12" t="s">
        <v>244</v>
      </c>
      <c r="F2583" s="12" t="s">
        <v>245</v>
      </c>
      <c r="G2583" s="13" t="s">
        <v>6734</v>
      </c>
      <c r="H2583" s="12" t="s">
        <v>250</v>
      </c>
      <c r="I2583" s="12"/>
      <c r="J2583" s="12"/>
      <c r="K2583" s="12"/>
      <c r="L2583" s="12" t="s">
        <v>247</v>
      </c>
      <c r="M2583" s="12" t="s">
        <v>248</v>
      </c>
      <c r="N2583" s="12"/>
      <c r="O2583" s="12" t="s">
        <v>249</v>
      </c>
      <c r="P2583" s="12" t="str">
        <f>HYPERLINK("https://ceds.ed.gov/cedselementdetails.aspx?termid=9736")</f>
        <v>https://ceds.ed.gov/cedselementdetails.aspx?termid=9736</v>
      </c>
      <c r="Q2583" s="12" t="str">
        <f>HYPERLINK("https://ceds.ed.gov/elementComment.aspx?elementName=Admitted Student &amp;elementID=9736", "Click here to submit comment")</f>
        <v>Click here to submit comment</v>
      </c>
    </row>
    <row r="2584" spans="1:17" ht="180" x14ac:dyDescent="0.25">
      <c r="A2584" s="12" t="s">
        <v>7295</v>
      </c>
      <c r="B2584" s="12" t="s">
        <v>7312</v>
      </c>
      <c r="C2584" s="12"/>
      <c r="D2584" s="12" t="s">
        <v>7172</v>
      </c>
      <c r="E2584" s="12" t="s">
        <v>3103</v>
      </c>
      <c r="F2584" s="12" t="s">
        <v>3104</v>
      </c>
      <c r="G2584" s="12" t="s">
        <v>12</v>
      </c>
      <c r="H2584" s="12" t="s">
        <v>6548</v>
      </c>
      <c r="I2584" s="12"/>
      <c r="J2584" s="12" t="s">
        <v>3100</v>
      </c>
      <c r="K2584" s="12"/>
      <c r="L2584" s="12" t="s">
        <v>3105</v>
      </c>
      <c r="M2584" s="12" t="s">
        <v>3106</v>
      </c>
      <c r="N2584" s="12" t="s">
        <v>3107</v>
      </c>
      <c r="O2584" s="12" t="s">
        <v>3108</v>
      </c>
      <c r="P2584" s="12" t="str">
        <f>HYPERLINK("https://ceds.ed.gov/cedselementdetails.aspx?termid=9128")</f>
        <v>https://ceds.ed.gov/cedselementdetails.aspx?termid=9128</v>
      </c>
      <c r="Q2584" s="12" t="str">
        <f>HYPERLINK("https://ceds.ed.gov/elementComment.aspx?elementName=Grade Point Average Cumulative &amp;elementID=9128", "Click here to submit comment")</f>
        <v>Click here to submit comment</v>
      </c>
    </row>
    <row r="2585" spans="1:17" ht="105" x14ac:dyDescent="0.25">
      <c r="A2585" s="12" t="s">
        <v>7295</v>
      </c>
      <c r="B2585" s="12" t="s">
        <v>7312</v>
      </c>
      <c r="C2585" s="12"/>
      <c r="D2585" s="12" t="s">
        <v>7172</v>
      </c>
      <c r="E2585" s="12" t="s">
        <v>3109</v>
      </c>
      <c r="F2585" s="12" t="s">
        <v>3110</v>
      </c>
      <c r="G2585" s="13" t="s">
        <v>6938</v>
      </c>
      <c r="H2585" s="12" t="s">
        <v>250</v>
      </c>
      <c r="I2585" s="12"/>
      <c r="J2585" s="12"/>
      <c r="K2585" s="12"/>
      <c r="L2585" s="12" t="s">
        <v>3111</v>
      </c>
      <c r="M2585" s="12" t="s">
        <v>3112</v>
      </c>
      <c r="N2585" s="12" t="s">
        <v>3113</v>
      </c>
      <c r="O2585" s="12" t="s">
        <v>3114</v>
      </c>
      <c r="P2585" s="12" t="str">
        <f>HYPERLINK("https://ceds.ed.gov/cedselementdetails.aspx?termid=9739")</f>
        <v>https://ceds.ed.gov/cedselementdetails.aspx?termid=9739</v>
      </c>
      <c r="Q2585" s="12" t="str">
        <f>HYPERLINK("https://ceds.ed.gov/elementComment.aspx?elementName=Grade Point Average Domain &amp;elementID=9739", "Click here to submit comment")</f>
        <v>Click here to submit comment</v>
      </c>
    </row>
    <row r="2586" spans="1:17" ht="45" x14ac:dyDescent="0.25">
      <c r="A2586" s="12" t="s">
        <v>7295</v>
      </c>
      <c r="B2586" s="12" t="s">
        <v>7312</v>
      </c>
      <c r="C2586" s="12"/>
      <c r="D2586" s="12" t="s">
        <v>7172</v>
      </c>
      <c r="E2586" s="12" t="s">
        <v>3120</v>
      </c>
      <c r="F2586" s="12" t="s">
        <v>3121</v>
      </c>
      <c r="G2586" s="13" t="s">
        <v>6939</v>
      </c>
      <c r="H2586" s="12" t="s">
        <v>6550</v>
      </c>
      <c r="I2586" s="12"/>
      <c r="J2586" s="12"/>
      <c r="K2586" s="12"/>
      <c r="L2586" s="12"/>
      <c r="M2586" s="12" t="s">
        <v>3122</v>
      </c>
      <c r="N2586" s="12" t="s">
        <v>3123</v>
      </c>
      <c r="O2586" s="12" t="s">
        <v>3124</v>
      </c>
      <c r="P2586" s="12" t="str">
        <f>HYPERLINK("https://ceds.ed.gov/cedselementdetails.aspx?termid=9123")</f>
        <v>https://ceds.ed.gov/cedselementdetails.aspx?termid=9123</v>
      </c>
      <c r="Q2586" s="12" t="str">
        <f>HYPERLINK("https://ceds.ed.gov/elementComment.aspx?elementName=Grade Point Average Weighted Indicator &amp;elementID=9123", "Click here to submit comment")</f>
        <v>Click here to submit comment</v>
      </c>
    </row>
    <row r="2587" spans="1:17" ht="90" x14ac:dyDescent="0.25">
      <c r="A2587" s="18" t="s">
        <v>7295</v>
      </c>
      <c r="B2587" s="18" t="s">
        <v>7312</v>
      </c>
      <c r="C2587" s="18"/>
      <c r="D2587" s="18" t="s">
        <v>7172</v>
      </c>
      <c r="E2587" s="18" t="s">
        <v>3199</v>
      </c>
      <c r="F2587" s="18" t="s">
        <v>3200</v>
      </c>
      <c r="G2587" s="18" t="s">
        <v>12</v>
      </c>
      <c r="H2587" s="18" t="s">
        <v>250</v>
      </c>
      <c r="I2587" s="18"/>
      <c r="J2587" s="18" t="s">
        <v>789</v>
      </c>
      <c r="K2587" s="18"/>
      <c r="L2587" s="12" t="s">
        <v>3201</v>
      </c>
      <c r="M2587" s="18" t="s">
        <v>3203</v>
      </c>
      <c r="N2587" s="18"/>
      <c r="O2587" s="18" t="s">
        <v>3204</v>
      </c>
      <c r="P2587" s="18" t="str">
        <f>HYPERLINK("https://ceds.ed.gov/cedselementdetails.aspx?termid=9740")</f>
        <v>https://ceds.ed.gov/cedselementdetails.aspx?termid=9740</v>
      </c>
      <c r="Q2587" s="18" t="str">
        <f>HYPERLINK("https://ceds.ed.gov/elementComment.aspx?elementName=High School Percentile &amp;elementID=9740", "Click here to submit comment")</f>
        <v>Click here to submit comment</v>
      </c>
    </row>
    <row r="2588" spans="1:17" ht="45" x14ac:dyDescent="0.25">
      <c r="A2588" s="18"/>
      <c r="B2588" s="18"/>
      <c r="C2588" s="18"/>
      <c r="D2588" s="18"/>
      <c r="E2588" s="18"/>
      <c r="F2588" s="18"/>
      <c r="G2588" s="18"/>
      <c r="H2588" s="18"/>
      <c r="I2588" s="18"/>
      <c r="J2588" s="18"/>
      <c r="K2588" s="18"/>
      <c r="L2588" s="12" t="s">
        <v>3202</v>
      </c>
      <c r="M2588" s="18"/>
      <c r="N2588" s="18"/>
      <c r="O2588" s="18"/>
      <c r="P2588" s="18"/>
      <c r="Q2588" s="18"/>
    </row>
    <row r="2589" spans="1:17" ht="120" x14ac:dyDescent="0.25">
      <c r="A2589" s="12" t="s">
        <v>7295</v>
      </c>
      <c r="B2589" s="12" t="s">
        <v>7312</v>
      </c>
      <c r="C2589" s="12"/>
      <c r="D2589" s="12" t="s">
        <v>7172</v>
      </c>
      <c r="E2589" s="12" t="s">
        <v>3205</v>
      </c>
      <c r="F2589" s="12" t="s">
        <v>3206</v>
      </c>
      <c r="G2589" s="12" t="s">
        <v>12</v>
      </c>
      <c r="H2589" s="12" t="s">
        <v>6559</v>
      </c>
      <c r="I2589" s="12"/>
      <c r="J2589" s="12" t="s">
        <v>317</v>
      </c>
      <c r="K2589" s="12"/>
      <c r="L2589" s="12"/>
      <c r="M2589" s="12" t="s">
        <v>3207</v>
      </c>
      <c r="N2589" s="12"/>
      <c r="O2589" s="12" t="s">
        <v>3208</v>
      </c>
      <c r="P2589" s="12" t="str">
        <f>HYPERLINK("https://ceds.ed.gov/cedselementdetails.aspx?termid=9041")</f>
        <v>https://ceds.ed.gov/cedselementdetails.aspx?termid=9041</v>
      </c>
      <c r="Q2589" s="12" t="str">
        <f>HYPERLINK("https://ceds.ed.gov/elementComment.aspx?elementName=High School Student Class Rank &amp;elementID=9041", "Click here to submit comment")</f>
        <v>Click here to submit comment</v>
      </c>
    </row>
    <row r="2590" spans="1:17" ht="180" x14ac:dyDescent="0.25">
      <c r="A2590" s="12" t="s">
        <v>7295</v>
      </c>
      <c r="B2590" s="12" t="s">
        <v>7312</v>
      </c>
      <c r="C2590" s="12"/>
      <c r="D2590" s="12" t="s">
        <v>7172</v>
      </c>
      <c r="E2590" s="12" t="s">
        <v>4848</v>
      </c>
      <c r="F2590" s="12" t="s">
        <v>4849</v>
      </c>
      <c r="G2590" s="12" t="s">
        <v>6364</v>
      </c>
      <c r="H2590" s="12" t="s">
        <v>250</v>
      </c>
      <c r="I2590" s="12"/>
      <c r="J2590" s="12"/>
      <c r="K2590" s="12"/>
      <c r="L2590" s="12" t="s">
        <v>4850</v>
      </c>
      <c r="M2590" s="12" t="s">
        <v>4851</v>
      </c>
      <c r="N2590" s="12"/>
      <c r="O2590" s="12" t="s">
        <v>4852</v>
      </c>
      <c r="P2590" s="12" t="str">
        <f>HYPERLINK("https://ceds.ed.gov/cedselementdetails.aspx?termid=9735")</f>
        <v>https://ceds.ed.gov/cedselementdetails.aspx?termid=9735</v>
      </c>
      <c r="Q2590" s="12" t="str">
        <f>HYPERLINK("https://ceds.ed.gov/elementComment.aspx?elementName=Postsecondary Applicant &amp;elementID=9735", "Click here to submit comment")</f>
        <v>Click here to submit comment</v>
      </c>
    </row>
    <row r="2591" spans="1:17" ht="120" x14ac:dyDescent="0.25">
      <c r="A2591" s="12" t="s">
        <v>7295</v>
      </c>
      <c r="B2591" s="12" t="s">
        <v>7312</v>
      </c>
      <c r="C2591" s="12"/>
      <c r="D2591" s="12" t="s">
        <v>7172</v>
      </c>
      <c r="E2591" s="12" t="s">
        <v>5741</v>
      </c>
      <c r="F2591" s="12" t="s">
        <v>5742</v>
      </c>
      <c r="G2591" s="12" t="s">
        <v>12</v>
      </c>
      <c r="H2591" s="12" t="s">
        <v>6559</v>
      </c>
      <c r="I2591" s="12"/>
      <c r="J2591" s="12" t="s">
        <v>317</v>
      </c>
      <c r="K2591" s="12"/>
      <c r="L2591" s="12"/>
      <c r="M2591" s="12" t="s">
        <v>5743</v>
      </c>
      <c r="N2591" s="12"/>
      <c r="O2591" s="12" t="s">
        <v>5744</v>
      </c>
      <c r="P2591" s="12" t="str">
        <f>HYPERLINK("https://ceds.ed.gov/cedselementdetails.aspx?termid=9294")</f>
        <v>https://ceds.ed.gov/cedselementdetails.aspx?termid=9294</v>
      </c>
      <c r="Q2591" s="12" t="str">
        <f>HYPERLINK("https://ceds.ed.gov/elementComment.aspx?elementName=Size of High School Graduating Class &amp;elementID=9294", "Click here to submit comment")</f>
        <v>Click here to submit comment</v>
      </c>
    </row>
    <row r="2592" spans="1:17" ht="60" x14ac:dyDescent="0.25">
      <c r="A2592" s="12" t="s">
        <v>7295</v>
      </c>
      <c r="B2592" s="12" t="s">
        <v>7312</v>
      </c>
      <c r="C2592" s="12"/>
      <c r="D2592" s="12" t="s">
        <v>7172</v>
      </c>
      <c r="E2592" s="12" t="s">
        <v>6304</v>
      </c>
      <c r="F2592" s="12" t="s">
        <v>6305</v>
      </c>
      <c r="G2592" s="12" t="s">
        <v>6364</v>
      </c>
      <c r="H2592" s="12" t="s">
        <v>250</v>
      </c>
      <c r="I2592" s="12"/>
      <c r="J2592" s="12"/>
      <c r="K2592" s="12"/>
      <c r="L2592" s="12" t="s">
        <v>2991</v>
      </c>
      <c r="M2592" s="12" t="s">
        <v>6306</v>
      </c>
      <c r="N2592" s="12"/>
      <c r="O2592" s="12" t="s">
        <v>6307</v>
      </c>
      <c r="P2592" s="12" t="str">
        <f>HYPERLINK("https://ceds.ed.gov/cedselementdetails.aspx?termid=9738")</f>
        <v>https://ceds.ed.gov/cedselementdetails.aspx?termid=9738</v>
      </c>
      <c r="Q2592" s="12" t="str">
        <f>HYPERLINK("https://ceds.ed.gov/elementComment.aspx?elementName=Wait Listed Student &amp;elementID=9738", "Click here to submit comment")</f>
        <v>Click here to submit comment</v>
      </c>
    </row>
    <row r="2593" spans="1:17" ht="195" x14ac:dyDescent="0.25">
      <c r="A2593" s="12" t="s">
        <v>7295</v>
      </c>
      <c r="B2593" s="12" t="s">
        <v>7202</v>
      </c>
      <c r="C2593" s="12" t="s">
        <v>7171</v>
      </c>
      <c r="D2593" s="12" t="s">
        <v>7172</v>
      </c>
      <c r="E2593" s="12" t="s">
        <v>3017</v>
      </c>
      <c r="F2593" s="12" t="s">
        <v>3018</v>
      </c>
      <c r="G2593" s="12" t="s">
        <v>12</v>
      </c>
      <c r="H2593" s="12" t="s">
        <v>6540</v>
      </c>
      <c r="I2593" s="12"/>
      <c r="J2593" s="12" t="s">
        <v>1349</v>
      </c>
      <c r="K2593" s="12"/>
      <c r="L2593" s="12" t="s">
        <v>3019</v>
      </c>
      <c r="M2593" s="12" t="s">
        <v>3020</v>
      </c>
      <c r="N2593" s="12"/>
      <c r="O2593" s="12" t="s">
        <v>3021</v>
      </c>
      <c r="P2593" s="12" t="str">
        <f>HYPERLINK("https://ceds.ed.gov/cedselementdetails.aspx?termid=9115")</f>
        <v>https://ceds.ed.gov/cedselementdetails.aspx?termid=9115</v>
      </c>
      <c r="Q2593" s="12" t="str">
        <f>HYPERLINK("https://ceds.ed.gov/elementComment.aspx?elementName=First Name &amp;elementID=9115", "Click here to submit comment")</f>
        <v>Click here to submit comment</v>
      </c>
    </row>
    <row r="2594" spans="1:17" x14ac:dyDescent="0.25">
      <c r="A2594" s="18" t="s">
        <v>7295</v>
      </c>
      <c r="B2594" s="18" t="s">
        <v>7202</v>
      </c>
      <c r="C2594" s="18" t="s">
        <v>7171</v>
      </c>
      <c r="D2594" s="18" t="s">
        <v>7172</v>
      </c>
      <c r="E2594" s="18" t="s">
        <v>4405</v>
      </c>
      <c r="F2594" s="18" t="s">
        <v>4406</v>
      </c>
      <c r="G2594" s="18" t="s">
        <v>12</v>
      </c>
      <c r="H2594" s="18" t="s">
        <v>6540</v>
      </c>
      <c r="I2594" s="18"/>
      <c r="J2594" s="18" t="s">
        <v>1349</v>
      </c>
      <c r="K2594" s="18"/>
      <c r="L2594" s="12" t="s">
        <v>3078</v>
      </c>
      <c r="M2594" s="18" t="s">
        <v>4407</v>
      </c>
      <c r="N2594" s="18"/>
      <c r="O2594" s="18" t="s">
        <v>4408</v>
      </c>
      <c r="P2594" s="18" t="str">
        <f>HYPERLINK("https://ceds.ed.gov/cedselementdetails.aspx?termid=9184")</f>
        <v>https://ceds.ed.gov/cedselementdetails.aspx?termid=9184</v>
      </c>
      <c r="Q2594" s="18" t="str">
        <f>HYPERLINK("https://ceds.ed.gov/elementComment.aspx?elementName=Middle Name &amp;elementID=9184", "Click here to submit comment")</f>
        <v>Click here to submit comment</v>
      </c>
    </row>
    <row r="2595" spans="1:17" ht="90" x14ac:dyDescent="0.25">
      <c r="A2595" s="18"/>
      <c r="B2595" s="18"/>
      <c r="C2595" s="18"/>
      <c r="D2595" s="18"/>
      <c r="E2595" s="18"/>
      <c r="F2595" s="18"/>
      <c r="G2595" s="18"/>
      <c r="H2595" s="18"/>
      <c r="I2595" s="18"/>
      <c r="J2595" s="18"/>
      <c r="K2595" s="18"/>
      <c r="L2595" s="12" t="s">
        <v>3079</v>
      </c>
      <c r="M2595" s="18"/>
      <c r="N2595" s="18"/>
      <c r="O2595" s="18"/>
      <c r="P2595" s="18"/>
      <c r="Q2595" s="18"/>
    </row>
    <row r="2596" spans="1:17" x14ac:dyDescent="0.25">
      <c r="A2596" s="18" t="s">
        <v>7295</v>
      </c>
      <c r="B2596" s="18" t="s">
        <v>7202</v>
      </c>
      <c r="C2596" s="18" t="s">
        <v>7171</v>
      </c>
      <c r="D2596" s="18" t="s">
        <v>7172</v>
      </c>
      <c r="E2596" s="18" t="s">
        <v>3684</v>
      </c>
      <c r="F2596" s="18" t="s">
        <v>3685</v>
      </c>
      <c r="G2596" s="18" t="s">
        <v>12</v>
      </c>
      <c r="H2596" s="18" t="s">
        <v>6540</v>
      </c>
      <c r="I2596" s="18"/>
      <c r="J2596" s="18" t="s">
        <v>1349</v>
      </c>
      <c r="K2596" s="18"/>
      <c r="L2596" s="12" t="s">
        <v>3078</v>
      </c>
      <c r="M2596" s="18" t="s">
        <v>3686</v>
      </c>
      <c r="N2596" s="18" t="s">
        <v>3687</v>
      </c>
      <c r="O2596" s="18" t="s">
        <v>3688</v>
      </c>
      <c r="P2596" s="18" t="str">
        <f>HYPERLINK("https://ceds.ed.gov/cedselementdetails.aspx?termid=9172")</f>
        <v>https://ceds.ed.gov/cedselementdetails.aspx?termid=9172</v>
      </c>
      <c r="Q2596" s="18" t="str">
        <f>HYPERLINK("https://ceds.ed.gov/elementComment.aspx?elementName=Last or Surname &amp;elementID=9172", "Click here to submit comment")</f>
        <v>Click here to submit comment</v>
      </c>
    </row>
    <row r="2597" spans="1:17" ht="90" x14ac:dyDescent="0.25">
      <c r="A2597" s="18"/>
      <c r="B2597" s="18"/>
      <c r="C2597" s="18"/>
      <c r="D2597" s="18"/>
      <c r="E2597" s="18"/>
      <c r="F2597" s="18"/>
      <c r="G2597" s="18"/>
      <c r="H2597" s="18"/>
      <c r="I2597" s="18"/>
      <c r="J2597" s="18"/>
      <c r="K2597" s="18"/>
      <c r="L2597" s="12" t="s">
        <v>3079</v>
      </c>
      <c r="M2597" s="18"/>
      <c r="N2597" s="18"/>
      <c r="O2597" s="18"/>
      <c r="P2597" s="18"/>
      <c r="Q2597" s="18"/>
    </row>
    <row r="2598" spans="1:17" x14ac:dyDescent="0.25">
      <c r="A2598" s="18" t="s">
        <v>7295</v>
      </c>
      <c r="B2598" s="18" t="s">
        <v>7202</v>
      </c>
      <c r="C2598" s="18" t="s">
        <v>7171</v>
      </c>
      <c r="D2598" s="18" t="s">
        <v>7172</v>
      </c>
      <c r="E2598" s="18" t="s">
        <v>3076</v>
      </c>
      <c r="F2598" s="18" t="s">
        <v>3077</v>
      </c>
      <c r="G2598" s="18" t="s">
        <v>12</v>
      </c>
      <c r="H2598" s="18" t="s">
        <v>6543</v>
      </c>
      <c r="I2598" s="18"/>
      <c r="J2598" s="18" t="s">
        <v>2143</v>
      </c>
      <c r="K2598" s="18"/>
      <c r="L2598" s="12" t="s">
        <v>3078</v>
      </c>
      <c r="M2598" s="18" t="s">
        <v>3080</v>
      </c>
      <c r="N2598" s="18"/>
      <c r="O2598" s="18" t="s">
        <v>3081</v>
      </c>
      <c r="P2598" s="18" t="str">
        <f>HYPERLINK("https://ceds.ed.gov/cedselementdetails.aspx?termid=9121")</f>
        <v>https://ceds.ed.gov/cedselementdetails.aspx?termid=9121</v>
      </c>
      <c r="Q2598" s="18" t="str">
        <f>HYPERLINK("https://ceds.ed.gov/elementComment.aspx?elementName=Generation Code or Suffix &amp;elementID=9121", "Click here to submit comment")</f>
        <v>Click here to submit comment</v>
      </c>
    </row>
    <row r="2599" spans="1:17" ht="90" x14ac:dyDescent="0.25">
      <c r="A2599" s="18"/>
      <c r="B2599" s="18"/>
      <c r="C2599" s="18"/>
      <c r="D2599" s="18"/>
      <c r="E2599" s="18"/>
      <c r="F2599" s="18"/>
      <c r="G2599" s="18"/>
      <c r="H2599" s="18"/>
      <c r="I2599" s="18"/>
      <c r="J2599" s="18"/>
      <c r="K2599" s="18"/>
      <c r="L2599" s="12" t="s">
        <v>3079</v>
      </c>
      <c r="M2599" s="18"/>
      <c r="N2599" s="18"/>
      <c r="O2599" s="18"/>
      <c r="P2599" s="18"/>
      <c r="Q2599" s="18"/>
    </row>
    <row r="2600" spans="1:17" ht="105" x14ac:dyDescent="0.25">
      <c r="A2600" s="12" t="s">
        <v>7295</v>
      </c>
      <c r="B2600" s="12" t="s">
        <v>7202</v>
      </c>
      <c r="C2600" s="12" t="s">
        <v>7171</v>
      </c>
      <c r="D2600" s="12" t="s">
        <v>7172</v>
      </c>
      <c r="E2600" s="12" t="s">
        <v>4835</v>
      </c>
      <c r="F2600" s="12" t="s">
        <v>4836</v>
      </c>
      <c r="G2600" s="12" t="s">
        <v>12</v>
      </c>
      <c r="H2600" s="12" t="s">
        <v>6627</v>
      </c>
      <c r="I2600" s="12"/>
      <c r="J2600" s="12" t="s">
        <v>92</v>
      </c>
      <c r="K2600" s="12"/>
      <c r="L2600" s="12"/>
      <c r="M2600" s="12" t="s">
        <v>4837</v>
      </c>
      <c r="N2600" s="12" t="s">
        <v>4838</v>
      </c>
      <c r="O2600" s="12" t="s">
        <v>4839</v>
      </c>
      <c r="P2600" s="12" t="str">
        <f>HYPERLINK("https://ceds.ed.gov/cedselementdetails.aspx?termid=9212")</f>
        <v>https://ceds.ed.gov/cedselementdetails.aspx?termid=9212</v>
      </c>
      <c r="Q2600" s="12" t="str">
        <f>HYPERLINK("https://ceds.ed.gov/elementComment.aspx?elementName=Personal Title or Prefix &amp;elementID=9212", "Click here to submit comment")</f>
        <v>Click here to submit comment</v>
      </c>
    </row>
    <row r="2601" spans="1:17" ht="30" x14ac:dyDescent="0.25">
      <c r="A2601" s="12" t="s">
        <v>7295</v>
      </c>
      <c r="B2601" s="12" t="s">
        <v>7202</v>
      </c>
      <c r="C2601" s="12" t="s">
        <v>7173</v>
      </c>
      <c r="D2601" s="12" t="s">
        <v>7172</v>
      </c>
      <c r="E2601" s="12" t="s">
        <v>4705</v>
      </c>
      <c r="F2601" s="12" t="s">
        <v>4706</v>
      </c>
      <c r="G2601" s="12" t="s">
        <v>12</v>
      </c>
      <c r="H2601" s="12"/>
      <c r="I2601" s="12"/>
      <c r="J2601" s="12" t="s">
        <v>1349</v>
      </c>
      <c r="K2601" s="12"/>
      <c r="L2601" s="12" t="s">
        <v>4707</v>
      </c>
      <c r="M2601" s="12" t="s">
        <v>4708</v>
      </c>
      <c r="N2601" s="12"/>
      <c r="O2601" s="12" t="s">
        <v>4709</v>
      </c>
      <c r="P2601" s="12" t="str">
        <f>HYPERLINK("https://ceds.ed.gov/cedselementdetails.aspx?termid=10486")</f>
        <v>https://ceds.ed.gov/cedselementdetails.aspx?termid=10486</v>
      </c>
      <c r="Q2601" s="12" t="str">
        <f>HYPERLINK("https://ceds.ed.gov/elementComment.aspx?elementName=Other First Name &amp;elementID=10486", "Click here to submit comment")</f>
        <v>Click here to submit comment</v>
      </c>
    </row>
    <row r="2602" spans="1:17" ht="30" x14ac:dyDescent="0.25">
      <c r="A2602" s="12" t="s">
        <v>7295</v>
      </c>
      <c r="B2602" s="12" t="s">
        <v>7202</v>
      </c>
      <c r="C2602" s="12" t="s">
        <v>7173</v>
      </c>
      <c r="D2602" s="12" t="s">
        <v>7172</v>
      </c>
      <c r="E2602" s="12" t="s">
        <v>4710</v>
      </c>
      <c r="F2602" s="12" t="s">
        <v>4711</v>
      </c>
      <c r="G2602" s="12" t="s">
        <v>12</v>
      </c>
      <c r="H2602" s="12"/>
      <c r="I2602" s="12"/>
      <c r="J2602" s="12" t="s">
        <v>1349</v>
      </c>
      <c r="K2602" s="12"/>
      <c r="L2602" s="12" t="s">
        <v>4712</v>
      </c>
      <c r="M2602" s="12" t="s">
        <v>4713</v>
      </c>
      <c r="N2602" s="12"/>
      <c r="O2602" s="12" t="s">
        <v>4714</v>
      </c>
      <c r="P2602" s="12" t="str">
        <f>HYPERLINK("https://ceds.ed.gov/cedselementdetails.aspx?termid=10485")</f>
        <v>https://ceds.ed.gov/cedselementdetails.aspx?termid=10485</v>
      </c>
      <c r="Q2602" s="12" t="str">
        <f>HYPERLINK("https://ceds.ed.gov/elementComment.aspx?elementName=Other Last Name &amp;elementID=10485", "Click here to submit comment")</f>
        <v>Click here to submit comment</v>
      </c>
    </row>
    <row r="2603" spans="1:17" ht="30" x14ac:dyDescent="0.25">
      <c r="A2603" s="12" t="s">
        <v>7295</v>
      </c>
      <c r="B2603" s="12" t="s">
        <v>7202</v>
      </c>
      <c r="C2603" s="12" t="s">
        <v>7173</v>
      </c>
      <c r="D2603" s="12" t="s">
        <v>7172</v>
      </c>
      <c r="E2603" s="12" t="s">
        <v>4715</v>
      </c>
      <c r="F2603" s="12" t="s">
        <v>4716</v>
      </c>
      <c r="G2603" s="12" t="s">
        <v>12</v>
      </c>
      <c r="H2603" s="12"/>
      <c r="I2603" s="12"/>
      <c r="J2603" s="12" t="s">
        <v>1349</v>
      </c>
      <c r="K2603" s="12"/>
      <c r="L2603" s="12" t="s">
        <v>4717</v>
      </c>
      <c r="M2603" s="12" t="s">
        <v>4718</v>
      </c>
      <c r="N2603" s="12"/>
      <c r="O2603" s="12" t="s">
        <v>4719</v>
      </c>
      <c r="P2603" s="12" t="str">
        <f>HYPERLINK("https://ceds.ed.gov/cedselementdetails.aspx?termid=10487")</f>
        <v>https://ceds.ed.gov/cedselementdetails.aspx?termid=10487</v>
      </c>
      <c r="Q2603" s="12" t="str">
        <f>HYPERLINK("https://ceds.ed.gov/elementComment.aspx?elementName=Other Middle Name &amp;elementID=10487", "Click here to submit comment")</f>
        <v>Click here to submit comment</v>
      </c>
    </row>
    <row r="2604" spans="1:17" ht="150" x14ac:dyDescent="0.25">
      <c r="A2604" s="12" t="s">
        <v>7295</v>
      </c>
      <c r="B2604" s="12" t="s">
        <v>7202</v>
      </c>
      <c r="C2604" s="12" t="s">
        <v>7173</v>
      </c>
      <c r="D2604" s="12" t="s">
        <v>7172</v>
      </c>
      <c r="E2604" s="12" t="s">
        <v>4720</v>
      </c>
      <c r="F2604" s="12" t="s">
        <v>4721</v>
      </c>
      <c r="G2604" s="12" t="s">
        <v>12</v>
      </c>
      <c r="H2604" s="12" t="s">
        <v>6543</v>
      </c>
      <c r="I2604" s="12"/>
      <c r="J2604" s="12" t="s">
        <v>142</v>
      </c>
      <c r="K2604" s="12"/>
      <c r="L2604" s="12"/>
      <c r="M2604" s="12" t="s">
        <v>4722</v>
      </c>
      <c r="N2604" s="12"/>
      <c r="O2604" s="12" t="s">
        <v>4723</v>
      </c>
      <c r="P2604" s="12" t="str">
        <f>HYPERLINK("https://ceds.ed.gov/cedselementdetails.aspx?termid=9206")</f>
        <v>https://ceds.ed.gov/cedselementdetails.aspx?termid=9206</v>
      </c>
      <c r="Q2604" s="12" t="str">
        <f>HYPERLINK("https://ceds.ed.gov/elementComment.aspx?elementName=Other Name &amp;elementID=9206", "Click here to submit comment")</f>
        <v>Click here to submit comment</v>
      </c>
    </row>
    <row r="2605" spans="1:17" ht="165" x14ac:dyDescent="0.25">
      <c r="A2605" s="12" t="s">
        <v>7295</v>
      </c>
      <c r="B2605" s="12" t="s">
        <v>7202</v>
      </c>
      <c r="C2605" s="12" t="s">
        <v>7173</v>
      </c>
      <c r="D2605" s="12" t="s">
        <v>7172</v>
      </c>
      <c r="E2605" s="12" t="s">
        <v>4724</v>
      </c>
      <c r="F2605" s="12" t="s">
        <v>4725</v>
      </c>
      <c r="G2605" s="13" t="s">
        <v>7046</v>
      </c>
      <c r="H2605" s="12" t="s">
        <v>6619</v>
      </c>
      <c r="I2605" s="12"/>
      <c r="J2605" s="12" t="s">
        <v>92</v>
      </c>
      <c r="K2605" s="12"/>
      <c r="L2605" s="12"/>
      <c r="M2605" s="12" t="s">
        <v>4726</v>
      </c>
      <c r="N2605" s="12"/>
      <c r="O2605" s="12" t="s">
        <v>4727</v>
      </c>
      <c r="P2605" s="12" t="str">
        <f>HYPERLINK("https://ceds.ed.gov/cedselementdetails.aspx?termid=9627")</f>
        <v>https://ceds.ed.gov/cedselementdetails.aspx?termid=9627</v>
      </c>
      <c r="Q2605" s="12" t="str">
        <f>HYPERLINK("https://ceds.ed.gov/elementComment.aspx?elementName=Other Name Type &amp;elementID=9627", "Click here to submit comment")</f>
        <v>Click here to submit comment</v>
      </c>
    </row>
    <row r="2606" spans="1:17" ht="225" x14ac:dyDescent="0.25">
      <c r="A2606" s="18" t="s">
        <v>7295</v>
      </c>
      <c r="B2606" s="18" t="s">
        <v>7202</v>
      </c>
      <c r="C2606" s="18" t="s">
        <v>7174</v>
      </c>
      <c r="D2606" s="18" t="s">
        <v>7172</v>
      </c>
      <c r="E2606" s="18" t="s">
        <v>5745</v>
      </c>
      <c r="F2606" s="18" t="s">
        <v>5746</v>
      </c>
      <c r="G2606" s="18" t="s">
        <v>12</v>
      </c>
      <c r="H2606" s="18" t="s">
        <v>6670</v>
      </c>
      <c r="I2606" s="18"/>
      <c r="J2606" s="18" t="s">
        <v>5747</v>
      </c>
      <c r="K2606" s="18"/>
      <c r="L2606" s="12" t="s">
        <v>5748</v>
      </c>
      <c r="M2606" s="18" t="s">
        <v>5750</v>
      </c>
      <c r="N2606" s="18" t="s">
        <v>5751</v>
      </c>
      <c r="O2606" s="18" t="s">
        <v>5752</v>
      </c>
      <c r="P2606" s="18" t="str">
        <f>HYPERLINK("https://ceds.ed.gov/cedselementdetails.aspx?termid=9259")</f>
        <v>https://ceds.ed.gov/cedselementdetails.aspx?termid=9259</v>
      </c>
      <c r="Q2606" s="18" t="str">
        <f>HYPERLINK("https://ceds.ed.gov/elementComment.aspx?elementName=Social Security Number &amp;elementID=9259", "Click here to submit comment")</f>
        <v>Click here to submit comment</v>
      </c>
    </row>
    <row r="2607" spans="1:17" x14ac:dyDescent="0.25">
      <c r="A2607" s="18"/>
      <c r="B2607" s="18"/>
      <c r="C2607" s="18"/>
      <c r="D2607" s="18"/>
      <c r="E2607" s="18"/>
      <c r="F2607" s="18"/>
      <c r="G2607" s="18"/>
      <c r="H2607" s="18"/>
      <c r="I2607" s="18"/>
      <c r="J2607" s="18"/>
      <c r="K2607" s="18"/>
      <c r="L2607" s="12"/>
      <c r="M2607" s="18"/>
      <c r="N2607" s="18"/>
      <c r="O2607" s="18"/>
      <c r="P2607" s="18"/>
      <c r="Q2607" s="18"/>
    </row>
    <row r="2608" spans="1:17" ht="180" x14ac:dyDescent="0.25">
      <c r="A2608" s="18"/>
      <c r="B2608" s="18"/>
      <c r="C2608" s="18"/>
      <c r="D2608" s="18"/>
      <c r="E2608" s="18"/>
      <c r="F2608" s="18"/>
      <c r="G2608" s="18"/>
      <c r="H2608" s="18"/>
      <c r="I2608" s="18"/>
      <c r="J2608" s="18"/>
      <c r="K2608" s="18"/>
      <c r="L2608" s="12" t="s">
        <v>5749</v>
      </c>
      <c r="M2608" s="18"/>
      <c r="N2608" s="18"/>
      <c r="O2608" s="18"/>
      <c r="P2608" s="18"/>
      <c r="Q2608" s="18"/>
    </row>
    <row r="2609" spans="1:17" ht="255" x14ac:dyDescent="0.25">
      <c r="A2609" s="12" t="s">
        <v>7295</v>
      </c>
      <c r="B2609" s="12" t="s">
        <v>7202</v>
      </c>
      <c r="C2609" s="12" t="s">
        <v>7174</v>
      </c>
      <c r="D2609" s="12" t="s">
        <v>7172</v>
      </c>
      <c r="E2609" s="12" t="s">
        <v>4831</v>
      </c>
      <c r="F2609" s="12" t="s">
        <v>4832</v>
      </c>
      <c r="G2609" s="13" t="s">
        <v>7053</v>
      </c>
      <c r="H2609" s="12"/>
      <c r="I2609" s="12"/>
      <c r="J2609" s="12"/>
      <c r="K2609" s="12"/>
      <c r="L2609" s="12"/>
      <c r="M2609" s="12" t="s">
        <v>4833</v>
      </c>
      <c r="N2609" s="12"/>
      <c r="O2609" s="12" t="s">
        <v>4834</v>
      </c>
      <c r="P2609" s="12" t="str">
        <f>HYPERLINK("https://ceds.ed.gov/cedselementdetails.aspx?termid=9611")</f>
        <v>https://ceds.ed.gov/cedselementdetails.aspx?termid=9611</v>
      </c>
      <c r="Q2609" s="12" t="str">
        <f>HYPERLINK("https://ceds.ed.gov/elementComment.aspx?elementName=Personal Information Verification &amp;elementID=9611", "Click here to submit comment")</f>
        <v>Click here to submit comment</v>
      </c>
    </row>
    <row r="2610" spans="1:17" ht="375" x14ac:dyDescent="0.25">
      <c r="A2610" s="12" t="s">
        <v>7295</v>
      </c>
      <c r="B2610" s="12" t="s">
        <v>7202</v>
      </c>
      <c r="C2610" s="12" t="s">
        <v>7174</v>
      </c>
      <c r="D2610" s="12" t="s">
        <v>7176</v>
      </c>
      <c r="E2610" s="12" t="s">
        <v>4807</v>
      </c>
      <c r="F2610" s="12" t="s">
        <v>4808</v>
      </c>
      <c r="G2610" s="13" t="s">
        <v>7051</v>
      </c>
      <c r="H2610" s="12"/>
      <c r="I2610" s="12"/>
      <c r="J2610" s="12"/>
      <c r="K2610" s="12"/>
      <c r="L2610" s="12"/>
      <c r="M2610" s="12" t="s">
        <v>4809</v>
      </c>
      <c r="N2610" s="12"/>
      <c r="O2610" s="12" t="s">
        <v>4810</v>
      </c>
      <c r="P2610" s="12" t="str">
        <f>HYPERLINK("https://ceds.ed.gov/cedselementdetails.aspx?termid=10550")</f>
        <v>https://ceds.ed.gov/cedselementdetails.aspx?termid=10550</v>
      </c>
      <c r="Q2610" s="12" t="str">
        <f>HYPERLINK("https://ceds.ed.gov/elementComment.aspx?elementName=Person Identification System &amp;elementID=10550", "Click here to submit comment")</f>
        <v>Click here to submit comment</v>
      </c>
    </row>
    <row r="2611" spans="1:17" ht="105" x14ac:dyDescent="0.25">
      <c r="A2611" s="18" t="s">
        <v>7295</v>
      </c>
      <c r="B2611" s="18" t="s">
        <v>7202</v>
      </c>
      <c r="C2611" s="18" t="s">
        <v>7174</v>
      </c>
      <c r="D2611" s="18" t="s">
        <v>7176</v>
      </c>
      <c r="E2611" s="18" t="s">
        <v>4811</v>
      </c>
      <c r="F2611" s="18" t="s">
        <v>4812</v>
      </c>
      <c r="G2611" s="18" t="s">
        <v>12</v>
      </c>
      <c r="H2611" s="18"/>
      <c r="I2611" s="18"/>
      <c r="J2611" s="18" t="s">
        <v>142</v>
      </c>
      <c r="K2611" s="18"/>
      <c r="L2611" s="12" t="s">
        <v>143</v>
      </c>
      <c r="M2611" s="18" t="s">
        <v>4813</v>
      </c>
      <c r="N2611" s="18"/>
      <c r="O2611" s="18" t="s">
        <v>4814</v>
      </c>
      <c r="P2611" s="18" t="str">
        <f>HYPERLINK("https://ceds.ed.gov/cedselementdetails.aspx?termid=10551")</f>
        <v>https://ceds.ed.gov/cedselementdetails.aspx?termid=10551</v>
      </c>
      <c r="Q2611" s="18" t="str">
        <f>HYPERLINK("https://ceds.ed.gov/elementComment.aspx?elementName=Person Identifier &amp;elementID=10551", "Click here to submit comment")</f>
        <v>Click here to submit comment</v>
      </c>
    </row>
    <row r="2612" spans="1:17" x14ac:dyDescent="0.25">
      <c r="A2612" s="18"/>
      <c r="B2612" s="18"/>
      <c r="C2612" s="18"/>
      <c r="D2612" s="18"/>
      <c r="E2612" s="18"/>
      <c r="F2612" s="18"/>
      <c r="G2612" s="18"/>
      <c r="H2612" s="18"/>
      <c r="I2612" s="18"/>
      <c r="J2612" s="18"/>
      <c r="K2612" s="18"/>
      <c r="L2612" s="12"/>
      <c r="M2612" s="18"/>
      <c r="N2612" s="18"/>
      <c r="O2612" s="18"/>
      <c r="P2612" s="18"/>
      <c r="Q2612" s="18"/>
    </row>
    <row r="2613" spans="1:17" ht="90" x14ac:dyDescent="0.25">
      <c r="A2613" s="18"/>
      <c r="B2613" s="18"/>
      <c r="C2613" s="18"/>
      <c r="D2613" s="18"/>
      <c r="E2613" s="18"/>
      <c r="F2613" s="18"/>
      <c r="G2613" s="18"/>
      <c r="H2613" s="18"/>
      <c r="I2613" s="18"/>
      <c r="J2613" s="18"/>
      <c r="K2613" s="18"/>
      <c r="L2613" s="12" t="s">
        <v>144</v>
      </c>
      <c r="M2613" s="18"/>
      <c r="N2613" s="18"/>
      <c r="O2613" s="18"/>
      <c r="P2613" s="18"/>
      <c r="Q2613" s="18"/>
    </row>
    <row r="2614" spans="1:17" ht="210" x14ac:dyDescent="0.25">
      <c r="A2614" s="12" t="s">
        <v>7295</v>
      </c>
      <c r="B2614" s="12" t="s">
        <v>7202</v>
      </c>
      <c r="C2614" s="12" t="s">
        <v>7175</v>
      </c>
      <c r="D2614" s="12" t="s">
        <v>7172</v>
      </c>
      <c r="E2614" s="12" t="s">
        <v>193</v>
      </c>
      <c r="F2614" s="12" t="s">
        <v>194</v>
      </c>
      <c r="G2614" s="13" t="s">
        <v>6726</v>
      </c>
      <c r="H2614" s="12" t="s">
        <v>6380</v>
      </c>
      <c r="I2614" s="12"/>
      <c r="J2614" s="12" t="s">
        <v>92</v>
      </c>
      <c r="K2614" s="12"/>
      <c r="L2614" s="12"/>
      <c r="M2614" s="12" t="s">
        <v>195</v>
      </c>
      <c r="N2614" s="12"/>
      <c r="O2614" s="12" t="s">
        <v>196</v>
      </c>
      <c r="P2614" s="12" t="str">
        <f>HYPERLINK("https://ceds.ed.gov/cedselementdetails.aspx?termid=9358")</f>
        <v>https://ceds.ed.gov/cedselementdetails.aspx?termid=9358</v>
      </c>
      <c r="Q2614" s="12" t="str">
        <f>HYPERLINK("https://ceds.ed.gov/elementComment.aspx?elementName=Address Type for Learner or Family &amp;elementID=9358", "Click here to submit comment")</f>
        <v>Click here to submit comment</v>
      </c>
    </row>
    <row r="2615" spans="1:17" ht="225" x14ac:dyDescent="0.25">
      <c r="A2615" s="12" t="s">
        <v>7295</v>
      </c>
      <c r="B2615" s="12" t="s">
        <v>7202</v>
      </c>
      <c r="C2615" s="12" t="s">
        <v>7175</v>
      </c>
      <c r="D2615" s="12" t="s">
        <v>7172</v>
      </c>
      <c r="E2615" s="12" t="s">
        <v>189</v>
      </c>
      <c r="F2615" s="12" t="s">
        <v>190</v>
      </c>
      <c r="G2615" s="12" t="s">
        <v>12</v>
      </c>
      <c r="H2615" s="12" t="s">
        <v>6377</v>
      </c>
      <c r="I2615" s="12"/>
      <c r="J2615" s="12" t="s">
        <v>142</v>
      </c>
      <c r="K2615" s="12"/>
      <c r="L2615" s="12"/>
      <c r="M2615" s="12" t="s">
        <v>191</v>
      </c>
      <c r="N2615" s="12"/>
      <c r="O2615" s="12" t="s">
        <v>192</v>
      </c>
      <c r="P2615" s="12" t="str">
        <f>HYPERLINK("https://ceds.ed.gov/cedselementdetails.aspx?termid=9269")</f>
        <v>https://ceds.ed.gov/cedselementdetails.aspx?termid=9269</v>
      </c>
      <c r="Q2615" s="12" t="str">
        <f>HYPERLINK("https://ceds.ed.gov/elementComment.aspx?elementName=Address Street Number and Name &amp;elementID=9269", "Click here to submit comment")</f>
        <v>Click here to submit comment</v>
      </c>
    </row>
    <row r="2616" spans="1:17" ht="225" x14ac:dyDescent="0.25">
      <c r="A2616" s="12" t="s">
        <v>7295</v>
      </c>
      <c r="B2616" s="12" t="s">
        <v>7202</v>
      </c>
      <c r="C2616" s="12" t="s">
        <v>7175</v>
      </c>
      <c r="D2616" s="12" t="s">
        <v>7172</v>
      </c>
      <c r="E2616" s="12" t="s">
        <v>172</v>
      </c>
      <c r="F2616" s="12" t="s">
        <v>173</v>
      </c>
      <c r="G2616" s="12" t="s">
        <v>12</v>
      </c>
      <c r="H2616" s="12" t="s">
        <v>6377</v>
      </c>
      <c r="I2616" s="12"/>
      <c r="J2616" s="12" t="s">
        <v>92</v>
      </c>
      <c r="K2616" s="12"/>
      <c r="L2616" s="12"/>
      <c r="M2616" s="12" t="s">
        <v>174</v>
      </c>
      <c r="N2616" s="12"/>
      <c r="O2616" s="12" t="s">
        <v>175</v>
      </c>
      <c r="P2616" s="12" t="str">
        <f>HYPERLINK("https://ceds.ed.gov/cedselementdetails.aspx?termid=9019")</f>
        <v>https://ceds.ed.gov/cedselementdetails.aspx?termid=9019</v>
      </c>
      <c r="Q2616" s="12" t="str">
        <f>HYPERLINK("https://ceds.ed.gov/elementComment.aspx?elementName=Address Apartment Room or Suite Number &amp;elementID=9019", "Click here to submit comment")</f>
        <v>Click here to submit comment</v>
      </c>
    </row>
    <row r="2617" spans="1:17" ht="225" x14ac:dyDescent="0.25">
      <c r="A2617" s="12" t="s">
        <v>7295</v>
      </c>
      <c r="B2617" s="12" t="s">
        <v>7202</v>
      </c>
      <c r="C2617" s="12" t="s">
        <v>7175</v>
      </c>
      <c r="D2617" s="12" t="s">
        <v>7172</v>
      </c>
      <c r="E2617" s="12" t="s">
        <v>176</v>
      </c>
      <c r="F2617" s="12" t="s">
        <v>177</v>
      </c>
      <c r="G2617" s="12" t="s">
        <v>12</v>
      </c>
      <c r="H2617" s="12" t="s">
        <v>6377</v>
      </c>
      <c r="I2617" s="12"/>
      <c r="J2617" s="12" t="s">
        <v>92</v>
      </c>
      <c r="K2617" s="12"/>
      <c r="L2617" s="12"/>
      <c r="M2617" s="12" t="s">
        <v>178</v>
      </c>
      <c r="N2617" s="12"/>
      <c r="O2617" s="12" t="s">
        <v>179</v>
      </c>
      <c r="P2617" s="12" t="str">
        <f>HYPERLINK("https://ceds.ed.gov/cedselementdetails.aspx?termid=9040")</f>
        <v>https://ceds.ed.gov/cedselementdetails.aspx?termid=9040</v>
      </c>
      <c r="Q2617" s="12" t="str">
        <f>HYPERLINK("https://ceds.ed.gov/elementComment.aspx?elementName=Address City &amp;elementID=9040", "Click here to submit comment")</f>
        <v>Click here to submit comment</v>
      </c>
    </row>
    <row r="2618" spans="1:17" ht="409.5" x14ac:dyDescent="0.25">
      <c r="A2618" s="12" t="s">
        <v>7295</v>
      </c>
      <c r="B2618" s="12" t="s">
        <v>7202</v>
      </c>
      <c r="C2618" s="12" t="s">
        <v>7175</v>
      </c>
      <c r="D2618" s="12" t="s">
        <v>7172</v>
      </c>
      <c r="E2618" s="12" t="s">
        <v>5898</v>
      </c>
      <c r="F2618" s="12" t="s">
        <v>5899</v>
      </c>
      <c r="G2618" s="13" t="s">
        <v>7120</v>
      </c>
      <c r="H2618" s="12" t="s">
        <v>6678</v>
      </c>
      <c r="I2618" s="12"/>
      <c r="J2618" s="12"/>
      <c r="K2618" s="12"/>
      <c r="L2618" s="12"/>
      <c r="M2618" s="12" t="s">
        <v>5900</v>
      </c>
      <c r="N2618" s="12"/>
      <c r="O2618" s="12" t="s">
        <v>5901</v>
      </c>
      <c r="P2618" s="12" t="str">
        <f>HYPERLINK("https://ceds.ed.gov/cedselementdetails.aspx?termid=9267")</f>
        <v>https://ceds.ed.gov/cedselementdetails.aspx?termid=9267</v>
      </c>
      <c r="Q2618" s="12" t="str">
        <f>HYPERLINK("https://ceds.ed.gov/elementComment.aspx?elementName=State Abbreviation &amp;elementID=9267", "Click here to submit comment")</f>
        <v>Click here to submit comment</v>
      </c>
    </row>
    <row r="2619" spans="1:17" ht="225" x14ac:dyDescent="0.25">
      <c r="A2619" s="12" t="s">
        <v>7295</v>
      </c>
      <c r="B2619" s="12" t="s">
        <v>7202</v>
      </c>
      <c r="C2619" s="12" t="s">
        <v>7175</v>
      </c>
      <c r="D2619" s="12" t="s">
        <v>7172</v>
      </c>
      <c r="E2619" s="12" t="s">
        <v>184</v>
      </c>
      <c r="F2619" s="12" t="s">
        <v>185</v>
      </c>
      <c r="G2619" s="12" t="s">
        <v>12</v>
      </c>
      <c r="H2619" s="12" t="s">
        <v>6377</v>
      </c>
      <c r="I2619" s="12"/>
      <c r="J2619" s="12" t="s">
        <v>186</v>
      </c>
      <c r="K2619" s="12"/>
      <c r="L2619" s="12"/>
      <c r="M2619" s="12" t="s">
        <v>187</v>
      </c>
      <c r="N2619" s="12"/>
      <c r="O2619" s="12" t="s">
        <v>188</v>
      </c>
      <c r="P2619" s="12" t="str">
        <f>HYPERLINK("https://ceds.ed.gov/cedselementdetails.aspx?termid=9214")</f>
        <v>https://ceds.ed.gov/cedselementdetails.aspx?termid=9214</v>
      </c>
      <c r="Q2619" s="12" t="str">
        <f>HYPERLINK("https://ceds.ed.gov/elementComment.aspx?elementName=Address Postal Code &amp;elementID=9214", "Click here to submit comment")</f>
        <v>Click here to submit comment</v>
      </c>
    </row>
    <row r="2620" spans="1:17" ht="225" x14ac:dyDescent="0.25">
      <c r="A2620" s="12" t="s">
        <v>7295</v>
      </c>
      <c r="B2620" s="12" t="s">
        <v>7202</v>
      </c>
      <c r="C2620" s="12" t="s">
        <v>7175</v>
      </c>
      <c r="D2620" s="12" t="s">
        <v>7172</v>
      </c>
      <c r="E2620" s="12" t="s">
        <v>180</v>
      </c>
      <c r="F2620" s="12" t="s">
        <v>181</v>
      </c>
      <c r="G2620" s="12" t="s">
        <v>12</v>
      </c>
      <c r="H2620" s="12" t="s">
        <v>6377</v>
      </c>
      <c r="I2620" s="12"/>
      <c r="J2620" s="12" t="s">
        <v>92</v>
      </c>
      <c r="K2620" s="12"/>
      <c r="L2620" s="12"/>
      <c r="M2620" s="12" t="s">
        <v>182</v>
      </c>
      <c r="N2620" s="12"/>
      <c r="O2620" s="12" t="s">
        <v>183</v>
      </c>
      <c r="P2620" s="12" t="str">
        <f>HYPERLINK("https://ceds.ed.gov/cedselementdetails.aspx?termid=9190")</f>
        <v>https://ceds.ed.gov/cedselementdetails.aspx?termid=9190</v>
      </c>
      <c r="Q2620" s="12" t="str">
        <f>HYPERLINK("https://ceds.ed.gov/elementComment.aspx?elementName=Address County Name &amp;elementID=9190", "Click here to submit comment")</f>
        <v>Click here to submit comment</v>
      </c>
    </row>
    <row r="2621" spans="1:17" ht="409.5" x14ac:dyDescent="0.25">
      <c r="A2621" s="12" t="s">
        <v>7295</v>
      </c>
      <c r="B2621" s="12" t="s">
        <v>7202</v>
      </c>
      <c r="C2621" s="12" t="s">
        <v>7175</v>
      </c>
      <c r="D2621" s="12" t="s">
        <v>7172</v>
      </c>
      <c r="E2621" s="12" t="s">
        <v>1934</v>
      </c>
      <c r="F2621" s="12" t="s">
        <v>1935</v>
      </c>
      <c r="G2621" s="13" t="s">
        <v>6829</v>
      </c>
      <c r="H2621" s="12" t="s">
        <v>6467</v>
      </c>
      <c r="I2621" s="12" t="s">
        <v>98</v>
      </c>
      <c r="J2621" s="12"/>
      <c r="K2621" s="12"/>
      <c r="L2621" s="14" t="s">
        <v>1936</v>
      </c>
      <c r="M2621" s="12" t="s">
        <v>1937</v>
      </c>
      <c r="N2621" s="12"/>
      <c r="O2621" s="12" t="s">
        <v>1938</v>
      </c>
      <c r="P2621" s="12" t="str">
        <f>HYPERLINK("https://ceds.ed.gov/cedselementdetails.aspx?termid=9050")</f>
        <v>https://ceds.ed.gov/cedselementdetails.aspx?termid=9050</v>
      </c>
      <c r="Q2621" s="12" t="str">
        <f>HYPERLINK("https://ceds.ed.gov/elementComment.aspx?elementName=Country Code &amp;elementID=9050", "Click here to submit comment")</f>
        <v>Click here to submit comment</v>
      </c>
    </row>
    <row r="2622" spans="1:17" ht="75" x14ac:dyDescent="0.25">
      <c r="A2622" s="12" t="s">
        <v>7295</v>
      </c>
      <c r="B2622" s="12" t="s">
        <v>7202</v>
      </c>
      <c r="C2622" s="12" t="s">
        <v>7175</v>
      </c>
      <c r="D2622" s="12" t="s">
        <v>7176</v>
      </c>
      <c r="E2622" s="12" t="s">
        <v>3693</v>
      </c>
      <c r="F2622" s="12" t="s">
        <v>3694</v>
      </c>
      <c r="G2622" s="12" t="s">
        <v>12</v>
      </c>
      <c r="H2622" s="12"/>
      <c r="I2622" s="12"/>
      <c r="J2622" s="12" t="s">
        <v>1201</v>
      </c>
      <c r="K2622" s="12"/>
      <c r="L2622" s="12"/>
      <c r="M2622" s="12" t="s">
        <v>3695</v>
      </c>
      <c r="N2622" s="12"/>
      <c r="O2622" s="12" t="s">
        <v>3693</v>
      </c>
      <c r="P2622" s="12" t="str">
        <f>HYPERLINK("https://ceds.ed.gov/cedselementdetails.aspx?termid=9599")</f>
        <v>https://ceds.ed.gov/cedselementdetails.aspx?termid=9599</v>
      </c>
      <c r="Q2622" s="12" t="str">
        <f>HYPERLINK("https://ceds.ed.gov/elementComment.aspx?elementName=Latitude &amp;elementID=9599", "Click here to submit comment")</f>
        <v>Click here to submit comment</v>
      </c>
    </row>
    <row r="2623" spans="1:17" ht="75" x14ac:dyDescent="0.25">
      <c r="A2623" s="12" t="s">
        <v>7295</v>
      </c>
      <c r="B2623" s="12" t="s">
        <v>7202</v>
      </c>
      <c r="C2623" s="12" t="s">
        <v>7175</v>
      </c>
      <c r="D2623" s="12" t="s">
        <v>7176</v>
      </c>
      <c r="E2623" s="12" t="s">
        <v>4361</v>
      </c>
      <c r="F2623" s="12" t="s">
        <v>4362</v>
      </c>
      <c r="G2623" s="12" t="s">
        <v>12</v>
      </c>
      <c r="H2623" s="12"/>
      <c r="I2623" s="12"/>
      <c r="J2623" s="12" t="s">
        <v>1201</v>
      </c>
      <c r="K2623" s="12"/>
      <c r="L2623" s="12"/>
      <c r="M2623" s="12" t="s">
        <v>4363</v>
      </c>
      <c r="N2623" s="12"/>
      <c r="O2623" s="12" t="s">
        <v>4361</v>
      </c>
      <c r="P2623" s="12" t="str">
        <f>HYPERLINK("https://ceds.ed.gov/cedselementdetails.aspx?termid=9600")</f>
        <v>https://ceds.ed.gov/cedselementdetails.aspx?termid=9600</v>
      </c>
      <c r="Q2623" s="12" t="str">
        <f>HYPERLINK("https://ceds.ed.gov/elementComment.aspx?elementName=Longitude &amp;elementID=9600", "Click here to submit comment")</f>
        <v>Click here to submit comment</v>
      </c>
    </row>
    <row r="2624" spans="1:17" ht="90" x14ac:dyDescent="0.25">
      <c r="A2624" s="12" t="s">
        <v>7295</v>
      </c>
      <c r="B2624" s="12" t="s">
        <v>7202</v>
      </c>
      <c r="C2624" s="12" t="s">
        <v>7177</v>
      </c>
      <c r="D2624" s="12" t="s">
        <v>7172</v>
      </c>
      <c r="E2624" s="12" t="s">
        <v>6107</v>
      </c>
      <c r="F2624" s="12" t="s">
        <v>6108</v>
      </c>
      <c r="G2624" s="13" t="s">
        <v>7135</v>
      </c>
      <c r="H2624" s="12" t="s">
        <v>6369</v>
      </c>
      <c r="I2624" s="12"/>
      <c r="J2624" s="12" t="s">
        <v>1950</v>
      </c>
      <c r="K2624" s="12"/>
      <c r="L2624" s="12"/>
      <c r="M2624" s="12" t="s">
        <v>6109</v>
      </c>
      <c r="N2624" s="12"/>
      <c r="O2624" s="12" t="s">
        <v>6110</v>
      </c>
      <c r="P2624" s="12" t="str">
        <f>HYPERLINK("https://ceds.ed.gov/cedselementdetails.aspx?termid=9280")</f>
        <v>https://ceds.ed.gov/cedselementdetails.aspx?termid=9280</v>
      </c>
      <c r="Q2624" s="12" t="str">
        <f>HYPERLINK("https://ceds.ed.gov/elementComment.aspx?elementName=Telephone Number Type &amp;elementID=9280", "Click here to submit comment")</f>
        <v>Click here to submit comment</v>
      </c>
    </row>
    <row r="2625" spans="1:17" ht="90" x14ac:dyDescent="0.25">
      <c r="A2625" s="12" t="s">
        <v>7295</v>
      </c>
      <c r="B2625" s="12" t="s">
        <v>7202</v>
      </c>
      <c r="C2625" s="12" t="s">
        <v>7177</v>
      </c>
      <c r="D2625" s="12" t="s">
        <v>7172</v>
      </c>
      <c r="E2625" s="12" t="s">
        <v>4934</v>
      </c>
      <c r="F2625" s="12" t="s">
        <v>4935</v>
      </c>
      <c r="G2625" s="12" t="s">
        <v>6364</v>
      </c>
      <c r="H2625" s="12" t="s">
        <v>6369</v>
      </c>
      <c r="I2625" s="12"/>
      <c r="J2625" s="12"/>
      <c r="K2625" s="12"/>
      <c r="L2625" s="12"/>
      <c r="M2625" s="12" t="s">
        <v>4936</v>
      </c>
      <c r="N2625" s="12"/>
      <c r="O2625" s="12" t="s">
        <v>4937</v>
      </c>
      <c r="P2625" s="12" t="str">
        <f>HYPERLINK("https://ceds.ed.gov/cedselementdetails.aspx?termid=9219")</f>
        <v>https://ceds.ed.gov/cedselementdetails.aspx?termid=9219</v>
      </c>
      <c r="Q2625" s="12" t="str">
        <f>HYPERLINK("https://ceds.ed.gov/elementComment.aspx?elementName=Primary Telephone Number Indicator &amp;elementID=9219", "Click here to submit comment")</f>
        <v>Click here to submit comment</v>
      </c>
    </row>
    <row r="2626" spans="1:17" ht="90" x14ac:dyDescent="0.25">
      <c r="A2626" s="12" t="s">
        <v>7295</v>
      </c>
      <c r="B2626" s="12" t="s">
        <v>7202</v>
      </c>
      <c r="C2626" s="12" t="s">
        <v>7177</v>
      </c>
      <c r="D2626" s="12" t="s">
        <v>7172</v>
      </c>
      <c r="E2626" s="12" t="s">
        <v>6102</v>
      </c>
      <c r="F2626" s="12" t="s">
        <v>6103</v>
      </c>
      <c r="G2626" s="12" t="s">
        <v>12</v>
      </c>
      <c r="H2626" s="12" t="s">
        <v>6369</v>
      </c>
      <c r="I2626" s="12"/>
      <c r="J2626" s="12" t="s">
        <v>6104</v>
      </c>
      <c r="K2626" s="12"/>
      <c r="L2626" s="12"/>
      <c r="M2626" s="12" t="s">
        <v>6105</v>
      </c>
      <c r="N2626" s="12"/>
      <c r="O2626" s="12" t="s">
        <v>6106</v>
      </c>
      <c r="P2626" s="12" t="str">
        <f>HYPERLINK("https://ceds.ed.gov/cedselementdetails.aspx?termid=9279")</f>
        <v>https://ceds.ed.gov/cedselementdetails.aspx?termid=9279</v>
      </c>
      <c r="Q2626" s="12" t="str">
        <f>HYPERLINK("https://ceds.ed.gov/elementComment.aspx?elementName=Telephone Number &amp;elementID=9279", "Click here to submit comment")</f>
        <v>Click here to submit comment</v>
      </c>
    </row>
    <row r="2627" spans="1:17" ht="90" x14ac:dyDescent="0.25">
      <c r="A2627" s="12" t="s">
        <v>7295</v>
      </c>
      <c r="B2627" s="12" t="s">
        <v>7202</v>
      </c>
      <c r="C2627" s="12" t="s">
        <v>7204</v>
      </c>
      <c r="D2627" s="12" t="s">
        <v>7172</v>
      </c>
      <c r="E2627" s="12" t="s">
        <v>2653</v>
      </c>
      <c r="F2627" s="12" t="s">
        <v>2654</v>
      </c>
      <c r="G2627" s="13" t="s">
        <v>6898</v>
      </c>
      <c r="H2627" s="12" t="s">
        <v>6369</v>
      </c>
      <c r="I2627" s="12"/>
      <c r="J2627" s="12"/>
      <c r="K2627" s="12"/>
      <c r="L2627" s="12"/>
      <c r="M2627" s="12" t="s">
        <v>2655</v>
      </c>
      <c r="N2627" s="12" t="s">
        <v>2656</v>
      </c>
      <c r="O2627" s="12" t="s">
        <v>2657</v>
      </c>
      <c r="P2627" s="12" t="str">
        <f>HYPERLINK("https://ceds.ed.gov/cedselementdetails.aspx?termid=9089")</f>
        <v>https://ceds.ed.gov/cedselementdetails.aspx?termid=9089</v>
      </c>
      <c r="Q2627" s="12" t="str">
        <f>HYPERLINK("https://ceds.ed.gov/elementComment.aspx?elementName=Electronic Mail Address Type &amp;elementID=9089", "Click here to submit comment")</f>
        <v>Click here to submit comment</v>
      </c>
    </row>
    <row r="2628" spans="1:17" ht="90" x14ac:dyDescent="0.25">
      <c r="A2628" s="12" t="s">
        <v>7295</v>
      </c>
      <c r="B2628" s="12" t="s">
        <v>7202</v>
      </c>
      <c r="C2628" s="12" t="s">
        <v>7204</v>
      </c>
      <c r="D2628" s="12" t="s">
        <v>7172</v>
      </c>
      <c r="E2628" s="12" t="s">
        <v>2647</v>
      </c>
      <c r="F2628" s="12" t="s">
        <v>2648</v>
      </c>
      <c r="G2628" s="12" t="s">
        <v>12</v>
      </c>
      <c r="H2628" s="12" t="s">
        <v>6369</v>
      </c>
      <c r="I2628" s="12"/>
      <c r="J2628" s="12" t="s">
        <v>2649</v>
      </c>
      <c r="K2628" s="12"/>
      <c r="L2628" s="12"/>
      <c r="M2628" s="12" t="s">
        <v>2650</v>
      </c>
      <c r="N2628" s="12" t="s">
        <v>2651</v>
      </c>
      <c r="O2628" s="12" t="s">
        <v>2652</v>
      </c>
      <c r="P2628" s="12" t="str">
        <f>HYPERLINK("https://ceds.ed.gov/cedselementdetails.aspx?termid=9088")</f>
        <v>https://ceds.ed.gov/cedselementdetails.aspx?termid=9088</v>
      </c>
      <c r="Q2628" s="12" t="str">
        <f>HYPERLINK("https://ceds.ed.gov/elementComment.aspx?elementName=Electronic Mail Address &amp;elementID=9088", "Click here to submit comment")</f>
        <v>Click here to submit comment</v>
      </c>
    </row>
    <row r="2629" spans="1:17" ht="409.5" x14ac:dyDescent="0.25">
      <c r="A2629" s="12" t="s">
        <v>7295</v>
      </c>
      <c r="B2629" s="12" t="s">
        <v>7202</v>
      </c>
      <c r="C2629" s="12" t="s">
        <v>7203</v>
      </c>
      <c r="D2629" s="12" t="s">
        <v>7172</v>
      </c>
      <c r="E2629" s="12" t="s">
        <v>4827</v>
      </c>
      <c r="F2629" s="12" t="s">
        <v>4828</v>
      </c>
      <c r="G2629" s="13" t="s">
        <v>7052</v>
      </c>
      <c r="H2629" s="12" t="s">
        <v>1578</v>
      </c>
      <c r="I2629" s="12"/>
      <c r="J2629" s="12"/>
      <c r="K2629" s="12"/>
      <c r="L2629" s="12"/>
      <c r="M2629" s="12" t="s">
        <v>4829</v>
      </c>
      <c r="N2629" s="12"/>
      <c r="O2629" s="12" t="s">
        <v>4830</v>
      </c>
      <c r="P2629" s="12" t="str">
        <f>HYPERLINK("https://ceds.ed.gov/cedselementdetails.aspx?termid=9415")</f>
        <v>https://ceds.ed.gov/cedselementdetails.aspx?termid=9415</v>
      </c>
      <c r="Q2629" s="12" t="str">
        <f>HYPERLINK("https://ceds.ed.gov/elementComment.aspx?elementName=Person Relationship to Learner Type &amp;elementID=9415", "Click here to submit comment")</f>
        <v>Click here to submit comment</v>
      </c>
    </row>
    <row r="2630" spans="1:17" ht="375" x14ac:dyDescent="0.25">
      <c r="A2630" s="12" t="s">
        <v>7295</v>
      </c>
      <c r="B2630" s="12" t="s">
        <v>7202</v>
      </c>
      <c r="C2630" s="12" t="s">
        <v>7203</v>
      </c>
      <c r="D2630" s="12" t="s">
        <v>7172</v>
      </c>
      <c r="E2630" s="12" t="s">
        <v>4807</v>
      </c>
      <c r="F2630" s="12" t="s">
        <v>4808</v>
      </c>
      <c r="G2630" s="13" t="s">
        <v>7051</v>
      </c>
      <c r="H2630" s="12"/>
      <c r="I2630" s="12"/>
      <c r="J2630" s="12"/>
      <c r="K2630" s="12"/>
      <c r="L2630" s="12"/>
      <c r="M2630" s="12" t="s">
        <v>4809</v>
      </c>
      <c r="N2630" s="12"/>
      <c r="O2630" s="12" t="s">
        <v>4810</v>
      </c>
      <c r="P2630" s="12" t="str">
        <f>HYPERLINK("https://ceds.ed.gov/cedselementdetails.aspx?termid=10550")</f>
        <v>https://ceds.ed.gov/cedselementdetails.aspx?termid=10550</v>
      </c>
      <c r="Q2630" s="12" t="str">
        <f>HYPERLINK("https://ceds.ed.gov/elementComment.aspx?elementName=Person Identification System &amp;elementID=10550", "Click here to submit comment")</f>
        <v>Click here to submit comment</v>
      </c>
    </row>
    <row r="2631" spans="1:17" ht="105" x14ac:dyDescent="0.25">
      <c r="A2631" s="18" t="s">
        <v>7295</v>
      </c>
      <c r="B2631" s="18" t="s">
        <v>7202</v>
      </c>
      <c r="C2631" s="18" t="s">
        <v>7203</v>
      </c>
      <c r="D2631" s="18" t="s">
        <v>7172</v>
      </c>
      <c r="E2631" s="18" t="s">
        <v>4811</v>
      </c>
      <c r="F2631" s="18" t="s">
        <v>4812</v>
      </c>
      <c r="G2631" s="18" t="s">
        <v>12</v>
      </c>
      <c r="H2631" s="18"/>
      <c r="I2631" s="18"/>
      <c r="J2631" s="18" t="s">
        <v>142</v>
      </c>
      <c r="K2631" s="18"/>
      <c r="L2631" s="12" t="s">
        <v>143</v>
      </c>
      <c r="M2631" s="18" t="s">
        <v>4813</v>
      </c>
      <c r="N2631" s="18"/>
      <c r="O2631" s="18" t="s">
        <v>4814</v>
      </c>
      <c r="P2631" s="18" t="str">
        <f>HYPERLINK("https://ceds.ed.gov/cedselementdetails.aspx?termid=10551")</f>
        <v>https://ceds.ed.gov/cedselementdetails.aspx?termid=10551</v>
      </c>
      <c r="Q2631" s="18" t="str">
        <f>HYPERLINK("https://ceds.ed.gov/elementComment.aspx?elementName=Person Identifier &amp;elementID=10551", "Click here to submit comment")</f>
        <v>Click here to submit comment</v>
      </c>
    </row>
    <row r="2632" spans="1:17" x14ac:dyDescent="0.25">
      <c r="A2632" s="18"/>
      <c r="B2632" s="18"/>
      <c r="C2632" s="18"/>
      <c r="D2632" s="18"/>
      <c r="E2632" s="18"/>
      <c r="F2632" s="18"/>
      <c r="G2632" s="18"/>
      <c r="H2632" s="18"/>
      <c r="I2632" s="18"/>
      <c r="J2632" s="18"/>
      <c r="K2632" s="18"/>
      <c r="L2632" s="12"/>
      <c r="M2632" s="18"/>
      <c r="N2632" s="18"/>
      <c r="O2632" s="18"/>
      <c r="P2632" s="18"/>
      <c r="Q2632" s="18"/>
    </row>
    <row r="2633" spans="1:17" ht="90" x14ac:dyDescent="0.25">
      <c r="A2633" s="18"/>
      <c r="B2633" s="18"/>
      <c r="C2633" s="18"/>
      <c r="D2633" s="18"/>
      <c r="E2633" s="18"/>
      <c r="F2633" s="18"/>
      <c r="G2633" s="18"/>
      <c r="H2633" s="18"/>
      <c r="I2633" s="18"/>
      <c r="J2633" s="18"/>
      <c r="K2633" s="18"/>
      <c r="L2633" s="12" t="s">
        <v>144</v>
      </c>
      <c r="M2633" s="18"/>
      <c r="N2633" s="18"/>
      <c r="O2633" s="18"/>
      <c r="P2633" s="18"/>
      <c r="Q2633" s="18"/>
    </row>
    <row r="2634" spans="1:17" ht="225" x14ac:dyDescent="0.25">
      <c r="A2634" s="12" t="s">
        <v>7295</v>
      </c>
      <c r="B2634" s="12" t="s">
        <v>7290</v>
      </c>
      <c r="C2634" s="12"/>
      <c r="D2634" s="12" t="s">
        <v>7172</v>
      </c>
      <c r="E2634" s="12" t="s">
        <v>3810</v>
      </c>
      <c r="F2634" s="12" t="s">
        <v>3811</v>
      </c>
      <c r="G2634" s="13" t="s">
        <v>6992</v>
      </c>
      <c r="H2634" s="12"/>
      <c r="I2634" s="12"/>
      <c r="J2634" s="12"/>
      <c r="K2634" s="12"/>
      <c r="L2634" s="12" t="s">
        <v>3812</v>
      </c>
      <c r="M2634" s="12" t="s">
        <v>3813</v>
      </c>
      <c r="N2634" s="12"/>
      <c r="O2634" s="12" t="s">
        <v>3814</v>
      </c>
      <c r="P2634" s="12" t="str">
        <f>HYPERLINK("https://ceds.ed.gov/cedselementdetails.aspx?termid=10358")</f>
        <v>https://ceds.ed.gov/cedselementdetails.aspx?termid=10358</v>
      </c>
      <c r="Q2634" s="12" t="str">
        <f>HYPERLINK("https://ceds.ed.gov/elementComment.aspx?elementName=Learning Resource Access API Type &amp;elementID=10358", "Click here to submit comment")</f>
        <v>Click here to submit comment</v>
      </c>
    </row>
    <row r="2635" spans="1:17" ht="60" x14ac:dyDescent="0.25">
      <c r="A2635" s="12" t="s">
        <v>7295</v>
      </c>
      <c r="B2635" s="12" t="s">
        <v>7290</v>
      </c>
      <c r="C2635" s="12"/>
      <c r="D2635" s="12" t="s">
        <v>7172</v>
      </c>
      <c r="E2635" s="12" t="s">
        <v>3815</v>
      </c>
      <c r="F2635" s="12" t="s">
        <v>3816</v>
      </c>
      <c r="G2635" s="13" t="s">
        <v>6993</v>
      </c>
      <c r="H2635" s="12"/>
      <c r="I2635" s="12"/>
      <c r="J2635" s="12"/>
      <c r="K2635" s="12"/>
      <c r="L2635" s="12"/>
      <c r="M2635" s="12" t="s">
        <v>3817</v>
      </c>
      <c r="N2635" s="12"/>
      <c r="O2635" s="12" t="s">
        <v>3818</v>
      </c>
      <c r="P2635" s="12" t="str">
        <f>HYPERLINK("https://ceds.ed.gov/cedselementdetails.aspx?termid=10359")</f>
        <v>https://ceds.ed.gov/cedselementdetails.aspx?termid=10359</v>
      </c>
      <c r="Q2635" s="12" t="str">
        <f>HYPERLINK("https://ceds.ed.gov/elementComment.aspx?elementName=Learning Resource Access Hazard Type &amp;elementID=10359", "Click here to submit comment")</f>
        <v>Click here to submit comment</v>
      </c>
    </row>
    <row r="2636" spans="1:17" ht="105" x14ac:dyDescent="0.25">
      <c r="A2636" s="12" t="s">
        <v>7295</v>
      </c>
      <c r="B2636" s="12" t="s">
        <v>7290</v>
      </c>
      <c r="C2636" s="12"/>
      <c r="D2636" s="12" t="s">
        <v>7172</v>
      </c>
      <c r="E2636" s="12" t="s">
        <v>3819</v>
      </c>
      <c r="F2636" s="12" t="s">
        <v>3820</v>
      </c>
      <c r="G2636" s="13" t="s">
        <v>6994</v>
      </c>
      <c r="H2636" s="12"/>
      <c r="I2636" s="12"/>
      <c r="J2636" s="12"/>
      <c r="K2636" s="12"/>
      <c r="L2636" s="12" t="s">
        <v>3821</v>
      </c>
      <c r="M2636" s="12" t="s">
        <v>3822</v>
      </c>
      <c r="N2636" s="12"/>
      <c r="O2636" s="12" t="s">
        <v>3823</v>
      </c>
      <c r="P2636" s="12" t="str">
        <f>HYPERLINK("https://ceds.ed.gov/cedselementdetails.aspx?termid=10360")</f>
        <v>https://ceds.ed.gov/cedselementdetails.aspx?termid=10360</v>
      </c>
      <c r="Q2636" s="12" t="str">
        <f>HYPERLINK("https://ceds.ed.gov/elementComment.aspx?elementName=Learning Resource Access Mode Type &amp;elementID=10360", "Click here to submit comment")</f>
        <v>Click here to submit comment</v>
      </c>
    </row>
    <row r="2637" spans="1:17" ht="45" x14ac:dyDescent="0.25">
      <c r="A2637" s="12" t="s">
        <v>7295</v>
      </c>
      <c r="B2637" s="12" t="s">
        <v>7290</v>
      </c>
      <c r="C2637" s="12"/>
      <c r="D2637" s="12" t="s">
        <v>7172</v>
      </c>
      <c r="E2637" s="12" t="s">
        <v>3829</v>
      </c>
      <c r="F2637" s="12" t="s">
        <v>3830</v>
      </c>
      <c r="G2637" s="12" t="s">
        <v>12</v>
      </c>
      <c r="H2637" s="12"/>
      <c r="I2637" s="12"/>
      <c r="J2637" s="12" t="s">
        <v>68</v>
      </c>
      <c r="K2637" s="12"/>
      <c r="L2637" s="12"/>
      <c r="M2637" s="12" t="s">
        <v>3831</v>
      </c>
      <c r="N2637" s="12"/>
      <c r="O2637" s="12" t="s">
        <v>3832</v>
      </c>
      <c r="P2637" s="12" t="str">
        <f>HYPERLINK("https://ceds.ed.gov/cedselementdetails.aspx?termid=10361")</f>
        <v>https://ceds.ed.gov/cedselementdetails.aspx?termid=10361</v>
      </c>
      <c r="Q2637" s="12" t="str">
        <f>HYPERLINK("https://ceds.ed.gov/elementComment.aspx?elementName=Learning Resource Adaptation URL &amp;elementID=10361", "Click here to submit comment")</f>
        <v>Click here to submit comment</v>
      </c>
    </row>
    <row r="2638" spans="1:17" ht="30" x14ac:dyDescent="0.25">
      <c r="A2638" s="12" t="s">
        <v>7295</v>
      </c>
      <c r="B2638" s="12" t="s">
        <v>7290</v>
      </c>
      <c r="C2638" s="12"/>
      <c r="D2638" s="12" t="s">
        <v>7172</v>
      </c>
      <c r="E2638" s="12" t="s">
        <v>3833</v>
      </c>
      <c r="F2638" s="12" t="s">
        <v>3834</v>
      </c>
      <c r="G2638" s="12" t="s">
        <v>12</v>
      </c>
      <c r="H2638" s="12"/>
      <c r="I2638" s="12"/>
      <c r="J2638" s="12" t="s">
        <v>68</v>
      </c>
      <c r="K2638" s="12"/>
      <c r="L2638" s="12"/>
      <c r="M2638" s="12" t="s">
        <v>3835</v>
      </c>
      <c r="N2638" s="12"/>
      <c r="O2638" s="12" t="s">
        <v>3836</v>
      </c>
      <c r="P2638" s="12" t="str">
        <f>HYPERLINK("https://ceds.ed.gov/cedselementdetails.aspx?termid=10367")</f>
        <v>https://ceds.ed.gov/cedselementdetails.aspx?termid=10367</v>
      </c>
      <c r="Q2638" s="12" t="str">
        <f>HYPERLINK("https://ceds.ed.gov/elementComment.aspx?elementName=Learning Resource Adapted From URL &amp;elementID=10367", "Click here to submit comment")</f>
        <v>Click here to submit comment</v>
      </c>
    </row>
    <row r="2639" spans="1:17" ht="75" x14ac:dyDescent="0.25">
      <c r="A2639" s="12" t="s">
        <v>7295</v>
      </c>
      <c r="B2639" s="12" t="s">
        <v>7290</v>
      </c>
      <c r="C2639" s="12"/>
      <c r="D2639" s="12" t="s">
        <v>7172</v>
      </c>
      <c r="E2639" s="12" t="s">
        <v>3837</v>
      </c>
      <c r="F2639" s="12" t="s">
        <v>3838</v>
      </c>
      <c r="G2639" s="12" t="s">
        <v>6364</v>
      </c>
      <c r="H2639" s="12"/>
      <c r="I2639" s="12"/>
      <c r="J2639" s="12"/>
      <c r="K2639" s="12"/>
      <c r="L2639" s="12" t="s">
        <v>3839</v>
      </c>
      <c r="M2639" s="12" t="s">
        <v>3840</v>
      </c>
      <c r="N2639" s="12"/>
      <c r="O2639" s="12" t="s">
        <v>3841</v>
      </c>
      <c r="P2639" s="12" t="str">
        <f>HYPERLINK("https://ceds.ed.gov/cedselementdetails.aspx?termid=10362")</f>
        <v>https://ceds.ed.gov/cedselementdetails.aspx?termid=10362</v>
      </c>
      <c r="Q2639" s="12" t="str">
        <f>HYPERLINK("https://ceds.ed.gov/elementComment.aspx?elementName=Learning Resource Assistive Technologies Compatible Indicator &amp;elementID=10362", "Click here to submit comment")</f>
        <v>Click here to submit comment</v>
      </c>
    </row>
    <row r="2640" spans="1:17" ht="45" x14ac:dyDescent="0.25">
      <c r="A2640" s="12" t="s">
        <v>7295</v>
      </c>
      <c r="B2640" s="12" t="s">
        <v>7290</v>
      </c>
      <c r="C2640" s="12"/>
      <c r="D2640" s="12" t="s">
        <v>7172</v>
      </c>
      <c r="E2640" s="12" t="s">
        <v>3854</v>
      </c>
      <c r="F2640" s="12" t="s">
        <v>3855</v>
      </c>
      <c r="G2640" s="12" t="s">
        <v>12</v>
      </c>
      <c r="H2640" s="12"/>
      <c r="I2640" s="12"/>
      <c r="J2640" s="12" t="s">
        <v>68</v>
      </c>
      <c r="K2640" s="12"/>
      <c r="L2640" s="12" t="s">
        <v>3856</v>
      </c>
      <c r="M2640" s="12" t="s">
        <v>3857</v>
      </c>
      <c r="N2640" s="12"/>
      <c r="O2640" s="12" t="s">
        <v>3858</v>
      </c>
      <c r="P2640" s="12" t="str">
        <f>HYPERLINK("https://ceds.ed.gov/cedselementdetails.aspx?termid=9923")</f>
        <v>https://ceds.ed.gov/cedselementdetails.aspx?termid=9923</v>
      </c>
      <c r="Q2640" s="12" t="str">
        <f>HYPERLINK("https://ceds.ed.gov/elementComment.aspx?elementName=Learning Resource Based On URL &amp;elementID=9923", "Click here to submit comment")</f>
        <v>Click here to submit comment</v>
      </c>
    </row>
    <row r="2641" spans="1:17" ht="135" x14ac:dyDescent="0.25">
      <c r="A2641" s="12" t="s">
        <v>7295</v>
      </c>
      <c r="B2641" s="12" t="s">
        <v>7290</v>
      </c>
      <c r="C2641" s="12"/>
      <c r="D2641" s="12" t="s">
        <v>7172</v>
      </c>
      <c r="E2641" s="12" t="s">
        <v>3859</v>
      </c>
      <c r="F2641" s="12" t="s">
        <v>3860</v>
      </c>
      <c r="G2641" s="13" t="s">
        <v>6997</v>
      </c>
      <c r="H2641" s="12"/>
      <c r="I2641" s="12"/>
      <c r="J2641" s="12"/>
      <c r="K2641" s="12"/>
      <c r="L2641" s="12"/>
      <c r="M2641" s="12" t="s">
        <v>3861</v>
      </c>
      <c r="N2641" s="12"/>
      <c r="O2641" s="12" t="s">
        <v>3862</v>
      </c>
      <c r="P2641" s="12" t="str">
        <f>HYPERLINK("https://ceds.ed.gov/cedselementdetails.aspx?termid=10363")</f>
        <v>https://ceds.ed.gov/cedselementdetails.aspx?termid=10363</v>
      </c>
      <c r="Q2641" s="12" t="str">
        <f>HYPERLINK("https://ceds.ed.gov/elementComment.aspx?elementName=Learning Resource Book Format Type &amp;elementID=10363", "Click here to submit comment")</f>
        <v>Click here to submit comment</v>
      </c>
    </row>
    <row r="2642" spans="1:17" ht="45" x14ac:dyDescent="0.25">
      <c r="A2642" s="12" t="s">
        <v>7295</v>
      </c>
      <c r="B2642" s="12" t="s">
        <v>7290</v>
      </c>
      <c r="C2642" s="12"/>
      <c r="D2642" s="12" t="s">
        <v>7172</v>
      </c>
      <c r="E2642" s="12" t="s">
        <v>3868</v>
      </c>
      <c r="F2642" s="12" t="s">
        <v>3869</v>
      </c>
      <c r="G2642" s="12" t="s">
        <v>12</v>
      </c>
      <c r="H2642" s="12"/>
      <c r="I2642" s="12"/>
      <c r="J2642" s="12" t="s">
        <v>68</v>
      </c>
      <c r="K2642" s="12"/>
      <c r="L2642" s="12"/>
      <c r="M2642" s="12" t="s">
        <v>3870</v>
      </c>
      <c r="N2642" s="12"/>
      <c r="O2642" s="12" t="s">
        <v>3871</v>
      </c>
      <c r="P2642" s="12" t="str">
        <f>HYPERLINK("https://ceds.ed.gov/cedselementdetails.aspx?termid=10159")</f>
        <v>https://ceds.ed.gov/cedselementdetails.aspx?termid=10159</v>
      </c>
      <c r="Q2642" s="12" t="str">
        <f>HYPERLINK("https://ceds.ed.gov/elementComment.aspx?elementName=Learning Resource Concept Keyword &amp;elementID=10159", "Click here to submit comment")</f>
        <v>Click here to submit comment</v>
      </c>
    </row>
    <row r="2643" spans="1:17" ht="105" x14ac:dyDescent="0.25">
      <c r="A2643" s="12" t="s">
        <v>7295</v>
      </c>
      <c r="B2643" s="12" t="s">
        <v>7290</v>
      </c>
      <c r="C2643" s="12"/>
      <c r="D2643" s="12" t="s">
        <v>7172</v>
      </c>
      <c r="E2643" s="12" t="s">
        <v>3872</v>
      </c>
      <c r="F2643" s="12" t="s">
        <v>3873</v>
      </c>
      <c r="G2643" s="13" t="s">
        <v>6999</v>
      </c>
      <c r="H2643" s="12"/>
      <c r="I2643" s="12"/>
      <c r="J2643" s="12"/>
      <c r="K2643" s="12"/>
      <c r="L2643" s="12"/>
      <c r="M2643" s="12" t="s">
        <v>3874</v>
      </c>
      <c r="N2643" s="12"/>
      <c r="O2643" s="12" t="s">
        <v>3875</v>
      </c>
      <c r="P2643" s="12" t="str">
        <f>HYPERLINK("https://ceds.ed.gov/cedselementdetails.aspx?termid=10364")</f>
        <v>https://ceds.ed.gov/cedselementdetails.aspx?termid=10364</v>
      </c>
      <c r="Q2643" s="12" t="str">
        <f>HYPERLINK("https://ceds.ed.gov/elementComment.aspx?elementName=Learning Resource Control Flexibility Type &amp;elementID=10364", "Click here to submit comment")</f>
        <v>Click here to submit comment</v>
      </c>
    </row>
    <row r="2644" spans="1:17" ht="45" x14ac:dyDescent="0.25">
      <c r="A2644" s="12" t="s">
        <v>7295</v>
      </c>
      <c r="B2644" s="12" t="s">
        <v>7290</v>
      </c>
      <c r="C2644" s="12"/>
      <c r="D2644" s="12" t="s">
        <v>7172</v>
      </c>
      <c r="E2644" s="12" t="s">
        <v>3876</v>
      </c>
      <c r="F2644" s="12" t="s">
        <v>3877</v>
      </c>
      <c r="G2644" s="12" t="s">
        <v>12</v>
      </c>
      <c r="H2644" s="12"/>
      <c r="I2644" s="12"/>
      <c r="J2644" s="12" t="s">
        <v>99</v>
      </c>
      <c r="K2644" s="12"/>
      <c r="L2644" s="12"/>
      <c r="M2644" s="12" t="s">
        <v>3878</v>
      </c>
      <c r="N2644" s="12"/>
      <c r="O2644" s="12" t="s">
        <v>3879</v>
      </c>
      <c r="P2644" s="12" t="str">
        <f>HYPERLINK("https://ceds.ed.gov/cedselementdetails.aspx?termid=10157")</f>
        <v>https://ceds.ed.gov/cedselementdetails.aspx?termid=10157</v>
      </c>
      <c r="Q2644" s="12" t="str">
        <f>HYPERLINK("https://ceds.ed.gov/elementComment.aspx?elementName=Learning Resource Copyright Holder Name &amp;elementID=10157", "Click here to submit comment")</f>
        <v>Click here to submit comment</v>
      </c>
    </row>
    <row r="2645" spans="1:17" ht="30" x14ac:dyDescent="0.25">
      <c r="A2645" s="12" t="s">
        <v>7295</v>
      </c>
      <c r="B2645" s="12" t="s">
        <v>7290</v>
      </c>
      <c r="C2645" s="12"/>
      <c r="D2645" s="12" t="s">
        <v>7172</v>
      </c>
      <c r="E2645" s="12" t="s">
        <v>3880</v>
      </c>
      <c r="F2645" s="12" t="s">
        <v>3881</v>
      </c>
      <c r="G2645" s="12" t="s">
        <v>12</v>
      </c>
      <c r="H2645" s="12"/>
      <c r="I2645" s="12"/>
      <c r="J2645" s="12" t="s">
        <v>1861</v>
      </c>
      <c r="K2645" s="12"/>
      <c r="L2645" s="12"/>
      <c r="M2645" s="12" t="s">
        <v>3882</v>
      </c>
      <c r="N2645" s="12"/>
      <c r="O2645" s="12" t="s">
        <v>3883</v>
      </c>
      <c r="P2645" s="12" t="str">
        <f>HYPERLINK("https://ceds.ed.gov/cedselementdetails.aspx?termid=10158")</f>
        <v>https://ceds.ed.gov/cedselementdetails.aspx?termid=10158</v>
      </c>
      <c r="Q2645" s="12" t="str">
        <f>HYPERLINK("https://ceds.ed.gov/elementComment.aspx?elementName=Learning Resource Copyright Year &amp;elementID=10158", "Click here to submit comment")</f>
        <v>Click here to submit comment</v>
      </c>
    </row>
    <row r="2646" spans="1:17" ht="45" x14ac:dyDescent="0.25">
      <c r="A2646" s="12" t="s">
        <v>7295</v>
      </c>
      <c r="B2646" s="12" t="s">
        <v>7290</v>
      </c>
      <c r="C2646" s="12"/>
      <c r="D2646" s="12" t="s">
        <v>7172</v>
      </c>
      <c r="E2646" s="12" t="s">
        <v>3884</v>
      </c>
      <c r="F2646" s="12" t="s">
        <v>3885</v>
      </c>
      <c r="G2646" s="12" t="s">
        <v>12</v>
      </c>
      <c r="H2646" s="12"/>
      <c r="I2646" s="12"/>
      <c r="J2646" s="12" t="s">
        <v>99</v>
      </c>
      <c r="K2646" s="12"/>
      <c r="L2646" s="12"/>
      <c r="M2646" s="12" t="s">
        <v>3886</v>
      </c>
      <c r="N2646" s="12"/>
      <c r="O2646" s="12" t="s">
        <v>3887</v>
      </c>
      <c r="P2646" s="12" t="str">
        <f>HYPERLINK("https://ceds.ed.gov/cedselementdetails.aspx?termid=9918")</f>
        <v>https://ceds.ed.gov/cedselementdetails.aspx?termid=9918</v>
      </c>
      <c r="Q2646" s="12" t="str">
        <f>HYPERLINK("https://ceds.ed.gov/elementComment.aspx?elementName=Learning Resource Creator &amp;elementID=9918", "Click here to submit comment")</f>
        <v>Click here to submit comment</v>
      </c>
    </row>
    <row r="2647" spans="1:17" ht="30" x14ac:dyDescent="0.25">
      <c r="A2647" s="12" t="s">
        <v>7295</v>
      </c>
      <c r="B2647" s="12" t="s">
        <v>7290</v>
      </c>
      <c r="C2647" s="12"/>
      <c r="D2647" s="12" t="s">
        <v>7172</v>
      </c>
      <c r="E2647" s="12" t="s">
        <v>3888</v>
      </c>
      <c r="F2647" s="12" t="s">
        <v>3889</v>
      </c>
      <c r="G2647" s="12" t="s">
        <v>12</v>
      </c>
      <c r="H2647" s="12"/>
      <c r="I2647" s="12"/>
      <c r="J2647" s="12" t="s">
        <v>73</v>
      </c>
      <c r="K2647" s="12"/>
      <c r="L2647" s="12"/>
      <c r="M2647" s="12" t="s">
        <v>3890</v>
      </c>
      <c r="N2647" s="12"/>
      <c r="O2647" s="12" t="s">
        <v>3891</v>
      </c>
      <c r="P2647" s="12" t="str">
        <f>HYPERLINK("https://ceds.ed.gov/cedselementdetails.aspx?termid=9916")</f>
        <v>https://ceds.ed.gov/cedselementdetails.aspx?termid=9916</v>
      </c>
      <c r="Q2647" s="12" t="str">
        <f>HYPERLINK("https://ceds.ed.gov/elementComment.aspx?elementName=Learning Resource Date Created &amp;elementID=9916", "Click here to submit comment")</f>
        <v>Click here to submit comment</v>
      </c>
    </row>
    <row r="2648" spans="1:17" ht="30" x14ac:dyDescent="0.25">
      <c r="A2648" s="12" t="s">
        <v>7295</v>
      </c>
      <c r="B2648" s="12" t="s">
        <v>7290</v>
      </c>
      <c r="C2648" s="12"/>
      <c r="D2648" s="12" t="s">
        <v>7172</v>
      </c>
      <c r="E2648" s="12" t="s">
        <v>3896</v>
      </c>
      <c r="F2648" s="12" t="s">
        <v>3897</v>
      </c>
      <c r="G2648" s="12" t="s">
        <v>12</v>
      </c>
      <c r="H2648" s="12"/>
      <c r="I2648" s="12"/>
      <c r="J2648" s="12" t="s">
        <v>68</v>
      </c>
      <c r="K2648" s="12"/>
      <c r="L2648" s="12"/>
      <c r="M2648" s="12" t="s">
        <v>3898</v>
      </c>
      <c r="N2648" s="12"/>
      <c r="O2648" s="12" t="s">
        <v>3899</v>
      </c>
      <c r="P2648" s="12" t="str">
        <f>HYPERLINK("https://ceds.ed.gov/cedselementdetails.aspx?termid=10156")</f>
        <v>https://ceds.ed.gov/cedselementdetails.aspx?termid=10156</v>
      </c>
      <c r="Q2648" s="12" t="str">
        <f>HYPERLINK("https://ceds.ed.gov/elementComment.aspx?elementName=Learning Resource Description &amp;elementID=10156", "Click here to submit comment")</f>
        <v>Click here to submit comment</v>
      </c>
    </row>
    <row r="2649" spans="1:17" ht="105" x14ac:dyDescent="0.25">
      <c r="A2649" s="12" t="s">
        <v>7295</v>
      </c>
      <c r="B2649" s="12" t="s">
        <v>7290</v>
      </c>
      <c r="C2649" s="12"/>
      <c r="D2649" s="12" t="s">
        <v>7172</v>
      </c>
      <c r="E2649" s="12" t="s">
        <v>3900</v>
      </c>
      <c r="F2649" s="12" t="s">
        <v>3901</v>
      </c>
      <c r="G2649" s="12" t="s">
        <v>3902</v>
      </c>
      <c r="H2649" s="12"/>
      <c r="I2649" s="12"/>
      <c r="J2649" s="12"/>
      <c r="K2649" s="12"/>
      <c r="L2649" s="12"/>
      <c r="M2649" s="12" t="s">
        <v>3903</v>
      </c>
      <c r="N2649" s="12"/>
      <c r="O2649" s="12" t="s">
        <v>3904</v>
      </c>
      <c r="P2649" s="12" t="str">
        <f>HYPERLINK("https://ceds.ed.gov/cedselementdetails.aspx?termid=10365")</f>
        <v>https://ceds.ed.gov/cedselementdetails.aspx?termid=10365</v>
      </c>
      <c r="Q2649" s="12" t="str">
        <f>HYPERLINK("https://ceds.ed.gov/elementComment.aspx?elementName=Learning Resource Digital Media Sub Type &amp;elementID=10365", "Click here to submit comment")</f>
        <v>Click here to submit comment</v>
      </c>
    </row>
    <row r="2650" spans="1:17" ht="150" x14ac:dyDescent="0.25">
      <c r="A2650" s="12" t="s">
        <v>7295</v>
      </c>
      <c r="B2650" s="12" t="s">
        <v>7290</v>
      </c>
      <c r="C2650" s="12"/>
      <c r="D2650" s="12" t="s">
        <v>7172</v>
      </c>
      <c r="E2650" s="12" t="s">
        <v>3905</v>
      </c>
      <c r="F2650" s="12" t="s">
        <v>3906</v>
      </c>
      <c r="G2650" s="13" t="s">
        <v>7000</v>
      </c>
      <c r="H2650" s="12"/>
      <c r="I2650" s="12"/>
      <c r="J2650" s="12"/>
      <c r="K2650" s="12"/>
      <c r="L2650" s="12"/>
      <c r="M2650" s="12" t="s">
        <v>3907</v>
      </c>
      <c r="N2650" s="12"/>
      <c r="O2650" s="12" t="s">
        <v>3908</v>
      </c>
      <c r="P2650" s="12" t="str">
        <f>HYPERLINK("https://ceds.ed.gov/cedselementdetails.aspx?termid=10366")</f>
        <v>https://ceds.ed.gov/cedselementdetails.aspx?termid=10366</v>
      </c>
      <c r="Q2650" s="12" t="str">
        <f>HYPERLINK("https://ceds.ed.gov/elementComment.aspx?elementName=Learning Resource Digital Media Type &amp;elementID=10366", "Click here to submit comment")</f>
        <v>Click here to submit comment</v>
      </c>
    </row>
    <row r="2651" spans="1:17" ht="105" x14ac:dyDescent="0.25">
      <c r="A2651" s="12" t="s">
        <v>7295</v>
      </c>
      <c r="B2651" s="12" t="s">
        <v>7290</v>
      </c>
      <c r="C2651" s="12"/>
      <c r="D2651" s="12" t="s">
        <v>7172</v>
      </c>
      <c r="E2651" s="12" t="s">
        <v>3913</v>
      </c>
      <c r="F2651" s="12" t="s">
        <v>3914</v>
      </c>
      <c r="G2651" s="13" t="s">
        <v>7001</v>
      </c>
      <c r="H2651" s="12"/>
      <c r="I2651" s="12"/>
      <c r="J2651" s="12"/>
      <c r="K2651" s="12"/>
      <c r="L2651" s="12"/>
      <c r="M2651" s="12" t="s">
        <v>3915</v>
      </c>
      <c r="N2651" s="12"/>
      <c r="O2651" s="12" t="s">
        <v>3916</v>
      </c>
      <c r="P2651" s="12" t="str">
        <f>HYPERLINK("https://ceds.ed.gov/cedselementdetails.aspx?termid=10005")</f>
        <v>https://ceds.ed.gov/cedselementdetails.aspx?termid=10005</v>
      </c>
      <c r="Q2651" s="12" t="str">
        <f>HYPERLINK("https://ceds.ed.gov/elementComment.aspx?elementName=Learning Resource Educational Use &amp;elementID=10005", "Click here to submit comment")</f>
        <v>Click here to submit comment</v>
      </c>
    </row>
    <row r="2652" spans="1:17" ht="150" x14ac:dyDescent="0.25">
      <c r="A2652" s="12" t="s">
        <v>7295</v>
      </c>
      <c r="B2652" s="12" t="s">
        <v>7290</v>
      </c>
      <c r="C2652" s="12"/>
      <c r="D2652" s="12" t="s">
        <v>7172</v>
      </c>
      <c r="E2652" s="12" t="s">
        <v>3917</v>
      </c>
      <c r="F2652" s="12" t="s">
        <v>3918</v>
      </c>
      <c r="G2652" s="13" t="s">
        <v>7002</v>
      </c>
      <c r="H2652" s="12"/>
      <c r="I2652" s="12"/>
      <c r="J2652" s="12"/>
      <c r="K2652" s="12"/>
      <c r="L2652" s="12"/>
      <c r="M2652" s="12" t="s">
        <v>3919</v>
      </c>
      <c r="N2652" s="12"/>
      <c r="O2652" s="12" t="s">
        <v>3920</v>
      </c>
      <c r="P2652" s="12" t="str">
        <f>HYPERLINK("https://ceds.ed.gov/cedselementdetails.aspx?termid=9924")</f>
        <v>https://ceds.ed.gov/cedselementdetails.aspx?termid=9924</v>
      </c>
      <c r="Q2652" s="12" t="str">
        <f>HYPERLINK("https://ceds.ed.gov/elementComment.aspx?elementName=Learning Resource Intended End User Role &amp;elementID=9924", "Click here to submit comment")</f>
        <v>Click here to submit comment</v>
      </c>
    </row>
    <row r="2653" spans="1:17" ht="60" x14ac:dyDescent="0.25">
      <c r="A2653" s="12" t="s">
        <v>7295</v>
      </c>
      <c r="B2653" s="12" t="s">
        <v>7290</v>
      </c>
      <c r="C2653" s="12"/>
      <c r="D2653" s="12" t="s">
        <v>7172</v>
      </c>
      <c r="E2653" s="12" t="s">
        <v>3925</v>
      </c>
      <c r="F2653" s="12" t="s">
        <v>3926</v>
      </c>
      <c r="G2653" s="13" t="s">
        <v>7004</v>
      </c>
      <c r="H2653" s="12"/>
      <c r="I2653" s="12"/>
      <c r="J2653" s="12"/>
      <c r="K2653" s="12"/>
      <c r="L2653" s="12"/>
      <c r="M2653" s="12" t="s">
        <v>3927</v>
      </c>
      <c r="N2653" s="12"/>
      <c r="O2653" s="12" t="s">
        <v>3928</v>
      </c>
      <c r="P2653" s="12" t="str">
        <f>HYPERLINK("https://ceds.ed.gov/cedselementdetails.aspx?termid=9928")</f>
        <v>https://ceds.ed.gov/cedselementdetails.aspx?termid=9928</v>
      </c>
      <c r="Q2653" s="12" t="str">
        <f>HYPERLINK("https://ceds.ed.gov/elementComment.aspx?elementName=Learning Resource Interactivity Type &amp;elementID=9928", "Click here to submit comment")</f>
        <v>Click here to submit comment</v>
      </c>
    </row>
    <row r="2654" spans="1:17" ht="90" x14ac:dyDescent="0.25">
      <c r="A2654" s="18" t="s">
        <v>7295</v>
      </c>
      <c r="B2654" s="18" t="s">
        <v>7290</v>
      </c>
      <c r="C2654" s="18"/>
      <c r="D2654" s="18" t="s">
        <v>7172</v>
      </c>
      <c r="E2654" s="18" t="s">
        <v>3929</v>
      </c>
      <c r="F2654" s="18" t="s">
        <v>3930</v>
      </c>
      <c r="G2654" s="21" t="s">
        <v>999</v>
      </c>
      <c r="H2654" s="18"/>
      <c r="I2654" s="18" t="s">
        <v>98</v>
      </c>
      <c r="J2654" s="18"/>
      <c r="K2654" s="18"/>
      <c r="L2654" s="14" t="s">
        <v>1000</v>
      </c>
      <c r="M2654" s="18" t="s">
        <v>3932</v>
      </c>
      <c r="N2654" s="18"/>
      <c r="O2654" s="18" t="s">
        <v>3933</v>
      </c>
      <c r="P2654" s="18" t="str">
        <f>HYPERLINK("https://ceds.ed.gov/cedselementdetails.aspx?termid=9920")</f>
        <v>https://ceds.ed.gov/cedselementdetails.aspx?termid=9920</v>
      </c>
      <c r="Q2654" s="18" t="str">
        <f>HYPERLINK("https://ceds.ed.gov/elementComment.aspx?elementName=Learning Resource Language &amp;elementID=9920", "Click here to submit comment")</f>
        <v>Click here to submit comment</v>
      </c>
    </row>
    <row r="2655" spans="1:17" ht="75" x14ac:dyDescent="0.25">
      <c r="A2655" s="18"/>
      <c r="B2655" s="18"/>
      <c r="C2655" s="18"/>
      <c r="D2655" s="18"/>
      <c r="E2655" s="18"/>
      <c r="F2655" s="18"/>
      <c r="G2655" s="21"/>
      <c r="H2655" s="18"/>
      <c r="I2655" s="18"/>
      <c r="J2655" s="18"/>
      <c r="K2655" s="18"/>
      <c r="L2655" s="12" t="s">
        <v>3931</v>
      </c>
      <c r="M2655" s="18"/>
      <c r="N2655" s="18"/>
      <c r="O2655" s="18"/>
      <c r="P2655" s="18"/>
      <c r="Q2655" s="18"/>
    </row>
    <row r="2656" spans="1:17" ht="45" x14ac:dyDescent="0.25">
      <c r="A2656" s="12" t="s">
        <v>7295</v>
      </c>
      <c r="B2656" s="12" t="s">
        <v>7290</v>
      </c>
      <c r="C2656" s="12"/>
      <c r="D2656" s="12" t="s">
        <v>7172</v>
      </c>
      <c r="E2656" s="12" t="s">
        <v>3934</v>
      </c>
      <c r="F2656" s="12" t="s">
        <v>3935</v>
      </c>
      <c r="G2656" s="12" t="s">
        <v>12</v>
      </c>
      <c r="H2656" s="12"/>
      <c r="I2656" s="12"/>
      <c r="J2656" s="12" t="s">
        <v>68</v>
      </c>
      <c r="K2656" s="12"/>
      <c r="L2656" s="12" t="s">
        <v>3936</v>
      </c>
      <c r="M2656" s="12" t="s">
        <v>3937</v>
      </c>
      <c r="N2656" s="12"/>
      <c r="O2656" s="12" t="s">
        <v>3938</v>
      </c>
      <c r="P2656" s="12" t="str">
        <f>HYPERLINK("https://ceds.ed.gov/cedselementdetails.aspx?termid=9922")</f>
        <v>https://ceds.ed.gov/cedselementdetails.aspx?termid=9922</v>
      </c>
      <c r="Q2656" s="12" t="str">
        <f>HYPERLINK("https://ceds.ed.gov/elementComment.aspx?elementName=Learning Resource License URL &amp;elementID=9922", "Click here to submit comment")</f>
        <v>Click here to submit comment</v>
      </c>
    </row>
    <row r="2657" spans="1:17" ht="345" x14ac:dyDescent="0.25">
      <c r="A2657" s="12" t="s">
        <v>7295</v>
      </c>
      <c r="B2657" s="12" t="s">
        <v>7290</v>
      </c>
      <c r="C2657" s="12"/>
      <c r="D2657" s="12" t="s">
        <v>7172</v>
      </c>
      <c r="E2657" s="12" t="s">
        <v>3939</v>
      </c>
      <c r="F2657" s="12" t="s">
        <v>3940</v>
      </c>
      <c r="G2657" s="13" t="s">
        <v>7005</v>
      </c>
      <c r="H2657" s="12"/>
      <c r="I2657" s="12"/>
      <c r="J2657" s="12"/>
      <c r="K2657" s="12"/>
      <c r="L2657" s="12" t="s">
        <v>3941</v>
      </c>
      <c r="M2657" s="12" t="s">
        <v>3942</v>
      </c>
      <c r="N2657" s="12"/>
      <c r="O2657" s="12" t="s">
        <v>3943</v>
      </c>
      <c r="P2657" s="12" t="str">
        <f>HYPERLINK("https://ceds.ed.gov/cedselementdetails.aspx?termid=10368")</f>
        <v>https://ceds.ed.gov/cedselementdetails.aspx?termid=10368</v>
      </c>
      <c r="Q2657" s="12" t="str">
        <f>HYPERLINK("https://ceds.ed.gov/elementComment.aspx?elementName=Learning Resource Media Feature Type &amp;elementID=10368", "Click here to submit comment")</f>
        <v>Click here to submit comment</v>
      </c>
    </row>
    <row r="2658" spans="1:17" ht="60" x14ac:dyDescent="0.25">
      <c r="A2658" s="12" t="s">
        <v>7295</v>
      </c>
      <c r="B2658" s="12" t="s">
        <v>7290</v>
      </c>
      <c r="C2658" s="12"/>
      <c r="D2658" s="12" t="s">
        <v>7172</v>
      </c>
      <c r="E2658" s="12" t="s">
        <v>3944</v>
      </c>
      <c r="F2658" s="12" t="s">
        <v>3945</v>
      </c>
      <c r="G2658" s="12" t="s">
        <v>12</v>
      </c>
      <c r="H2658" s="12"/>
      <c r="I2658" s="12"/>
      <c r="J2658" s="12" t="s">
        <v>620</v>
      </c>
      <c r="K2658" s="12"/>
      <c r="L2658" s="12"/>
      <c r="M2658" s="12" t="s">
        <v>3946</v>
      </c>
      <c r="N2658" s="12"/>
      <c r="O2658" s="12" t="s">
        <v>3947</v>
      </c>
      <c r="P2658" s="12" t="str">
        <f>HYPERLINK("https://ceds.ed.gov/cedselementdetails.aspx?termid=10369")</f>
        <v>https://ceds.ed.gov/cedselementdetails.aspx?termid=10369</v>
      </c>
      <c r="Q2658" s="12" t="str">
        <f>HYPERLINK("https://ceds.ed.gov/elementComment.aspx?elementName=Learning Resource Peer Rating Sample Size &amp;elementID=10369", "Click here to submit comment")</f>
        <v>Click here to submit comment</v>
      </c>
    </row>
    <row r="2659" spans="1:17" ht="90" x14ac:dyDescent="0.25">
      <c r="A2659" s="12" t="s">
        <v>7295</v>
      </c>
      <c r="B2659" s="12" t="s">
        <v>7290</v>
      </c>
      <c r="C2659" s="12"/>
      <c r="D2659" s="12" t="s">
        <v>7172</v>
      </c>
      <c r="E2659" s="12" t="s">
        <v>3948</v>
      </c>
      <c r="F2659" s="12" t="s">
        <v>3949</v>
      </c>
      <c r="G2659" s="12" t="s">
        <v>12</v>
      </c>
      <c r="H2659" s="12"/>
      <c r="I2659" s="12"/>
      <c r="J2659" s="12" t="s">
        <v>1021</v>
      </c>
      <c r="K2659" s="12"/>
      <c r="L2659" s="12"/>
      <c r="M2659" s="12" t="s">
        <v>3950</v>
      </c>
      <c r="N2659" s="12"/>
      <c r="O2659" s="12" t="s">
        <v>3951</v>
      </c>
      <c r="P2659" s="12" t="str">
        <f>HYPERLINK("https://ceds.ed.gov/cedselementdetails.aspx?termid=10161")</f>
        <v>https://ceds.ed.gov/cedselementdetails.aspx?termid=10161</v>
      </c>
      <c r="Q2659" s="12" t="str">
        <f>HYPERLINK("https://ceds.ed.gov/elementComment.aspx?elementName=Learning Resource Peer Rating Value &amp;elementID=10161", "Click here to submit comment")</f>
        <v>Click here to submit comment</v>
      </c>
    </row>
    <row r="2660" spans="1:17" ht="409.5" x14ac:dyDescent="0.25">
      <c r="A2660" s="12" t="s">
        <v>7295</v>
      </c>
      <c r="B2660" s="12" t="s">
        <v>7290</v>
      </c>
      <c r="C2660" s="12"/>
      <c r="D2660" s="12" t="s">
        <v>7172</v>
      </c>
      <c r="E2660" s="12" t="s">
        <v>3952</v>
      </c>
      <c r="F2660" s="12" t="s">
        <v>3953</v>
      </c>
      <c r="G2660" s="13" t="s">
        <v>7006</v>
      </c>
      <c r="H2660" s="12"/>
      <c r="I2660" s="12"/>
      <c r="J2660" s="12"/>
      <c r="K2660" s="12"/>
      <c r="L2660" s="12"/>
      <c r="M2660" s="12" t="s">
        <v>3954</v>
      </c>
      <c r="N2660" s="12"/>
      <c r="O2660" s="12" t="s">
        <v>3955</v>
      </c>
      <c r="P2660" s="12" t="str">
        <f>HYPERLINK("https://ceds.ed.gov/cedselementdetails.aspx?termid=10370")</f>
        <v>https://ceds.ed.gov/cedselementdetails.aspx?termid=10370</v>
      </c>
      <c r="Q2660" s="12" t="str">
        <f>HYPERLINK("https://ceds.ed.gov/elementComment.aspx?elementName=Learning Resource Physical Media Type &amp;elementID=10370", "Click here to submit comment")</f>
        <v>Click here to submit comment</v>
      </c>
    </row>
    <row r="2661" spans="1:17" ht="30" x14ac:dyDescent="0.25">
      <c r="A2661" s="12" t="s">
        <v>7295</v>
      </c>
      <c r="B2661" s="12" t="s">
        <v>7290</v>
      </c>
      <c r="C2661" s="12"/>
      <c r="D2661" s="12" t="s">
        <v>7172</v>
      </c>
      <c r="E2661" s="12" t="s">
        <v>3964</v>
      </c>
      <c r="F2661" s="12" t="s">
        <v>3965</v>
      </c>
      <c r="G2661" s="12" t="s">
        <v>12</v>
      </c>
      <c r="H2661" s="12"/>
      <c r="I2661" s="12"/>
      <c r="J2661" s="12" t="s">
        <v>99</v>
      </c>
      <c r="K2661" s="12"/>
      <c r="L2661" s="12"/>
      <c r="M2661" s="12" t="s">
        <v>3966</v>
      </c>
      <c r="N2661" s="12"/>
      <c r="O2661" s="12" t="s">
        <v>3967</v>
      </c>
      <c r="P2661" s="12" t="str">
        <f>HYPERLINK("https://ceds.ed.gov/cedselementdetails.aspx?termid=9919")</f>
        <v>https://ceds.ed.gov/cedselementdetails.aspx?termid=9919</v>
      </c>
      <c r="Q2661" s="12" t="str">
        <f>HYPERLINK("https://ceds.ed.gov/elementComment.aspx?elementName=Learning Resource Publisher Name &amp;elementID=9919", "Click here to submit comment")</f>
        <v>Click here to submit comment</v>
      </c>
    </row>
    <row r="2662" spans="1:17" ht="210" x14ac:dyDescent="0.25">
      <c r="A2662" s="12" t="s">
        <v>7295</v>
      </c>
      <c r="B2662" s="12" t="s">
        <v>7290</v>
      </c>
      <c r="C2662" s="12"/>
      <c r="D2662" s="12" t="s">
        <v>7172</v>
      </c>
      <c r="E2662" s="12" t="s">
        <v>3972</v>
      </c>
      <c r="F2662" s="12" t="s">
        <v>3973</v>
      </c>
      <c r="G2662" s="12" t="s">
        <v>12</v>
      </c>
      <c r="H2662" s="12"/>
      <c r="I2662" s="12"/>
      <c r="J2662" s="12" t="s">
        <v>92</v>
      </c>
      <c r="K2662" s="12"/>
      <c r="L2662" s="12" t="s">
        <v>3974</v>
      </c>
      <c r="M2662" s="12" t="s">
        <v>3975</v>
      </c>
      <c r="N2662" s="12"/>
      <c r="O2662" s="12" t="s">
        <v>3976</v>
      </c>
      <c r="P2662" s="12" t="str">
        <f>HYPERLINK("https://ceds.ed.gov/cedselementdetails.aspx?termid=9914")</f>
        <v>https://ceds.ed.gov/cedselementdetails.aspx?termid=9914</v>
      </c>
      <c r="Q2662" s="12" t="str">
        <f>HYPERLINK("https://ceds.ed.gov/elementComment.aspx?elementName=Learning Resource Subject Code &amp;elementID=9914", "Click here to submit comment")</f>
        <v>Click here to submit comment</v>
      </c>
    </row>
    <row r="2663" spans="1:17" ht="240" x14ac:dyDescent="0.25">
      <c r="A2663" s="12" t="s">
        <v>7295</v>
      </c>
      <c r="B2663" s="12" t="s">
        <v>7290</v>
      </c>
      <c r="C2663" s="12"/>
      <c r="D2663" s="12" t="s">
        <v>7172</v>
      </c>
      <c r="E2663" s="12" t="s">
        <v>3977</v>
      </c>
      <c r="F2663" s="12" t="s">
        <v>3978</v>
      </c>
      <c r="G2663" s="12" t="s">
        <v>12</v>
      </c>
      <c r="H2663" s="12"/>
      <c r="I2663" s="12"/>
      <c r="J2663" s="12" t="s">
        <v>92</v>
      </c>
      <c r="K2663" s="12"/>
      <c r="L2663" s="12" t="s">
        <v>3979</v>
      </c>
      <c r="M2663" s="12" t="s">
        <v>3980</v>
      </c>
      <c r="N2663" s="12"/>
      <c r="O2663" s="12" t="s">
        <v>3981</v>
      </c>
      <c r="P2663" s="12" t="str">
        <f>HYPERLINK("https://ceds.ed.gov/cedselementdetails.aspx?termid=9915")</f>
        <v>https://ceds.ed.gov/cedselementdetails.aspx?termid=9915</v>
      </c>
      <c r="Q2663" s="12" t="str">
        <f>HYPERLINK("https://ceds.ed.gov/elementComment.aspx?elementName=Learning Resource Subject Code System &amp;elementID=9915", "Click here to submit comment")</f>
        <v>Click here to submit comment</v>
      </c>
    </row>
    <row r="2664" spans="1:17" ht="30" x14ac:dyDescent="0.25">
      <c r="A2664" s="12" t="s">
        <v>7295</v>
      </c>
      <c r="B2664" s="12" t="s">
        <v>7290</v>
      </c>
      <c r="C2664" s="12"/>
      <c r="D2664" s="12" t="s">
        <v>7172</v>
      </c>
      <c r="E2664" s="12" t="s">
        <v>3982</v>
      </c>
      <c r="F2664" s="12" t="s">
        <v>3983</v>
      </c>
      <c r="G2664" s="12" t="s">
        <v>12</v>
      </c>
      <c r="H2664" s="12"/>
      <c r="I2664" s="12"/>
      <c r="J2664" s="12" t="s">
        <v>92</v>
      </c>
      <c r="K2664" s="12"/>
      <c r="L2664" s="12"/>
      <c r="M2664" s="12" t="s">
        <v>3984</v>
      </c>
      <c r="N2664" s="12"/>
      <c r="O2664" s="12" t="s">
        <v>3985</v>
      </c>
      <c r="P2664" s="12" t="str">
        <f>HYPERLINK("https://ceds.ed.gov/cedselementdetails.aspx?termid=9913")</f>
        <v>https://ceds.ed.gov/cedselementdetails.aspx?termid=9913</v>
      </c>
      <c r="Q2664" s="12" t="str">
        <f>HYPERLINK("https://ceds.ed.gov/elementComment.aspx?elementName=Learning Resource Subject Name &amp;elementID=9913", "Click here to submit comment")</f>
        <v>Click here to submit comment</v>
      </c>
    </row>
    <row r="2665" spans="1:17" ht="45" x14ac:dyDescent="0.25">
      <c r="A2665" s="12" t="s">
        <v>7295</v>
      </c>
      <c r="B2665" s="12" t="s">
        <v>7290</v>
      </c>
      <c r="C2665" s="12"/>
      <c r="D2665" s="12" t="s">
        <v>7172</v>
      </c>
      <c r="E2665" s="12" t="s">
        <v>3986</v>
      </c>
      <c r="F2665" s="12" t="s">
        <v>3987</v>
      </c>
      <c r="G2665" s="12" t="s">
        <v>12</v>
      </c>
      <c r="H2665" s="12"/>
      <c r="I2665" s="12"/>
      <c r="J2665" s="12" t="s">
        <v>92</v>
      </c>
      <c r="K2665" s="12"/>
      <c r="L2665" s="12"/>
      <c r="M2665" s="12" t="s">
        <v>3988</v>
      </c>
      <c r="N2665" s="12"/>
      <c r="O2665" s="12" t="s">
        <v>3989</v>
      </c>
      <c r="P2665" s="12" t="str">
        <f>HYPERLINK("https://ceds.ed.gov/cedselementdetails.aspx?termid=9931")</f>
        <v>https://ceds.ed.gov/cedselementdetails.aspx?termid=9931</v>
      </c>
      <c r="Q2665" s="12" t="str">
        <f>HYPERLINK("https://ceds.ed.gov/elementComment.aspx?elementName=Learning Resource Text Complexity System &amp;elementID=9931", "Click here to submit comment")</f>
        <v>Click here to submit comment</v>
      </c>
    </row>
    <row r="2666" spans="1:17" ht="45" x14ac:dyDescent="0.25">
      <c r="A2666" s="12" t="s">
        <v>7295</v>
      </c>
      <c r="B2666" s="12" t="s">
        <v>7290</v>
      </c>
      <c r="C2666" s="12"/>
      <c r="D2666" s="12" t="s">
        <v>7172</v>
      </c>
      <c r="E2666" s="12" t="s">
        <v>3990</v>
      </c>
      <c r="F2666" s="12" t="s">
        <v>3991</v>
      </c>
      <c r="G2666" s="12" t="s">
        <v>12</v>
      </c>
      <c r="H2666" s="12"/>
      <c r="I2666" s="12"/>
      <c r="J2666" s="12" t="s">
        <v>92</v>
      </c>
      <c r="K2666" s="12"/>
      <c r="L2666" s="12"/>
      <c r="M2666" s="12" t="s">
        <v>3992</v>
      </c>
      <c r="N2666" s="12"/>
      <c r="O2666" s="12" t="s">
        <v>3993</v>
      </c>
      <c r="P2666" s="12" t="str">
        <f>HYPERLINK("https://ceds.ed.gov/cedselementdetails.aspx?termid=9930")</f>
        <v>https://ceds.ed.gov/cedselementdetails.aspx?termid=9930</v>
      </c>
      <c r="Q2666" s="12" t="str">
        <f>HYPERLINK("https://ceds.ed.gov/elementComment.aspx?elementName=Learning Resource Text Complexity Value &amp;elementID=9930", "Click here to submit comment")</f>
        <v>Click here to submit comment</v>
      </c>
    </row>
    <row r="2667" spans="1:17" ht="60" x14ac:dyDescent="0.25">
      <c r="A2667" s="12" t="s">
        <v>7295</v>
      </c>
      <c r="B2667" s="12" t="s">
        <v>7290</v>
      </c>
      <c r="C2667" s="12"/>
      <c r="D2667" s="12" t="s">
        <v>7172</v>
      </c>
      <c r="E2667" s="12" t="s">
        <v>3994</v>
      </c>
      <c r="F2667" s="12" t="s">
        <v>3995</v>
      </c>
      <c r="G2667" s="12" t="s">
        <v>12</v>
      </c>
      <c r="H2667" s="12"/>
      <c r="I2667" s="12"/>
      <c r="J2667" s="12" t="s">
        <v>3996</v>
      </c>
      <c r="K2667" s="12"/>
      <c r="L2667" s="12"/>
      <c r="M2667" s="12" t="s">
        <v>3997</v>
      </c>
      <c r="N2667" s="12"/>
      <c r="O2667" s="12" t="s">
        <v>3998</v>
      </c>
      <c r="P2667" s="12" t="str">
        <f>HYPERLINK("https://ceds.ed.gov/cedselementdetails.aspx?termid=9925")</f>
        <v>https://ceds.ed.gov/cedselementdetails.aspx?termid=9925</v>
      </c>
      <c r="Q2667" s="12" t="str">
        <f>HYPERLINK("https://ceds.ed.gov/elementComment.aspx?elementName=Learning Resource Time Required &amp;elementID=9925", "Click here to submit comment")</f>
        <v>Click here to submit comment</v>
      </c>
    </row>
    <row r="2668" spans="1:17" ht="30" x14ac:dyDescent="0.25">
      <c r="A2668" s="12" t="s">
        <v>7295</v>
      </c>
      <c r="B2668" s="12" t="s">
        <v>7290</v>
      </c>
      <c r="C2668" s="12"/>
      <c r="D2668" s="12" t="s">
        <v>7172</v>
      </c>
      <c r="E2668" s="12" t="s">
        <v>3999</v>
      </c>
      <c r="F2668" s="12" t="s">
        <v>4000</v>
      </c>
      <c r="G2668" s="12" t="s">
        <v>12</v>
      </c>
      <c r="H2668" s="12"/>
      <c r="I2668" s="12"/>
      <c r="J2668" s="12" t="s">
        <v>92</v>
      </c>
      <c r="K2668" s="12"/>
      <c r="L2668" s="12"/>
      <c r="M2668" s="12" t="s">
        <v>4001</v>
      </c>
      <c r="N2668" s="12"/>
      <c r="O2668" s="12" t="s">
        <v>4002</v>
      </c>
      <c r="P2668" s="12" t="str">
        <f>HYPERLINK("https://ceds.ed.gov/cedselementdetails.aspx?termid=9912")</f>
        <v>https://ceds.ed.gov/cedselementdetails.aspx?termid=9912</v>
      </c>
      <c r="Q2668" s="12" t="str">
        <f>HYPERLINK("https://ceds.ed.gov/elementComment.aspx?elementName=Learning Resource Title &amp;elementID=9912", "Click here to submit comment")</f>
        <v>Click here to submit comment</v>
      </c>
    </row>
    <row r="2669" spans="1:17" ht="360" x14ac:dyDescent="0.25">
      <c r="A2669" s="12" t="s">
        <v>7295</v>
      </c>
      <c r="B2669" s="12" t="s">
        <v>7290</v>
      </c>
      <c r="C2669" s="12"/>
      <c r="D2669" s="12" t="s">
        <v>7172</v>
      </c>
      <c r="E2669" s="12" t="s">
        <v>4003</v>
      </c>
      <c r="F2669" s="12" t="s">
        <v>4004</v>
      </c>
      <c r="G2669" s="13" t="s">
        <v>7007</v>
      </c>
      <c r="H2669" s="12"/>
      <c r="I2669" s="12"/>
      <c r="J2669" s="12"/>
      <c r="K2669" s="12"/>
      <c r="L2669" s="12" t="s">
        <v>4005</v>
      </c>
      <c r="M2669" s="12" t="s">
        <v>4006</v>
      </c>
      <c r="N2669" s="12"/>
      <c r="O2669" s="12" t="s">
        <v>4007</v>
      </c>
      <c r="P2669" s="12" t="str">
        <f>HYPERLINK("https://ceds.ed.gov/cedselementdetails.aspx?termid=9929")</f>
        <v>https://ceds.ed.gov/cedselementdetails.aspx?termid=9929</v>
      </c>
      <c r="Q2669" s="12" t="str">
        <f>HYPERLINK("https://ceds.ed.gov/elementComment.aspx?elementName=Learning Resource Type &amp;elementID=9929", "Click here to submit comment")</f>
        <v>Click here to submit comment</v>
      </c>
    </row>
    <row r="2670" spans="1:17" ht="45" x14ac:dyDescent="0.25">
      <c r="A2670" s="12" t="s">
        <v>7295</v>
      </c>
      <c r="B2670" s="12" t="s">
        <v>7290</v>
      </c>
      <c r="C2670" s="12"/>
      <c r="D2670" s="12" t="s">
        <v>7172</v>
      </c>
      <c r="E2670" s="12" t="s">
        <v>4008</v>
      </c>
      <c r="F2670" s="12" t="s">
        <v>4009</v>
      </c>
      <c r="G2670" s="12" t="s">
        <v>12</v>
      </c>
      <c r="H2670" s="12"/>
      <c r="I2670" s="12"/>
      <c r="J2670" s="12" t="s">
        <v>317</v>
      </c>
      <c r="K2670" s="12"/>
      <c r="L2670" s="12"/>
      <c r="M2670" s="12" t="s">
        <v>4010</v>
      </c>
      <c r="N2670" s="12"/>
      <c r="O2670" s="12" t="s">
        <v>4011</v>
      </c>
      <c r="P2670" s="12" t="str">
        <f>HYPERLINK("https://ceds.ed.gov/cedselementdetails.aspx?termid=9927")</f>
        <v>https://ceds.ed.gov/cedselementdetails.aspx?termid=9927</v>
      </c>
      <c r="Q2670" s="12" t="str">
        <f>HYPERLINK("https://ceds.ed.gov/elementComment.aspx?elementName=Learning Resource Typical Age Range Maximum &amp;elementID=9927", "Click here to submit comment")</f>
        <v>Click here to submit comment</v>
      </c>
    </row>
    <row r="2671" spans="1:17" ht="45" x14ac:dyDescent="0.25">
      <c r="A2671" s="12" t="s">
        <v>7295</v>
      </c>
      <c r="B2671" s="12" t="s">
        <v>7290</v>
      </c>
      <c r="C2671" s="12"/>
      <c r="D2671" s="12" t="s">
        <v>7172</v>
      </c>
      <c r="E2671" s="12" t="s">
        <v>4012</v>
      </c>
      <c r="F2671" s="12" t="s">
        <v>4013</v>
      </c>
      <c r="G2671" s="12" t="s">
        <v>12</v>
      </c>
      <c r="H2671" s="12"/>
      <c r="I2671" s="12"/>
      <c r="J2671" s="12" t="s">
        <v>317</v>
      </c>
      <c r="K2671" s="12"/>
      <c r="L2671" s="12"/>
      <c r="M2671" s="12" t="s">
        <v>4014</v>
      </c>
      <c r="N2671" s="12"/>
      <c r="O2671" s="12" t="s">
        <v>4015</v>
      </c>
      <c r="P2671" s="12" t="str">
        <f>HYPERLINK("https://ceds.ed.gov/cedselementdetails.aspx?termid=9926")</f>
        <v>https://ceds.ed.gov/cedselementdetails.aspx?termid=9926</v>
      </c>
      <c r="Q2671" s="12" t="str">
        <f>HYPERLINK("https://ceds.ed.gov/elementComment.aspx?elementName=Learning Resource Typical Age Range Minimum &amp;elementID=9926", "Click here to submit comment")</f>
        <v>Click here to submit comment</v>
      </c>
    </row>
    <row r="2672" spans="1:17" ht="75" x14ac:dyDescent="0.25">
      <c r="A2672" s="12" t="s">
        <v>7295</v>
      </c>
      <c r="B2672" s="12" t="s">
        <v>7290</v>
      </c>
      <c r="C2672" s="12"/>
      <c r="D2672" s="12" t="s">
        <v>7172</v>
      </c>
      <c r="E2672" s="12" t="s">
        <v>4016</v>
      </c>
      <c r="F2672" s="12" t="s">
        <v>4017</v>
      </c>
      <c r="G2672" s="12" t="s">
        <v>12</v>
      </c>
      <c r="H2672" s="12"/>
      <c r="I2672" s="12"/>
      <c r="J2672" s="12" t="s">
        <v>68</v>
      </c>
      <c r="K2672" s="12"/>
      <c r="L2672" s="12"/>
      <c r="M2672" s="12" t="s">
        <v>4018</v>
      </c>
      <c r="N2672" s="12"/>
      <c r="O2672" s="12" t="s">
        <v>4019</v>
      </c>
      <c r="P2672" s="12" t="str">
        <f>HYPERLINK("https://ceds.ed.gov/cedselementdetails.aspx?termid=9911")</f>
        <v>https://ceds.ed.gov/cedselementdetails.aspx?termid=9911</v>
      </c>
      <c r="Q2672" s="12" t="str">
        <f>HYPERLINK("https://ceds.ed.gov/elementComment.aspx?elementName=Learning Resource URL &amp;elementID=9911", "Click here to submit comment")</f>
        <v>Click here to submit comment</v>
      </c>
    </row>
    <row r="2673" spans="1:17" ht="30" x14ac:dyDescent="0.25">
      <c r="A2673" s="12" t="s">
        <v>7295</v>
      </c>
      <c r="B2673" s="12" t="s">
        <v>7290</v>
      </c>
      <c r="C2673" s="12"/>
      <c r="D2673" s="12" t="s">
        <v>7172</v>
      </c>
      <c r="E2673" s="12" t="s">
        <v>4020</v>
      </c>
      <c r="F2673" s="12" t="s">
        <v>4021</v>
      </c>
      <c r="G2673" s="12" t="s">
        <v>12</v>
      </c>
      <c r="H2673" s="12"/>
      <c r="I2673" s="12"/>
      <c r="J2673" s="12" t="s">
        <v>92</v>
      </c>
      <c r="K2673" s="12"/>
      <c r="L2673" s="12"/>
      <c r="M2673" s="12" t="s">
        <v>4022</v>
      </c>
      <c r="N2673" s="12"/>
      <c r="O2673" s="12" t="s">
        <v>4023</v>
      </c>
      <c r="P2673" s="12" t="str">
        <f>HYPERLINK("https://ceds.ed.gov/cedselementdetails.aspx?termid=10182")</f>
        <v>https://ceds.ed.gov/cedselementdetails.aspx?termid=10182</v>
      </c>
      <c r="Q2673" s="12" t="str">
        <f>HYPERLINK("https://ceds.ed.gov/elementComment.aspx?elementName=Learning Resource Version &amp;elementID=10182", "Click here to submit comment")</f>
        <v>Click here to submit comment</v>
      </c>
    </row>
    <row r="2674" spans="1:17" ht="30" x14ac:dyDescent="0.25">
      <c r="A2674" s="12" t="s">
        <v>7295</v>
      </c>
      <c r="B2674" s="12" t="s">
        <v>7290</v>
      </c>
      <c r="C2674" s="12" t="s">
        <v>7291</v>
      </c>
      <c r="D2674" s="12" t="s">
        <v>7172</v>
      </c>
      <c r="E2674" s="12" t="s">
        <v>4769</v>
      </c>
      <c r="F2674" s="12" t="s">
        <v>4770</v>
      </c>
      <c r="G2674" s="12" t="s">
        <v>12</v>
      </c>
      <c r="H2674" s="12"/>
      <c r="I2674" s="12"/>
      <c r="J2674" s="12" t="s">
        <v>73</v>
      </c>
      <c r="K2674" s="12"/>
      <c r="L2674" s="12"/>
      <c r="M2674" s="12" t="s">
        <v>4771</v>
      </c>
      <c r="N2674" s="12"/>
      <c r="O2674" s="12" t="s">
        <v>4772</v>
      </c>
      <c r="P2674" s="12" t="str">
        <f>HYPERLINK("https://ceds.ed.gov/cedselementdetails.aspx?termid=10171")</f>
        <v>https://ceds.ed.gov/cedselementdetails.aspx?termid=10171</v>
      </c>
      <c r="Q2674" s="12" t="str">
        <f>HYPERLINK("https://ceds.ed.gov/elementComment.aspx?elementName=Peer Rating Date &amp;elementID=10171", "Click here to submit comment")</f>
        <v>Click here to submit comment</v>
      </c>
    </row>
    <row r="2675" spans="1:17" ht="30" x14ac:dyDescent="0.25">
      <c r="A2675" s="12" t="s">
        <v>7295</v>
      </c>
      <c r="B2675" s="12" t="s">
        <v>7290</v>
      </c>
      <c r="C2675" s="12" t="s">
        <v>7292</v>
      </c>
      <c r="D2675" s="12" t="s">
        <v>7172</v>
      </c>
      <c r="E2675" s="12" t="s">
        <v>4773</v>
      </c>
      <c r="F2675" s="12" t="s">
        <v>4774</v>
      </c>
      <c r="G2675" s="12" t="s">
        <v>12</v>
      </c>
      <c r="H2675" s="12"/>
      <c r="I2675" s="12"/>
      <c r="J2675" s="12" t="s">
        <v>1021</v>
      </c>
      <c r="K2675" s="12"/>
      <c r="L2675" s="12"/>
      <c r="M2675" s="12" t="s">
        <v>4775</v>
      </c>
      <c r="N2675" s="12"/>
      <c r="O2675" s="12" t="s">
        <v>4776</v>
      </c>
      <c r="P2675" s="12" t="str">
        <f>HYPERLINK("https://ceds.ed.gov/cedselementdetails.aspx?termid=10162")</f>
        <v>https://ceds.ed.gov/cedselementdetails.aspx?termid=10162</v>
      </c>
      <c r="Q2675" s="12" t="str">
        <f>HYPERLINK("https://ceds.ed.gov/elementComment.aspx?elementName=Peer Rating System Maximum Value &amp;elementID=10162", "Click here to submit comment")</f>
        <v>Click here to submit comment</v>
      </c>
    </row>
    <row r="2676" spans="1:17" ht="30" x14ac:dyDescent="0.25">
      <c r="A2676" s="12" t="s">
        <v>7295</v>
      </c>
      <c r="B2676" s="12" t="s">
        <v>7290</v>
      </c>
      <c r="C2676" s="12" t="s">
        <v>7292</v>
      </c>
      <c r="D2676" s="12" t="s">
        <v>7172</v>
      </c>
      <c r="E2676" s="12" t="s">
        <v>4777</v>
      </c>
      <c r="F2676" s="12" t="s">
        <v>4778</v>
      </c>
      <c r="G2676" s="12" t="s">
        <v>12</v>
      </c>
      <c r="H2676" s="12"/>
      <c r="I2676" s="12"/>
      <c r="J2676" s="12" t="s">
        <v>1021</v>
      </c>
      <c r="K2676" s="12"/>
      <c r="L2676" s="12"/>
      <c r="M2676" s="12" t="s">
        <v>4779</v>
      </c>
      <c r="N2676" s="12"/>
      <c r="O2676" s="12" t="s">
        <v>4780</v>
      </c>
      <c r="P2676" s="12" t="str">
        <f>HYPERLINK("https://ceds.ed.gov/cedselementdetails.aspx?termid=10163")</f>
        <v>https://ceds.ed.gov/cedselementdetails.aspx?termid=10163</v>
      </c>
      <c r="Q2676" s="12" t="str">
        <f>HYPERLINK("https://ceds.ed.gov/elementComment.aspx?elementName=Peer Rating System Minimum Value &amp;elementID=10163", "Click here to submit comment")</f>
        <v>Click here to submit comment</v>
      </c>
    </row>
    <row r="2677" spans="1:17" ht="30" x14ac:dyDescent="0.25">
      <c r="A2677" s="12" t="s">
        <v>7295</v>
      </c>
      <c r="B2677" s="12" t="s">
        <v>7290</v>
      </c>
      <c r="C2677" s="12" t="s">
        <v>7292</v>
      </c>
      <c r="D2677" s="12" t="s">
        <v>7172</v>
      </c>
      <c r="E2677" s="12" t="s">
        <v>4781</v>
      </c>
      <c r="F2677" s="12" t="s">
        <v>4782</v>
      </c>
      <c r="G2677" s="12" t="s">
        <v>12</v>
      </c>
      <c r="H2677" s="12"/>
      <c r="I2677" s="12"/>
      <c r="J2677" s="12" t="s">
        <v>99</v>
      </c>
      <c r="K2677" s="12"/>
      <c r="L2677" s="12"/>
      <c r="M2677" s="12" t="s">
        <v>4783</v>
      </c>
      <c r="N2677" s="12"/>
      <c r="O2677" s="12" t="s">
        <v>4784</v>
      </c>
      <c r="P2677" s="12" t="str">
        <f>HYPERLINK("https://ceds.ed.gov/cedselementdetails.aspx?termid=10160")</f>
        <v>https://ceds.ed.gov/cedselementdetails.aspx?termid=10160</v>
      </c>
      <c r="Q2677" s="12" t="str">
        <f>HYPERLINK("https://ceds.ed.gov/elementComment.aspx?elementName=Peer Rating System Name &amp;elementID=10160", "Click here to submit comment")</f>
        <v>Click here to submit comment</v>
      </c>
    </row>
    <row r="2678" spans="1:17" ht="75" x14ac:dyDescent="0.25">
      <c r="A2678" s="12" t="s">
        <v>7295</v>
      </c>
      <c r="B2678" s="12" t="s">
        <v>7290</v>
      </c>
      <c r="C2678" s="12" t="s">
        <v>7292</v>
      </c>
      <c r="D2678" s="12" t="s">
        <v>7172</v>
      </c>
      <c r="E2678" s="12" t="s">
        <v>4785</v>
      </c>
      <c r="F2678" s="12" t="s">
        <v>4786</v>
      </c>
      <c r="G2678" s="12" t="s">
        <v>12</v>
      </c>
      <c r="H2678" s="12"/>
      <c r="I2678" s="12"/>
      <c r="J2678" s="12" t="s">
        <v>1021</v>
      </c>
      <c r="K2678" s="12"/>
      <c r="L2678" s="12"/>
      <c r="M2678" s="12" t="s">
        <v>4787</v>
      </c>
      <c r="N2678" s="12"/>
      <c r="O2678" s="12" t="s">
        <v>4788</v>
      </c>
      <c r="P2678" s="12" t="str">
        <f>HYPERLINK("https://ceds.ed.gov/cedselementdetails.aspx?termid=10164")</f>
        <v>https://ceds.ed.gov/cedselementdetails.aspx?termid=10164</v>
      </c>
      <c r="Q2678" s="12" t="str">
        <f>HYPERLINK("https://ceds.ed.gov/elementComment.aspx?elementName=Peer Rating System Optimum Value &amp;elementID=10164", "Click here to submit comment")</f>
        <v>Click here to submit comment</v>
      </c>
    </row>
    <row r="2679" spans="1:17" ht="45" x14ac:dyDescent="0.25">
      <c r="A2679" s="12" t="s">
        <v>7295</v>
      </c>
      <c r="B2679" s="12" t="s">
        <v>7293</v>
      </c>
      <c r="C2679" s="12"/>
      <c r="D2679" s="12" t="s">
        <v>7172</v>
      </c>
      <c r="E2679" s="12" t="s">
        <v>3793</v>
      </c>
      <c r="F2679" s="12" t="s">
        <v>3794</v>
      </c>
      <c r="G2679" s="12" t="s">
        <v>12</v>
      </c>
      <c r="H2679" s="12"/>
      <c r="I2679" s="12"/>
      <c r="J2679" s="12" t="s">
        <v>68</v>
      </c>
      <c r="K2679" s="12"/>
      <c r="L2679" s="12"/>
      <c r="M2679" s="12" t="s">
        <v>3795</v>
      </c>
      <c r="N2679" s="12"/>
      <c r="O2679" s="12" t="s">
        <v>3796</v>
      </c>
      <c r="P2679" s="12" t="str">
        <f>HYPERLINK("https://ceds.ed.gov/cedselementdetails.aspx?termid=9903")</f>
        <v>https://ceds.ed.gov/cedselementdetails.aspx?termid=9903</v>
      </c>
      <c r="Q2679" s="12" t="str">
        <f>HYPERLINK("https://ceds.ed.gov/elementComment.aspx?elementName=Learning Goal Description &amp;elementID=9903", "Click here to submit comment")</f>
        <v>Click here to submit comment</v>
      </c>
    </row>
    <row r="2680" spans="1:17" ht="45" x14ac:dyDescent="0.25">
      <c r="A2680" s="12" t="s">
        <v>7295</v>
      </c>
      <c r="B2680" s="12" t="s">
        <v>7293</v>
      </c>
      <c r="C2680" s="12"/>
      <c r="D2680" s="12" t="s">
        <v>7172</v>
      </c>
      <c r="E2680" s="12" t="s">
        <v>3797</v>
      </c>
      <c r="F2680" s="12" t="s">
        <v>3798</v>
      </c>
      <c r="G2680" s="12" t="s">
        <v>12</v>
      </c>
      <c r="H2680" s="12"/>
      <c r="I2680" s="12"/>
      <c r="J2680" s="12" t="s">
        <v>73</v>
      </c>
      <c r="K2680" s="12"/>
      <c r="L2680" s="12" t="s">
        <v>3799</v>
      </c>
      <c r="M2680" s="12" t="s">
        <v>3800</v>
      </c>
      <c r="N2680" s="12"/>
      <c r="O2680" s="12" t="s">
        <v>3801</v>
      </c>
      <c r="P2680" s="12" t="str">
        <f>HYPERLINK("https://ceds.ed.gov/cedselementdetails.aspx?termid=10170")</f>
        <v>https://ceds.ed.gov/cedselementdetails.aspx?termid=10170</v>
      </c>
      <c r="Q2680" s="12" t="str">
        <f>HYPERLINK("https://ceds.ed.gov/elementComment.aspx?elementName=Learning Goal End Date &amp;elementID=10170", "Click here to submit comment")</f>
        <v>Click here to submit comment</v>
      </c>
    </row>
    <row r="2681" spans="1:17" ht="30" x14ac:dyDescent="0.25">
      <c r="A2681" s="12" t="s">
        <v>7295</v>
      </c>
      <c r="B2681" s="12" t="s">
        <v>7293</v>
      </c>
      <c r="C2681" s="12"/>
      <c r="D2681" s="12" t="s">
        <v>7172</v>
      </c>
      <c r="E2681" s="12" t="s">
        <v>3802</v>
      </c>
      <c r="F2681" s="12" t="s">
        <v>3803</v>
      </c>
      <c r="G2681" s="12" t="s">
        <v>12</v>
      </c>
      <c r="H2681" s="12"/>
      <c r="I2681" s="12"/>
      <c r="J2681" s="12" t="s">
        <v>73</v>
      </c>
      <c r="K2681" s="12"/>
      <c r="L2681" s="12"/>
      <c r="M2681" s="12" t="s">
        <v>3804</v>
      </c>
      <c r="N2681" s="12"/>
      <c r="O2681" s="12" t="s">
        <v>3805</v>
      </c>
      <c r="P2681" s="12" t="str">
        <f>HYPERLINK("https://ceds.ed.gov/cedselementdetails.aspx?termid=10169")</f>
        <v>https://ceds.ed.gov/cedselementdetails.aspx?termid=10169</v>
      </c>
      <c r="Q2681" s="12" t="str">
        <f>HYPERLINK("https://ceds.ed.gov/elementComment.aspx?elementName=Learning Goal Start Date &amp;elementID=10169", "Click here to submit comment")</f>
        <v>Click here to submit comment</v>
      </c>
    </row>
    <row r="2682" spans="1:17" ht="60" x14ac:dyDescent="0.25">
      <c r="A2682" s="12" t="s">
        <v>7295</v>
      </c>
      <c r="B2682" s="12" t="s">
        <v>7285</v>
      </c>
      <c r="C2682" s="12"/>
      <c r="D2682" s="12" t="s">
        <v>7176</v>
      </c>
      <c r="E2682" s="12" t="s">
        <v>4684</v>
      </c>
      <c r="F2682" s="12" t="s">
        <v>4685</v>
      </c>
      <c r="G2682" s="13" t="s">
        <v>7044</v>
      </c>
      <c r="H2682" s="12"/>
      <c r="I2682" s="12"/>
      <c r="J2682" s="12"/>
      <c r="K2682" s="12"/>
      <c r="L2682" s="12"/>
      <c r="M2682" s="12" t="s">
        <v>4686</v>
      </c>
      <c r="N2682" s="12"/>
      <c r="O2682" s="12" t="s">
        <v>4687</v>
      </c>
      <c r="P2682" s="12" t="str">
        <f>HYPERLINK("https://ceds.ed.gov/cedselementdetails.aspx?termid=10387")</f>
        <v>https://ceds.ed.gov/cedselementdetails.aspx?termid=10387</v>
      </c>
      <c r="Q2682" s="12" t="str">
        <f>HYPERLINK("https://ceds.ed.gov/elementComment.aspx?elementName=Organization Operational Status &amp;elementID=10387", "Click here to submit comment")</f>
        <v>Click here to submit comment</v>
      </c>
    </row>
    <row r="2683" spans="1:17" ht="240" x14ac:dyDescent="0.25">
      <c r="A2683" s="12" t="s">
        <v>7295</v>
      </c>
      <c r="B2683" s="12" t="s">
        <v>7285</v>
      </c>
      <c r="C2683" s="12" t="s">
        <v>7208</v>
      </c>
      <c r="D2683" s="12" t="s">
        <v>7176</v>
      </c>
      <c r="E2683" s="12" t="s">
        <v>4668</v>
      </c>
      <c r="F2683" s="12" t="s">
        <v>4669</v>
      </c>
      <c r="G2683" s="13" t="s">
        <v>6739</v>
      </c>
      <c r="H2683" s="12" t="s">
        <v>64</v>
      </c>
      <c r="I2683" s="12"/>
      <c r="J2683" s="12"/>
      <c r="K2683" s="12"/>
      <c r="L2683" s="12"/>
      <c r="M2683" s="12" t="s">
        <v>4670</v>
      </c>
      <c r="N2683" s="12"/>
      <c r="O2683" s="12" t="s">
        <v>4671</v>
      </c>
      <c r="P2683" s="12" t="str">
        <f>HYPERLINK("https://ceds.ed.gov/cedselementdetails.aspx?termid=9827")</f>
        <v>https://ceds.ed.gov/cedselementdetails.aspx?termid=9827</v>
      </c>
      <c r="Q2683" s="12" t="str">
        <f>HYPERLINK("https://ceds.ed.gov/elementComment.aspx?elementName=Organization Identification System &amp;elementID=9827", "Click here to submit comment")</f>
        <v>Click here to submit comment</v>
      </c>
    </row>
    <row r="2684" spans="1:17" ht="105" x14ac:dyDescent="0.25">
      <c r="A2684" s="18" t="s">
        <v>7295</v>
      </c>
      <c r="B2684" s="18" t="s">
        <v>7285</v>
      </c>
      <c r="C2684" s="18" t="s">
        <v>7208</v>
      </c>
      <c r="D2684" s="18" t="s">
        <v>7176</v>
      </c>
      <c r="E2684" s="18" t="s">
        <v>4672</v>
      </c>
      <c r="F2684" s="18" t="s">
        <v>4673</v>
      </c>
      <c r="G2684" s="18" t="s">
        <v>12</v>
      </c>
      <c r="H2684" s="18" t="s">
        <v>64</v>
      </c>
      <c r="I2684" s="18"/>
      <c r="J2684" s="18" t="s">
        <v>142</v>
      </c>
      <c r="K2684" s="18"/>
      <c r="L2684" s="12" t="s">
        <v>143</v>
      </c>
      <c r="M2684" s="18" t="s">
        <v>4674</v>
      </c>
      <c r="N2684" s="18"/>
      <c r="O2684" s="18" t="s">
        <v>4675</v>
      </c>
      <c r="P2684" s="18" t="str">
        <f>HYPERLINK("https://ceds.ed.gov/cedselementdetails.aspx?termid=9825")</f>
        <v>https://ceds.ed.gov/cedselementdetails.aspx?termid=9825</v>
      </c>
      <c r="Q2684" s="18" t="str">
        <f>HYPERLINK("https://ceds.ed.gov/elementComment.aspx?elementName=Organization Identifier &amp;elementID=9825", "Click here to submit comment")</f>
        <v>Click here to submit comment</v>
      </c>
    </row>
    <row r="2685" spans="1:17" x14ac:dyDescent="0.25">
      <c r="A2685" s="18"/>
      <c r="B2685" s="18"/>
      <c r="C2685" s="18"/>
      <c r="D2685" s="18"/>
      <c r="E2685" s="18"/>
      <c r="F2685" s="18"/>
      <c r="G2685" s="18"/>
      <c r="H2685" s="18"/>
      <c r="I2685" s="18"/>
      <c r="J2685" s="18"/>
      <c r="K2685" s="18"/>
      <c r="L2685" s="12"/>
      <c r="M2685" s="18"/>
      <c r="N2685" s="18"/>
      <c r="O2685" s="18"/>
      <c r="P2685" s="18"/>
      <c r="Q2685" s="18"/>
    </row>
    <row r="2686" spans="1:17" ht="90" x14ac:dyDescent="0.25">
      <c r="A2686" s="18"/>
      <c r="B2686" s="18"/>
      <c r="C2686" s="18"/>
      <c r="D2686" s="18"/>
      <c r="E2686" s="18"/>
      <c r="F2686" s="18"/>
      <c r="G2686" s="18"/>
      <c r="H2686" s="18"/>
      <c r="I2686" s="18"/>
      <c r="J2686" s="18"/>
      <c r="K2686" s="18"/>
      <c r="L2686" s="12" t="s">
        <v>144</v>
      </c>
      <c r="M2686" s="18"/>
      <c r="N2686" s="18"/>
      <c r="O2686" s="18"/>
      <c r="P2686" s="18"/>
      <c r="Q2686" s="18"/>
    </row>
    <row r="2687" spans="1:17" ht="45" x14ac:dyDescent="0.25">
      <c r="A2687" s="12" t="s">
        <v>7295</v>
      </c>
      <c r="B2687" s="12" t="s">
        <v>7285</v>
      </c>
      <c r="C2687" s="12" t="s">
        <v>7208</v>
      </c>
      <c r="D2687" s="12" t="s">
        <v>7176</v>
      </c>
      <c r="E2687" s="12" t="s">
        <v>4680</v>
      </c>
      <c r="F2687" s="12" t="s">
        <v>4681</v>
      </c>
      <c r="G2687" s="12" t="s">
        <v>12</v>
      </c>
      <c r="H2687" s="12" t="s">
        <v>205</v>
      </c>
      <c r="I2687" s="12"/>
      <c r="J2687" s="12" t="s">
        <v>99</v>
      </c>
      <c r="K2687" s="12"/>
      <c r="L2687" s="12"/>
      <c r="M2687" s="12" t="s">
        <v>4682</v>
      </c>
      <c r="N2687" s="12"/>
      <c r="O2687" s="12" t="s">
        <v>4683</v>
      </c>
      <c r="P2687" s="12" t="str">
        <f>HYPERLINK("https://ceds.ed.gov/cedselementdetails.aspx?termid=9204")</f>
        <v>https://ceds.ed.gov/cedselementdetails.aspx?termid=9204</v>
      </c>
      <c r="Q2687" s="12" t="str">
        <f>HYPERLINK("https://ceds.ed.gov/elementComment.aspx?elementName=Organization Name &amp;elementID=9204", "Click here to submit comment")</f>
        <v>Click here to submit comment</v>
      </c>
    </row>
    <row r="2688" spans="1:17" ht="409.5" x14ac:dyDescent="0.25">
      <c r="A2688" s="12" t="s">
        <v>7295</v>
      </c>
      <c r="B2688" s="12" t="s">
        <v>7285</v>
      </c>
      <c r="C2688" s="12" t="s">
        <v>7208</v>
      </c>
      <c r="D2688" s="12" t="s">
        <v>7176</v>
      </c>
      <c r="E2688" s="12" t="s">
        <v>4692</v>
      </c>
      <c r="F2688" s="12" t="s">
        <v>4693</v>
      </c>
      <c r="G2688" s="13" t="s">
        <v>7045</v>
      </c>
      <c r="H2688" s="12"/>
      <c r="I2688" s="12" t="s">
        <v>98</v>
      </c>
      <c r="J2688" s="12" t="s">
        <v>142</v>
      </c>
      <c r="K2688" s="12"/>
      <c r="L2688" s="12" t="s">
        <v>4694</v>
      </c>
      <c r="M2688" s="12" t="s">
        <v>4695</v>
      </c>
      <c r="N2688" s="12"/>
      <c r="O2688" s="12" t="s">
        <v>4696</v>
      </c>
      <c r="P2688" s="12" t="str">
        <f>HYPERLINK("https://ceds.ed.gov/cedselementdetails.aspx?termid=10165")</f>
        <v>https://ceds.ed.gov/cedselementdetails.aspx?termid=10165</v>
      </c>
      <c r="Q2688" s="12" t="str">
        <f>HYPERLINK("https://ceds.ed.gov/elementComment.aspx?elementName=Organization Type &amp;elementID=10165", "Click here to submit comment")</f>
        <v>Click here to submit comment</v>
      </c>
    </row>
    <row r="2689" spans="1:17" ht="90" x14ac:dyDescent="0.25">
      <c r="A2689" s="12" t="s">
        <v>7295</v>
      </c>
      <c r="B2689" s="12" t="s">
        <v>7285</v>
      </c>
      <c r="C2689" s="12" t="s">
        <v>7214</v>
      </c>
      <c r="D2689" s="12" t="s">
        <v>7176</v>
      </c>
      <c r="E2689" s="12" t="s">
        <v>197</v>
      </c>
      <c r="F2689" s="12" t="s">
        <v>198</v>
      </c>
      <c r="G2689" s="13" t="s">
        <v>6727</v>
      </c>
      <c r="H2689" s="12" t="s">
        <v>6369</v>
      </c>
      <c r="I2689" s="12"/>
      <c r="J2689" s="12" t="s">
        <v>92</v>
      </c>
      <c r="K2689" s="12"/>
      <c r="L2689" s="12"/>
      <c r="M2689" s="12" t="s">
        <v>199</v>
      </c>
      <c r="N2689" s="12"/>
      <c r="O2689" s="12" t="s">
        <v>200</v>
      </c>
      <c r="P2689" s="12" t="str">
        <f>HYPERLINK("https://ceds.ed.gov/cedselementdetails.aspx?termid=9644")</f>
        <v>https://ceds.ed.gov/cedselementdetails.aspx?termid=9644</v>
      </c>
      <c r="Q2689" s="12" t="str">
        <f>HYPERLINK("https://ceds.ed.gov/elementComment.aspx?elementName=Address Type for Organization &amp;elementID=9644", "Click here to submit comment")</f>
        <v>Click here to submit comment</v>
      </c>
    </row>
    <row r="2690" spans="1:17" ht="225" x14ac:dyDescent="0.25">
      <c r="A2690" s="12" t="s">
        <v>7295</v>
      </c>
      <c r="B2690" s="12" t="s">
        <v>7285</v>
      </c>
      <c r="C2690" s="12" t="s">
        <v>7214</v>
      </c>
      <c r="D2690" s="12" t="s">
        <v>7176</v>
      </c>
      <c r="E2690" s="12" t="s">
        <v>189</v>
      </c>
      <c r="F2690" s="12" t="s">
        <v>190</v>
      </c>
      <c r="G2690" s="12" t="s">
        <v>12</v>
      </c>
      <c r="H2690" s="12" t="s">
        <v>6377</v>
      </c>
      <c r="I2690" s="12"/>
      <c r="J2690" s="12" t="s">
        <v>142</v>
      </c>
      <c r="K2690" s="12"/>
      <c r="L2690" s="12"/>
      <c r="M2690" s="12" t="s">
        <v>191</v>
      </c>
      <c r="N2690" s="12"/>
      <c r="O2690" s="12" t="s">
        <v>192</v>
      </c>
      <c r="P2690" s="12" t="str">
        <f>HYPERLINK("https://ceds.ed.gov/cedselementdetails.aspx?termid=9269")</f>
        <v>https://ceds.ed.gov/cedselementdetails.aspx?termid=9269</v>
      </c>
      <c r="Q2690" s="12" t="str">
        <f>HYPERLINK("https://ceds.ed.gov/elementComment.aspx?elementName=Address Street Number and Name &amp;elementID=9269", "Click here to submit comment")</f>
        <v>Click here to submit comment</v>
      </c>
    </row>
    <row r="2691" spans="1:17" ht="225" x14ac:dyDescent="0.25">
      <c r="A2691" s="12" t="s">
        <v>7295</v>
      </c>
      <c r="B2691" s="12" t="s">
        <v>7285</v>
      </c>
      <c r="C2691" s="12" t="s">
        <v>7214</v>
      </c>
      <c r="D2691" s="12" t="s">
        <v>7176</v>
      </c>
      <c r="E2691" s="12" t="s">
        <v>172</v>
      </c>
      <c r="F2691" s="12" t="s">
        <v>173</v>
      </c>
      <c r="G2691" s="12" t="s">
        <v>12</v>
      </c>
      <c r="H2691" s="12" t="s">
        <v>6377</v>
      </c>
      <c r="I2691" s="12"/>
      <c r="J2691" s="12" t="s">
        <v>92</v>
      </c>
      <c r="K2691" s="12"/>
      <c r="L2691" s="12"/>
      <c r="M2691" s="12" t="s">
        <v>174</v>
      </c>
      <c r="N2691" s="12"/>
      <c r="O2691" s="12" t="s">
        <v>175</v>
      </c>
      <c r="P2691" s="12" t="str">
        <f>HYPERLINK("https://ceds.ed.gov/cedselementdetails.aspx?termid=9019")</f>
        <v>https://ceds.ed.gov/cedselementdetails.aspx?termid=9019</v>
      </c>
      <c r="Q2691" s="12" t="str">
        <f>HYPERLINK("https://ceds.ed.gov/elementComment.aspx?elementName=Address Apartment Room or Suite Number &amp;elementID=9019", "Click here to submit comment")</f>
        <v>Click here to submit comment</v>
      </c>
    </row>
    <row r="2692" spans="1:17" ht="225" x14ac:dyDescent="0.25">
      <c r="A2692" s="12" t="s">
        <v>7295</v>
      </c>
      <c r="B2692" s="12" t="s">
        <v>7285</v>
      </c>
      <c r="C2692" s="12" t="s">
        <v>7214</v>
      </c>
      <c r="D2692" s="12" t="s">
        <v>7176</v>
      </c>
      <c r="E2692" s="12" t="s">
        <v>176</v>
      </c>
      <c r="F2692" s="12" t="s">
        <v>177</v>
      </c>
      <c r="G2692" s="12" t="s">
        <v>12</v>
      </c>
      <c r="H2692" s="12" t="s">
        <v>6377</v>
      </c>
      <c r="I2692" s="12"/>
      <c r="J2692" s="12" t="s">
        <v>92</v>
      </c>
      <c r="K2692" s="12"/>
      <c r="L2692" s="12"/>
      <c r="M2692" s="12" t="s">
        <v>178</v>
      </c>
      <c r="N2692" s="12"/>
      <c r="O2692" s="12" t="s">
        <v>179</v>
      </c>
      <c r="P2692" s="12" t="str">
        <f>HYPERLINK("https://ceds.ed.gov/cedselementdetails.aspx?termid=9040")</f>
        <v>https://ceds.ed.gov/cedselementdetails.aspx?termid=9040</v>
      </c>
      <c r="Q2692" s="12" t="str">
        <f>HYPERLINK("https://ceds.ed.gov/elementComment.aspx?elementName=Address City &amp;elementID=9040", "Click here to submit comment")</f>
        <v>Click here to submit comment</v>
      </c>
    </row>
    <row r="2693" spans="1:17" ht="409.5" x14ac:dyDescent="0.25">
      <c r="A2693" s="12" t="s">
        <v>7295</v>
      </c>
      <c r="B2693" s="12" t="s">
        <v>7285</v>
      </c>
      <c r="C2693" s="12" t="s">
        <v>7214</v>
      </c>
      <c r="D2693" s="12" t="s">
        <v>7176</v>
      </c>
      <c r="E2693" s="12" t="s">
        <v>5898</v>
      </c>
      <c r="F2693" s="12" t="s">
        <v>5899</v>
      </c>
      <c r="G2693" s="13" t="s">
        <v>7120</v>
      </c>
      <c r="H2693" s="12" t="s">
        <v>6678</v>
      </c>
      <c r="I2693" s="12"/>
      <c r="J2693" s="12"/>
      <c r="K2693" s="12"/>
      <c r="L2693" s="12"/>
      <c r="M2693" s="12" t="s">
        <v>5900</v>
      </c>
      <c r="N2693" s="12"/>
      <c r="O2693" s="12" t="s">
        <v>5901</v>
      </c>
      <c r="P2693" s="12" t="str">
        <f>HYPERLINK("https://ceds.ed.gov/cedselementdetails.aspx?termid=9267")</f>
        <v>https://ceds.ed.gov/cedselementdetails.aspx?termid=9267</v>
      </c>
      <c r="Q2693" s="12" t="str">
        <f>HYPERLINK("https://ceds.ed.gov/elementComment.aspx?elementName=State Abbreviation &amp;elementID=9267", "Click here to submit comment")</f>
        <v>Click here to submit comment</v>
      </c>
    </row>
    <row r="2694" spans="1:17" ht="225" x14ac:dyDescent="0.25">
      <c r="A2694" s="12" t="s">
        <v>7295</v>
      </c>
      <c r="B2694" s="12" t="s">
        <v>7285</v>
      </c>
      <c r="C2694" s="12" t="s">
        <v>7214</v>
      </c>
      <c r="D2694" s="12" t="s">
        <v>7176</v>
      </c>
      <c r="E2694" s="12" t="s">
        <v>184</v>
      </c>
      <c r="F2694" s="12" t="s">
        <v>185</v>
      </c>
      <c r="G2694" s="12" t="s">
        <v>12</v>
      </c>
      <c r="H2694" s="12" t="s">
        <v>6377</v>
      </c>
      <c r="I2694" s="12"/>
      <c r="J2694" s="12" t="s">
        <v>186</v>
      </c>
      <c r="K2694" s="12"/>
      <c r="L2694" s="12"/>
      <c r="M2694" s="12" t="s">
        <v>187</v>
      </c>
      <c r="N2694" s="12"/>
      <c r="O2694" s="12" t="s">
        <v>188</v>
      </c>
      <c r="P2694" s="12" t="str">
        <f>HYPERLINK("https://ceds.ed.gov/cedselementdetails.aspx?termid=9214")</f>
        <v>https://ceds.ed.gov/cedselementdetails.aspx?termid=9214</v>
      </c>
      <c r="Q2694" s="12" t="str">
        <f>HYPERLINK("https://ceds.ed.gov/elementComment.aspx?elementName=Address Postal Code &amp;elementID=9214", "Click here to submit comment")</f>
        <v>Click here to submit comment</v>
      </c>
    </row>
    <row r="2695" spans="1:17" ht="225" x14ac:dyDescent="0.25">
      <c r="A2695" s="12" t="s">
        <v>7295</v>
      </c>
      <c r="B2695" s="12" t="s">
        <v>7285</v>
      </c>
      <c r="C2695" s="12" t="s">
        <v>7214</v>
      </c>
      <c r="D2695" s="12" t="s">
        <v>7176</v>
      </c>
      <c r="E2695" s="12" t="s">
        <v>180</v>
      </c>
      <c r="F2695" s="12" t="s">
        <v>181</v>
      </c>
      <c r="G2695" s="12" t="s">
        <v>12</v>
      </c>
      <c r="H2695" s="12" t="s">
        <v>6377</v>
      </c>
      <c r="I2695" s="12"/>
      <c r="J2695" s="12" t="s">
        <v>92</v>
      </c>
      <c r="K2695" s="12"/>
      <c r="L2695" s="12"/>
      <c r="M2695" s="12" t="s">
        <v>182</v>
      </c>
      <c r="N2695" s="12"/>
      <c r="O2695" s="12" t="s">
        <v>183</v>
      </c>
      <c r="P2695" s="12" t="str">
        <f>HYPERLINK("https://ceds.ed.gov/cedselementdetails.aspx?termid=9190")</f>
        <v>https://ceds.ed.gov/cedselementdetails.aspx?termid=9190</v>
      </c>
      <c r="Q2695" s="12" t="str">
        <f>HYPERLINK("https://ceds.ed.gov/elementComment.aspx?elementName=Address County Name &amp;elementID=9190", "Click here to submit comment")</f>
        <v>Click here to submit comment</v>
      </c>
    </row>
    <row r="2696" spans="1:17" ht="45" x14ac:dyDescent="0.25">
      <c r="A2696" s="12" t="s">
        <v>7295</v>
      </c>
      <c r="B2696" s="12" t="s">
        <v>7285</v>
      </c>
      <c r="C2696" s="12" t="s">
        <v>7214</v>
      </c>
      <c r="D2696" s="12" t="s">
        <v>7176</v>
      </c>
      <c r="E2696" s="12" t="s">
        <v>1598</v>
      </c>
      <c r="F2696" s="12" t="s">
        <v>1599</v>
      </c>
      <c r="G2696" s="12" t="s">
        <v>12</v>
      </c>
      <c r="H2696" s="12"/>
      <c r="I2696" s="12"/>
      <c r="J2696" s="12" t="s">
        <v>92</v>
      </c>
      <c r="K2696" s="12"/>
      <c r="L2696" s="12"/>
      <c r="M2696" s="12" t="s">
        <v>1600</v>
      </c>
      <c r="N2696" s="12"/>
      <c r="O2696" s="12" t="s">
        <v>1601</v>
      </c>
      <c r="P2696" s="12" t="str">
        <f>HYPERLINK("https://ceds.ed.gov/cedselementdetails.aspx?termid=9595")</f>
        <v>https://ceds.ed.gov/cedselementdetails.aspx?termid=9595</v>
      </c>
      <c r="Q2696" s="12" t="str">
        <f>HYPERLINK("https://ceds.ed.gov/elementComment.aspx?elementName=Building Site Number &amp;elementID=9595", "Click here to submit comment")</f>
        <v>Click here to submit comment</v>
      </c>
    </row>
    <row r="2697" spans="1:17" ht="180" x14ac:dyDescent="0.25">
      <c r="A2697" s="12" t="s">
        <v>7295</v>
      </c>
      <c r="B2697" s="12" t="s">
        <v>7285</v>
      </c>
      <c r="C2697" s="12" t="s">
        <v>7214</v>
      </c>
      <c r="D2697" s="12" t="s">
        <v>7176</v>
      </c>
      <c r="E2697" s="12" t="s">
        <v>1943</v>
      </c>
      <c r="F2697" s="12" t="s">
        <v>1944</v>
      </c>
      <c r="G2697" s="12" t="s">
        <v>12</v>
      </c>
      <c r="H2697" s="12"/>
      <c r="I2697" s="12"/>
      <c r="J2697" s="12" t="s">
        <v>1945</v>
      </c>
      <c r="K2697" s="12"/>
      <c r="L2697" s="12"/>
      <c r="M2697" s="12" t="s">
        <v>1946</v>
      </c>
      <c r="N2697" s="12"/>
      <c r="O2697" s="12" t="s">
        <v>1947</v>
      </c>
      <c r="P2697" s="12" t="str">
        <f>HYPERLINK("https://ceds.ed.gov/cedselementdetails.aspx?termid=10176")</f>
        <v>https://ceds.ed.gov/cedselementdetails.aspx?termid=10176</v>
      </c>
      <c r="Q2697" s="12" t="str">
        <f>HYPERLINK("https://ceds.ed.gov/elementComment.aspx?elementName=County ANSI Code &amp;elementID=10176", "Click here to submit comment")</f>
        <v>Click here to submit comment</v>
      </c>
    </row>
    <row r="2698" spans="1:17" ht="75" x14ac:dyDescent="0.25">
      <c r="A2698" s="12" t="s">
        <v>7295</v>
      </c>
      <c r="B2698" s="12" t="s">
        <v>7285</v>
      </c>
      <c r="C2698" s="12" t="s">
        <v>7214</v>
      </c>
      <c r="D2698" s="12" t="s">
        <v>7176</v>
      </c>
      <c r="E2698" s="12" t="s">
        <v>3693</v>
      </c>
      <c r="F2698" s="12" t="s">
        <v>3694</v>
      </c>
      <c r="G2698" s="12" t="s">
        <v>12</v>
      </c>
      <c r="H2698" s="12"/>
      <c r="I2698" s="12"/>
      <c r="J2698" s="12" t="s">
        <v>1201</v>
      </c>
      <c r="K2698" s="12"/>
      <c r="L2698" s="12"/>
      <c r="M2698" s="12" t="s">
        <v>3695</v>
      </c>
      <c r="N2698" s="12"/>
      <c r="O2698" s="12" t="s">
        <v>3693</v>
      </c>
      <c r="P2698" s="12" t="str">
        <f>HYPERLINK("https://ceds.ed.gov/cedselementdetails.aspx?termid=9599")</f>
        <v>https://ceds.ed.gov/cedselementdetails.aspx?termid=9599</v>
      </c>
      <c r="Q2698" s="12" t="str">
        <f>HYPERLINK("https://ceds.ed.gov/elementComment.aspx?elementName=Latitude &amp;elementID=9599", "Click here to submit comment")</f>
        <v>Click here to submit comment</v>
      </c>
    </row>
    <row r="2699" spans="1:17" ht="75" x14ac:dyDescent="0.25">
      <c r="A2699" s="12" t="s">
        <v>7295</v>
      </c>
      <c r="B2699" s="12" t="s">
        <v>7285</v>
      </c>
      <c r="C2699" s="12" t="s">
        <v>7214</v>
      </c>
      <c r="D2699" s="12" t="s">
        <v>7176</v>
      </c>
      <c r="E2699" s="12" t="s">
        <v>4361</v>
      </c>
      <c r="F2699" s="12" t="s">
        <v>4362</v>
      </c>
      <c r="G2699" s="12" t="s">
        <v>12</v>
      </c>
      <c r="H2699" s="12"/>
      <c r="I2699" s="12"/>
      <c r="J2699" s="12" t="s">
        <v>1201</v>
      </c>
      <c r="K2699" s="12"/>
      <c r="L2699" s="12"/>
      <c r="M2699" s="12" t="s">
        <v>4363</v>
      </c>
      <c r="N2699" s="12"/>
      <c r="O2699" s="12" t="s">
        <v>4361</v>
      </c>
      <c r="P2699" s="12" t="str">
        <f>HYPERLINK("https://ceds.ed.gov/cedselementdetails.aspx?termid=9600")</f>
        <v>https://ceds.ed.gov/cedselementdetails.aspx?termid=9600</v>
      </c>
      <c r="Q2699" s="12" t="str">
        <f>HYPERLINK("https://ceds.ed.gov/elementComment.aspx?elementName=Longitude &amp;elementID=9600", "Click here to submit comment")</f>
        <v>Click here to submit comment</v>
      </c>
    </row>
    <row r="2700" spans="1:17" ht="165" x14ac:dyDescent="0.25">
      <c r="A2700" s="12" t="s">
        <v>7295</v>
      </c>
      <c r="B2700" s="12" t="s">
        <v>7285</v>
      </c>
      <c r="C2700" s="12" t="s">
        <v>7215</v>
      </c>
      <c r="D2700" s="12" t="s">
        <v>7176</v>
      </c>
      <c r="E2700" s="12" t="s">
        <v>3531</v>
      </c>
      <c r="F2700" s="12" t="s">
        <v>3532</v>
      </c>
      <c r="G2700" s="13" t="s">
        <v>6975</v>
      </c>
      <c r="H2700" s="12"/>
      <c r="I2700" s="12"/>
      <c r="J2700" s="12"/>
      <c r="K2700" s="12"/>
      <c r="L2700" s="12"/>
      <c r="M2700" s="12" t="s">
        <v>3533</v>
      </c>
      <c r="N2700" s="12"/>
      <c r="O2700" s="12" t="s">
        <v>3534</v>
      </c>
      <c r="P2700" s="12" t="str">
        <f>HYPERLINK("https://ceds.ed.gov/cedselementdetails.aspx?termid=9167")</f>
        <v>https://ceds.ed.gov/cedselementdetails.aspx?termid=9167</v>
      </c>
      <c r="Q2700" s="12" t="str">
        <f>HYPERLINK("https://ceds.ed.gov/elementComment.aspx?elementName=Institution Telephone Number Type &amp;elementID=9167", "Click here to submit comment")</f>
        <v>Click here to submit comment</v>
      </c>
    </row>
    <row r="2701" spans="1:17" ht="90" x14ac:dyDescent="0.25">
      <c r="A2701" s="12" t="s">
        <v>7295</v>
      </c>
      <c r="B2701" s="12" t="s">
        <v>7285</v>
      </c>
      <c r="C2701" s="12" t="s">
        <v>7215</v>
      </c>
      <c r="D2701" s="12" t="s">
        <v>7176</v>
      </c>
      <c r="E2701" s="12" t="s">
        <v>4934</v>
      </c>
      <c r="F2701" s="12" t="s">
        <v>4935</v>
      </c>
      <c r="G2701" s="12" t="s">
        <v>6364</v>
      </c>
      <c r="H2701" s="12" t="s">
        <v>6369</v>
      </c>
      <c r="I2701" s="12"/>
      <c r="J2701" s="12"/>
      <c r="K2701" s="12"/>
      <c r="L2701" s="12"/>
      <c r="M2701" s="12" t="s">
        <v>4936</v>
      </c>
      <c r="N2701" s="12"/>
      <c r="O2701" s="12" t="s">
        <v>4937</v>
      </c>
      <c r="P2701" s="12" t="str">
        <f>HYPERLINK("https://ceds.ed.gov/cedselementdetails.aspx?termid=9219")</f>
        <v>https://ceds.ed.gov/cedselementdetails.aspx?termid=9219</v>
      </c>
      <c r="Q2701" s="12" t="str">
        <f>HYPERLINK("https://ceds.ed.gov/elementComment.aspx?elementName=Primary Telephone Number Indicator &amp;elementID=9219", "Click here to submit comment")</f>
        <v>Click here to submit comment</v>
      </c>
    </row>
    <row r="2702" spans="1:17" ht="90" x14ac:dyDescent="0.25">
      <c r="A2702" s="12" t="s">
        <v>7295</v>
      </c>
      <c r="B2702" s="12" t="s">
        <v>7285</v>
      </c>
      <c r="C2702" s="12" t="s">
        <v>7215</v>
      </c>
      <c r="D2702" s="12" t="s">
        <v>7176</v>
      </c>
      <c r="E2702" s="12" t="s">
        <v>6102</v>
      </c>
      <c r="F2702" s="12" t="s">
        <v>6103</v>
      </c>
      <c r="G2702" s="12" t="s">
        <v>12</v>
      </c>
      <c r="H2702" s="12" t="s">
        <v>6369</v>
      </c>
      <c r="I2702" s="12"/>
      <c r="J2702" s="12" t="s">
        <v>6104</v>
      </c>
      <c r="K2702" s="12"/>
      <c r="L2702" s="12"/>
      <c r="M2702" s="12" t="s">
        <v>6105</v>
      </c>
      <c r="N2702" s="12"/>
      <c r="O2702" s="12" t="s">
        <v>6106</v>
      </c>
      <c r="P2702" s="12" t="str">
        <f>HYPERLINK("https://ceds.ed.gov/cedselementdetails.aspx?termid=9279")</f>
        <v>https://ceds.ed.gov/cedselementdetails.aspx?termid=9279</v>
      </c>
      <c r="Q2702" s="12" t="str">
        <f>HYPERLINK("https://ceds.ed.gov/elementComment.aspx?elementName=Telephone Number &amp;elementID=9279", "Click here to submit comment")</f>
        <v>Click here to submit comment</v>
      </c>
    </row>
    <row r="2703" spans="1:17" ht="90" x14ac:dyDescent="0.25">
      <c r="A2703" s="12" t="s">
        <v>7295</v>
      </c>
      <c r="B2703" s="12" t="s">
        <v>7285</v>
      </c>
      <c r="C2703" s="12" t="s">
        <v>7211</v>
      </c>
      <c r="D2703" s="12" t="s">
        <v>7176</v>
      </c>
      <c r="E2703" s="12" t="s">
        <v>4844</v>
      </c>
      <c r="F2703" s="12" t="s">
        <v>4845</v>
      </c>
      <c r="G2703" s="12" t="s">
        <v>12</v>
      </c>
      <c r="H2703" s="12" t="s">
        <v>6369</v>
      </c>
      <c r="I2703" s="12"/>
      <c r="J2703" s="12" t="s">
        <v>1386</v>
      </c>
      <c r="K2703" s="12"/>
      <c r="L2703" s="12"/>
      <c r="M2703" s="12" t="s">
        <v>4846</v>
      </c>
      <c r="N2703" s="12"/>
      <c r="O2703" s="12" t="s">
        <v>4847</v>
      </c>
      <c r="P2703" s="12" t="str">
        <f>HYPERLINK("https://ceds.ed.gov/cedselementdetails.aspx?termid=9213")</f>
        <v>https://ceds.ed.gov/cedselementdetails.aspx?termid=9213</v>
      </c>
      <c r="Q2703" s="12" t="str">
        <f>HYPERLINK("https://ceds.ed.gov/elementComment.aspx?elementName=Position Title &amp;elementID=9213", "Click here to submit comment")</f>
        <v>Click here to submit comment</v>
      </c>
    </row>
    <row r="2704" spans="1:17" ht="90" x14ac:dyDescent="0.25">
      <c r="A2704" s="12" t="s">
        <v>7295</v>
      </c>
      <c r="B2704" s="12" t="s">
        <v>7285</v>
      </c>
      <c r="C2704" s="12" t="s">
        <v>7211</v>
      </c>
      <c r="D2704" s="12" t="s">
        <v>7176</v>
      </c>
      <c r="E2704" s="12" t="s">
        <v>4926</v>
      </c>
      <c r="F2704" s="12" t="s">
        <v>4927</v>
      </c>
      <c r="G2704" s="12" t="s">
        <v>6364</v>
      </c>
      <c r="H2704" s="12"/>
      <c r="I2704" s="12"/>
      <c r="J2704" s="12"/>
      <c r="K2704" s="12"/>
      <c r="L2704" s="12"/>
      <c r="M2704" s="12" t="s">
        <v>4928</v>
      </c>
      <c r="N2704" s="12"/>
      <c r="O2704" s="12" t="s">
        <v>4929</v>
      </c>
      <c r="P2704" s="12" t="str">
        <f>HYPERLINK("https://ceds.ed.gov/cedselementdetails.aspx?termid=10397")</f>
        <v>https://ceds.ed.gov/cedselementdetails.aspx?termid=10397</v>
      </c>
      <c r="Q2704" s="12" t="str">
        <f>HYPERLINK("https://ceds.ed.gov/elementComment.aspx?elementName=Primary Contact Indicator &amp;elementID=10397", "Click here to submit comment")</f>
        <v>Click here to submit comment</v>
      </c>
    </row>
    <row r="2705" spans="1:17" ht="30" x14ac:dyDescent="0.25">
      <c r="A2705" s="12" t="s">
        <v>7295</v>
      </c>
      <c r="B2705" s="12" t="s">
        <v>7285</v>
      </c>
      <c r="C2705" s="12" t="s">
        <v>7211</v>
      </c>
      <c r="D2705" s="12" t="s">
        <v>7176</v>
      </c>
      <c r="E2705" s="12" t="s">
        <v>6313</v>
      </c>
      <c r="F2705" s="12" t="s">
        <v>6314</v>
      </c>
      <c r="G2705" s="12" t="s">
        <v>12</v>
      </c>
      <c r="H2705" s="12" t="s">
        <v>222</v>
      </c>
      <c r="I2705" s="12"/>
      <c r="J2705" s="12" t="s">
        <v>68</v>
      </c>
      <c r="K2705" s="12"/>
      <c r="L2705" s="12"/>
      <c r="M2705" s="12" t="s">
        <v>6315</v>
      </c>
      <c r="N2705" s="12"/>
      <c r="O2705" s="12" t="s">
        <v>6316</v>
      </c>
      <c r="P2705" s="12" t="str">
        <f>HYPERLINK("https://ceds.ed.gov/cedselementdetails.aspx?termid=9300")</f>
        <v>https://ceds.ed.gov/cedselementdetails.aspx?termid=9300</v>
      </c>
      <c r="Q2705" s="12" t="str">
        <f>HYPERLINK("https://ceds.ed.gov/elementComment.aspx?elementName=Web Site Address &amp;elementID=9300", "Click here to submit comment")</f>
        <v>Click here to submit comment</v>
      </c>
    </row>
    <row r="2706" spans="1:17" ht="195" x14ac:dyDescent="0.25">
      <c r="A2706" s="12" t="s">
        <v>7295</v>
      </c>
      <c r="B2706" s="12" t="s">
        <v>7285</v>
      </c>
      <c r="C2706" s="12" t="s">
        <v>7212</v>
      </c>
      <c r="D2706" s="12" t="s">
        <v>7176</v>
      </c>
      <c r="E2706" s="12" t="s">
        <v>3017</v>
      </c>
      <c r="F2706" s="12" t="s">
        <v>3018</v>
      </c>
      <c r="G2706" s="12" t="s">
        <v>12</v>
      </c>
      <c r="H2706" s="12" t="s">
        <v>6540</v>
      </c>
      <c r="I2706" s="12"/>
      <c r="J2706" s="12" t="s">
        <v>1349</v>
      </c>
      <c r="K2706" s="12"/>
      <c r="L2706" s="12" t="s">
        <v>3019</v>
      </c>
      <c r="M2706" s="12" t="s">
        <v>3020</v>
      </c>
      <c r="N2706" s="12"/>
      <c r="O2706" s="12" t="s">
        <v>3021</v>
      </c>
      <c r="P2706" s="12" t="str">
        <f>HYPERLINK("https://ceds.ed.gov/cedselementdetails.aspx?termid=9115")</f>
        <v>https://ceds.ed.gov/cedselementdetails.aspx?termid=9115</v>
      </c>
      <c r="Q2706" s="12" t="str">
        <f>HYPERLINK("https://ceds.ed.gov/elementComment.aspx?elementName=First Name &amp;elementID=9115", "Click here to submit comment")</f>
        <v>Click here to submit comment</v>
      </c>
    </row>
    <row r="2707" spans="1:17" x14ac:dyDescent="0.25">
      <c r="A2707" s="18" t="s">
        <v>7295</v>
      </c>
      <c r="B2707" s="18" t="s">
        <v>7285</v>
      </c>
      <c r="C2707" s="18" t="s">
        <v>7212</v>
      </c>
      <c r="D2707" s="18" t="s">
        <v>7176</v>
      </c>
      <c r="E2707" s="18" t="s">
        <v>4405</v>
      </c>
      <c r="F2707" s="18" t="s">
        <v>4406</v>
      </c>
      <c r="G2707" s="18" t="s">
        <v>12</v>
      </c>
      <c r="H2707" s="18" t="s">
        <v>6540</v>
      </c>
      <c r="I2707" s="18"/>
      <c r="J2707" s="18" t="s">
        <v>1349</v>
      </c>
      <c r="K2707" s="18"/>
      <c r="L2707" s="12" t="s">
        <v>3078</v>
      </c>
      <c r="M2707" s="18" t="s">
        <v>4407</v>
      </c>
      <c r="N2707" s="18"/>
      <c r="O2707" s="18" t="s">
        <v>4408</v>
      </c>
      <c r="P2707" s="18" t="str">
        <f>HYPERLINK("https://ceds.ed.gov/cedselementdetails.aspx?termid=9184")</f>
        <v>https://ceds.ed.gov/cedselementdetails.aspx?termid=9184</v>
      </c>
      <c r="Q2707" s="18" t="str">
        <f>HYPERLINK("https://ceds.ed.gov/elementComment.aspx?elementName=Middle Name &amp;elementID=9184", "Click here to submit comment")</f>
        <v>Click here to submit comment</v>
      </c>
    </row>
    <row r="2708" spans="1:17" ht="90" x14ac:dyDescent="0.25">
      <c r="A2708" s="18"/>
      <c r="B2708" s="18"/>
      <c r="C2708" s="18"/>
      <c r="D2708" s="18"/>
      <c r="E2708" s="18"/>
      <c r="F2708" s="18"/>
      <c r="G2708" s="18"/>
      <c r="H2708" s="18"/>
      <c r="I2708" s="18"/>
      <c r="J2708" s="18"/>
      <c r="K2708" s="18"/>
      <c r="L2708" s="12" t="s">
        <v>3079</v>
      </c>
      <c r="M2708" s="18"/>
      <c r="N2708" s="18"/>
      <c r="O2708" s="18"/>
      <c r="P2708" s="18"/>
      <c r="Q2708" s="18"/>
    </row>
    <row r="2709" spans="1:17" x14ac:dyDescent="0.25">
      <c r="A2709" s="18" t="s">
        <v>7295</v>
      </c>
      <c r="B2709" s="18" t="s">
        <v>7285</v>
      </c>
      <c r="C2709" s="18" t="s">
        <v>7212</v>
      </c>
      <c r="D2709" s="18" t="s">
        <v>7176</v>
      </c>
      <c r="E2709" s="18" t="s">
        <v>3684</v>
      </c>
      <c r="F2709" s="18" t="s">
        <v>3685</v>
      </c>
      <c r="G2709" s="18" t="s">
        <v>12</v>
      </c>
      <c r="H2709" s="18" t="s">
        <v>6540</v>
      </c>
      <c r="I2709" s="18"/>
      <c r="J2709" s="18" t="s">
        <v>1349</v>
      </c>
      <c r="K2709" s="18"/>
      <c r="L2709" s="12" t="s">
        <v>3078</v>
      </c>
      <c r="M2709" s="18" t="s">
        <v>3686</v>
      </c>
      <c r="N2709" s="18" t="s">
        <v>3687</v>
      </c>
      <c r="O2709" s="18" t="s">
        <v>3688</v>
      </c>
      <c r="P2709" s="18" t="str">
        <f>HYPERLINK("https://ceds.ed.gov/cedselementdetails.aspx?termid=9172")</f>
        <v>https://ceds.ed.gov/cedselementdetails.aspx?termid=9172</v>
      </c>
      <c r="Q2709" s="18" t="str">
        <f>HYPERLINK("https://ceds.ed.gov/elementComment.aspx?elementName=Last or Surname &amp;elementID=9172", "Click here to submit comment")</f>
        <v>Click here to submit comment</v>
      </c>
    </row>
    <row r="2710" spans="1:17" ht="90" x14ac:dyDescent="0.25">
      <c r="A2710" s="18"/>
      <c r="B2710" s="18"/>
      <c r="C2710" s="18"/>
      <c r="D2710" s="18"/>
      <c r="E2710" s="18"/>
      <c r="F2710" s="18"/>
      <c r="G2710" s="18"/>
      <c r="H2710" s="18"/>
      <c r="I2710" s="18"/>
      <c r="J2710" s="18"/>
      <c r="K2710" s="18"/>
      <c r="L2710" s="12" t="s">
        <v>3079</v>
      </c>
      <c r="M2710" s="18"/>
      <c r="N2710" s="18"/>
      <c r="O2710" s="18"/>
      <c r="P2710" s="18"/>
      <c r="Q2710" s="18"/>
    </row>
    <row r="2711" spans="1:17" x14ac:dyDescent="0.25">
      <c r="A2711" s="18" t="s">
        <v>7295</v>
      </c>
      <c r="B2711" s="18" t="s">
        <v>7285</v>
      </c>
      <c r="C2711" s="18" t="s">
        <v>7212</v>
      </c>
      <c r="D2711" s="18" t="s">
        <v>7176</v>
      </c>
      <c r="E2711" s="18" t="s">
        <v>3076</v>
      </c>
      <c r="F2711" s="18" t="s">
        <v>3077</v>
      </c>
      <c r="G2711" s="18" t="s">
        <v>12</v>
      </c>
      <c r="H2711" s="18" t="s">
        <v>6543</v>
      </c>
      <c r="I2711" s="18"/>
      <c r="J2711" s="18" t="s">
        <v>2143</v>
      </c>
      <c r="K2711" s="18"/>
      <c r="L2711" s="12" t="s">
        <v>3078</v>
      </c>
      <c r="M2711" s="18" t="s">
        <v>3080</v>
      </c>
      <c r="N2711" s="18"/>
      <c r="O2711" s="18" t="s">
        <v>3081</v>
      </c>
      <c r="P2711" s="18" t="str">
        <f>HYPERLINK("https://ceds.ed.gov/cedselementdetails.aspx?termid=9121")</f>
        <v>https://ceds.ed.gov/cedselementdetails.aspx?termid=9121</v>
      </c>
      <c r="Q2711" s="18" t="str">
        <f>HYPERLINK("https://ceds.ed.gov/elementComment.aspx?elementName=Generation Code or Suffix &amp;elementID=9121", "Click here to submit comment")</f>
        <v>Click here to submit comment</v>
      </c>
    </row>
    <row r="2712" spans="1:17" ht="90" x14ac:dyDescent="0.25">
      <c r="A2712" s="18"/>
      <c r="B2712" s="18"/>
      <c r="C2712" s="18"/>
      <c r="D2712" s="18"/>
      <c r="E2712" s="18"/>
      <c r="F2712" s="18"/>
      <c r="G2712" s="18"/>
      <c r="H2712" s="18"/>
      <c r="I2712" s="18"/>
      <c r="J2712" s="18"/>
      <c r="K2712" s="18"/>
      <c r="L2712" s="12" t="s">
        <v>3079</v>
      </c>
      <c r="M2712" s="18"/>
      <c r="N2712" s="18"/>
      <c r="O2712" s="18"/>
      <c r="P2712" s="18"/>
      <c r="Q2712" s="18"/>
    </row>
    <row r="2713" spans="1:17" ht="105" x14ac:dyDescent="0.25">
      <c r="A2713" s="12" t="s">
        <v>7295</v>
      </c>
      <c r="B2713" s="12" t="s">
        <v>7285</v>
      </c>
      <c r="C2713" s="12" t="s">
        <v>7212</v>
      </c>
      <c r="D2713" s="12" t="s">
        <v>7176</v>
      </c>
      <c r="E2713" s="12" t="s">
        <v>4835</v>
      </c>
      <c r="F2713" s="12" t="s">
        <v>4836</v>
      </c>
      <c r="G2713" s="12" t="s">
        <v>12</v>
      </c>
      <c r="H2713" s="12" t="s">
        <v>6627</v>
      </c>
      <c r="I2713" s="12"/>
      <c r="J2713" s="12" t="s">
        <v>92</v>
      </c>
      <c r="K2713" s="12"/>
      <c r="L2713" s="12"/>
      <c r="M2713" s="12" t="s">
        <v>4837</v>
      </c>
      <c r="N2713" s="12" t="s">
        <v>4838</v>
      </c>
      <c r="O2713" s="12" t="s">
        <v>4839</v>
      </c>
      <c r="P2713" s="12" t="str">
        <f>HYPERLINK("https://ceds.ed.gov/cedselementdetails.aspx?termid=9212")</f>
        <v>https://ceds.ed.gov/cedselementdetails.aspx?termid=9212</v>
      </c>
      <c r="Q2713" s="12" t="str">
        <f>HYPERLINK("https://ceds.ed.gov/elementComment.aspx?elementName=Personal Title or Prefix &amp;elementID=9212", "Click here to submit comment")</f>
        <v>Click here to submit comment</v>
      </c>
    </row>
    <row r="2714" spans="1:17" ht="90" x14ac:dyDescent="0.25">
      <c r="A2714" s="12" t="s">
        <v>7295</v>
      </c>
      <c r="B2714" s="12" t="s">
        <v>7285</v>
      </c>
      <c r="C2714" s="12" t="s">
        <v>7175</v>
      </c>
      <c r="D2714" s="12" t="s">
        <v>7176</v>
      </c>
      <c r="E2714" s="12" t="s">
        <v>197</v>
      </c>
      <c r="F2714" s="12" t="s">
        <v>198</v>
      </c>
      <c r="G2714" s="13" t="s">
        <v>6727</v>
      </c>
      <c r="H2714" s="12" t="s">
        <v>6369</v>
      </c>
      <c r="I2714" s="12"/>
      <c r="J2714" s="12" t="s">
        <v>92</v>
      </c>
      <c r="K2714" s="12"/>
      <c r="L2714" s="12"/>
      <c r="M2714" s="12" t="s">
        <v>199</v>
      </c>
      <c r="N2714" s="12"/>
      <c r="O2714" s="12" t="s">
        <v>200</v>
      </c>
      <c r="P2714" s="12" t="str">
        <f>HYPERLINK("https://ceds.ed.gov/cedselementdetails.aspx?termid=9644")</f>
        <v>https://ceds.ed.gov/cedselementdetails.aspx?termid=9644</v>
      </c>
      <c r="Q2714" s="12" t="str">
        <f>HYPERLINK("https://ceds.ed.gov/elementComment.aspx?elementName=Address Type for Organization &amp;elementID=9644", "Click here to submit comment")</f>
        <v>Click here to submit comment</v>
      </c>
    </row>
    <row r="2715" spans="1:17" ht="225" x14ac:dyDescent="0.25">
      <c r="A2715" s="12" t="s">
        <v>7295</v>
      </c>
      <c r="B2715" s="12" t="s">
        <v>7285</v>
      </c>
      <c r="C2715" s="12" t="s">
        <v>7175</v>
      </c>
      <c r="D2715" s="12" t="s">
        <v>7176</v>
      </c>
      <c r="E2715" s="12" t="s">
        <v>189</v>
      </c>
      <c r="F2715" s="12" t="s">
        <v>190</v>
      </c>
      <c r="G2715" s="12" t="s">
        <v>12</v>
      </c>
      <c r="H2715" s="12" t="s">
        <v>6377</v>
      </c>
      <c r="I2715" s="12"/>
      <c r="J2715" s="12" t="s">
        <v>142</v>
      </c>
      <c r="K2715" s="12"/>
      <c r="L2715" s="12"/>
      <c r="M2715" s="12" t="s">
        <v>191</v>
      </c>
      <c r="N2715" s="12"/>
      <c r="O2715" s="12" t="s">
        <v>192</v>
      </c>
      <c r="P2715" s="12" t="str">
        <f>HYPERLINK("https://ceds.ed.gov/cedselementdetails.aspx?termid=9269")</f>
        <v>https://ceds.ed.gov/cedselementdetails.aspx?termid=9269</v>
      </c>
      <c r="Q2715" s="12" t="str">
        <f>HYPERLINK("https://ceds.ed.gov/elementComment.aspx?elementName=Address Street Number and Name &amp;elementID=9269", "Click here to submit comment")</f>
        <v>Click here to submit comment</v>
      </c>
    </row>
    <row r="2716" spans="1:17" ht="225" x14ac:dyDescent="0.25">
      <c r="A2716" s="12" t="s">
        <v>7295</v>
      </c>
      <c r="B2716" s="12" t="s">
        <v>7285</v>
      </c>
      <c r="C2716" s="12" t="s">
        <v>7175</v>
      </c>
      <c r="D2716" s="12" t="s">
        <v>7176</v>
      </c>
      <c r="E2716" s="12" t="s">
        <v>172</v>
      </c>
      <c r="F2716" s="12" t="s">
        <v>173</v>
      </c>
      <c r="G2716" s="12" t="s">
        <v>12</v>
      </c>
      <c r="H2716" s="12" t="s">
        <v>6377</v>
      </c>
      <c r="I2716" s="12"/>
      <c r="J2716" s="12" t="s">
        <v>92</v>
      </c>
      <c r="K2716" s="12"/>
      <c r="L2716" s="12"/>
      <c r="M2716" s="12" t="s">
        <v>174</v>
      </c>
      <c r="N2716" s="12"/>
      <c r="O2716" s="12" t="s">
        <v>175</v>
      </c>
      <c r="P2716" s="12" t="str">
        <f>HYPERLINK("https://ceds.ed.gov/cedselementdetails.aspx?termid=9019")</f>
        <v>https://ceds.ed.gov/cedselementdetails.aspx?termid=9019</v>
      </c>
      <c r="Q2716" s="12" t="str">
        <f>HYPERLINK("https://ceds.ed.gov/elementComment.aspx?elementName=Address Apartment Room or Suite Number &amp;elementID=9019", "Click here to submit comment")</f>
        <v>Click here to submit comment</v>
      </c>
    </row>
    <row r="2717" spans="1:17" ht="225" x14ac:dyDescent="0.25">
      <c r="A2717" s="12" t="s">
        <v>7295</v>
      </c>
      <c r="B2717" s="12" t="s">
        <v>7285</v>
      </c>
      <c r="C2717" s="12" t="s">
        <v>7175</v>
      </c>
      <c r="D2717" s="12" t="s">
        <v>7176</v>
      </c>
      <c r="E2717" s="12" t="s">
        <v>176</v>
      </c>
      <c r="F2717" s="12" t="s">
        <v>177</v>
      </c>
      <c r="G2717" s="12" t="s">
        <v>12</v>
      </c>
      <c r="H2717" s="12" t="s">
        <v>6377</v>
      </c>
      <c r="I2717" s="12"/>
      <c r="J2717" s="12" t="s">
        <v>92</v>
      </c>
      <c r="K2717" s="12"/>
      <c r="L2717" s="12"/>
      <c r="M2717" s="12" t="s">
        <v>178</v>
      </c>
      <c r="N2717" s="12"/>
      <c r="O2717" s="12" t="s">
        <v>179</v>
      </c>
      <c r="P2717" s="12" t="str">
        <f>HYPERLINK("https://ceds.ed.gov/cedselementdetails.aspx?termid=9040")</f>
        <v>https://ceds.ed.gov/cedselementdetails.aspx?termid=9040</v>
      </c>
      <c r="Q2717" s="12" t="str">
        <f>HYPERLINK("https://ceds.ed.gov/elementComment.aspx?elementName=Address City &amp;elementID=9040", "Click here to submit comment")</f>
        <v>Click here to submit comment</v>
      </c>
    </row>
    <row r="2718" spans="1:17" ht="409.5" x14ac:dyDescent="0.25">
      <c r="A2718" s="12" t="s">
        <v>7295</v>
      </c>
      <c r="B2718" s="12" t="s">
        <v>7285</v>
      </c>
      <c r="C2718" s="12" t="s">
        <v>7175</v>
      </c>
      <c r="D2718" s="12" t="s">
        <v>7176</v>
      </c>
      <c r="E2718" s="12" t="s">
        <v>5898</v>
      </c>
      <c r="F2718" s="12" t="s">
        <v>5899</v>
      </c>
      <c r="G2718" s="13" t="s">
        <v>7120</v>
      </c>
      <c r="H2718" s="12" t="s">
        <v>6678</v>
      </c>
      <c r="I2718" s="12"/>
      <c r="J2718" s="12"/>
      <c r="K2718" s="12"/>
      <c r="L2718" s="12"/>
      <c r="M2718" s="12" t="s">
        <v>5900</v>
      </c>
      <c r="N2718" s="12"/>
      <c r="O2718" s="12" t="s">
        <v>5901</v>
      </c>
      <c r="P2718" s="12" t="str">
        <f>HYPERLINK("https://ceds.ed.gov/cedselementdetails.aspx?termid=9267")</f>
        <v>https://ceds.ed.gov/cedselementdetails.aspx?termid=9267</v>
      </c>
      <c r="Q2718" s="12" t="str">
        <f>HYPERLINK("https://ceds.ed.gov/elementComment.aspx?elementName=State Abbreviation &amp;elementID=9267", "Click here to submit comment")</f>
        <v>Click here to submit comment</v>
      </c>
    </row>
    <row r="2719" spans="1:17" ht="225" x14ac:dyDescent="0.25">
      <c r="A2719" s="12" t="s">
        <v>7295</v>
      </c>
      <c r="B2719" s="12" t="s">
        <v>7285</v>
      </c>
      <c r="C2719" s="12" t="s">
        <v>7175</v>
      </c>
      <c r="D2719" s="12" t="s">
        <v>7176</v>
      </c>
      <c r="E2719" s="12" t="s">
        <v>184</v>
      </c>
      <c r="F2719" s="12" t="s">
        <v>185</v>
      </c>
      <c r="G2719" s="12" t="s">
        <v>12</v>
      </c>
      <c r="H2719" s="12" t="s">
        <v>6377</v>
      </c>
      <c r="I2719" s="12"/>
      <c r="J2719" s="12" t="s">
        <v>186</v>
      </c>
      <c r="K2719" s="12"/>
      <c r="L2719" s="12"/>
      <c r="M2719" s="12" t="s">
        <v>187</v>
      </c>
      <c r="N2719" s="12"/>
      <c r="O2719" s="12" t="s">
        <v>188</v>
      </c>
      <c r="P2719" s="12" t="str">
        <f>HYPERLINK("https://ceds.ed.gov/cedselementdetails.aspx?termid=9214")</f>
        <v>https://ceds.ed.gov/cedselementdetails.aspx?termid=9214</v>
      </c>
      <c r="Q2719" s="12" t="str">
        <f>HYPERLINK("https://ceds.ed.gov/elementComment.aspx?elementName=Address Postal Code &amp;elementID=9214", "Click here to submit comment")</f>
        <v>Click here to submit comment</v>
      </c>
    </row>
    <row r="2720" spans="1:17" ht="225" x14ac:dyDescent="0.25">
      <c r="A2720" s="12" t="s">
        <v>7295</v>
      </c>
      <c r="B2720" s="12" t="s">
        <v>7285</v>
      </c>
      <c r="C2720" s="12" t="s">
        <v>7175</v>
      </c>
      <c r="D2720" s="12" t="s">
        <v>7176</v>
      </c>
      <c r="E2720" s="12" t="s">
        <v>180</v>
      </c>
      <c r="F2720" s="12" t="s">
        <v>181</v>
      </c>
      <c r="G2720" s="12" t="s">
        <v>12</v>
      </c>
      <c r="H2720" s="12" t="s">
        <v>6377</v>
      </c>
      <c r="I2720" s="12"/>
      <c r="J2720" s="12" t="s">
        <v>92</v>
      </c>
      <c r="K2720" s="12"/>
      <c r="L2720" s="12"/>
      <c r="M2720" s="12" t="s">
        <v>182</v>
      </c>
      <c r="N2720" s="12"/>
      <c r="O2720" s="12" t="s">
        <v>183</v>
      </c>
      <c r="P2720" s="12" t="str">
        <f>HYPERLINK("https://ceds.ed.gov/cedselementdetails.aspx?termid=9190")</f>
        <v>https://ceds.ed.gov/cedselementdetails.aspx?termid=9190</v>
      </c>
      <c r="Q2720" s="12" t="str">
        <f>HYPERLINK("https://ceds.ed.gov/elementComment.aspx?elementName=Address County Name &amp;elementID=9190", "Click here to submit comment")</f>
        <v>Click here to submit comment</v>
      </c>
    </row>
    <row r="2721" spans="1:17" ht="409.5" x14ac:dyDescent="0.25">
      <c r="A2721" s="12" t="s">
        <v>7295</v>
      </c>
      <c r="B2721" s="12" t="s">
        <v>7285</v>
      </c>
      <c r="C2721" s="12" t="s">
        <v>7175</v>
      </c>
      <c r="D2721" s="12" t="s">
        <v>7176</v>
      </c>
      <c r="E2721" s="12" t="s">
        <v>1934</v>
      </c>
      <c r="F2721" s="12" t="s">
        <v>1935</v>
      </c>
      <c r="G2721" s="13" t="s">
        <v>6829</v>
      </c>
      <c r="H2721" s="12" t="s">
        <v>6467</v>
      </c>
      <c r="I2721" s="12" t="s">
        <v>98</v>
      </c>
      <c r="J2721" s="12"/>
      <c r="K2721" s="12"/>
      <c r="L2721" s="14" t="s">
        <v>1936</v>
      </c>
      <c r="M2721" s="12" t="s">
        <v>1937</v>
      </c>
      <c r="N2721" s="12"/>
      <c r="O2721" s="12" t="s">
        <v>1938</v>
      </c>
      <c r="P2721" s="12" t="str">
        <f>HYPERLINK("https://ceds.ed.gov/cedselementdetails.aspx?termid=9050")</f>
        <v>https://ceds.ed.gov/cedselementdetails.aspx?termid=9050</v>
      </c>
      <c r="Q2721" s="12" t="str">
        <f>HYPERLINK("https://ceds.ed.gov/elementComment.aspx?elementName=Country Code &amp;elementID=9050", "Click here to submit comment")</f>
        <v>Click here to submit comment</v>
      </c>
    </row>
    <row r="2722" spans="1:17" ht="180" x14ac:dyDescent="0.25">
      <c r="A2722" s="12" t="s">
        <v>7295</v>
      </c>
      <c r="B2722" s="12" t="s">
        <v>7285</v>
      </c>
      <c r="C2722" s="12" t="s">
        <v>7175</v>
      </c>
      <c r="D2722" s="12" t="s">
        <v>7176</v>
      </c>
      <c r="E2722" s="12" t="s">
        <v>1943</v>
      </c>
      <c r="F2722" s="12" t="s">
        <v>1944</v>
      </c>
      <c r="G2722" s="12" t="s">
        <v>12</v>
      </c>
      <c r="H2722" s="12"/>
      <c r="I2722" s="12"/>
      <c r="J2722" s="12" t="s">
        <v>1945</v>
      </c>
      <c r="K2722" s="12"/>
      <c r="L2722" s="12"/>
      <c r="M2722" s="12" t="s">
        <v>1946</v>
      </c>
      <c r="N2722" s="12"/>
      <c r="O2722" s="12" t="s">
        <v>1947</v>
      </c>
      <c r="P2722" s="12" t="str">
        <f>HYPERLINK("https://ceds.ed.gov/cedselementdetails.aspx?termid=10176")</f>
        <v>https://ceds.ed.gov/cedselementdetails.aspx?termid=10176</v>
      </c>
      <c r="Q2722" s="12" t="str">
        <f>HYPERLINK("https://ceds.ed.gov/elementComment.aspx?elementName=County ANSI Code &amp;elementID=10176", "Click here to submit comment")</f>
        <v>Click here to submit comment</v>
      </c>
    </row>
    <row r="2723" spans="1:17" ht="75" x14ac:dyDescent="0.25">
      <c r="A2723" s="12" t="s">
        <v>7295</v>
      </c>
      <c r="B2723" s="12" t="s">
        <v>7285</v>
      </c>
      <c r="C2723" s="12" t="s">
        <v>7175</v>
      </c>
      <c r="D2723" s="12" t="s">
        <v>7176</v>
      </c>
      <c r="E2723" s="12" t="s">
        <v>3693</v>
      </c>
      <c r="F2723" s="12" t="s">
        <v>3694</v>
      </c>
      <c r="G2723" s="12" t="s">
        <v>12</v>
      </c>
      <c r="H2723" s="12"/>
      <c r="I2723" s="12"/>
      <c r="J2723" s="12" t="s">
        <v>1201</v>
      </c>
      <c r="K2723" s="12"/>
      <c r="L2723" s="12"/>
      <c r="M2723" s="12" t="s">
        <v>3695</v>
      </c>
      <c r="N2723" s="12"/>
      <c r="O2723" s="12" t="s">
        <v>3693</v>
      </c>
      <c r="P2723" s="12" t="str">
        <f>HYPERLINK("https://ceds.ed.gov/cedselementdetails.aspx?termid=9599")</f>
        <v>https://ceds.ed.gov/cedselementdetails.aspx?termid=9599</v>
      </c>
      <c r="Q2723" s="12" t="str">
        <f>HYPERLINK("https://ceds.ed.gov/elementComment.aspx?elementName=Latitude &amp;elementID=9599", "Click here to submit comment")</f>
        <v>Click here to submit comment</v>
      </c>
    </row>
    <row r="2724" spans="1:17" ht="75" x14ac:dyDescent="0.25">
      <c r="A2724" s="12" t="s">
        <v>7295</v>
      </c>
      <c r="B2724" s="12" t="s">
        <v>7285</v>
      </c>
      <c r="C2724" s="12" t="s">
        <v>7175</v>
      </c>
      <c r="D2724" s="12" t="s">
        <v>7176</v>
      </c>
      <c r="E2724" s="12" t="s">
        <v>4361</v>
      </c>
      <c r="F2724" s="12" t="s">
        <v>4362</v>
      </c>
      <c r="G2724" s="12" t="s">
        <v>12</v>
      </c>
      <c r="H2724" s="12"/>
      <c r="I2724" s="12"/>
      <c r="J2724" s="12" t="s">
        <v>1201</v>
      </c>
      <c r="K2724" s="12"/>
      <c r="L2724" s="12"/>
      <c r="M2724" s="12" t="s">
        <v>4363</v>
      </c>
      <c r="N2724" s="12"/>
      <c r="O2724" s="12" t="s">
        <v>4361</v>
      </c>
      <c r="P2724" s="12" t="str">
        <f>HYPERLINK("https://ceds.ed.gov/cedselementdetails.aspx?termid=9600")</f>
        <v>https://ceds.ed.gov/cedselementdetails.aspx?termid=9600</v>
      </c>
      <c r="Q2724" s="12" t="str">
        <f>HYPERLINK("https://ceds.ed.gov/elementComment.aspx?elementName=Longitude &amp;elementID=9600", "Click here to submit comment")</f>
        <v>Click here to submit comment</v>
      </c>
    </row>
    <row r="2725" spans="1:17" ht="90" x14ac:dyDescent="0.25">
      <c r="A2725" s="12" t="s">
        <v>7295</v>
      </c>
      <c r="B2725" s="12" t="s">
        <v>7285</v>
      </c>
      <c r="C2725" s="12" t="s">
        <v>7204</v>
      </c>
      <c r="D2725" s="12" t="s">
        <v>7176</v>
      </c>
      <c r="E2725" s="12" t="s">
        <v>2647</v>
      </c>
      <c r="F2725" s="12" t="s">
        <v>2648</v>
      </c>
      <c r="G2725" s="12" t="s">
        <v>12</v>
      </c>
      <c r="H2725" s="12" t="s">
        <v>6369</v>
      </c>
      <c r="I2725" s="12"/>
      <c r="J2725" s="12" t="s">
        <v>2649</v>
      </c>
      <c r="K2725" s="12"/>
      <c r="L2725" s="12"/>
      <c r="M2725" s="12" t="s">
        <v>2650</v>
      </c>
      <c r="N2725" s="12" t="s">
        <v>2651</v>
      </c>
      <c r="O2725" s="12" t="s">
        <v>2652</v>
      </c>
      <c r="P2725" s="12" t="str">
        <f>HYPERLINK("https://ceds.ed.gov/cedselementdetails.aspx?termid=9088")</f>
        <v>https://ceds.ed.gov/cedselementdetails.aspx?termid=9088</v>
      </c>
      <c r="Q2725" s="12" t="str">
        <f>HYPERLINK("https://ceds.ed.gov/elementComment.aspx?elementName=Electronic Mail Address &amp;elementID=9088", "Click here to submit comment")</f>
        <v>Click here to submit comment</v>
      </c>
    </row>
    <row r="2726" spans="1:17" ht="90" x14ac:dyDescent="0.25">
      <c r="A2726" s="12" t="s">
        <v>7295</v>
      </c>
      <c r="B2726" s="12" t="s">
        <v>7285</v>
      </c>
      <c r="C2726" s="12" t="s">
        <v>7204</v>
      </c>
      <c r="D2726" s="12" t="s">
        <v>7176</v>
      </c>
      <c r="E2726" s="12" t="s">
        <v>2653</v>
      </c>
      <c r="F2726" s="12" t="s">
        <v>2654</v>
      </c>
      <c r="G2726" s="13" t="s">
        <v>6898</v>
      </c>
      <c r="H2726" s="12" t="s">
        <v>6369</v>
      </c>
      <c r="I2726" s="12"/>
      <c r="J2726" s="12"/>
      <c r="K2726" s="12"/>
      <c r="L2726" s="12"/>
      <c r="M2726" s="12" t="s">
        <v>2655</v>
      </c>
      <c r="N2726" s="12" t="s">
        <v>2656</v>
      </c>
      <c r="O2726" s="12" t="s">
        <v>2657</v>
      </c>
      <c r="P2726" s="12" t="str">
        <f>HYPERLINK("https://ceds.ed.gov/cedselementdetails.aspx?termid=9089")</f>
        <v>https://ceds.ed.gov/cedselementdetails.aspx?termid=9089</v>
      </c>
      <c r="Q2726" s="12" t="str">
        <f>HYPERLINK("https://ceds.ed.gov/elementComment.aspx?elementName=Electronic Mail Address Type &amp;elementID=9089", "Click here to submit comment")</f>
        <v>Click here to submit comment</v>
      </c>
    </row>
    <row r="2727" spans="1:17" ht="90" x14ac:dyDescent="0.25">
      <c r="A2727" s="12" t="s">
        <v>7295</v>
      </c>
      <c r="B2727" s="12" t="s">
        <v>7285</v>
      </c>
      <c r="C2727" s="12" t="s">
        <v>7177</v>
      </c>
      <c r="D2727" s="12" t="s">
        <v>7176</v>
      </c>
      <c r="E2727" s="12" t="s">
        <v>6102</v>
      </c>
      <c r="F2727" s="12" t="s">
        <v>6103</v>
      </c>
      <c r="G2727" s="12" t="s">
        <v>12</v>
      </c>
      <c r="H2727" s="12" t="s">
        <v>6369</v>
      </c>
      <c r="I2727" s="12"/>
      <c r="J2727" s="12" t="s">
        <v>6104</v>
      </c>
      <c r="K2727" s="12"/>
      <c r="L2727" s="12"/>
      <c r="M2727" s="12" t="s">
        <v>6105</v>
      </c>
      <c r="N2727" s="12"/>
      <c r="O2727" s="12" t="s">
        <v>6106</v>
      </c>
      <c r="P2727" s="12" t="str">
        <f>HYPERLINK("https://ceds.ed.gov/cedselementdetails.aspx?termid=9279")</f>
        <v>https://ceds.ed.gov/cedselementdetails.aspx?termid=9279</v>
      </c>
      <c r="Q2727" s="12" t="str">
        <f>HYPERLINK("https://ceds.ed.gov/elementComment.aspx?elementName=Telephone Number &amp;elementID=9279", "Click here to submit comment")</f>
        <v>Click here to submit comment</v>
      </c>
    </row>
    <row r="2728" spans="1:17" ht="90" x14ac:dyDescent="0.25">
      <c r="A2728" s="12" t="s">
        <v>7295</v>
      </c>
      <c r="B2728" s="12" t="s">
        <v>7285</v>
      </c>
      <c r="C2728" s="12" t="s">
        <v>7177</v>
      </c>
      <c r="D2728" s="12" t="s">
        <v>7176</v>
      </c>
      <c r="E2728" s="12" t="s">
        <v>6107</v>
      </c>
      <c r="F2728" s="12" t="s">
        <v>6108</v>
      </c>
      <c r="G2728" s="13" t="s">
        <v>7135</v>
      </c>
      <c r="H2728" s="12" t="s">
        <v>6369</v>
      </c>
      <c r="I2728" s="12"/>
      <c r="J2728" s="12" t="s">
        <v>1950</v>
      </c>
      <c r="K2728" s="12"/>
      <c r="L2728" s="12"/>
      <c r="M2728" s="12" t="s">
        <v>6109</v>
      </c>
      <c r="N2728" s="12"/>
      <c r="O2728" s="12" t="s">
        <v>6110</v>
      </c>
      <c r="P2728" s="12" t="str">
        <f>HYPERLINK("https://ceds.ed.gov/cedselementdetails.aspx?termid=9280")</f>
        <v>https://ceds.ed.gov/cedselementdetails.aspx?termid=9280</v>
      </c>
      <c r="Q2728" s="12" t="str">
        <f>HYPERLINK("https://ceds.ed.gov/elementComment.aspx?elementName=Telephone Number Type &amp;elementID=9280", "Click here to submit comment")</f>
        <v>Click here to submit comment</v>
      </c>
    </row>
    <row r="2729" spans="1:17" ht="90" x14ac:dyDescent="0.25">
      <c r="A2729" s="12" t="s">
        <v>7295</v>
      </c>
      <c r="B2729" s="12" t="s">
        <v>7285</v>
      </c>
      <c r="C2729" s="12" t="s">
        <v>7177</v>
      </c>
      <c r="D2729" s="12" t="s">
        <v>7176</v>
      </c>
      <c r="E2729" s="12" t="s">
        <v>4934</v>
      </c>
      <c r="F2729" s="12" t="s">
        <v>4935</v>
      </c>
      <c r="G2729" s="12" t="s">
        <v>6364</v>
      </c>
      <c r="H2729" s="12" t="s">
        <v>6369</v>
      </c>
      <c r="I2729" s="12"/>
      <c r="J2729" s="12"/>
      <c r="K2729" s="12"/>
      <c r="L2729" s="12"/>
      <c r="M2729" s="12" t="s">
        <v>4936</v>
      </c>
      <c r="N2729" s="12"/>
      <c r="O2729" s="12" t="s">
        <v>4937</v>
      </c>
      <c r="P2729" s="12" t="str">
        <f>HYPERLINK("https://ceds.ed.gov/cedselementdetails.aspx?termid=9219")</f>
        <v>https://ceds.ed.gov/cedselementdetails.aspx?termid=9219</v>
      </c>
      <c r="Q2729" s="12" t="str">
        <f>HYPERLINK("https://ceds.ed.gov/elementComment.aspx?elementName=Primary Telephone Number Indicator &amp;elementID=9219", "Click here to submit comment")</f>
        <v>Click here to submit comment</v>
      </c>
    </row>
    <row r="2730" spans="1:17" ht="30" x14ac:dyDescent="0.25">
      <c r="A2730" s="12" t="s">
        <v>7295</v>
      </c>
      <c r="B2730" s="12" t="s">
        <v>7285</v>
      </c>
      <c r="C2730" s="12" t="s">
        <v>7213</v>
      </c>
      <c r="D2730" s="12" t="s">
        <v>7176</v>
      </c>
      <c r="E2730" s="12" t="s">
        <v>4705</v>
      </c>
      <c r="F2730" s="12" t="s">
        <v>4706</v>
      </c>
      <c r="G2730" s="12" t="s">
        <v>12</v>
      </c>
      <c r="H2730" s="12"/>
      <c r="I2730" s="12"/>
      <c r="J2730" s="12" t="s">
        <v>1349</v>
      </c>
      <c r="K2730" s="12"/>
      <c r="L2730" s="12" t="s">
        <v>4707</v>
      </c>
      <c r="M2730" s="12" t="s">
        <v>4708</v>
      </c>
      <c r="N2730" s="12"/>
      <c r="O2730" s="12" t="s">
        <v>4709</v>
      </c>
      <c r="P2730" s="12" t="str">
        <f>HYPERLINK("https://ceds.ed.gov/cedselementdetails.aspx?termid=10486")</f>
        <v>https://ceds.ed.gov/cedselementdetails.aspx?termid=10486</v>
      </c>
      <c r="Q2730" s="12" t="str">
        <f>HYPERLINK("https://ceds.ed.gov/elementComment.aspx?elementName=Other First Name &amp;elementID=10486", "Click here to submit comment")</f>
        <v>Click here to submit comment</v>
      </c>
    </row>
    <row r="2731" spans="1:17" ht="30" x14ac:dyDescent="0.25">
      <c r="A2731" s="12" t="s">
        <v>7295</v>
      </c>
      <c r="B2731" s="12" t="s">
        <v>7285</v>
      </c>
      <c r="C2731" s="12" t="s">
        <v>7213</v>
      </c>
      <c r="D2731" s="12" t="s">
        <v>7176</v>
      </c>
      <c r="E2731" s="12" t="s">
        <v>4710</v>
      </c>
      <c r="F2731" s="12" t="s">
        <v>4711</v>
      </c>
      <c r="G2731" s="12" t="s">
        <v>12</v>
      </c>
      <c r="H2731" s="12"/>
      <c r="I2731" s="12"/>
      <c r="J2731" s="12" t="s">
        <v>1349</v>
      </c>
      <c r="K2731" s="12"/>
      <c r="L2731" s="12" t="s">
        <v>4712</v>
      </c>
      <c r="M2731" s="12" t="s">
        <v>4713</v>
      </c>
      <c r="N2731" s="12"/>
      <c r="O2731" s="12" t="s">
        <v>4714</v>
      </c>
      <c r="P2731" s="12" t="str">
        <f>HYPERLINK("https://ceds.ed.gov/cedselementdetails.aspx?termid=10485")</f>
        <v>https://ceds.ed.gov/cedselementdetails.aspx?termid=10485</v>
      </c>
      <c r="Q2731" s="12" t="str">
        <f>HYPERLINK("https://ceds.ed.gov/elementComment.aspx?elementName=Other Last Name &amp;elementID=10485", "Click here to submit comment")</f>
        <v>Click here to submit comment</v>
      </c>
    </row>
    <row r="2732" spans="1:17" ht="30" x14ac:dyDescent="0.25">
      <c r="A2732" s="12" t="s">
        <v>7295</v>
      </c>
      <c r="B2732" s="12" t="s">
        <v>7285</v>
      </c>
      <c r="C2732" s="12" t="s">
        <v>7213</v>
      </c>
      <c r="D2732" s="12" t="s">
        <v>7176</v>
      </c>
      <c r="E2732" s="12" t="s">
        <v>4715</v>
      </c>
      <c r="F2732" s="12" t="s">
        <v>4716</v>
      </c>
      <c r="G2732" s="12" t="s">
        <v>12</v>
      </c>
      <c r="H2732" s="12"/>
      <c r="I2732" s="12"/>
      <c r="J2732" s="12" t="s">
        <v>1349</v>
      </c>
      <c r="K2732" s="12"/>
      <c r="L2732" s="12" t="s">
        <v>4717</v>
      </c>
      <c r="M2732" s="12" t="s">
        <v>4718</v>
      </c>
      <c r="N2732" s="12"/>
      <c r="O2732" s="12" t="s">
        <v>4719</v>
      </c>
      <c r="P2732" s="12" t="str">
        <f>HYPERLINK("https://ceds.ed.gov/cedselementdetails.aspx?termid=10487")</f>
        <v>https://ceds.ed.gov/cedselementdetails.aspx?termid=10487</v>
      </c>
      <c r="Q2732" s="12" t="str">
        <f>HYPERLINK("https://ceds.ed.gov/elementComment.aspx?elementName=Other Middle Name &amp;elementID=10487", "Click here to submit comment")</f>
        <v>Click here to submit comment</v>
      </c>
    </row>
    <row r="2733" spans="1:17" ht="150" x14ac:dyDescent="0.25">
      <c r="A2733" s="12" t="s">
        <v>7295</v>
      </c>
      <c r="B2733" s="12" t="s">
        <v>7285</v>
      </c>
      <c r="C2733" s="12" t="s">
        <v>7213</v>
      </c>
      <c r="D2733" s="12" t="s">
        <v>7176</v>
      </c>
      <c r="E2733" s="12" t="s">
        <v>4720</v>
      </c>
      <c r="F2733" s="12" t="s">
        <v>4721</v>
      </c>
      <c r="G2733" s="12" t="s">
        <v>12</v>
      </c>
      <c r="H2733" s="12" t="s">
        <v>6543</v>
      </c>
      <c r="I2733" s="12"/>
      <c r="J2733" s="12" t="s">
        <v>142</v>
      </c>
      <c r="K2733" s="12"/>
      <c r="L2733" s="12"/>
      <c r="M2733" s="12" t="s">
        <v>4722</v>
      </c>
      <c r="N2733" s="12"/>
      <c r="O2733" s="12" t="s">
        <v>4723</v>
      </c>
      <c r="P2733" s="12" t="str">
        <f>HYPERLINK("https://ceds.ed.gov/cedselementdetails.aspx?termid=9206")</f>
        <v>https://ceds.ed.gov/cedselementdetails.aspx?termid=9206</v>
      </c>
      <c r="Q2733" s="12" t="str">
        <f>HYPERLINK("https://ceds.ed.gov/elementComment.aspx?elementName=Other Name &amp;elementID=9206", "Click here to submit comment")</f>
        <v>Click here to submit comment</v>
      </c>
    </row>
    <row r="2734" spans="1:17" ht="165" x14ac:dyDescent="0.25">
      <c r="A2734" s="12" t="s">
        <v>7295</v>
      </c>
      <c r="B2734" s="12" t="s">
        <v>7285</v>
      </c>
      <c r="C2734" s="12" t="s">
        <v>7213</v>
      </c>
      <c r="D2734" s="12" t="s">
        <v>7176</v>
      </c>
      <c r="E2734" s="12" t="s">
        <v>4724</v>
      </c>
      <c r="F2734" s="12" t="s">
        <v>4725</v>
      </c>
      <c r="G2734" s="13" t="s">
        <v>7046</v>
      </c>
      <c r="H2734" s="12" t="s">
        <v>6619</v>
      </c>
      <c r="I2734" s="12"/>
      <c r="J2734" s="12" t="s">
        <v>92</v>
      </c>
      <c r="K2734" s="12"/>
      <c r="L2734" s="12"/>
      <c r="M2734" s="12" t="s">
        <v>4726</v>
      </c>
      <c r="N2734" s="12"/>
      <c r="O2734" s="12" t="s">
        <v>4727</v>
      </c>
      <c r="P2734" s="12" t="str">
        <f>HYPERLINK("https://ceds.ed.gov/cedselementdetails.aspx?termid=9627")</f>
        <v>https://ceds.ed.gov/cedselementdetails.aspx?termid=9627</v>
      </c>
      <c r="Q2734" s="12" t="str">
        <f>HYPERLINK("https://ceds.ed.gov/elementComment.aspx?elementName=Other Name Type &amp;elementID=9627", "Click here to submit comment")</f>
        <v>Click here to submit comment</v>
      </c>
    </row>
    <row r="2735" spans="1:17" ht="195" x14ac:dyDescent="0.25">
      <c r="A2735" s="12" t="s">
        <v>7313</v>
      </c>
      <c r="B2735" s="12" t="s">
        <v>7314</v>
      </c>
      <c r="C2735" s="12" t="s">
        <v>7171</v>
      </c>
      <c r="D2735" s="12" t="s">
        <v>7172</v>
      </c>
      <c r="E2735" s="12" t="s">
        <v>3017</v>
      </c>
      <c r="F2735" s="12" t="s">
        <v>3018</v>
      </c>
      <c r="G2735" s="12" t="s">
        <v>12</v>
      </c>
      <c r="H2735" s="12" t="s">
        <v>6540</v>
      </c>
      <c r="I2735" s="12"/>
      <c r="J2735" s="12" t="s">
        <v>1349</v>
      </c>
      <c r="K2735" s="12"/>
      <c r="L2735" s="12" t="s">
        <v>3019</v>
      </c>
      <c r="M2735" s="12" t="s">
        <v>3020</v>
      </c>
      <c r="N2735" s="12"/>
      <c r="O2735" s="12" t="s">
        <v>3021</v>
      </c>
      <c r="P2735" s="12" t="str">
        <f>HYPERLINK("https://ceds.ed.gov/cedselementdetails.aspx?termid=9115")</f>
        <v>https://ceds.ed.gov/cedselementdetails.aspx?termid=9115</v>
      </c>
      <c r="Q2735" s="12" t="str">
        <f>HYPERLINK("https://ceds.ed.gov/elementComment.aspx?elementName=First Name &amp;elementID=9115", "Click here to submit comment")</f>
        <v>Click here to submit comment</v>
      </c>
    </row>
    <row r="2736" spans="1:17" x14ac:dyDescent="0.25">
      <c r="A2736" s="18" t="s">
        <v>7313</v>
      </c>
      <c r="B2736" s="18" t="s">
        <v>7314</v>
      </c>
      <c r="C2736" s="18" t="s">
        <v>7171</v>
      </c>
      <c r="D2736" s="18" t="s">
        <v>7172</v>
      </c>
      <c r="E2736" s="18" t="s">
        <v>4405</v>
      </c>
      <c r="F2736" s="18" t="s">
        <v>4406</v>
      </c>
      <c r="G2736" s="18" t="s">
        <v>12</v>
      </c>
      <c r="H2736" s="18" t="s">
        <v>6540</v>
      </c>
      <c r="I2736" s="18"/>
      <c r="J2736" s="18" t="s">
        <v>1349</v>
      </c>
      <c r="K2736" s="18"/>
      <c r="L2736" s="12" t="s">
        <v>3078</v>
      </c>
      <c r="M2736" s="18" t="s">
        <v>4407</v>
      </c>
      <c r="N2736" s="18"/>
      <c r="O2736" s="18" t="s">
        <v>4408</v>
      </c>
      <c r="P2736" s="18" t="str">
        <f>HYPERLINK("https://ceds.ed.gov/cedselementdetails.aspx?termid=9184")</f>
        <v>https://ceds.ed.gov/cedselementdetails.aspx?termid=9184</v>
      </c>
      <c r="Q2736" s="18" t="str">
        <f>HYPERLINK("https://ceds.ed.gov/elementComment.aspx?elementName=Middle Name &amp;elementID=9184", "Click here to submit comment")</f>
        <v>Click here to submit comment</v>
      </c>
    </row>
    <row r="2737" spans="1:17" ht="90" x14ac:dyDescent="0.25">
      <c r="A2737" s="18"/>
      <c r="B2737" s="18"/>
      <c r="C2737" s="18"/>
      <c r="D2737" s="18"/>
      <c r="E2737" s="18"/>
      <c r="F2737" s="18"/>
      <c r="G2737" s="18"/>
      <c r="H2737" s="18"/>
      <c r="I2737" s="18"/>
      <c r="J2737" s="18"/>
      <c r="K2737" s="18"/>
      <c r="L2737" s="12" t="s">
        <v>3079</v>
      </c>
      <c r="M2737" s="18"/>
      <c r="N2737" s="18"/>
      <c r="O2737" s="18"/>
      <c r="P2737" s="18"/>
      <c r="Q2737" s="18"/>
    </row>
    <row r="2738" spans="1:17" x14ac:dyDescent="0.25">
      <c r="A2738" s="18" t="s">
        <v>7313</v>
      </c>
      <c r="B2738" s="18" t="s">
        <v>7314</v>
      </c>
      <c r="C2738" s="18" t="s">
        <v>7171</v>
      </c>
      <c r="D2738" s="18" t="s">
        <v>7172</v>
      </c>
      <c r="E2738" s="18" t="s">
        <v>3684</v>
      </c>
      <c r="F2738" s="18" t="s">
        <v>3685</v>
      </c>
      <c r="G2738" s="18" t="s">
        <v>12</v>
      </c>
      <c r="H2738" s="18" t="s">
        <v>6540</v>
      </c>
      <c r="I2738" s="18"/>
      <c r="J2738" s="18" t="s">
        <v>1349</v>
      </c>
      <c r="K2738" s="18"/>
      <c r="L2738" s="12" t="s">
        <v>3078</v>
      </c>
      <c r="M2738" s="18" t="s">
        <v>3686</v>
      </c>
      <c r="N2738" s="18" t="s">
        <v>3687</v>
      </c>
      <c r="O2738" s="18" t="s">
        <v>3688</v>
      </c>
      <c r="P2738" s="18" t="str">
        <f>HYPERLINK("https://ceds.ed.gov/cedselementdetails.aspx?termid=9172")</f>
        <v>https://ceds.ed.gov/cedselementdetails.aspx?termid=9172</v>
      </c>
      <c r="Q2738" s="18" t="str">
        <f>HYPERLINK("https://ceds.ed.gov/elementComment.aspx?elementName=Last or Surname &amp;elementID=9172", "Click here to submit comment")</f>
        <v>Click here to submit comment</v>
      </c>
    </row>
    <row r="2739" spans="1:17" ht="90" x14ac:dyDescent="0.25">
      <c r="A2739" s="18"/>
      <c r="B2739" s="18"/>
      <c r="C2739" s="18"/>
      <c r="D2739" s="18"/>
      <c r="E2739" s="18"/>
      <c r="F2739" s="18"/>
      <c r="G2739" s="18"/>
      <c r="H2739" s="18"/>
      <c r="I2739" s="18"/>
      <c r="J2739" s="18"/>
      <c r="K2739" s="18"/>
      <c r="L2739" s="12" t="s">
        <v>3079</v>
      </c>
      <c r="M2739" s="18"/>
      <c r="N2739" s="18"/>
      <c r="O2739" s="18"/>
      <c r="P2739" s="18"/>
      <c r="Q2739" s="18"/>
    </row>
    <row r="2740" spans="1:17" x14ac:dyDescent="0.25">
      <c r="A2740" s="18" t="s">
        <v>7313</v>
      </c>
      <c r="B2740" s="18" t="s">
        <v>7314</v>
      </c>
      <c r="C2740" s="18" t="s">
        <v>7171</v>
      </c>
      <c r="D2740" s="18" t="s">
        <v>7172</v>
      </c>
      <c r="E2740" s="18" t="s">
        <v>3076</v>
      </c>
      <c r="F2740" s="18" t="s">
        <v>3077</v>
      </c>
      <c r="G2740" s="18" t="s">
        <v>12</v>
      </c>
      <c r="H2740" s="18" t="s">
        <v>6543</v>
      </c>
      <c r="I2740" s="18"/>
      <c r="J2740" s="18" t="s">
        <v>2143</v>
      </c>
      <c r="K2740" s="18"/>
      <c r="L2740" s="12" t="s">
        <v>3078</v>
      </c>
      <c r="M2740" s="18" t="s">
        <v>3080</v>
      </c>
      <c r="N2740" s="18"/>
      <c r="O2740" s="18" t="s">
        <v>3081</v>
      </c>
      <c r="P2740" s="18" t="str">
        <f>HYPERLINK("https://ceds.ed.gov/cedselementdetails.aspx?termid=9121")</f>
        <v>https://ceds.ed.gov/cedselementdetails.aspx?termid=9121</v>
      </c>
      <c r="Q2740" s="18" t="str">
        <f>HYPERLINK("https://ceds.ed.gov/elementComment.aspx?elementName=Generation Code or Suffix &amp;elementID=9121", "Click here to submit comment")</f>
        <v>Click here to submit comment</v>
      </c>
    </row>
    <row r="2741" spans="1:17" ht="90" x14ac:dyDescent="0.25">
      <c r="A2741" s="18"/>
      <c r="B2741" s="18"/>
      <c r="C2741" s="18"/>
      <c r="D2741" s="18"/>
      <c r="E2741" s="18"/>
      <c r="F2741" s="18"/>
      <c r="G2741" s="18"/>
      <c r="H2741" s="18"/>
      <c r="I2741" s="18"/>
      <c r="J2741" s="18"/>
      <c r="K2741" s="18"/>
      <c r="L2741" s="12" t="s">
        <v>3079</v>
      </c>
      <c r="M2741" s="18"/>
      <c r="N2741" s="18"/>
      <c r="O2741" s="18"/>
      <c r="P2741" s="18"/>
      <c r="Q2741" s="18"/>
    </row>
    <row r="2742" spans="1:17" ht="105" x14ac:dyDescent="0.25">
      <c r="A2742" s="12" t="s">
        <v>7313</v>
      </c>
      <c r="B2742" s="12" t="s">
        <v>7314</v>
      </c>
      <c r="C2742" s="12" t="s">
        <v>7171</v>
      </c>
      <c r="D2742" s="12" t="s">
        <v>7172</v>
      </c>
      <c r="E2742" s="12" t="s">
        <v>4835</v>
      </c>
      <c r="F2742" s="12" t="s">
        <v>4836</v>
      </c>
      <c r="G2742" s="12" t="s">
        <v>12</v>
      </c>
      <c r="H2742" s="12" t="s">
        <v>6627</v>
      </c>
      <c r="I2742" s="12"/>
      <c r="J2742" s="12" t="s">
        <v>92</v>
      </c>
      <c r="K2742" s="12"/>
      <c r="L2742" s="12"/>
      <c r="M2742" s="12" t="s">
        <v>4837</v>
      </c>
      <c r="N2742" s="12" t="s">
        <v>4838</v>
      </c>
      <c r="O2742" s="12" t="s">
        <v>4839</v>
      </c>
      <c r="P2742" s="12" t="str">
        <f>HYPERLINK("https://ceds.ed.gov/cedselementdetails.aspx?termid=9212")</f>
        <v>https://ceds.ed.gov/cedselementdetails.aspx?termid=9212</v>
      </c>
      <c r="Q2742" s="12" t="str">
        <f>HYPERLINK("https://ceds.ed.gov/elementComment.aspx?elementName=Personal Title or Prefix &amp;elementID=9212", "Click here to submit comment")</f>
        <v>Click here to submit comment</v>
      </c>
    </row>
    <row r="2743" spans="1:17" ht="30" x14ac:dyDescent="0.25">
      <c r="A2743" s="12" t="s">
        <v>7313</v>
      </c>
      <c r="B2743" s="12" t="s">
        <v>7314</v>
      </c>
      <c r="C2743" s="12" t="s">
        <v>7173</v>
      </c>
      <c r="D2743" s="12" t="s">
        <v>7172</v>
      </c>
      <c r="E2743" s="12" t="s">
        <v>4705</v>
      </c>
      <c r="F2743" s="12" t="s">
        <v>4706</v>
      </c>
      <c r="G2743" s="12" t="s">
        <v>12</v>
      </c>
      <c r="H2743" s="12"/>
      <c r="I2743" s="12"/>
      <c r="J2743" s="12" t="s">
        <v>1349</v>
      </c>
      <c r="K2743" s="12"/>
      <c r="L2743" s="12" t="s">
        <v>4707</v>
      </c>
      <c r="M2743" s="12" t="s">
        <v>4708</v>
      </c>
      <c r="N2743" s="12"/>
      <c r="O2743" s="12" t="s">
        <v>4709</v>
      </c>
      <c r="P2743" s="12" t="str">
        <f>HYPERLINK("https://ceds.ed.gov/cedselementdetails.aspx?termid=10486")</f>
        <v>https://ceds.ed.gov/cedselementdetails.aspx?termid=10486</v>
      </c>
      <c r="Q2743" s="12" t="str">
        <f>HYPERLINK("https://ceds.ed.gov/elementComment.aspx?elementName=Other First Name &amp;elementID=10486", "Click here to submit comment")</f>
        <v>Click here to submit comment</v>
      </c>
    </row>
    <row r="2744" spans="1:17" ht="30" x14ac:dyDescent="0.25">
      <c r="A2744" s="12" t="s">
        <v>7313</v>
      </c>
      <c r="B2744" s="12" t="s">
        <v>7314</v>
      </c>
      <c r="C2744" s="12" t="s">
        <v>7173</v>
      </c>
      <c r="D2744" s="12" t="s">
        <v>7172</v>
      </c>
      <c r="E2744" s="12" t="s">
        <v>4710</v>
      </c>
      <c r="F2744" s="12" t="s">
        <v>4711</v>
      </c>
      <c r="G2744" s="12" t="s">
        <v>12</v>
      </c>
      <c r="H2744" s="12"/>
      <c r="I2744" s="12"/>
      <c r="J2744" s="12" t="s">
        <v>1349</v>
      </c>
      <c r="K2744" s="12"/>
      <c r="L2744" s="12" t="s">
        <v>4712</v>
      </c>
      <c r="M2744" s="12" t="s">
        <v>4713</v>
      </c>
      <c r="N2744" s="12"/>
      <c r="O2744" s="12" t="s">
        <v>4714</v>
      </c>
      <c r="P2744" s="12" t="str">
        <f>HYPERLINK("https://ceds.ed.gov/cedselementdetails.aspx?termid=10485")</f>
        <v>https://ceds.ed.gov/cedselementdetails.aspx?termid=10485</v>
      </c>
      <c r="Q2744" s="12" t="str">
        <f>HYPERLINK("https://ceds.ed.gov/elementComment.aspx?elementName=Other Last Name &amp;elementID=10485", "Click here to submit comment")</f>
        <v>Click here to submit comment</v>
      </c>
    </row>
    <row r="2745" spans="1:17" ht="30" x14ac:dyDescent="0.25">
      <c r="A2745" s="12" t="s">
        <v>7313</v>
      </c>
      <c r="B2745" s="12" t="s">
        <v>7314</v>
      </c>
      <c r="C2745" s="12" t="s">
        <v>7173</v>
      </c>
      <c r="D2745" s="12" t="s">
        <v>7172</v>
      </c>
      <c r="E2745" s="12" t="s">
        <v>4715</v>
      </c>
      <c r="F2745" s="12" t="s">
        <v>4716</v>
      </c>
      <c r="G2745" s="12" t="s">
        <v>12</v>
      </c>
      <c r="H2745" s="12"/>
      <c r="I2745" s="12"/>
      <c r="J2745" s="12" t="s">
        <v>1349</v>
      </c>
      <c r="K2745" s="12"/>
      <c r="L2745" s="12" t="s">
        <v>4717</v>
      </c>
      <c r="M2745" s="12" t="s">
        <v>4718</v>
      </c>
      <c r="N2745" s="12"/>
      <c r="O2745" s="12" t="s">
        <v>4719</v>
      </c>
      <c r="P2745" s="12" t="str">
        <f>HYPERLINK("https://ceds.ed.gov/cedselementdetails.aspx?termid=10487")</f>
        <v>https://ceds.ed.gov/cedselementdetails.aspx?termid=10487</v>
      </c>
      <c r="Q2745" s="12" t="str">
        <f>HYPERLINK("https://ceds.ed.gov/elementComment.aspx?elementName=Other Middle Name &amp;elementID=10487", "Click here to submit comment")</f>
        <v>Click here to submit comment</v>
      </c>
    </row>
    <row r="2746" spans="1:17" ht="150" x14ac:dyDescent="0.25">
      <c r="A2746" s="12" t="s">
        <v>7313</v>
      </c>
      <c r="B2746" s="12" t="s">
        <v>7314</v>
      </c>
      <c r="C2746" s="12" t="s">
        <v>7173</v>
      </c>
      <c r="D2746" s="12" t="s">
        <v>7172</v>
      </c>
      <c r="E2746" s="12" t="s">
        <v>4720</v>
      </c>
      <c r="F2746" s="12" t="s">
        <v>4721</v>
      </c>
      <c r="G2746" s="12" t="s">
        <v>12</v>
      </c>
      <c r="H2746" s="12" t="s">
        <v>6543</v>
      </c>
      <c r="I2746" s="12"/>
      <c r="J2746" s="12" t="s">
        <v>142</v>
      </c>
      <c r="K2746" s="12"/>
      <c r="L2746" s="12"/>
      <c r="M2746" s="12" t="s">
        <v>4722</v>
      </c>
      <c r="N2746" s="12"/>
      <c r="O2746" s="12" t="s">
        <v>4723</v>
      </c>
      <c r="P2746" s="12" t="str">
        <f>HYPERLINK("https://ceds.ed.gov/cedselementdetails.aspx?termid=9206")</f>
        <v>https://ceds.ed.gov/cedselementdetails.aspx?termid=9206</v>
      </c>
      <c r="Q2746" s="12" t="str">
        <f>HYPERLINK("https://ceds.ed.gov/elementComment.aspx?elementName=Other Name &amp;elementID=9206", "Click here to submit comment")</f>
        <v>Click here to submit comment</v>
      </c>
    </row>
    <row r="2747" spans="1:17" ht="165" x14ac:dyDescent="0.25">
      <c r="A2747" s="12" t="s">
        <v>7313</v>
      </c>
      <c r="B2747" s="12" t="s">
        <v>7314</v>
      </c>
      <c r="C2747" s="12" t="s">
        <v>7173</v>
      </c>
      <c r="D2747" s="12" t="s">
        <v>7172</v>
      </c>
      <c r="E2747" s="12" t="s">
        <v>4724</v>
      </c>
      <c r="F2747" s="12" t="s">
        <v>4725</v>
      </c>
      <c r="G2747" s="13" t="s">
        <v>7046</v>
      </c>
      <c r="H2747" s="12" t="s">
        <v>6619</v>
      </c>
      <c r="I2747" s="12"/>
      <c r="J2747" s="12" t="s">
        <v>92</v>
      </c>
      <c r="K2747" s="12"/>
      <c r="L2747" s="12"/>
      <c r="M2747" s="12" t="s">
        <v>4726</v>
      </c>
      <c r="N2747" s="12"/>
      <c r="O2747" s="12" t="s">
        <v>4727</v>
      </c>
      <c r="P2747" s="12" t="str">
        <f>HYPERLINK("https://ceds.ed.gov/cedselementdetails.aspx?termid=9627")</f>
        <v>https://ceds.ed.gov/cedselementdetails.aspx?termid=9627</v>
      </c>
      <c r="Q2747" s="12" t="str">
        <f>HYPERLINK("https://ceds.ed.gov/elementComment.aspx?elementName=Other Name Type &amp;elementID=9627", "Click here to submit comment")</f>
        <v>Click here to submit comment</v>
      </c>
    </row>
    <row r="2748" spans="1:17" ht="105" x14ac:dyDescent="0.25">
      <c r="A2748" s="18" t="s">
        <v>7313</v>
      </c>
      <c r="B2748" s="18" t="s">
        <v>7314</v>
      </c>
      <c r="C2748" s="18" t="s">
        <v>7174</v>
      </c>
      <c r="D2748" s="18" t="s">
        <v>7172</v>
      </c>
      <c r="E2748" s="18" t="s">
        <v>5984</v>
      </c>
      <c r="F2748" s="18" t="s">
        <v>5985</v>
      </c>
      <c r="G2748" s="18" t="s">
        <v>12</v>
      </c>
      <c r="H2748" s="18" t="s">
        <v>6687</v>
      </c>
      <c r="I2748" s="18"/>
      <c r="J2748" s="18" t="s">
        <v>142</v>
      </c>
      <c r="K2748" s="18"/>
      <c r="L2748" s="12" t="s">
        <v>143</v>
      </c>
      <c r="M2748" s="18" t="s">
        <v>5986</v>
      </c>
      <c r="N2748" s="18"/>
      <c r="O2748" s="18" t="s">
        <v>5987</v>
      </c>
      <c r="P2748" s="18" t="str">
        <f>HYPERLINK("https://ceds.ed.gov/cedselementdetails.aspx?termid=9157")</f>
        <v>https://ceds.ed.gov/cedselementdetails.aspx?termid=9157</v>
      </c>
      <c r="Q2748" s="18" t="str">
        <f>HYPERLINK("https://ceds.ed.gov/elementComment.aspx?elementName=Student Identifier &amp;elementID=9157", "Click here to submit comment")</f>
        <v>Click here to submit comment</v>
      </c>
    </row>
    <row r="2749" spans="1:17" x14ac:dyDescent="0.25">
      <c r="A2749" s="18"/>
      <c r="B2749" s="18"/>
      <c r="C2749" s="18"/>
      <c r="D2749" s="18"/>
      <c r="E2749" s="18"/>
      <c r="F2749" s="18"/>
      <c r="G2749" s="18"/>
      <c r="H2749" s="18"/>
      <c r="I2749" s="18"/>
      <c r="J2749" s="18"/>
      <c r="K2749" s="18"/>
      <c r="L2749" s="12"/>
      <c r="M2749" s="18"/>
      <c r="N2749" s="18"/>
      <c r="O2749" s="18"/>
      <c r="P2749" s="18"/>
      <c r="Q2749" s="18"/>
    </row>
    <row r="2750" spans="1:17" ht="90" x14ac:dyDescent="0.25">
      <c r="A2750" s="18"/>
      <c r="B2750" s="18"/>
      <c r="C2750" s="18"/>
      <c r="D2750" s="18"/>
      <c r="E2750" s="18"/>
      <c r="F2750" s="18"/>
      <c r="G2750" s="18"/>
      <c r="H2750" s="18"/>
      <c r="I2750" s="18"/>
      <c r="J2750" s="18"/>
      <c r="K2750" s="18"/>
      <c r="L2750" s="12" t="s">
        <v>144</v>
      </c>
      <c r="M2750" s="18"/>
      <c r="N2750" s="18"/>
      <c r="O2750" s="18"/>
      <c r="P2750" s="18"/>
      <c r="Q2750" s="18"/>
    </row>
    <row r="2751" spans="1:17" ht="210" x14ac:dyDescent="0.25">
      <c r="A2751" s="12" t="s">
        <v>7313</v>
      </c>
      <c r="B2751" s="12" t="s">
        <v>7314</v>
      </c>
      <c r="C2751" s="12" t="s">
        <v>7174</v>
      </c>
      <c r="D2751" s="12" t="s">
        <v>7172</v>
      </c>
      <c r="E2751" s="12" t="s">
        <v>5980</v>
      </c>
      <c r="F2751" s="12" t="s">
        <v>5981</v>
      </c>
      <c r="G2751" s="13" t="s">
        <v>7124</v>
      </c>
      <c r="H2751" s="12" t="s">
        <v>6687</v>
      </c>
      <c r="I2751" s="12"/>
      <c r="J2751" s="12"/>
      <c r="K2751" s="12"/>
      <c r="L2751" s="12"/>
      <c r="M2751" s="12" t="s">
        <v>5982</v>
      </c>
      <c r="N2751" s="12"/>
      <c r="O2751" s="12" t="s">
        <v>5983</v>
      </c>
      <c r="P2751" s="12" t="str">
        <f>HYPERLINK("https://ceds.ed.gov/cedselementdetails.aspx?termid=9163")</f>
        <v>https://ceds.ed.gov/cedselementdetails.aspx?termid=9163</v>
      </c>
      <c r="Q2751" s="12" t="str">
        <f>HYPERLINK("https://ceds.ed.gov/elementComment.aspx?elementName=Student Identification System &amp;elementID=9163", "Click here to submit comment")</f>
        <v>Click here to submit comment</v>
      </c>
    </row>
    <row r="2752" spans="1:17" ht="225" x14ac:dyDescent="0.25">
      <c r="A2752" s="18" t="s">
        <v>7313</v>
      </c>
      <c r="B2752" s="18" t="s">
        <v>7314</v>
      </c>
      <c r="C2752" s="18" t="s">
        <v>7174</v>
      </c>
      <c r="D2752" s="18" t="s">
        <v>7172</v>
      </c>
      <c r="E2752" s="18" t="s">
        <v>5745</v>
      </c>
      <c r="F2752" s="18" t="s">
        <v>5746</v>
      </c>
      <c r="G2752" s="18" t="s">
        <v>12</v>
      </c>
      <c r="H2752" s="18" t="s">
        <v>6670</v>
      </c>
      <c r="I2752" s="18"/>
      <c r="J2752" s="18" t="s">
        <v>5747</v>
      </c>
      <c r="K2752" s="18"/>
      <c r="L2752" s="12" t="s">
        <v>5748</v>
      </c>
      <c r="M2752" s="18" t="s">
        <v>5750</v>
      </c>
      <c r="N2752" s="18" t="s">
        <v>5751</v>
      </c>
      <c r="O2752" s="18" t="s">
        <v>5752</v>
      </c>
      <c r="P2752" s="18" t="str">
        <f>HYPERLINK("https://ceds.ed.gov/cedselementdetails.aspx?termid=9259")</f>
        <v>https://ceds.ed.gov/cedselementdetails.aspx?termid=9259</v>
      </c>
      <c r="Q2752" s="18" t="str">
        <f>HYPERLINK("https://ceds.ed.gov/elementComment.aspx?elementName=Social Security Number &amp;elementID=9259", "Click here to submit comment")</f>
        <v>Click here to submit comment</v>
      </c>
    </row>
    <row r="2753" spans="1:17" x14ac:dyDescent="0.25">
      <c r="A2753" s="18"/>
      <c r="B2753" s="18"/>
      <c r="C2753" s="18"/>
      <c r="D2753" s="18"/>
      <c r="E2753" s="18"/>
      <c r="F2753" s="18"/>
      <c r="G2753" s="18"/>
      <c r="H2753" s="18"/>
      <c r="I2753" s="18"/>
      <c r="J2753" s="18"/>
      <c r="K2753" s="18"/>
      <c r="L2753" s="12"/>
      <c r="M2753" s="18"/>
      <c r="N2753" s="18"/>
      <c r="O2753" s="18"/>
      <c r="P2753" s="18"/>
      <c r="Q2753" s="18"/>
    </row>
    <row r="2754" spans="1:17" ht="180" x14ac:dyDescent="0.25">
      <c r="A2754" s="18"/>
      <c r="B2754" s="18"/>
      <c r="C2754" s="18"/>
      <c r="D2754" s="18"/>
      <c r="E2754" s="18"/>
      <c r="F2754" s="18"/>
      <c r="G2754" s="18"/>
      <c r="H2754" s="18"/>
      <c r="I2754" s="18"/>
      <c r="J2754" s="18"/>
      <c r="K2754" s="18"/>
      <c r="L2754" s="12" t="s">
        <v>5749</v>
      </c>
      <c r="M2754" s="18"/>
      <c r="N2754" s="18"/>
      <c r="O2754" s="18"/>
      <c r="P2754" s="18"/>
      <c r="Q2754" s="18"/>
    </row>
    <row r="2755" spans="1:17" ht="255" x14ac:dyDescent="0.25">
      <c r="A2755" s="12" t="s">
        <v>7313</v>
      </c>
      <c r="B2755" s="12" t="s">
        <v>7314</v>
      </c>
      <c r="C2755" s="12" t="s">
        <v>7174</v>
      </c>
      <c r="D2755" s="12" t="s">
        <v>7172</v>
      </c>
      <c r="E2755" s="12" t="s">
        <v>4831</v>
      </c>
      <c r="F2755" s="12" t="s">
        <v>4832</v>
      </c>
      <c r="G2755" s="13" t="s">
        <v>7053</v>
      </c>
      <c r="H2755" s="12"/>
      <c r="I2755" s="12"/>
      <c r="J2755" s="12"/>
      <c r="K2755" s="12"/>
      <c r="L2755" s="12"/>
      <c r="M2755" s="12" t="s">
        <v>4833</v>
      </c>
      <c r="N2755" s="12"/>
      <c r="O2755" s="12" t="s">
        <v>4834</v>
      </c>
      <c r="P2755" s="12" t="str">
        <f>HYPERLINK("https://ceds.ed.gov/cedselementdetails.aspx?termid=9611")</f>
        <v>https://ceds.ed.gov/cedselementdetails.aspx?termid=9611</v>
      </c>
      <c r="Q2755" s="12" t="str">
        <f>HYPERLINK("https://ceds.ed.gov/elementComment.aspx?elementName=Personal Information Verification &amp;elementID=9611", "Click here to submit comment")</f>
        <v>Click here to submit comment</v>
      </c>
    </row>
    <row r="2756" spans="1:17" ht="210" x14ac:dyDescent="0.25">
      <c r="A2756" s="12" t="s">
        <v>7313</v>
      </c>
      <c r="B2756" s="12" t="s">
        <v>7314</v>
      </c>
      <c r="C2756" s="12" t="s">
        <v>7175</v>
      </c>
      <c r="D2756" s="12" t="s">
        <v>7172</v>
      </c>
      <c r="E2756" s="12" t="s">
        <v>193</v>
      </c>
      <c r="F2756" s="12" t="s">
        <v>194</v>
      </c>
      <c r="G2756" s="13" t="s">
        <v>6726</v>
      </c>
      <c r="H2756" s="12" t="s">
        <v>6380</v>
      </c>
      <c r="I2756" s="12"/>
      <c r="J2756" s="12" t="s">
        <v>92</v>
      </c>
      <c r="K2756" s="12"/>
      <c r="L2756" s="12"/>
      <c r="M2756" s="12" t="s">
        <v>195</v>
      </c>
      <c r="N2756" s="12"/>
      <c r="O2756" s="12" t="s">
        <v>196</v>
      </c>
      <c r="P2756" s="12" t="str">
        <f>HYPERLINK("https://ceds.ed.gov/cedselementdetails.aspx?termid=9358")</f>
        <v>https://ceds.ed.gov/cedselementdetails.aspx?termid=9358</v>
      </c>
      <c r="Q2756" s="12" t="str">
        <f>HYPERLINK("https://ceds.ed.gov/elementComment.aspx?elementName=Address Type for Learner or Family &amp;elementID=9358", "Click here to submit comment")</f>
        <v>Click here to submit comment</v>
      </c>
    </row>
    <row r="2757" spans="1:17" ht="225" x14ac:dyDescent="0.25">
      <c r="A2757" s="12" t="s">
        <v>7313</v>
      </c>
      <c r="B2757" s="12" t="s">
        <v>7314</v>
      </c>
      <c r="C2757" s="12" t="s">
        <v>7175</v>
      </c>
      <c r="D2757" s="12" t="s">
        <v>7172</v>
      </c>
      <c r="E2757" s="12" t="s">
        <v>189</v>
      </c>
      <c r="F2757" s="12" t="s">
        <v>190</v>
      </c>
      <c r="G2757" s="12" t="s">
        <v>12</v>
      </c>
      <c r="H2757" s="12" t="s">
        <v>6377</v>
      </c>
      <c r="I2757" s="12"/>
      <c r="J2757" s="12" t="s">
        <v>142</v>
      </c>
      <c r="K2757" s="12"/>
      <c r="L2757" s="12"/>
      <c r="M2757" s="12" t="s">
        <v>191</v>
      </c>
      <c r="N2757" s="12"/>
      <c r="O2757" s="12" t="s">
        <v>192</v>
      </c>
      <c r="P2757" s="12" t="str">
        <f>HYPERLINK("https://ceds.ed.gov/cedselementdetails.aspx?termid=9269")</f>
        <v>https://ceds.ed.gov/cedselementdetails.aspx?termid=9269</v>
      </c>
      <c r="Q2757" s="12" t="str">
        <f>HYPERLINK("https://ceds.ed.gov/elementComment.aspx?elementName=Address Street Number and Name &amp;elementID=9269", "Click here to submit comment")</f>
        <v>Click here to submit comment</v>
      </c>
    </row>
    <row r="2758" spans="1:17" ht="225" x14ac:dyDescent="0.25">
      <c r="A2758" s="12" t="s">
        <v>7313</v>
      </c>
      <c r="B2758" s="12" t="s">
        <v>7314</v>
      </c>
      <c r="C2758" s="12" t="s">
        <v>7175</v>
      </c>
      <c r="D2758" s="12" t="s">
        <v>7172</v>
      </c>
      <c r="E2758" s="12" t="s">
        <v>172</v>
      </c>
      <c r="F2758" s="12" t="s">
        <v>173</v>
      </c>
      <c r="G2758" s="12" t="s">
        <v>12</v>
      </c>
      <c r="H2758" s="12" t="s">
        <v>6377</v>
      </c>
      <c r="I2758" s="12"/>
      <c r="J2758" s="12" t="s">
        <v>92</v>
      </c>
      <c r="K2758" s="12"/>
      <c r="L2758" s="12"/>
      <c r="M2758" s="12" t="s">
        <v>174</v>
      </c>
      <c r="N2758" s="12"/>
      <c r="O2758" s="12" t="s">
        <v>175</v>
      </c>
      <c r="P2758" s="12" t="str">
        <f>HYPERLINK("https://ceds.ed.gov/cedselementdetails.aspx?termid=9019")</f>
        <v>https://ceds.ed.gov/cedselementdetails.aspx?termid=9019</v>
      </c>
      <c r="Q2758" s="12" t="str">
        <f>HYPERLINK("https://ceds.ed.gov/elementComment.aspx?elementName=Address Apartment Room or Suite Number &amp;elementID=9019", "Click here to submit comment")</f>
        <v>Click here to submit comment</v>
      </c>
    </row>
    <row r="2759" spans="1:17" ht="225" x14ac:dyDescent="0.25">
      <c r="A2759" s="12" t="s">
        <v>7313</v>
      </c>
      <c r="B2759" s="12" t="s">
        <v>7314</v>
      </c>
      <c r="C2759" s="12" t="s">
        <v>7175</v>
      </c>
      <c r="D2759" s="12" t="s">
        <v>7172</v>
      </c>
      <c r="E2759" s="12" t="s">
        <v>176</v>
      </c>
      <c r="F2759" s="12" t="s">
        <v>177</v>
      </c>
      <c r="G2759" s="12" t="s">
        <v>12</v>
      </c>
      <c r="H2759" s="12" t="s">
        <v>6377</v>
      </c>
      <c r="I2759" s="12"/>
      <c r="J2759" s="12" t="s">
        <v>92</v>
      </c>
      <c r="K2759" s="12"/>
      <c r="L2759" s="12"/>
      <c r="M2759" s="12" t="s">
        <v>178</v>
      </c>
      <c r="N2759" s="12"/>
      <c r="O2759" s="12" t="s">
        <v>179</v>
      </c>
      <c r="P2759" s="12" t="str">
        <f>HYPERLINK("https://ceds.ed.gov/cedselementdetails.aspx?termid=9040")</f>
        <v>https://ceds.ed.gov/cedselementdetails.aspx?termid=9040</v>
      </c>
      <c r="Q2759" s="12" t="str">
        <f>HYPERLINK("https://ceds.ed.gov/elementComment.aspx?elementName=Address City &amp;elementID=9040", "Click here to submit comment")</f>
        <v>Click here to submit comment</v>
      </c>
    </row>
    <row r="2760" spans="1:17" ht="409.5" x14ac:dyDescent="0.25">
      <c r="A2760" s="12" t="s">
        <v>7313</v>
      </c>
      <c r="B2760" s="12" t="s">
        <v>7314</v>
      </c>
      <c r="C2760" s="12" t="s">
        <v>7175</v>
      </c>
      <c r="D2760" s="12" t="s">
        <v>7172</v>
      </c>
      <c r="E2760" s="12" t="s">
        <v>5898</v>
      </c>
      <c r="F2760" s="12" t="s">
        <v>5899</v>
      </c>
      <c r="G2760" s="13" t="s">
        <v>7120</v>
      </c>
      <c r="H2760" s="12" t="s">
        <v>6678</v>
      </c>
      <c r="I2760" s="12"/>
      <c r="J2760" s="12"/>
      <c r="K2760" s="12"/>
      <c r="L2760" s="12"/>
      <c r="M2760" s="12" t="s">
        <v>5900</v>
      </c>
      <c r="N2760" s="12"/>
      <c r="O2760" s="12" t="s">
        <v>5901</v>
      </c>
      <c r="P2760" s="12" t="str">
        <f>HYPERLINK("https://ceds.ed.gov/cedselementdetails.aspx?termid=9267")</f>
        <v>https://ceds.ed.gov/cedselementdetails.aspx?termid=9267</v>
      </c>
      <c r="Q2760" s="12" t="str">
        <f>HYPERLINK("https://ceds.ed.gov/elementComment.aspx?elementName=State Abbreviation &amp;elementID=9267", "Click here to submit comment")</f>
        <v>Click here to submit comment</v>
      </c>
    </row>
    <row r="2761" spans="1:17" ht="225" x14ac:dyDescent="0.25">
      <c r="A2761" s="12" t="s">
        <v>7313</v>
      </c>
      <c r="B2761" s="12" t="s">
        <v>7314</v>
      </c>
      <c r="C2761" s="12" t="s">
        <v>7175</v>
      </c>
      <c r="D2761" s="12" t="s">
        <v>7172</v>
      </c>
      <c r="E2761" s="12" t="s">
        <v>184</v>
      </c>
      <c r="F2761" s="12" t="s">
        <v>185</v>
      </c>
      <c r="G2761" s="12" t="s">
        <v>12</v>
      </c>
      <c r="H2761" s="12" t="s">
        <v>6377</v>
      </c>
      <c r="I2761" s="12"/>
      <c r="J2761" s="12" t="s">
        <v>186</v>
      </c>
      <c r="K2761" s="12"/>
      <c r="L2761" s="12"/>
      <c r="M2761" s="12" t="s">
        <v>187</v>
      </c>
      <c r="N2761" s="12"/>
      <c r="O2761" s="12" t="s">
        <v>188</v>
      </c>
      <c r="P2761" s="12" t="str">
        <f>HYPERLINK("https://ceds.ed.gov/cedselementdetails.aspx?termid=9214")</f>
        <v>https://ceds.ed.gov/cedselementdetails.aspx?termid=9214</v>
      </c>
      <c r="Q2761" s="12" t="str">
        <f>HYPERLINK("https://ceds.ed.gov/elementComment.aspx?elementName=Address Postal Code &amp;elementID=9214", "Click here to submit comment")</f>
        <v>Click here to submit comment</v>
      </c>
    </row>
    <row r="2762" spans="1:17" ht="225" x14ac:dyDescent="0.25">
      <c r="A2762" s="12" t="s">
        <v>7313</v>
      </c>
      <c r="B2762" s="12" t="s">
        <v>7314</v>
      </c>
      <c r="C2762" s="12" t="s">
        <v>7175</v>
      </c>
      <c r="D2762" s="12" t="s">
        <v>7172</v>
      </c>
      <c r="E2762" s="12" t="s">
        <v>180</v>
      </c>
      <c r="F2762" s="12" t="s">
        <v>181</v>
      </c>
      <c r="G2762" s="12" t="s">
        <v>12</v>
      </c>
      <c r="H2762" s="12" t="s">
        <v>6377</v>
      </c>
      <c r="I2762" s="12"/>
      <c r="J2762" s="12" t="s">
        <v>92</v>
      </c>
      <c r="K2762" s="12"/>
      <c r="L2762" s="12"/>
      <c r="M2762" s="12" t="s">
        <v>182</v>
      </c>
      <c r="N2762" s="12"/>
      <c r="O2762" s="12" t="s">
        <v>183</v>
      </c>
      <c r="P2762" s="12" t="str">
        <f>HYPERLINK("https://ceds.ed.gov/cedselementdetails.aspx?termid=9190")</f>
        <v>https://ceds.ed.gov/cedselementdetails.aspx?termid=9190</v>
      </c>
      <c r="Q2762" s="12" t="str">
        <f>HYPERLINK("https://ceds.ed.gov/elementComment.aspx?elementName=Address County Name &amp;elementID=9190", "Click here to submit comment")</f>
        <v>Click here to submit comment</v>
      </c>
    </row>
    <row r="2763" spans="1:17" ht="409.5" x14ac:dyDescent="0.25">
      <c r="A2763" s="12" t="s">
        <v>7313</v>
      </c>
      <c r="B2763" s="12" t="s">
        <v>7314</v>
      </c>
      <c r="C2763" s="12" t="s">
        <v>7175</v>
      </c>
      <c r="D2763" s="12" t="s">
        <v>7172</v>
      </c>
      <c r="E2763" s="12" t="s">
        <v>1934</v>
      </c>
      <c r="F2763" s="12" t="s">
        <v>1935</v>
      </c>
      <c r="G2763" s="13" t="s">
        <v>6829</v>
      </c>
      <c r="H2763" s="12" t="s">
        <v>6467</v>
      </c>
      <c r="I2763" s="12" t="s">
        <v>98</v>
      </c>
      <c r="J2763" s="12"/>
      <c r="K2763" s="12"/>
      <c r="L2763" s="14" t="s">
        <v>1936</v>
      </c>
      <c r="M2763" s="12" t="s">
        <v>1937</v>
      </c>
      <c r="N2763" s="12"/>
      <c r="O2763" s="12" t="s">
        <v>1938</v>
      </c>
      <c r="P2763" s="12" t="str">
        <f>HYPERLINK("https://ceds.ed.gov/cedselementdetails.aspx?termid=9050")</f>
        <v>https://ceds.ed.gov/cedselementdetails.aspx?termid=9050</v>
      </c>
      <c r="Q2763" s="12" t="str">
        <f>HYPERLINK("https://ceds.ed.gov/elementComment.aspx?elementName=Country Code &amp;elementID=9050", "Click here to submit comment")</f>
        <v>Click here to submit comment</v>
      </c>
    </row>
    <row r="2764" spans="1:17" ht="75" x14ac:dyDescent="0.25">
      <c r="A2764" s="12" t="s">
        <v>7313</v>
      </c>
      <c r="B2764" s="12" t="s">
        <v>7314</v>
      </c>
      <c r="C2764" s="12" t="s">
        <v>7175</v>
      </c>
      <c r="D2764" s="12" t="s">
        <v>7176</v>
      </c>
      <c r="E2764" s="12" t="s">
        <v>3693</v>
      </c>
      <c r="F2764" s="12" t="s">
        <v>3694</v>
      </c>
      <c r="G2764" s="12" t="s">
        <v>12</v>
      </c>
      <c r="H2764" s="12"/>
      <c r="I2764" s="12"/>
      <c r="J2764" s="12" t="s">
        <v>1201</v>
      </c>
      <c r="K2764" s="12"/>
      <c r="L2764" s="12"/>
      <c r="M2764" s="12" t="s">
        <v>3695</v>
      </c>
      <c r="N2764" s="12"/>
      <c r="O2764" s="12" t="s">
        <v>3693</v>
      </c>
      <c r="P2764" s="12" t="str">
        <f>HYPERLINK("https://ceds.ed.gov/cedselementdetails.aspx?termid=9599")</f>
        <v>https://ceds.ed.gov/cedselementdetails.aspx?termid=9599</v>
      </c>
      <c r="Q2764" s="12" t="str">
        <f>HYPERLINK("https://ceds.ed.gov/elementComment.aspx?elementName=Latitude &amp;elementID=9599", "Click here to submit comment")</f>
        <v>Click here to submit comment</v>
      </c>
    </row>
    <row r="2765" spans="1:17" ht="75" x14ac:dyDescent="0.25">
      <c r="A2765" s="12" t="s">
        <v>7313</v>
      </c>
      <c r="B2765" s="12" t="s">
        <v>7314</v>
      </c>
      <c r="C2765" s="12" t="s">
        <v>7175</v>
      </c>
      <c r="D2765" s="12" t="s">
        <v>7176</v>
      </c>
      <c r="E2765" s="12" t="s">
        <v>4361</v>
      </c>
      <c r="F2765" s="12" t="s">
        <v>4362</v>
      </c>
      <c r="G2765" s="12" t="s">
        <v>12</v>
      </c>
      <c r="H2765" s="12"/>
      <c r="I2765" s="12"/>
      <c r="J2765" s="12" t="s">
        <v>1201</v>
      </c>
      <c r="K2765" s="12"/>
      <c r="L2765" s="12"/>
      <c r="M2765" s="12" t="s">
        <v>4363</v>
      </c>
      <c r="N2765" s="12"/>
      <c r="O2765" s="12" t="s">
        <v>4361</v>
      </c>
      <c r="P2765" s="12" t="str">
        <f>HYPERLINK("https://ceds.ed.gov/cedselementdetails.aspx?termid=9600")</f>
        <v>https://ceds.ed.gov/cedselementdetails.aspx?termid=9600</v>
      </c>
      <c r="Q2765" s="12" t="str">
        <f>HYPERLINK("https://ceds.ed.gov/elementComment.aspx?elementName=Longitude &amp;elementID=9600", "Click here to submit comment")</f>
        <v>Click here to submit comment</v>
      </c>
    </row>
    <row r="2766" spans="1:17" ht="90" x14ac:dyDescent="0.25">
      <c r="A2766" s="12" t="s">
        <v>7313</v>
      </c>
      <c r="B2766" s="12" t="s">
        <v>7314</v>
      </c>
      <c r="C2766" s="12" t="s">
        <v>7177</v>
      </c>
      <c r="D2766" s="12" t="s">
        <v>7172</v>
      </c>
      <c r="E2766" s="12" t="s">
        <v>6107</v>
      </c>
      <c r="F2766" s="12" t="s">
        <v>6108</v>
      </c>
      <c r="G2766" s="13" t="s">
        <v>7135</v>
      </c>
      <c r="H2766" s="12" t="s">
        <v>6369</v>
      </c>
      <c r="I2766" s="12"/>
      <c r="J2766" s="12" t="s">
        <v>1950</v>
      </c>
      <c r="K2766" s="12"/>
      <c r="L2766" s="12"/>
      <c r="M2766" s="12" t="s">
        <v>6109</v>
      </c>
      <c r="N2766" s="12"/>
      <c r="O2766" s="12" t="s">
        <v>6110</v>
      </c>
      <c r="P2766" s="12" t="str">
        <f>HYPERLINK("https://ceds.ed.gov/cedselementdetails.aspx?termid=9280")</f>
        <v>https://ceds.ed.gov/cedselementdetails.aspx?termid=9280</v>
      </c>
      <c r="Q2766" s="12" t="str">
        <f>HYPERLINK("https://ceds.ed.gov/elementComment.aspx?elementName=Telephone Number Type &amp;elementID=9280", "Click here to submit comment")</f>
        <v>Click here to submit comment</v>
      </c>
    </row>
    <row r="2767" spans="1:17" ht="90" x14ac:dyDescent="0.25">
      <c r="A2767" s="12" t="s">
        <v>7313</v>
      </c>
      <c r="B2767" s="12" t="s">
        <v>7314</v>
      </c>
      <c r="C2767" s="12" t="s">
        <v>7177</v>
      </c>
      <c r="D2767" s="12" t="s">
        <v>7172</v>
      </c>
      <c r="E2767" s="12" t="s">
        <v>4934</v>
      </c>
      <c r="F2767" s="12" t="s">
        <v>4935</v>
      </c>
      <c r="G2767" s="12" t="s">
        <v>6364</v>
      </c>
      <c r="H2767" s="12" t="s">
        <v>6369</v>
      </c>
      <c r="I2767" s="12"/>
      <c r="J2767" s="12"/>
      <c r="K2767" s="12"/>
      <c r="L2767" s="12"/>
      <c r="M2767" s="12" t="s">
        <v>4936</v>
      </c>
      <c r="N2767" s="12"/>
      <c r="O2767" s="12" t="s">
        <v>4937</v>
      </c>
      <c r="P2767" s="12" t="str">
        <f>HYPERLINK("https://ceds.ed.gov/cedselementdetails.aspx?termid=9219")</f>
        <v>https://ceds.ed.gov/cedselementdetails.aspx?termid=9219</v>
      </c>
      <c r="Q2767" s="12" t="str">
        <f>HYPERLINK("https://ceds.ed.gov/elementComment.aspx?elementName=Primary Telephone Number Indicator &amp;elementID=9219", "Click here to submit comment")</f>
        <v>Click here to submit comment</v>
      </c>
    </row>
    <row r="2768" spans="1:17" ht="90" x14ac:dyDescent="0.25">
      <c r="A2768" s="12" t="s">
        <v>7313</v>
      </c>
      <c r="B2768" s="12" t="s">
        <v>7314</v>
      </c>
      <c r="C2768" s="12" t="s">
        <v>7177</v>
      </c>
      <c r="D2768" s="12" t="s">
        <v>7172</v>
      </c>
      <c r="E2768" s="12" t="s">
        <v>6102</v>
      </c>
      <c r="F2768" s="12" t="s">
        <v>6103</v>
      </c>
      <c r="G2768" s="12" t="s">
        <v>12</v>
      </c>
      <c r="H2768" s="12" t="s">
        <v>6369</v>
      </c>
      <c r="I2768" s="12"/>
      <c r="J2768" s="12" t="s">
        <v>6104</v>
      </c>
      <c r="K2768" s="12"/>
      <c r="L2768" s="12"/>
      <c r="M2768" s="12" t="s">
        <v>6105</v>
      </c>
      <c r="N2768" s="12"/>
      <c r="O2768" s="12" t="s">
        <v>6106</v>
      </c>
      <c r="P2768" s="12" t="str">
        <f>HYPERLINK("https://ceds.ed.gov/cedselementdetails.aspx?termid=9279")</f>
        <v>https://ceds.ed.gov/cedselementdetails.aspx?termid=9279</v>
      </c>
      <c r="Q2768" s="12" t="str">
        <f>HYPERLINK("https://ceds.ed.gov/elementComment.aspx?elementName=Telephone Number &amp;elementID=9279", "Click here to submit comment")</f>
        <v>Click here to submit comment</v>
      </c>
    </row>
    <row r="2769" spans="1:17" ht="90" x14ac:dyDescent="0.25">
      <c r="A2769" s="12" t="s">
        <v>7313</v>
      </c>
      <c r="B2769" s="12" t="s">
        <v>7314</v>
      </c>
      <c r="C2769" s="12" t="s">
        <v>7204</v>
      </c>
      <c r="D2769" s="12" t="s">
        <v>7172</v>
      </c>
      <c r="E2769" s="12" t="s">
        <v>2653</v>
      </c>
      <c r="F2769" s="12" t="s">
        <v>2654</v>
      </c>
      <c r="G2769" s="13" t="s">
        <v>6898</v>
      </c>
      <c r="H2769" s="12" t="s">
        <v>6369</v>
      </c>
      <c r="I2769" s="12"/>
      <c r="J2769" s="12"/>
      <c r="K2769" s="12"/>
      <c r="L2769" s="12"/>
      <c r="M2769" s="12" t="s">
        <v>2655</v>
      </c>
      <c r="N2769" s="12" t="s">
        <v>2656</v>
      </c>
      <c r="O2769" s="12" t="s">
        <v>2657</v>
      </c>
      <c r="P2769" s="12" t="str">
        <f>HYPERLINK("https://ceds.ed.gov/cedselementdetails.aspx?termid=9089")</f>
        <v>https://ceds.ed.gov/cedselementdetails.aspx?termid=9089</v>
      </c>
      <c r="Q2769" s="12" t="str">
        <f>HYPERLINK("https://ceds.ed.gov/elementComment.aspx?elementName=Electronic Mail Address Type &amp;elementID=9089", "Click here to submit comment")</f>
        <v>Click here to submit comment</v>
      </c>
    </row>
    <row r="2770" spans="1:17" ht="90" x14ac:dyDescent="0.25">
      <c r="A2770" s="12" t="s">
        <v>7313</v>
      </c>
      <c r="B2770" s="12" t="s">
        <v>7314</v>
      </c>
      <c r="C2770" s="12" t="s">
        <v>7204</v>
      </c>
      <c r="D2770" s="12" t="s">
        <v>7172</v>
      </c>
      <c r="E2770" s="12" t="s">
        <v>2647</v>
      </c>
      <c r="F2770" s="12" t="s">
        <v>2648</v>
      </c>
      <c r="G2770" s="12" t="s">
        <v>12</v>
      </c>
      <c r="H2770" s="12" t="s">
        <v>6369</v>
      </c>
      <c r="I2770" s="12"/>
      <c r="J2770" s="12" t="s">
        <v>2649</v>
      </c>
      <c r="K2770" s="12"/>
      <c r="L2770" s="12"/>
      <c r="M2770" s="12" t="s">
        <v>2650</v>
      </c>
      <c r="N2770" s="12" t="s">
        <v>2651</v>
      </c>
      <c r="O2770" s="12" t="s">
        <v>2652</v>
      </c>
      <c r="P2770" s="12" t="str">
        <f>HYPERLINK("https://ceds.ed.gov/cedselementdetails.aspx?termid=9088")</f>
        <v>https://ceds.ed.gov/cedselementdetails.aspx?termid=9088</v>
      </c>
      <c r="Q2770" s="12" t="str">
        <f>HYPERLINK("https://ceds.ed.gov/elementComment.aspx?elementName=Electronic Mail Address &amp;elementID=9088", "Click here to submit comment")</f>
        <v>Click here to submit comment</v>
      </c>
    </row>
    <row r="2771" spans="1:17" ht="240" x14ac:dyDescent="0.25">
      <c r="A2771" s="12" t="s">
        <v>7313</v>
      </c>
      <c r="B2771" s="12" t="s">
        <v>7314</v>
      </c>
      <c r="C2771" s="12" t="s">
        <v>7178</v>
      </c>
      <c r="D2771" s="12" t="s">
        <v>7172</v>
      </c>
      <c r="E2771" s="12" t="s">
        <v>1571</v>
      </c>
      <c r="F2771" s="12" t="s">
        <v>1572</v>
      </c>
      <c r="G2771" s="12" t="s">
        <v>12</v>
      </c>
      <c r="H2771" s="12" t="s">
        <v>6432</v>
      </c>
      <c r="I2771" s="12"/>
      <c r="J2771" s="12" t="s">
        <v>73</v>
      </c>
      <c r="K2771" s="12"/>
      <c r="L2771" s="12"/>
      <c r="M2771" s="12" t="s">
        <v>1573</v>
      </c>
      <c r="N2771" s="12"/>
      <c r="O2771" s="12" t="s">
        <v>1571</v>
      </c>
      <c r="P2771" s="12" t="str">
        <f>HYPERLINK("https://ceds.ed.gov/cedselementdetails.aspx?termid=9033")</f>
        <v>https://ceds.ed.gov/cedselementdetails.aspx?termid=9033</v>
      </c>
      <c r="Q2771" s="12" t="str">
        <f>HYPERLINK("https://ceds.ed.gov/elementComment.aspx?elementName=Birthdate &amp;elementID=9033", "Click here to submit comment")</f>
        <v>Click here to submit comment</v>
      </c>
    </row>
    <row r="2772" spans="1:17" ht="255" x14ac:dyDescent="0.25">
      <c r="A2772" s="12" t="s">
        <v>7313</v>
      </c>
      <c r="B2772" s="12" t="s">
        <v>7314</v>
      </c>
      <c r="C2772" s="12" t="s">
        <v>7178</v>
      </c>
      <c r="D2772" s="12" t="s">
        <v>7172</v>
      </c>
      <c r="E2772" s="12" t="s">
        <v>5711</v>
      </c>
      <c r="F2772" s="12" t="s">
        <v>5712</v>
      </c>
      <c r="G2772" s="13" t="s">
        <v>7112</v>
      </c>
      <c r="H2772" s="12" t="s">
        <v>6666</v>
      </c>
      <c r="I2772" s="12"/>
      <c r="J2772" s="12"/>
      <c r="K2772" s="12"/>
      <c r="L2772" s="12" t="s">
        <v>5713</v>
      </c>
      <c r="M2772" s="12" t="s">
        <v>5714</v>
      </c>
      <c r="N2772" s="12"/>
      <c r="O2772" s="12" t="s">
        <v>5711</v>
      </c>
      <c r="P2772" s="12" t="str">
        <f>HYPERLINK("https://ceds.ed.gov/cedselementdetails.aspx?termid=9255")</f>
        <v>https://ceds.ed.gov/cedselementdetails.aspx?termid=9255</v>
      </c>
      <c r="Q2772" s="12" t="str">
        <f>HYPERLINK("https://ceds.ed.gov/elementComment.aspx?elementName=Sex &amp;elementID=9255", "Click here to submit comment")</f>
        <v>Click here to submit comment</v>
      </c>
    </row>
    <row r="2773" spans="1:17" ht="30" x14ac:dyDescent="0.25">
      <c r="A2773" s="18" t="s">
        <v>7313</v>
      </c>
      <c r="B2773" s="18" t="s">
        <v>7314</v>
      </c>
      <c r="C2773" s="18" t="s">
        <v>7178</v>
      </c>
      <c r="D2773" s="18" t="s">
        <v>7172</v>
      </c>
      <c r="E2773" s="18" t="s">
        <v>359</v>
      </c>
      <c r="F2773" s="18" t="s">
        <v>360</v>
      </c>
      <c r="G2773" s="20" t="s">
        <v>6749</v>
      </c>
      <c r="H2773" s="18" t="s">
        <v>6390</v>
      </c>
      <c r="I2773" s="18"/>
      <c r="J2773" s="18"/>
      <c r="K2773" s="18"/>
      <c r="L2773" s="12" t="s">
        <v>361</v>
      </c>
      <c r="M2773" s="18" t="s">
        <v>365</v>
      </c>
      <c r="N2773" s="18"/>
      <c r="O2773" s="18" t="s">
        <v>366</v>
      </c>
      <c r="P2773" s="18" t="str">
        <f>HYPERLINK("https://ceds.ed.gov/cedselementdetails.aspx?termid=9655")</f>
        <v>https://ceds.ed.gov/cedselementdetails.aspx?termid=9655</v>
      </c>
      <c r="Q2773" s="18" t="str">
        <f>HYPERLINK("https://ceds.ed.gov/elementComment.aspx?elementName=American Indian or Alaska Native &amp;elementID=9655", "Click here to submit comment")</f>
        <v>Click here to submit comment</v>
      </c>
    </row>
    <row r="2774" spans="1:17" x14ac:dyDescent="0.25">
      <c r="A2774" s="18"/>
      <c r="B2774" s="18"/>
      <c r="C2774" s="18"/>
      <c r="D2774" s="18"/>
      <c r="E2774" s="18"/>
      <c r="F2774" s="18"/>
      <c r="G2774" s="18"/>
      <c r="H2774" s="18"/>
      <c r="I2774" s="18"/>
      <c r="J2774" s="18"/>
      <c r="K2774" s="18"/>
      <c r="L2774" s="12"/>
      <c r="M2774" s="18"/>
      <c r="N2774" s="18"/>
      <c r="O2774" s="18"/>
      <c r="P2774" s="18"/>
      <c r="Q2774" s="18"/>
    </row>
    <row r="2775" spans="1:17" x14ac:dyDescent="0.25">
      <c r="A2775" s="18"/>
      <c r="B2775" s="18"/>
      <c r="C2775" s="18"/>
      <c r="D2775" s="18"/>
      <c r="E2775" s="18"/>
      <c r="F2775" s="18"/>
      <c r="G2775" s="18"/>
      <c r="H2775" s="18"/>
      <c r="I2775" s="18"/>
      <c r="J2775" s="18"/>
      <c r="K2775" s="18"/>
      <c r="L2775" s="12" t="s">
        <v>362</v>
      </c>
      <c r="M2775" s="18"/>
      <c r="N2775" s="18"/>
      <c r="O2775" s="18"/>
      <c r="P2775" s="18"/>
      <c r="Q2775" s="18"/>
    </row>
    <row r="2776" spans="1:17" ht="30" x14ac:dyDescent="0.25">
      <c r="A2776" s="18"/>
      <c r="B2776" s="18"/>
      <c r="C2776" s="18"/>
      <c r="D2776" s="18"/>
      <c r="E2776" s="18"/>
      <c r="F2776" s="18"/>
      <c r="G2776" s="18"/>
      <c r="H2776" s="18"/>
      <c r="I2776" s="18"/>
      <c r="J2776" s="18"/>
      <c r="K2776" s="18"/>
      <c r="L2776" s="12" t="s">
        <v>363</v>
      </c>
      <c r="M2776" s="18"/>
      <c r="N2776" s="18"/>
      <c r="O2776" s="18"/>
      <c r="P2776" s="18"/>
      <c r="Q2776" s="18"/>
    </row>
    <row r="2777" spans="1:17" x14ac:dyDescent="0.25">
      <c r="A2777" s="18"/>
      <c r="B2777" s="18"/>
      <c r="C2777" s="18"/>
      <c r="D2777" s="18"/>
      <c r="E2777" s="18"/>
      <c r="F2777" s="18"/>
      <c r="G2777" s="18"/>
      <c r="H2777" s="18"/>
      <c r="I2777" s="18"/>
      <c r="J2777" s="18"/>
      <c r="K2777" s="18"/>
      <c r="L2777" s="12" t="s">
        <v>364</v>
      </c>
      <c r="M2777" s="18"/>
      <c r="N2777" s="18"/>
      <c r="O2777" s="18"/>
      <c r="P2777" s="18"/>
      <c r="Q2777" s="18"/>
    </row>
    <row r="2778" spans="1:17" ht="30" x14ac:dyDescent="0.25">
      <c r="A2778" s="18" t="s">
        <v>7313</v>
      </c>
      <c r="B2778" s="18" t="s">
        <v>7314</v>
      </c>
      <c r="C2778" s="18" t="s">
        <v>7178</v>
      </c>
      <c r="D2778" s="18" t="s">
        <v>7172</v>
      </c>
      <c r="E2778" s="18" t="s">
        <v>401</v>
      </c>
      <c r="F2778" s="18" t="s">
        <v>402</v>
      </c>
      <c r="G2778" s="20" t="s">
        <v>6749</v>
      </c>
      <c r="H2778" s="18" t="s">
        <v>6390</v>
      </c>
      <c r="I2778" s="18"/>
      <c r="J2778" s="18"/>
      <c r="K2778" s="18"/>
      <c r="L2778" s="12" t="s">
        <v>361</v>
      </c>
      <c r="M2778" s="18" t="s">
        <v>403</v>
      </c>
      <c r="N2778" s="18"/>
      <c r="O2778" s="18" t="s">
        <v>401</v>
      </c>
      <c r="P2778" s="18" t="str">
        <f>HYPERLINK("https://ceds.ed.gov/cedselementdetails.aspx?termid=9656")</f>
        <v>https://ceds.ed.gov/cedselementdetails.aspx?termid=9656</v>
      </c>
      <c r="Q2778" s="18" t="str">
        <f>HYPERLINK("https://ceds.ed.gov/elementComment.aspx?elementName=Asian &amp;elementID=9656", "Click here to submit comment")</f>
        <v>Click here to submit comment</v>
      </c>
    </row>
    <row r="2779" spans="1:17" x14ac:dyDescent="0.25">
      <c r="A2779" s="18"/>
      <c r="B2779" s="18"/>
      <c r="C2779" s="18"/>
      <c r="D2779" s="18"/>
      <c r="E2779" s="18"/>
      <c r="F2779" s="18"/>
      <c r="G2779" s="18"/>
      <c r="H2779" s="18"/>
      <c r="I2779" s="18"/>
      <c r="J2779" s="18"/>
      <c r="K2779" s="18"/>
      <c r="L2779" s="12"/>
      <c r="M2779" s="18"/>
      <c r="N2779" s="18"/>
      <c r="O2779" s="18"/>
      <c r="P2779" s="18"/>
      <c r="Q2779" s="18"/>
    </row>
    <row r="2780" spans="1:17" x14ac:dyDescent="0.25">
      <c r="A2780" s="18"/>
      <c r="B2780" s="18"/>
      <c r="C2780" s="18"/>
      <c r="D2780" s="18"/>
      <c r="E2780" s="18"/>
      <c r="F2780" s="18"/>
      <c r="G2780" s="18"/>
      <c r="H2780" s="18"/>
      <c r="I2780" s="18"/>
      <c r="J2780" s="18"/>
      <c r="K2780" s="18"/>
      <c r="L2780" s="12" t="s">
        <v>362</v>
      </c>
      <c r="M2780" s="18"/>
      <c r="N2780" s="18"/>
      <c r="O2780" s="18"/>
      <c r="P2780" s="18"/>
      <c r="Q2780" s="18"/>
    </row>
    <row r="2781" spans="1:17" ht="30" x14ac:dyDescent="0.25">
      <c r="A2781" s="18"/>
      <c r="B2781" s="18"/>
      <c r="C2781" s="18"/>
      <c r="D2781" s="18"/>
      <c r="E2781" s="18"/>
      <c r="F2781" s="18"/>
      <c r="G2781" s="18"/>
      <c r="H2781" s="18"/>
      <c r="I2781" s="18"/>
      <c r="J2781" s="18"/>
      <c r="K2781" s="18"/>
      <c r="L2781" s="12" t="s">
        <v>363</v>
      </c>
      <c r="M2781" s="18"/>
      <c r="N2781" s="18"/>
      <c r="O2781" s="18"/>
      <c r="P2781" s="18"/>
      <c r="Q2781" s="18"/>
    </row>
    <row r="2782" spans="1:17" x14ac:dyDescent="0.25">
      <c r="A2782" s="18"/>
      <c r="B2782" s="18"/>
      <c r="C2782" s="18"/>
      <c r="D2782" s="18"/>
      <c r="E2782" s="18"/>
      <c r="F2782" s="18"/>
      <c r="G2782" s="18"/>
      <c r="H2782" s="18"/>
      <c r="I2782" s="18"/>
      <c r="J2782" s="18"/>
      <c r="K2782" s="18"/>
      <c r="L2782" s="12" t="s">
        <v>364</v>
      </c>
      <c r="M2782" s="18"/>
      <c r="N2782" s="18"/>
      <c r="O2782" s="18"/>
      <c r="P2782" s="18"/>
      <c r="Q2782" s="18"/>
    </row>
    <row r="2783" spans="1:17" ht="30" x14ac:dyDescent="0.25">
      <c r="A2783" s="18" t="s">
        <v>7313</v>
      </c>
      <c r="B2783" s="18" t="s">
        <v>7314</v>
      </c>
      <c r="C2783" s="18" t="s">
        <v>7178</v>
      </c>
      <c r="D2783" s="18" t="s">
        <v>7172</v>
      </c>
      <c r="E2783" s="18" t="s">
        <v>1579</v>
      </c>
      <c r="F2783" s="18" t="s">
        <v>1580</v>
      </c>
      <c r="G2783" s="20" t="s">
        <v>6749</v>
      </c>
      <c r="H2783" s="18" t="s">
        <v>6390</v>
      </c>
      <c r="I2783" s="18"/>
      <c r="J2783" s="18"/>
      <c r="K2783" s="18"/>
      <c r="L2783" s="12" t="s">
        <v>361</v>
      </c>
      <c r="M2783" s="18" t="s">
        <v>1581</v>
      </c>
      <c r="N2783" s="18"/>
      <c r="O2783" s="18" t="s">
        <v>1582</v>
      </c>
      <c r="P2783" s="18" t="str">
        <f>HYPERLINK("https://ceds.ed.gov/cedselementdetails.aspx?termid=9657")</f>
        <v>https://ceds.ed.gov/cedselementdetails.aspx?termid=9657</v>
      </c>
      <c r="Q2783" s="18" t="str">
        <f>HYPERLINK("https://ceds.ed.gov/elementComment.aspx?elementName=Black or African American &amp;elementID=9657", "Click here to submit comment")</f>
        <v>Click here to submit comment</v>
      </c>
    </row>
    <row r="2784" spans="1:17" x14ac:dyDescent="0.25">
      <c r="A2784" s="18"/>
      <c r="B2784" s="18"/>
      <c r="C2784" s="18"/>
      <c r="D2784" s="18"/>
      <c r="E2784" s="18"/>
      <c r="F2784" s="18"/>
      <c r="G2784" s="18"/>
      <c r="H2784" s="18"/>
      <c r="I2784" s="18"/>
      <c r="J2784" s="18"/>
      <c r="K2784" s="18"/>
      <c r="L2784" s="12"/>
      <c r="M2784" s="18"/>
      <c r="N2784" s="18"/>
      <c r="O2784" s="18"/>
      <c r="P2784" s="18"/>
      <c r="Q2784" s="18"/>
    </row>
    <row r="2785" spans="1:17" x14ac:dyDescent="0.25">
      <c r="A2785" s="18"/>
      <c r="B2785" s="18"/>
      <c r="C2785" s="18"/>
      <c r="D2785" s="18"/>
      <c r="E2785" s="18"/>
      <c r="F2785" s="18"/>
      <c r="G2785" s="18"/>
      <c r="H2785" s="18"/>
      <c r="I2785" s="18"/>
      <c r="J2785" s="18"/>
      <c r="K2785" s="18"/>
      <c r="L2785" s="12" t="s">
        <v>362</v>
      </c>
      <c r="M2785" s="18"/>
      <c r="N2785" s="18"/>
      <c r="O2785" s="18"/>
      <c r="P2785" s="18"/>
      <c r="Q2785" s="18"/>
    </row>
    <row r="2786" spans="1:17" ht="30" x14ac:dyDescent="0.25">
      <c r="A2786" s="18"/>
      <c r="B2786" s="18"/>
      <c r="C2786" s="18"/>
      <c r="D2786" s="18"/>
      <c r="E2786" s="18"/>
      <c r="F2786" s="18"/>
      <c r="G2786" s="18"/>
      <c r="H2786" s="18"/>
      <c r="I2786" s="18"/>
      <c r="J2786" s="18"/>
      <c r="K2786" s="18"/>
      <c r="L2786" s="12" t="s">
        <v>363</v>
      </c>
      <c r="M2786" s="18"/>
      <c r="N2786" s="18"/>
      <c r="O2786" s="18"/>
      <c r="P2786" s="18"/>
      <c r="Q2786" s="18"/>
    </row>
    <row r="2787" spans="1:17" x14ac:dyDescent="0.25">
      <c r="A2787" s="18"/>
      <c r="B2787" s="18"/>
      <c r="C2787" s="18"/>
      <c r="D2787" s="18"/>
      <c r="E2787" s="18"/>
      <c r="F2787" s="18"/>
      <c r="G2787" s="18"/>
      <c r="H2787" s="18"/>
      <c r="I2787" s="18"/>
      <c r="J2787" s="18"/>
      <c r="K2787" s="18"/>
      <c r="L2787" s="12" t="s">
        <v>364</v>
      </c>
      <c r="M2787" s="18"/>
      <c r="N2787" s="18"/>
      <c r="O2787" s="18"/>
      <c r="P2787" s="18"/>
      <c r="Q2787" s="18"/>
    </row>
    <row r="2788" spans="1:17" ht="30" x14ac:dyDescent="0.25">
      <c r="A2788" s="18" t="s">
        <v>7313</v>
      </c>
      <c r="B2788" s="18" t="s">
        <v>7314</v>
      </c>
      <c r="C2788" s="18" t="s">
        <v>7178</v>
      </c>
      <c r="D2788" s="18" t="s">
        <v>7172</v>
      </c>
      <c r="E2788" s="18" t="s">
        <v>4536</v>
      </c>
      <c r="F2788" s="18" t="s">
        <v>4537</v>
      </c>
      <c r="G2788" s="20" t="s">
        <v>6749</v>
      </c>
      <c r="H2788" s="18" t="s">
        <v>6390</v>
      </c>
      <c r="I2788" s="18"/>
      <c r="J2788" s="18"/>
      <c r="K2788" s="18"/>
      <c r="L2788" s="12" t="s">
        <v>361</v>
      </c>
      <c r="M2788" s="18" t="s">
        <v>4538</v>
      </c>
      <c r="N2788" s="18"/>
      <c r="O2788" s="18" t="s">
        <v>4539</v>
      </c>
      <c r="P2788" s="18" t="str">
        <f>HYPERLINK("https://ceds.ed.gov/cedselementdetails.aspx?termid=9658")</f>
        <v>https://ceds.ed.gov/cedselementdetails.aspx?termid=9658</v>
      </c>
      <c r="Q2788" s="18" t="str">
        <f>HYPERLINK("https://ceds.ed.gov/elementComment.aspx?elementName=Native Hawaiian or Other Pacific Islander &amp;elementID=9658", "Click here to submit comment")</f>
        <v>Click here to submit comment</v>
      </c>
    </row>
    <row r="2789" spans="1:17" x14ac:dyDescent="0.25">
      <c r="A2789" s="18"/>
      <c r="B2789" s="18"/>
      <c r="C2789" s="18"/>
      <c r="D2789" s="18"/>
      <c r="E2789" s="18"/>
      <c r="F2789" s="18"/>
      <c r="G2789" s="18"/>
      <c r="H2789" s="18"/>
      <c r="I2789" s="18"/>
      <c r="J2789" s="18"/>
      <c r="K2789" s="18"/>
      <c r="L2789" s="12"/>
      <c r="M2789" s="18"/>
      <c r="N2789" s="18"/>
      <c r="O2789" s="18"/>
      <c r="P2789" s="18"/>
      <c r="Q2789" s="18"/>
    </row>
    <row r="2790" spans="1:17" x14ac:dyDescent="0.25">
      <c r="A2790" s="18"/>
      <c r="B2790" s="18"/>
      <c r="C2790" s="18"/>
      <c r="D2790" s="18"/>
      <c r="E2790" s="18"/>
      <c r="F2790" s="18"/>
      <c r="G2790" s="18"/>
      <c r="H2790" s="18"/>
      <c r="I2790" s="18"/>
      <c r="J2790" s="18"/>
      <c r="K2790" s="18"/>
      <c r="L2790" s="12" t="s">
        <v>362</v>
      </c>
      <c r="M2790" s="18"/>
      <c r="N2790" s="18"/>
      <c r="O2790" s="18"/>
      <c r="P2790" s="18"/>
      <c r="Q2790" s="18"/>
    </row>
    <row r="2791" spans="1:17" ht="30" x14ac:dyDescent="0.25">
      <c r="A2791" s="18"/>
      <c r="B2791" s="18"/>
      <c r="C2791" s="18"/>
      <c r="D2791" s="18"/>
      <c r="E2791" s="18"/>
      <c r="F2791" s="18"/>
      <c r="G2791" s="18"/>
      <c r="H2791" s="18"/>
      <c r="I2791" s="18"/>
      <c r="J2791" s="18"/>
      <c r="K2791" s="18"/>
      <c r="L2791" s="12" t="s">
        <v>363</v>
      </c>
      <c r="M2791" s="18"/>
      <c r="N2791" s="18"/>
      <c r="O2791" s="18"/>
      <c r="P2791" s="18"/>
      <c r="Q2791" s="18"/>
    </row>
    <row r="2792" spans="1:17" x14ac:dyDescent="0.25">
      <c r="A2792" s="18"/>
      <c r="B2792" s="18"/>
      <c r="C2792" s="18"/>
      <c r="D2792" s="18"/>
      <c r="E2792" s="18"/>
      <c r="F2792" s="18"/>
      <c r="G2792" s="18"/>
      <c r="H2792" s="18"/>
      <c r="I2792" s="18"/>
      <c r="J2792" s="18"/>
      <c r="K2792" s="18"/>
      <c r="L2792" s="12" t="s">
        <v>364</v>
      </c>
      <c r="M2792" s="18"/>
      <c r="N2792" s="18"/>
      <c r="O2792" s="18"/>
      <c r="P2792" s="18"/>
      <c r="Q2792" s="18"/>
    </row>
    <row r="2793" spans="1:17" ht="30" x14ac:dyDescent="0.25">
      <c r="A2793" s="18" t="s">
        <v>7313</v>
      </c>
      <c r="B2793" s="18" t="s">
        <v>7314</v>
      </c>
      <c r="C2793" s="18" t="s">
        <v>7178</v>
      </c>
      <c r="D2793" s="18" t="s">
        <v>7172</v>
      </c>
      <c r="E2793" s="18" t="s">
        <v>6333</v>
      </c>
      <c r="F2793" s="18" t="s">
        <v>6334</v>
      </c>
      <c r="G2793" s="20" t="s">
        <v>6749</v>
      </c>
      <c r="H2793" s="18" t="s">
        <v>6390</v>
      </c>
      <c r="I2793" s="18"/>
      <c r="J2793" s="18"/>
      <c r="K2793" s="18"/>
      <c r="L2793" s="12" t="s">
        <v>361</v>
      </c>
      <c r="M2793" s="18" t="s">
        <v>6335</v>
      </c>
      <c r="N2793" s="18"/>
      <c r="O2793" s="18" t="s">
        <v>6333</v>
      </c>
      <c r="P2793" s="18" t="str">
        <f>HYPERLINK("https://ceds.ed.gov/cedselementdetails.aspx?termid=9659")</f>
        <v>https://ceds.ed.gov/cedselementdetails.aspx?termid=9659</v>
      </c>
      <c r="Q2793" s="18" t="str">
        <f>HYPERLINK("https://ceds.ed.gov/elementComment.aspx?elementName=White &amp;elementID=9659", "Click here to submit comment")</f>
        <v>Click here to submit comment</v>
      </c>
    </row>
    <row r="2794" spans="1:17" x14ac:dyDescent="0.25">
      <c r="A2794" s="18"/>
      <c r="B2794" s="18"/>
      <c r="C2794" s="18"/>
      <c r="D2794" s="18"/>
      <c r="E2794" s="18"/>
      <c r="F2794" s="18"/>
      <c r="G2794" s="18"/>
      <c r="H2794" s="18"/>
      <c r="I2794" s="18"/>
      <c r="J2794" s="18"/>
      <c r="K2794" s="18"/>
      <c r="L2794" s="12"/>
      <c r="M2794" s="18"/>
      <c r="N2794" s="18"/>
      <c r="O2794" s="18"/>
      <c r="P2794" s="18"/>
      <c r="Q2794" s="18"/>
    </row>
    <row r="2795" spans="1:17" x14ac:dyDescent="0.25">
      <c r="A2795" s="18"/>
      <c r="B2795" s="18"/>
      <c r="C2795" s="18"/>
      <c r="D2795" s="18"/>
      <c r="E2795" s="18"/>
      <c r="F2795" s="18"/>
      <c r="G2795" s="18"/>
      <c r="H2795" s="18"/>
      <c r="I2795" s="18"/>
      <c r="J2795" s="18"/>
      <c r="K2795" s="18"/>
      <c r="L2795" s="12" t="s">
        <v>362</v>
      </c>
      <c r="M2795" s="18"/>
      <c r="N2795" s="18"/>
      <c r="O2795" s="18"/>
      <c r="P2795" s="18"/>
      <c r="Q2795" s="18"/>
    </row>
    <row r="2796" spans="1:17" ht="30" x14ac:dyDescent="0.25">
      <c r="A2796" s="18"/>
      <c r="B2796" s="18"/>
      <c r="C2796" s="18"/>
      <c r="D2796" s="18"/>
      <c r="E2796" s="18"/>
      <c r="F2796" s="18"/>
      <c r="G2796" s="18"/>
      <c r="H2796" s="18"/>
      <c r="I2796" s="18"/>
      <c r="J2796" s="18"/>
      <c r="K2796" s="18"/>
      <c r="L2796" s="12" t="s">
        <v>363</v>
      </c>
      <c r="M2796" s="18"/>
      <c r="N2796" s="18"/>
      <c r="O2796" s="18"/>
      <c r="P2796" s="18"/>
      <c r="Q2796" s="18"/>
    </row>
    <row r="2797" spans="1:17" x14ac:dyDescent="0.25">
      <c r="A2797" s="18"/>
      <c r="B2797" s="18"/>
      <c r="C2797" s="18"/>
      <c r="D2797" s="18"/>
      <c r="E2797" s="18"/>
      <c r="F2797" s="18"/>
      <c r="G2797" s="18"/>
      <c r="H2797" s="18"/>
      <c r="I2797" s="18"/>
      <c r="J2797" s="18"/>
      <c r="K2797" s="18"/>
      <c r="L2797" s="12" t="s">
        <v>364</v>
      </c>
      <c r="M2797" s="18"/>
      <c r="N2797" s="18"/>
      <c r="O2797" s="18"/>
      <c r="P2797" s="18"/>
      <c r="Q2797" s="18"/>
    </row>
    <row r="2798" spans="1:17" ht="30" x14ac:dyDescent="0.25">
      <c r="A2798" s="18" t="s">
        <v>7313</v>
      </c>
      <c r="B2798" s="18" t="s">
        <v>7314</v>
      </c>
      <c r="C2798" s="18" t="s">
        <v>7178</v>
      </c>
      <c r="D2798" s="18" t="s">
        <v>7172</v>
      </c>
      <c r="E2798" s="18" t="s">
        <v>3227</v>
      </c>
      <c r="F2798" s="18" t="s">
        <v>3228</v>
      </c>
      <c r="G2798" s="20" t="s">
        <v>6749</v>
      </c>
      <c r="H2798" s="18" t="s">
        <v>6390</v>
      </c>
      <c r="I2798" s="18"/>
      <c r="J2798" s="18"/>
      <c r="K2798" s="18"/>
      <c r="L2798" s="12" t="s">
        <v>361</v>
      </c>
      <c r="M2798" s="18" t="s">
        <v>3229</v>
      </c>
      <c r="N2798" s="18"/>
      <c r="O2798" s="18" t="s">
        <v>3230</v>
      </c>
      <c r="P2798" s="18" t="str">
        <f>HYPERLINK("https://ceds.ed.gov/cedselementdetails.aspx?termid=9144")</f>
        <v>https://ceds.ed.gov/cedselementdetails.aspx?termid=9144</v>
      </c>
      <c r="Q2798" s="18" t="str">
        <f>HYPERLINK("https://ceds.ed.gov/elementComment.aspx?elementName=Hispanic or Latino Ethnicity &amp;elementID=9144", "Click here to submit comment")</f>
        <v>Click here to submit comment</v>
      </c>
    </row>
    <row r="2799" spans="1:17" x14ac:dyDescent="0.25">
      <c r="A2799" s="18"/>
      <c r="B2799" s="18"/>
      <c r="C2799" s="18"/>
      <c r="D2799" s="18"/>
      <c r="E2799" s="18"/>
      <c r="F2799" s="18"/>
      <c r="G2799" s="18"/>
      <c r="H2799" s="18"/>
      <c r="I2799" s="18"/>
      <c r="J2799" s="18"/>
      <c r="K2799" s="18"/>
      <c r="L2799" s="12"/>
      <c r="M2799" s="18"/>
      <c r="N2799" s="18"/>
      <c r="O2799" s="18"/>
      <c r="P2799" s="18"/>
      <c r="Q2799" s="18"/>
    </row>
    <row r="2800" spans="1:17" x14ac:dyDescent="0.25">
      <c r="A2800" s="18"/>
      <c r="B2800" s="18"/>
      <c r="C2800" s="18"/>
      <c r="D2800" s="18"/>
      <c r="E2800" s="18"/>
      <c r="F2800" s="18"/>
      <c r="G2800" s="18"/>
      <c r="H2800" s="18"/>
      <c r="I2800" s="18"/>
      <c r="J2800" s="18"/>
      <c r="K2800" s="18"/>
      <c r="L2800" s="12" t="s">
        <v>362</v>
      </c>
      <c r="M2800" s="18"/>
      <c r="N2800" s="18"/>
      <c r="O2800" s="18"/>
      <c r="P2800" s="18"/>
      <c r="Q2800" s="18"/>
    </row>
    <row r="2801" spans="1:17" ht="30" x14ac:dyDescent="0.25">
      <c r="A2801" s="18"/>
      <c r="B2801" s="18"/>
      <c r="C2801" s="18"/>
      <c r="D2801" s="18"/>
      <c r="E2801" s="18"/>
      <c r="F2801" s="18"/>
      <c r="G2801" s="18"/>
      <c r="H2801" s="18"/>
      <c r="I2801" s="18"/>
      <c r="J2801" s="18"/>
      <c r="K2801" s="18"/>
      <c r="L2801" s="12" t="s">
        <v>363</v>
      </c>
      <c r="M2801" s="18"/>
      <c r="N2801" s="18"/>
      <c r="O2801" s="18"/>
      <c r="P2801" s="18"/>
      <c r="Q2801" s="18"/>
    </row>
    <row r="2802" spans="1:17" x14ac:dyDescent="0.25">
      <c r="A2802" s="18"/>
      <c r="B2802" s="18"/>
      <c r="C2802" s="18"/>
      <c r="D2802" s="18"/>
      <c r="E2802" s="18"/>
      <c r="F2802" s="18"/>
      <c r="G2802" s="18"/>
      <c r="H2802" s="18"/>
      <c r="I2802" s="18"/>
      <c r="J2802" s="18"/>
      <c r="K2802" s="18"/>
      <c r="L2802" s="12" t="s">
        <v>364</v>
      </c>
      <c r="M2802" s="18"/>
      <c r="N2802" s="18"/>
      <c r="O2802" s="18"/>
      <c r="P2802" s="18"/>
      <c r="Q2802" s="18"/>
    </row>
    <row r="2803" spans="1:17" ht="90" x14ac:dyDescent="0.25">
      <c r="A2803" s="12" t="s">
        <v>7313</v>
      </c>
      <c r="B2803" s="12" t="s">
        <v>7314</v>
      </c>
      <c r="C2803" s="12" t="s">
        <v>7258</v>
      </c>
      <c r="D2803" s="12" t="s">
        <v>7172</v>
      </c>
      <c r="E2803" s="12" t="s">
        <v>1639</v>
      </c>
      <c r="F2803" s="12" t="s">
        <v>1640</v>
      </c>
      <c r="G2803" s="12" t="s">
        <v>6364</v>
      </c>
      <c r="H2803" s="12" t="s">
        <v>6369</v>
      </c>
      <c r="I2803" s="12" t="s">
        <v>98</v>
      </c>
      <c r="J2803" s="12"/>
      <c r="K2803" s="12"/>
      <c r="L2803" s="12"/>
      <c r="M2803" s="12" t="s">
        <v>1641</v>
      </c>
      <c r="N2803" s="12" t="s">
        <v>1642</v>
      </c>
      <c r="O2803" s="12" t="s">
        <v>1643</v>
      </c>
      <c r="P2803" s="12" t="str">
        <f>HYPERLINK("https://ceds.ed.gov/cedselementdetails.aspx?termid=9036")</f>
        <v>https://ceds.ed.gov/cedselementdetails.aspx?termid=9036</v>
      </c>
      <c r="Q2803" s="12" t="str">
        <f>HYPERLINK("https://ceds.ed.gov/elementComment.aspx?elementName=Career and Technical Education Completer &amp;elementID=9036", "Click here to submit comment")</f>
        <v>Click here to submit comment</v>
      </c>
    </row>
    <row r="2804" spans="1:17" ht="90" x14ac:dyDescent="0.25">
      <c r="A2804" s="12" t="s">
        <v>7313</v>
      </c>
      <c r="B2804" s="12" t="s">
        <v>7314</v>
      </c>
      <c r="C2804" s="12" t="s">
        <v>7258</v>
      </c>
      <c r="D2804" s="12" t="s">
        <v>7172</v>
      </c>
      <c r="E2804" s="12" t="s">
        <v>1660</v>
      </c>
      <c r="F2804" s="12" t="s">
        <v>1661</v>
      </c>
      <c r="G2804" s="12" t="s">
        <v>6364</v>
      </c>
      <c r="H2804" s="12" t="s">
        <v>222</v>
      </c>
      <c r="I2804" s="12"/>
      <c r="J2804" s="12"/>
      <c r="K2804" s="12"/>
      <c r="L2804" s="12"/>
      <c r="M2804" s="12" t="s">
        <v>1662</v>
      </c>
      <c r="N2804" s="12" t="s">
        <v>1663</v>
      </c>
      <c r="O2804" s="12" t="s">
        <v>1664</v>
      </c>
      <c r="P2804" s="12" t="str">
        <f>HYPERLINK("https://ceds.ed.gov/cedselementdetails.aspx?termid=9586")</f>
        <v>https://ceds.ed.gov/cedselementdetails.aspx?termid=9586</v>
      </c>
      <c r="Q2804" s="12" t="str">
        <f>HYPERLINK("https://ceds.ed.gov/elementComment.aspx?elementName=Career and Technical Education Nontraditional Completion &amp;elementID=9586", "Click here to submit comment")</f>
        <v>Click here to submit comment</v>
      </c>
    </row>
    <row r="2805" spans="1:17" ht="405" x14ac:dyDescent="0.25">
      <c r="A2805" s="12" t="s">
        <v>7313</v>
      </c>
      <c r="B2805" s="12" t="s">
        <v>7314</v>
      </c>
      <c r="C2805" s="12" t="s">
        <v>7258</v>
      </c>
      <c r="D2805" s="12" t="s">
        <v>7172</v>
      </c>
      <c r="E2805" s="12" t="s">
        <v>2269</v>
      </c>
      <c r="F2805" s="12" t="s">
        <v>2270</v>
      </c>
      <c r="G2805" s="13" t="s">
        <v>6854</v>
      </c>
      <c r="H2805" s="12" t="s">
        <v>6495</v>
      </c>
      <c r="I2805" s="12"/>
      <c r="J2805" s="12"/>
      <c r="K2805" s="12"/>
      <c r="L2805" s="12"/>
      <c r="M2805" s="12" t="s">
        <v>2271</v>
      </c>
      <c r="N2805" s="12"/>
      <c r="O2805" s="12" t="s">
        <v>2272</v>
      </c>
      <c r="P2805" s="12" t="str">
        <f>HYPERLINK("https://ceds.ed.gov/cedselementdetails.aspx?termid=9342")</f>
        <v>https://ceds.ed.gov/cedselementdetails.aspx?termid=9342</v>
      </c>
      <c r="Q2805" s="12" t="str">
        <f>HYPERLINK("https://ceds.ed.gov/elementComment.aspx?elementName=Degree or Certificate Type &amp;elementID=9342", "Click here to submit comment")</f>
        <v>Click here to submit comment</v>
      </c>
    </row>
    <row r="2806" spans="1:17" ht="60" x14ac:dyDescent="0.25">
      <c r="A2806" s="12" t="s">
        <v>7313</v>
      </c>
      <c r="B2806" s="12" t="s">
        <v>7314</v>
      </c>
      <c r="C2806" s="12" t="s">
        <v>7258</v>
      </c>
      <c r="D2806" s="12" t="s">
        <v>7172</v>
      </c>
      <c r="E2806" s="12" t="s">
        <v>2265</v>
      </c>
      <c r="F2806" s="12" t="s">
        <v>2266</v>
      </c>
      <c r="G2806" s="12" t="s">
        <v>12</v>
      </c>
      <c r="H2806" s="12" t="s">
        <v>6495</v>
      </c>
      <c r="I2806" s="12"/>
      <c r="J2806" s="12" t="s">
        <v>1386</v>
      </c>
      <c r="K2806" s="12"/>
      <c r="L2806" s="12"/>
      <c r="M2806" s="12" t="s">
        <v>2267</v>
      </c>
      <c r="N2806" s="12"/>
      <c r="O2806" s="12" t="s">
        <v>2268</v>
      </c>
      <c r="P2806" s="12" t="str">
        <f>HYPERLINK("https://ceds.ed.gov/cedselementdetails.aspx?termid=9341")</f>
        <v>https://ceds.ed.gov/cedselementdetails.aspx?termid=9341</v>
      </c>
      <c r="Q2806" s="12" t="str">
        <f>HYPERLINK("https://ceds.ed.gov/elementComment.aspx?elementName=Degree or Certificate Title or Subject &amp;elementID=9341", "Click here to submit comment")</f>
        <v>Click here to submit comment</v>
      </c>
    </row>
    <row r="2807" spans="1:17" ht="60" x14ac:dyDescent="0.25">
      <c r="A2807" s="12" t="s">
        <v>7313</v>
      </c>
      <c r="B2807" s="12" t="s">
        <v>7314</v>
      </c>
      <c r="C2807" s="12" t="s">
        <v>7258</v>
      </c>
      <c r="D2807" s="12" t="s">
        <v>7172</v>
      </c>
      <c r="E2807" s="12" t="s">
        <v>2257</v>
      </c>
      <c r="F2807" s="12" t="s">
        <v>2258</v>
      </c>
      <c r="G2807" s="12" t="s">
        <v>12</v>
      </c>
      <c r="H2807" s="12" t="s">
        <v>6495</v>
      </c>
      <c r="I2807" s="12"/>
      <c r="J2807" s="12" t="s">
        <v>73</v>
      </c>
      <c r="K2807" s="12"/>
      <c r="L2807" s="12"/>
      <c r="M2807" s="12" t="s">
        <v>2259</v>
      </c>
      <c r="N2807" s="12"/>
      <c r="O2807" s="12" t="s">
        <v>2260</v>
      </c>
      <c r="P2807" s="12" t="str">
        <f>HYPERLINK("https://ceds.ed.gov/cedselementdetails.aspx?termid=9343")</f>
        <v>https://ceds.ed.gov/cedselementdetails.aspx?termid=9343</v>
      </c>
      <c r="Q2807" s="12" t="str">
        <f>HYPERLINK("https://ceds.ed.gov/elementComment.aspx?elementName=Degree or Certificate Conferring Date &amp;elementID=9343", "Click here to submit comment")</f>
        <v>Click here to submit comment</v>
      </c>
    </row>
    <row r="2808" spans="1:17" ht="120" x14ac:dyDescent="0.25">
      <c r="A2808" s="12" t="s">
        <v>7313</v>
      </c>
      <c r="B2808" s="12" t="s">
        <v>7314</v>
      </c>
      <c r="C2808" s="12" t="s">
        <v>7258</v>
      </c>
      <c r="D2808" s="12" t="s">
        <v>7172</v>
      </c>
      <c r="E2808" s="12" t="s">
        <v>4588</v>
      </c>
      <c r="F2808" s="12" t="s">
        <v>4589</v>
      </c>
      <c r="G2808" s="12" t="s">
        <v>12</v>
      </c>
      <c r="H2808" s="12" t="s">
        <v>6596</v>
      </c>
      <c r="I2808" s="12"/>
      <c r="J2808" s="12" t="s">
        <v>1554</v>
      </c>
      <c r="K2808" s="12"/>
      <c r="L2808" s="12"/>
      <c r="M2808" s="12" t="s">
        <v>4590</v>
      </c>
      <c r="N2808" s="12"/>
      <c r="O2808" s="12" t="s">
        <v>4591</v>
      </c>
      <c r="P2808" s="12" t="str">
        <f>HYPERLINK("https://ceds.ed.gov/cedselementdetails.aspx?termid=9200")</f>
        <v>https://ceds.ed.gov/cedselementdetails.aspx?termid=9200</v>
      </c>
      <c r="Q2808" s="12" t="str">
        <f>HYPERLINK("https://ceds.ed.gov/elementComment.aspx?elementName=Number of Credits Earned &amp;elementID=9200", "Click here to submit comment")</f>
        <v>Click here to submit comment</v>
      </c>
    </row>
    <row r="2809" spans="1:17" ht="195" x14ac:dyDescent="0.25">
      <c r="A2809" s="12" t="s">
        <v>7313</v>
      </c>
      <c r="B2809" s="12" t="s">
        <v>7314</v>
      </c>
      <c r="C2809" s="12" t="s">
        <v>7261</v>
      </c>
      <c r="D2809" s="12" t="s">
        <v>7176</v>
      </c>
      <c r="E2809" s="12" t="s">
        <v>5107</v>
      </c>
      <c r="F2809" s="12" t="s">
        <v>5108</v>
      </c>
      <c r="G2809" s="13" t="s">
        <v>7076</v>
      </c>
      <c r="H2809" s="12"/>
      <c r="I2809" s="12"/>
      <c r="J2809" s="12"/>
      <c r="K2809" s="12"/>
      <c r="L2809" s="12"/>
      <c r="M2809" s="12" t="s">
        <v>5109</v>
      </c>
      <c r="N2809" s="12"/>
      <c r="O2809" s="12" t="s">
        <v>5110</v>
      </c>
      <c r="P2809" s="12" t="str">
        <f>HYPERLINK("https://ceds.ed.gov/cedselementdetails.aspx?termid=9780")</f>
        <v>https://ceds.ed.gov/cedselementdetails.aspx?termid=9780</v>
      </c>
      <c r="Q2809" s="12" t="str">
        <f>HYPERLINK("https://ceds.ed.gov/elementComment.aspx?elementName=Professional or Technical Credential Conferred &amp;elementID=9780", "Click here to submit comment")</f>
        <v>Click here to submit comment</v>
      </c>
    </row>
    <row r="2810" spans="1:17" ht="60" x14ac:dyDescent="0.25">
      <c r="A2810" s="12" t="s">
        <v>7313</v>
      </c>
      <c r="B2810" s="12" t="s">
        <v>7314</v>
      </c>
      <c r="C2810" s="12" t="s">
        <v>7261</v>
      </c>
      <c r="D2810" s="12" t="s">
        <v>7176</v>
      </c>
      <c r="E2810" s="12" t="s">
        <v>10</v>
      </c>
      <c r="F2810" s="12" t="s">
        <v>11</v>
      </c>
      <c r="G2810" s="12" t="s">
        <v>12</v>
      </c>
      <c r="H2810" s="12" t="s">
        <v>6367</v>
      </c>
      <c r="I2810" s="12"/>
      <c r="J2810" s="12" t="s">
        <v>13</v>
      </c>
      <c r="K2810" s="12"/>
      <c r="L2810" s="12"/>
      <c r="M2810" s="12" t="s">
        <v>14</v>
      </c>
      <c r="N2810" s="12"/>
      <c r="O2810" s="12" t="s">
        <v>15</v>
      </c>
      <c r="P2810" s="12" t="str">
        <f>HYPERLINK("https://ceds.ed.gov/cedselementdetails.aspx?termid=9001")</f>
        <v>https://ceds.ed.gov/cedselementdetails.aspx?termid=9001</v>
      </c>
      <c r="Q2810" s="12" t="str">
        <f>HYPERLINK("https://ceds.ed.gov/elementComment.aspx?elementName=Academic Award Date &amp;elementID=9001", "Click here to submit comment")</f>
        <v>Click here to submit comment</v>
      </c>
    </row>
    <row r="2811" spans="1:17" ht="285" x14ac:dyDescent="0.25">
      <c r="A2811" s="12" t="s">
        <v>7313</v>
      </c>
      <c r="B2811" s="12" t="s">
        <v>7314</v>
      </c>
      <c r="C2811" s="12" t="s">
        <v>7261</v>
      </c>
      <c r="D2811" s="12" t="s">
        <v>7176</v>
      </c>
      <c r="E2811" s="12" t="s">
        <v>16</v>
      </c>
      <c r="F2811" s="12" t="s">
        <v>17</v>
      </c>
      <c r="G2811" s="13" t="s">
        <v>6718</v>
      </c>
      <c r="H2811" s="12" t="s">
        <v>6368</v>
      </c>
      <c r="I2811" s="12"/>
      <c r="J2811" s="12"/>
      <c r="K2811" s="12"/>
      <c r="L2811" s="12"/>
      <c r="M2811" s="12" t="s">
        <v>18</v>
      </c>
      <c r="N2811" s="12"/>
      <c r="O2811" s="12" t="s">
        <v>19</v>
      </c>
      <c r="P2811" s="12" t="str">
        <f>HYPERLINK("https://ceds.ed.gov/cedselementdetails.aspx?termid=9002")</f>
        <v>https://ceds.ed.gov/cedselementdetails.aspx?termid=9002</v>
      </c>
      <c r="Q2811" s="12" t="str">
        <f>HYPERLINK("https://ceds.ed.gov/elementComment.aspx?elementName=Academic Award Level Conferred &amp;elementID=9002", "Click here to submit comment")</f>
        <v>Click here to submit comment</v>
      </c>
    </row>
    <row r="2812" spans="1:17" ht="30" x14ac:dyDescent="0.25">
      <c r="A2812" s="12" t="s">
        <v>7313</v>
      </c>
      <c r="B2812" s="12" t="s">
        <v>7314</v>
      </c>
      <c r="C2812" s="12" t="s">
        <v>7261</v>
      </c>
      <c r="D2812" s="12" t="s">
        <v>7176</v>
      </c>
      <c r="E2812" s="12" t="s">
        <v>20</v>
      </c>
      <c r="F2812" s="12" t="s">
        <v>21</v>
      </c>
      <c r="G2812" s="12" t="s">
        <v>12</v>
      </c>
      <c r="H2812" s="12" t="s">
        <v>25</v>
      </c>
      <c r="I2812" s="12"/>
      <c r="J2812" s="12" t="s">
        <v>22</v>
      </c>
      <c r="K2812" s="12"/>
      <c r="L2812" s="12"/>
      <c r="M2812" s="12" t="s">
        <v>23</v>
      </c>
      <c r="N2812" s="12"/>
      <c r="O2812" s="12" t="s">
        <v>24</v>
      </c>
      <c r="P2812" s="12" t="str">
        <f>HYPERLINK("https://ceds.ed.gov/cedselementdetails.aspx?termid=9003")</f>
        <v>https://ceds.ed.gov/cedselementdetails.aspx?termid=9003</v>
      </c>
      <c r="Q2812" s="12" t="str">
        <f>HYPERLINK("https://ceds.ed.gov/elementComment.aspx?elementName=Academic Award Title &amp;elementID=9003", "Click here to submit comment")</f>
        <v>Click here to submit comment</v>
      </c>
    </row>
    <row r="2813" spans="1:17" ht="75" x14ac:dyDescent="0.25">
      <c r="A2813" s="12" t="s">
        <v>7313</v>
      </c>
      <c r="B2813" s="12" t="s">
        <v>7314</v>
      </c>
      <c r="C2813" s="12" t="s">
        <v>7261</v>
      </c>
      <c r="D2813" s="12" t="s">
        <v>7176</v>
      </c>
      <c r="E2813" s="12" t="s">
        <v>1826</v>
      </c>
      <c r="F2813" s="12" t="s">
        <v>1827</v>
      </c>
      <c r="G2813" s="14" t="s">
        <v>1828</v>
      </c>
      <c r="H2813" s="12" t="s">
        <v>6368</v>
      </c>
      <c r="I2813" s="12"/>
      <c r="J2813" s="12"/>
      <c r="K2813" s="12"/>
      <c r="L2813" s="12"/>
      <c r="M2813" s="12" t="s">
        <v>1829</v>
      </c>
      <c r="N2813" s="12" t="s">
        <v>1830</v>
      </c>
      <c r="O2813" s="12" t="s">
        <v>1831</v>
      </c>
      <c r="P2813" s="12" t="str">
        <f>HYPERLINK("https://ceds.ed.gov/cedselementdetails.aspx?termid=9043")</f>
        <v>https://ceds.ed.gov/cedselementdetails.aspx?termid=9043</v>
      </c>
      <c r="Q2813" s="12" t="str">
        <f>HYPERLINK("https://ceds.ed.gov/elementComment.aspx?elementName=Classification of Instructional Program Code &amp;elementID=9043", "Click here to submit comment")</f>
        <v>Click here to submit comment</v>
      </c>
    </row>
    <row r="2814" spans="1:17" ht="135" x14ac:dyDescent="0.25">
      <c r="A2814" s="12" t="s">
        <v>7313</v>
      </c>
      <c r="B2814" s="12" t="s">
        <v>7314</v>
      </c>
      <c r="C2814" s="12" t="s">
        <v>7261</v>
      </c>
      <c r="D2814" s="12" t="s">
        <v>7176</v>
      </c>
      <c r="E2814" s="12" t="s">
        <v>1832</v>
      </c>
      <c r="F2814" s="12" t="s">
        <v>1833</v>
      </c>
      <c r="G2814" s="13" t="s">
        <v>6818</v>
      </c>
      <c r="H2814" s="12" t="s">
        <v>6380</v>
      </c>
      <c r="I2814" s="12"/>
      <c r="J2814" s="12"/>
      <c r="K2814" s="12"/>
      <c r="L2814" s="12"/>
      <c r="M2814" s="12" t="s">
        <v>1834</v>
      </c>
      <c r="N2814" s="12" t="s">
        <v>1835</v>
      </c>
      <c r="O2814" s="12" t="s">
        <v>1836</v>
      </c>
      <c r="P2814" s="12" t="str">
        <f>HYPERLINK("https://ceds.ed.gov/cedselementdetails.aspx?termid=9044")</f>
        <v>https://ceds.ed.gov/cedselementdetails.aspx?termid=9044</v>
      </c>
      <c r="Q2814" s="12" t="str">
        <f>HYPERLINK("https://ceds.ed.gov/elementComment.aspx?elementName=Classification of Instructional Program Use &amp;elementID=9044", "Click here to submit comment")</f>
        <v>Click here to submit comment</v>
      </c>
    </row>
    <row r="2815" spans="1:17" ht="90" x14ac:dyDescent="0.25">
      <c r="A2815" s="12" t="s">
        <v>7313</v>
      </c>
      <c r="B2815" s="12" t="s">
        <v>7314</v>
      </c>
      <c r="C2815" s="12" t="s">
        <v>7261</v>
      </c>
      <c r="D2815" s="12" t="s">
        <v>7176</v>
      </c>
      <c r="E2815" s="12" t="s">
        <v>1837</v>
      </c>
      <c r="F2815" s="12" t="s">
        <v>1838</v>
      </c>
      <c r="G2815" s="13" t="s">
        <v>6819</v>
      </c>
      <c r="H2815" s="12" t="s">
        <v>6380</v>
      </c>
      <c r="I2815" s="12"/>
      <c r="J2815" s="12"/>
      <c r="K2815" s="12"/>
      <c r="L2815" s="12"/>
      <c r="M2815" s="12" t="s">
        <v>1839</v>
      </c>
      <c r="N2815" s="12" t="s">
        <v>1840</v>
      </c>
      <c r="O2815" s="12" t="s">
        <v>1841</v>
      </c>
      <c r="P2815" s="12" t="str">
        <f>HYPERLINK("https://ceds.ed.gov/cedselementdetails.aspx?termid=9045")</f>
        <v>https://ceds.ed.gov/cedselementdetails.aspx?termid=9045</v>
      </c>
      <c r="Q2815" s="12" t="str">
        <f>HYPERLINK("https://ceds.ed.gov/elementComment.aspx?elementName=Classification of Instructional Program Version &amp;elementID=9045", "Click here to submit comment")</f>
        <v>Click here to submit comment</v>
      </c>
    </row>
    <row r="2816" spans="1:17" ht="270" x14ac:dyDescent="0.25">
      <c r="A2816" s="12" t="s">
        <v>7313</v>
      </c>
      <c r="B2816" s="12" t="s">
        <v>7314</v>
      </c>
      <c r="C2816" s="12" t="s">
        <v>7261</v>
      </c>
      <c r="D2816" s="12" t="s">
        <v>7176</v>
      </c>
      <c r="E2816" s="12" t="s">
        <v>2170</v>
      </c>
      <c r="F2816" s="12" t="s">
        <v>2171</v>
      </c>
      <c r="G2816" s="13" t="s">
        <v>6850</v>
      </c>
      <c r="H2816" s="12"/>
      <c r="I2816" s="12"/>
      <c r="J2816" s="12"/>
      <c r="K2816" s="12"/>
      <c r="L2816" s="12"/>
      <c r="M2816" s="12" t="s">
        <v>2172</v>
      </c>
      <c r="N2816" s="12"/>
      <c r="O2816" s="12" t="s">
        <v>2173</v>
      </c>
      <c r="P2816" s="12" t="str">
        <f>HYPERLINK("https://ceds.ed.gov/cedselementdetails.aspx?termid=10283")</f>
        <v>https://ceds.ed.gov/cedselementdetails.aspx?termid=10283</v>
      </c>
      <c r="Q2816" s="12" t="str">
        <f>HYPERLINK("https://ceds.ed.gov/elementComment.aspx?elementName=Credit Hours Applied Other Program &amp;elementID=10283", "Click here to submit comment")</f>
        <v>Click here to submit comment</v>
      </c>
    </row>
    <row r="2817" spans="1:17" ht="135" x14ac:dyDescent="0.25">
      <c r="A2817" s="12" t="s">
        <v>7313</v>
      </c>
      <c r="B2817" s="12" t="s">
        <v>7314</v>
      </c>
      <c r="C2817" s="12" t="s">
        <v>7261</v>
      </c>
      <c r="D2817" s="12" t="s">
        <v>7176</v>
      </c>
      <c r="E2817" s="12" t="s">
        <v>2326</v>
      </c>
      <c r="F2817" s="12" t="s">
        <v>2327</v>
      </c>
      <c r="G2817" s="12" t="s">
        <v>12</v>
      </c>
      <c r="H2817" s="12" t="s">
        <v>6502</v>
      </c>
      <c r="I2817" s="12"/>
      <c r="J2817" s="12" t="s">
        <v>2328</v>
      </c>
      <c r="K2817" s="12"/>
      <c r="L2817" s="12"/>
      <c r="M2817" s="12" t="s">
        <v>2329</v>
      </c>
      <c r="N2817" s="12"/>
      <c r="O2817" s="12" t="s">
        <v>2330</v>
      </c>
      <c r="P2817" s="12" t="str">
        <f>HYPERLINK("https://ceds.ed.gov/cedselementdetails.aspx?termid=9081")</f>
        <v>https://ceds.ed.gov/cedselementdetails.aspx?termid=9081</v>
      </c>
      <c r="Q2817" s="12" t="str">
        <f>HYPERLINK("https://ceds.ed.gov/elementComment.aspx?elementName=Diploma or Credential Award Date &amp;elementID=9081", "Click here to submit comment")</f>
        <v>Click here to submit comment</v>
      </c>
    </row>
    <row r="2818" spans="1:17" ht="150" x14ac:dyDescent="0.25">
      <c r="A2818" s="12" t="s">
        <v>7313</v>
      </c>
      <c r="B2818" s="12" t="s">
        <v>7314</v>
      </c>
      <c r="C2818" s="12" t="s">
        <v>7261</v>
      </c>
      <c r="D2818" s="12" t="s">
        <v>7176</v>
      </c>
      <c r="E2818" s="12" t="s">
        <v>2425</v>
      </c>
      <c r="F2818" s="12" t="s">
        <v>2426</v>
      </c>
      <c r="G2818" s="13" t="s">
        <v>6873</v>
      </c>
      <c r="H2818" s="12"/>
      <c r="I2818" s="12" t="s">
        <v>1498</v>
      </c>
      <c r="J2818" s="12"/>
      <c r="K2818" s="12"/>
      <c r="L2818" s="14" t="s">
        <v>2427</v>
      </c>
      <c r="M2818" s="12" t="s">
        <v>2428</v>
      </c>
      <c r="N2818" s="12"/>
      <c r="O2818" s="12" t="s">
        <v>2429</v>
      </c>
      <c r="P2818" s="12" t="str">
        <f>HYPERLINK("https://ceds.ed.gov/cedselementdetails.aspx?termid=10622")</f>
        <v>https://ceds.ed.gov/cedselementdetails.aspx?termid=10622</v>
      </c>
      <c r="Q2818" s="12" t="str">
        <f>HYPERLINK("https://ceds.ed.gov/elementComment.aspx?elementName=DQP Categories of Learning &amp;elementID=10622", "Click here to submit comment")</f>
        <v>Click here to submit comment</v>
      </c>
    </row>
    <row r="2819" spans="1:17" ht="105" x14ac:dyDescent="0.25">
      <c r="A2819" s="12" t="s">
        <v>7313</v>
      </c>
      <c r="B2819" s="12" t="s">
        <v>7314</v>
      </c>
      <c r="C2819" s="12" t="s">
        <v>7261</v>
      </c>
      <c r="D2819" s="12" t="s">
        <v>7176</v>
      </c>
      <c r="E2819" s="12" t="s">
        <v>3187</v>
      </c>
      <c r="F2819" s="12" t="s">
        <v>3188</v>
      </c>
      <c r="G2819" s="13" t="s">
        <v>6945</v>
      </c>
      <c r="H2819" s="12"/>
      <c r="I2819" s="12"/>
      <c r="J2819" s="12"/>
      <c r="K2819" s="12"/>
      <c r="L2819" s="12"/>
      <c r="M2819" s="12" t="s">
        <v>3189</v>
      </c>
      <c r="N2819" s="12"/>
      <c r="O2819" s="12" t="s">
        <v>3190</v>
      </c>
      <c r="P2819" s="12" t="str">
        <f>HYPERLINK("https://ceds.ed.gov/cedselementdetails.aspx?termid=9689")</f>
        <v>https://ceds.ed.gov/cedselementdetails.aspx?termid=9689</v>
      </c>
      <c r="Q2819" s="12" t="str">
        <f>HYPERLINK("https://ceds.ed.gov/elementComment.aspx?elementName=High School Diploma Distinction Type &amp;elementID=9689", "Click here to submit comment")</f>
        <v>Click here to submit comment</v>
      </c>
    </row>
    <row r="2820" spans="1:17" ht="285" x14ac:dyDescent="0.25">
      <c r="A2820" s="12" t="s">
        <v>7313</v>
      </c>
      <c r="B2820" s="12" t="s">
        <v>7314</v>
      </c>
      <c r="C2820" s="12" t="s">
        <v>7261</v>
      </c>
      <c r="D2820" s="12" t="s">
        <v>7176</v>
      </c>
      <c r="E2820" s="12" t="s">
        <v>3191</v>
      </c>
      <c r="F2820" s="12" t="s">
        <v>3192</v>
      </c>
      <c r="G2820" s="13" t="s">
        <v>6946</v>
      </c>
      <c r="H2820" s="12" t="s">
        <v>6557</v>
      </c>
      <c r="I2820" s="12"/>
      <c r="J2820" s="12"/>
      <c r="K2820" s="12"/>
      <c r="L2820" s="12"/>
      <c r="M2820" s="12" t="s">
        <v>3193</v>
      </c>
      <c r="N2820" s="12"/>
      <c r="O2820" s="12" t="s">
        <v>3194</v>
      </c>
      <c r="P2820" s="12" t="str">
        <f>HYPERLINK("https://ceds.ed.gov/cedselementdetails.aspx?termid=9138")</f>
        <v>https://ceds.ed.gov/cedselementdetails.aspx?termid=9138</v>
      </c>
      <c r="Q2820" s="12" t="str">
        <f>HYPERLINK("https://ceds.ed.gov/elementComment.aspx?elementName=High School Diploma Type &amp;elementID=9138", "Click here to submit comment")</f>
        <v>Click here to submit comment</v>
      </c>
    </row>
    <row r="2821" spans="1:17" ht="75" x14ac:dyDescent="0.25">
      <c r="A2821" s="12" t="s">
        <v>7313</v>
      </c>
      <c r="B2821" s="12" t="s">
        <v>7314</v>
      </c>
      <c r="C2821" s="12" t="s">
        <v>7261</v>
      </c>
      <c r="D2821" s="12" t="s">
        <v>7176</v>
      </c>
      <c r="E2821" s="12" t="s">
        <v>4880</v>
      </c>
      <c r="F2821" s="12" t="s">
        <v>4881</v>
      </c>
      <c r="G2821" s="13" t="s">
        <v>7058</v>
      </c>
      <c r="H2821" s="12" t="s">
        <v>6630</v>
      </c>
      <c r="I2821" s="12"/>
      <c r="J2821" s="12"/>
      <c r="K2821" s="12"/>
      <c r="L2821" s="12"/>
      <c r="M2821" s="12" t="s">
        <v>4882</v>
      </c>
      <c r="N2821" s="12"/>
      <c r="O2821" s="12" t="s">
        <v>4883</v>
      </c>
      <c r="P2821" s="12" t="str">
        <f>HYPERLINK("https://ceds.ed.gov/cedselementdetails.aspx?termid=10595")</f>
        <v>https://ceds.ed.gov/cedselementdetails.aspx?termid=10595</v>
      </c>
      <c r="Q2821" s="12" t="str">
        <f>HYPERLINK("https://ceds.ed.gov/elementComment.aspx?elementName=Postsecondary Program Level &amp;elementID=10595", "Click here to submit comment")</f>
        <v>Click here to submit comment</v>
      </c>
    </row>
    <row r="2822" spans="1:17" ht="105" x14ac:dyDescent="0.25">
      <c r="A2822" s="18" t="s">
        <v>7313</v>
      </c>
      <c r="B2822" s="18" t="s">
        <v>7314</v>
      </c>
      <c r="C2822" s="18" t="s">
        <v>7261</v>
      </c>
      <c r="D2822" s="18" t="s">
        <v>7176</v>
      </c>
      <c r="E2822" s="18" t="s">
        <v>5141</v>
      </c>
      <c r="F2822" s="18" t="s">
        <v>5142</v>
      </c>
      <c r="G2822" s="18" t="s">
        <v>12</v>
      </c>
      <c r="H2822" s="18" t="s">
        <v>2017</v>
      </c>
      <c r="I2822" s="18"/>
      <c r="J2822" s="18" t="s">
        <v>142</v>
      </c>
      <c r="K2822" s="18"/>
      <c r="L2822" s="12" t="s">
        <v>143</v>
      </c>
      <c r="M2822" s="18" t="s">
        <v>5143</v>
      </c>
      <c r="N2822" s="18"/>
      <c r="O2822" s="18" t="s">
        <v>5144</v>
      </c>
      <c r="P2822" s="18" t="str">
        <f>HYPERLINK("https://ceds.ed.gov/cedselementdetails.aspx?termid=9618")</f>
        <v>https://ceds.ed.gov/cedselementdetails.aspx?termid=9618</v>
      </c>
      <c r="Q2822" s="18" t="str">
        <f>HYPERLINK("https://ceds.ed.gov/elementComment.aspx?elementName=Program Identifier &amp;elementID=9618", "Click here to submit comment")</f>
        <v>Click here to submit comment</v>
      </c>
    </row>
    <row r="2823" spans="1:17" x14ac:dyDescent="0.25">
      <c r="A2823" s="18"/>
      <c r="B2823" s="18"/>
      <c r="C2823" s="18"/>
      <c r="D2823" s="18"/>
      <c r="E2823" s="18"/>
      <c r="F2823" s="18"/>
      <c r="G2823" s="18"/>
      <c r="H2823" s="18"/>
      <c r="I2823" s="18"/>
      <c r="J2823" s="18"/>
      <c r="K2823" s="18"/>
      <c r="L2823" s="12"/>
      <c r="M2823" s="18"/>
      <c r="N2823" s="18"/>
      <c r="O2823" s="18"/>
      <c r="P2823" s="18"/>
      <c r="Q2823" s="18"/>
    </row>
    <row r="2824" spans="1:17" ht="90" x14ac:dyDescent="0.25">
      <c r="A2824" s="18"/>
      <c r="B2824" s="18"/>
      <c r="C2824" s="18"/>
      <c r="D2824" s="18"/>
      <c r="E2824" s="18"/>
      <c r="F2824" s="18"/>
      <c r="G2824" s="18"/>
      <c r="H2824" s="18"/>
      <c r="I2824" s="18"/>
      <c r="J2824" s="18"/>
      <c r="K2824" s="18"/>
      <c r="L2824" s="12" t="s">
        <v>144</v>
      </c>
      <c r="M2824" s="18"/>
      <c r="N2824" s="18"/>
      <c r="O2824" s="18"/>
      <c r="P2824" s="18"/>
      <c r="Q2824" s="18"/>
    </row>
    <row r="2825" spans="1:17" ht="60" x14ac:dyDescent="0.25">
      <c r="A2825" s="12" t="s">
        <v>7313</v>
      </c>
      <c r="B2825" s="12" t="s">
        <v>7314</v>
      </c>
      <c r="C2825" s="12" t="s">
        <v>7310</v>
      </c>
      <c r="D2825" s="12" t="s">
        <v>7172</v>
      </c>
      <c r="E2825" s="12" t="s">
        <v>5164</v>
      </c>
      <c r="F2825" s="12" t="s">
        <v>5165</v>
      </c>
      <c r="G2825" s="12" t="s">
        <v>12</v>
      </c>
      <c r="H2825" s="12" t="s">
        <v>6646</v>
      </c>
      <c r="I2825" s="12"/>
      <c r="J2825" s="12" t="s">
        <v>73</v>
      </c>
      <c r="K2825" s="12"/>
      <c r="L2825" s="12"/>
      <c r="M2825" s="12" t="s">
        <v>5166</v>
      </c>
      <c r="N2825" s="12"/>
      <c r="O2825" s="12" t="s">
        <v>5167</v>
      </c>
      <c r="P2825" s="12" t="str">
        <f>HYPERLINK("https://ceds.ed.gov/cedselementdetails.aspx?termid=9583")</f>
        <v>https://ceds.ed.gov/cedselementdetails.aspx?termid=9583</v>
      </c>
      <c r="Q2825" s="12" t="str">
        <f>HYPERLINK("https://ceds.ed.gov/elementComment.aspx?elementName=Program Participation Start Date &amp;elementID=9583", "Click here to submit comment")</f>
        <v>Click here to submit comment</v>
      </c>
    </row>
    <row r="2826" spans="1:17" ht="45" x14ac:dyDescent="0.25">
      <c r="A2826" s="12" t="s">
        <v>7313</v>
      </c>
      <c r="B2826" s="12" t="s">
        <v>7314</v>
      </c>
      <c r="C2826" s="12" t="s">
        <v>7310</v>
      </c>
      <c r="D2826" s="12" t="s">
        <v>7172</v>
      </c>
      <c r="E2826" s="12" t="s">
        <v>5161</v>
      </c>
      <c r="F2826" s="12" t="s">
        <v>1684</v>
      </c>
      <c r="G2826" s="12" t="s">
        <v>12</v>
      </c>
      <c r="H2826" s="12" t="s">
        <v>6645</v>
      </c>
      <c r="I2826" s="12"/>
      <c r="J2826" s="12" t="s">
        <v>73</v>
      </c>
      <c r="K2826" s="12"/>
      <c r="L2826" s="12"/>
      <c r="M2826" s="12" t="s">
        <v>5162</v>
      </c>
      <c r="N2826" s="12"/>
      <c r="O2826" s="12" t="s">
        <v>5163</v>
      </c>
      <c r="P2826" s="12" t="str">
        <f>HYPERLINK("https://ceds.ed.gov/cedselementdetails.aspx?termid=9584")</f>
        <v>https://ceds.ed.gov/cedselementdetails.aspx?termid=9584</v>
      </c>
      <c r="Q2826" s="12" t="str">
        <f>HYPERLINK("https://ceds.ed.gov/elementComment.aspx?elementName=Program Participation Exit Date &amp;elementID=9584", "Click here to submit comment")</f>
        <v>Click here to submit comment</v>
      </c>
    </row>
    <row r="2827" spans="1:17" ht="105" x14ac:dyDescent="0.25">
      <c r="A2827" s="12" t="s">
        <v>7313</v>
      </c>
      <c r="B2827" s="12" t="s">
        <v>7314</v>
      </c>
      <c r="C2827" s="12" t="s">
        <v>7310</v>
      </c>
      <c r="D2827" s="12" t="s">
        <v>7172</v>
      </c>
      <c r="E2827" s="12" t="s">
        <v>1644</v>
      </c>
      <c r="F2827" s="12" t="s">
        <v>1645</v>
      </c>
      <c r="G2827" s="12" t="s">
        <v>6364</v>
      </c>
      <c r="H2827" s="12" t="s">
        <v>6438</v>
      </c>
      <c r="I2827" s="12"/>
      <c r="J2827" s="12"/>
      <c r="K2827" s="12"/>
      <c r="L2827" s="12"/>
      <c r="M2827" s="12" t="s">
        <v>1646</v>
      </c>
      <c r="N2827" s="12" t="s">
        <v>1647</v>
      </c>
      <c r="O2827" s="12" t="s">
        <v>1648</v>
      </c>
      <c r="P2827" s="12" t="str">
        <f>HYPERLINK("https://ceds.ed.gov/cedselementdetails.aspx?termid=9037")</f>
        <v>https://ceds.ed.gov/cedselementdetails.aspx?termid=9037</v>
      </c>
      <c r="Q2827" s="12" t="str">
        <f>HYPERLINK("https://ceds.ed.gov/elementComment.aspx?elementName=Career and Technical Education Concentrator &amp;elementID=9037", "Click here to submit comment")</f>
        <v>Click here to submit comment</v>
      </c>
    </row>
    <row r="2828" spans="1:17" ht="75" x14ac:dyDescent="0.25">
      <c r="A2828" s="12" t="s">
        <v>7313</v>
      </c>
      <c r="B2828" s="12" t="s">
        <v>7314</v>
      </c>
      <c r="C2828" s="12" t="s">
        <v>7310</v>
      </c>
      <c r="D2828" s="12" t="s">
        <v>7172</v>
      </c>
      <c r="E2828" s="12" t="s">
        <v>1665</v>
      </c>
      <c r="F2828" s="12" t="s">
        <v>1666</v>
      </c>
      <c r="G2828" s="12" t="s">
        <v>6364</v>
      </c>
      <c r="H2828" s="12" t="s">
        <v>222</v>
      </c>
      <c r="I2828" s="12"/>
      <c r="J2828" s="12"/>
      <c r="K2828" s="12"/>
      <c r="L2828" s="12"/>
      <c r="M2828" s="12" t="s">
        <v>1667</v>
      </c>
      <c r="N2828" s="12" t="s">
        <v>1668</v>
      </c>
      <c r="O2828" s="12" t="s">
        <v>1669</v>
      </c>
      <c r="P2828" s="12" t="str">
        <f>HYPERLINK("https://ceds.ed.gov/cedselementdetails.aspx?termid=9585")</f>
        <v>https://ceds.ed.gov/cedselementdetails.aspx?termid=9585</v>
      </c>
      <c r="Q2828" s="12" t="str">
        <f>HYPERLINK("https://ceds.ed.gov/elementComment.aspx?elementName=Career and Technical Education Participant &amp;elementID=9585", "Click here to submit comment")</f>
        <v>Click here to submit comment</v>
      </c>
    </row>
    <row r="2829" spans="1:17" ht="270" x14ac:dyDescent="0.25">
      <c r="A2829" s="12" t="s">
        <v>7313</v>
      </c>
      <c r="B2829" s="12" t="s">
        <v>7314</v>
      </c>
      <c r="C2829" s="12" t="s">
        <v>7310</v>
      </c>
      <c r="D2829" s="12" t="s">
        <v>7172</v>
      </c>
      <c r="E2829" s="12" t="s">
        <v>1701</v>
      </c>
      <c r="F2829" s="12" t="s">
        <v>1702</v>
      </c>
      <c r="G2829" s="12" t="s">
        <v>6364</v>
      </c>
      <c r="H2829" s="12" t="s">
        <v>222</v>
      </c>
      <c r="I2829" s="12"/>
      <c r="J2829" s="12"/>
      <c r="K2829" s="12"/>
      <c r="L2829" s="12"/>
      <c r="M2829" s="12" t="s">
        <v>1703</v>
      </c>
      <c r="N2829" s="12" t="s">
        <v>1704</v>
      </c>
      <c r="O2829" s="12" t="s">
        <v>1705</v>
      </c>
      <c r="P2829" s="12" t="str">
        <f>HYPERLINK("https://ceds.ed.gov/cedselementdetails.aspx?termid=9084")</f>
        <v>https://ceds.ed.gov/cedselementdetails.aspx?termid=9084</v>
      </c>
      <c r="Q2829" s="12" t="str">
        <f>HYPERLINK("https://ceds.ed.gov/elementComment.aspx?elementName=Career-Technical-Adult Education Displaced Homemaker Indicator &amp;elementID=9084", "Click here to submit comment")</f>
        <v>Click here to submit comment</v>
      </c>
    </row>
    <row r="2830" spans="1:17" ht="105" x14ac:dyDescent="0.25">
      <c r="A2830" s="12" t="s">
        <v>7313</v>
      </c>
      <c r="B2830" s="12" t="s">
        <v>7314</v>
      </c>
      <c r="C2830" s="12" t="s">
        <v>7310</v>
      </c>
      <c r="D2830" s="12" t="s">
        <v>7172</v>
      </c>
      <c r="E2830" s="12" t="s">
        <v>5728</v>
      </c>
      <c r="F2830" s="12" t="s">
        <v>5729</v>
      </c>
      <c r="G2830" s="12" t="s">
        <v>6364</v>
      </c>
      <c r="H2830" s="12" t="s">
        <v>6460</v>
      </c>
      <c r="I2830" s="12"/>
      <c r="J2830" s="12"/>
      <c r="K2830" s="12"/>
      <c r="L2830" s="12"/>
      <c r="M2830" s="12" t="s">
        <v>5730</v>
      </c>
      <c r="N2830" s="12"/>
      <c r="O2830" s="12" t="s">
        <v>5731</v>
      </c>
      <c r="P2830" s="12" t="str">
        <f>HYPERLINK("https://ceds.ed.gov/cedselementdetails.aspx?termid=9573")</f>
        <v>https://ceds.ed.gov/cedselementdetails.aspx?termid=9573</v>
      </c>
      <c r="Q2830" s="12" t="str">
        <f>HYPERLINK("https://ceds.ed.gov/elementComment.aspx?elementName=Single Parent Or Single Pregnant Woman Status &amp;elementID=9573", "Click here to submit comment")</f>
        <v>Click here to submit comment</v>
      </c>
    </row>
    <row r="2831" spans="1:17" ht="360" x14ac:dyDescent="0.25">
      <c r="A2831" s="12" t="s">
        <v>7313</v>
      </c>
      <c r="B2831" s="12" t="s">
        <v>7314</v>
      </c>
      <c r="C2831" s="12" t="s">
        <v>7310</v>
      </c>
      <c r="D2831" s="12" t="s">
        <v>7172</v>
      </c>
      <c r="E2831" s="12" t="s">
        <v>1670</v>
      </c>
      <c r="F2831" s="12" t="s">
        <v>1671</v>
      </c>
      <c r="G2831" s="13" t="s">
        <v>6807</v>
      </c>
      <c r="H2831" s="12"/>
      <c r="I2831" s="12"/>
      <c r="J2831" s="12"/>
      <c r="K2831" s="12"/>
      <c r="L2831" s="12" t="s">
        <v>1672</v>
      </c>
      <c r="M2831" s="12" t="s">
        <v>1673</v>
      </c>
      <c r="N2831" s="12"/>
      <c r="O2831" s="12" t="s">
        <v>1674</v>
      </c>
      <c r="P2831" s="12" t="str">
        <f>HYPERLINK("https://ceds.ed.gov/cedselementdetails.aspx?termid=10254")</f>
        <v>https://ceds.ed.gov/cedselementdetails.aspx?termid=10254</v>
      </c>
      <c r="Q2831" s="12" t="str">
        <f>HYPERLINK("https://ceds.ed.gov/elementComment.aspx?elementName=Career Cluster &amp;elementID=10254", "Click here to submit comment")</f>
        <v>Click here to submit comment</v>
      </c>
    </row>
    <row r="2832" spans="1:17" ht="45" x14ac:dyDescent="0.25">
      <c r="A2832" s="12" t="s">
        <v>7313</v>
      </c>
      <c r="B2832" s="12" t="s">
        <v>7314</v>
      </c>
      <c r="C2832" s="12" t="s">
        <v>7310</v>
      </c>
      <c r="D2832" s="12" t="s">
        <v>7172</v>
      </c>
      <c r="E2832" s="12" t="s">
        <v>1683</v>
      </c>
      <c r="F2832" s="12" t="s">
        <v>1684</v>
      </c>
      <c r="G2832" s="12" t="s">
        <v>12</v>
      </c>
      <c r="H2832" s="12"/>
      <c r="I2832" s="12"/>
      <c r="J2832" s="12" t="s">
        <v>73</v>
      </c>
      <c r="K2832" s="12"/>
      <c r="L2832" s="12"/>
      <c r="M2832" s="12" t="s">
        <v>1685</v>
      </c>
      <c r="N2832" s="12"/>
      <c r="O2832" s="12" t="s">
        <v>1686</v>
      </c>
      <c r="P2832" s="12" t="str">
        <f>HYPERLINK("https://ceds.ed.gov/cedselementdetails.aspx?termid=10562")</f>
        <v>https://ceds.ed.gov/cedselementdetails.aspx?termid=10562</v>
      </c>
      <c r="Q2832" s="12" t="str">
        <f>HYPERLINK("https://ceds.ed.gov/elementComment.aspx?elementName=Career Pathways Program Participation Exit Date &amp;elementID=10562", "Click here to submit comment")</f>
        <v>Click here to submit comment</v>
      </c>
    </row>
    <row r="2833" spans="1:17" ht="75" x14ac:dyDescent="0.25">
      <c r="A2833" s="12" t="s">
        <v>7313</v>
      </c>
      <c r="B2833" s="12" t="s">
        <v>7314</v>
      </c>
      <c r="C2833" s="12" t="s">
        <v>7310</v>
      </c>
      <c r="D2833" s="12" t="s">
        <v>7172</v>
      </c>
      <c r="E2833" s="12" t="s">
        <v>1687</v>
      </c>
      <c r="F2833" s="12" t="s">
        <v>1688</v>
      </c>
      <c r="G2833" s="12" t="s">
        <v>6364</v>
      </c>
      <c r="H2833" s="12"/>
      <c r="I2833" s="12"/>
      <c r="J2833" s="12"/>
      <c r="K2833" s="12"/>
      <c r="L2833" s="12"/>
      <c r="M2833" s="12" t="s">
        <v>1689</v>
      </c>
      <c r="N2833" s="12"/>
      <c r="O2833" s="12" t="s">
        <v>1690</v>
      </c>
      <c r="P2833" s="12" t="str">
        <f>HYPERLINK("https://ceds.ed.gov/cedselementdetails.aspx?termid=10257")</f>
        <v>https://ceds.ed.gov/cedselementdetails.aspx?termid=10257</v>
      </c>
      <c r="Q2833" s="12" t="str">
        <f>HYPERLINK("https://ceds.ed.gov/elementComment.aspx?elementName=Career Pathways Program Participation Indicator &amp;elementID=10257", "Click here to submit comment")</f>
        <v>Click here to submit comment</v>
      </c>
    </row>
    <row r="2834" spans="1:17" ht="45" x14ac:dyDescent="0.25">
      <c r="A2834" s="12" t="s">
        <v>7313</v>
      </c>
      <c r="B2834" s="12" t="s">
        <v>7314</v>
      </c>
      <c r="C2834" s="12" t="s">
        <v>7310</v>
      </c>
      <c r="D2834" s="12" t="s">
        <v>7172</v>
      </c>
      <c r="E2834" s="12" t="s">
        <v>1691</v>
      </c>
      <c r="F2834" s="12" t="s">
        <v>1692</v>
      </c>
      <c r="G2834" s="12" t="s">
        <v>12</v>
      </c>
      <c r="H2834" s="12"/>
      <c r="I2834" s="12"/>
      <c r="J2834" s="12" t="s">
        <v>1693</v>
      </c>
      <c r="K2834" s="12"/>
      <c r="L2834" s="12"/>
      <c r="M2834" s="12" t="s">
        <v>1694</v>
      </c>
      <c r="N2834" s="12"/>
      <c r="O2834" s="12" t="s">
        <v>1695</v>
      </c>
      <c r="P2834" s="12" t="str">
        <f>HYPERLINK("https://ceds.ed.gov/cedselementdetails.aspx?termid=10563")</f>
        <v>https://ceds.ed.gov/cedselementdetails.aspx?termid=10563</v>
      </c>
      <c r="Q2834" s="12" t="str">
        <f>HYPERLINK("https://ceds.ed.gov/elementComment.aspx?elementName=Career Pathways Program Participation Start Date &amp;elementID=10563", "Click here to submit comment")</f>
        <v>Click here to submit comment</v>
      </c>
    </row>
    <row r="2835" spans="1:17" ht="75" x14ac:dyDescent="0.25">
      <c r="A2835" s="12" t="s">
        <v>7313</v>
      </c>
      <c r="B2835" s="12" t="s">
        <v>7314</v>
      </c>
      <c r="C2835" s="12" t="s">
        <v>7310</v>
      </c>
      <c r="D2835" s="12" t="s">
        <v>7172</v>
      </c>
      <c r="E2835" s="12" t="s">
        <v>1826</v>
      </c>
      <c r="F2835" s="12" t="s">
        <v>1827</v>
      </c>
      <c r="G2835" s="14" t="s">
        <v>1828</v>
      </c>
      <c r="H2835" s="12" t="s">
        <v>6368</v>
      </c>
      <c r="I2835" s="12"/>
      <c r="J2835" s="12"/>
      <c r="K2835" s="12"/>
      <c r="L2835" s="12"/>
      <c r="M2835" s="12" t="s">
        <v>1829</v>
      </c>
      <c r="N2835" s="12" t="s">
        <v>1830</v>
      </c>
      <c r="O2835" s="12" t="s">
        <v>1831</v>
      </c>
      <c r="P2835" s="12" t="str">
        <f>HYPERLINK("https://ceds.ed.gov/cedselementdetails.aspx?termid=9043")</f>
        <v>https://ceds.ed.gov/cedselementdetails.aspx?termid=9043</v>
      </c>
      <c r="Q2835" s="12" t="str">
        <f>HYPERLINK("https://ceds.ed.gov/elementComment.aspx?elementName=Classification of Instructional Program Code &amp;elementID=9043", "Click here to submit comment")</f>
        <v>Click here to submit comment</v>
      </c>
    </row>
    <row r="2836" spans="1:17" ht="240" x14ac:dyDescent="0.25">
      <c r="A2836" s="12" t="s">
        <v>7313</v>
      </c>
      <c r="B2836" s="12" t="s">
        <v>7314</v>
      </c>
      <c r="C2836" s="12" t="s">
        <v>7310</v>
      </c>
      <c r="D2836" s="12" t="s">
        <v>7172</v>
      </c>
      <c r="E2836" s="12" t="s">
        <v>6336</v>
      </c>
      <c r="F2836" s="12" t="s">
        <v>6337</v>
      </c>
      <c r="G2836" s="13" t="s">
        <v>7156</v>
      </c>
      <c r="H2836" s="12"/>
      <c r="I2836" s="12"/>
      <c r="J2836" s="12"/>
      <c r="K2836" s="12"/>
      <c r="L2836" s="12"/>
      <c r="M2836" s="12" t="s">
        <v>6338</v>
      </c>
      <c r="N2836" s="12"/>
      <c r="O2836" s="12" t="s">
        <v>6339</v>
      </c>
      <c r="P2836" s="12" t="str">
        <f>HYPERLINK("https://ceds.ed.gov/cedselementdetails.aspx?termid=10471")</f>
        <v>https://ceds.ed.gov/cedselementdetails.aspx?termid=10471</v>
      </c>
      <c r="Q2836" s="12" t="str">
        <f>HYPERLINK("https://ceds.ed.gov/elementComment.aspx?elementName=Work-based Learning Opportunity Type &amp;elementID=10471", "Click here to submit comment")</f>
        <v>Click here to submit comment</v>
      </c>
    </row>
    <row r="2837" spans="1:17" ht="45" x14ac:dyDescent="0.25">
      <c r="A2837" s="12" t="s">
        <v>7313</v>
      </c>
      <c r="B2837" s="12" t="s">
        <v>7314</v>
      </c>
      <c r="C2837" s="12" t="s">
        <v>7315</v>
      </c>
      <c r="D2837" s="12" t="s">
        <v>7172</v>
      </c>
      <c r="E2837" s="12" t="s">
        <v>1675</v>
      </c>
      <c r="F2837" s="12" t="s">
        <v>1676</v>
      </c>
      <c r="G2837" s="12" t="s">
        <v>12</v>
      </c>
      <c r="H2837" s="12"/>
      <c r="I2837" s="12"/>
      <c r="J2837" s="12" t="s">
        <v>73</v>
      </c>
      <c r="K2837" s="12"/>
      <c r="L2837" s="12"/>
      <c r="M2837" s="12" t="s">
        <v>1677</v>
      </c>
      <c r="N2837" s="12"/>
      <c r="O2837" s="12" t="s">
        <v>1678</v>
      </c>
      <c r="P2837" s="12" t="str">
        <f>HYPERLINK("https://ceds.ed.gov/cedselementdetails.aspx?termid=10255")</f>
        <v>https://ceds.ed.gov/cedselementdetails.aspx?termid=10255</v>
      </c>
      <c r="Q2837" s="12" t="str">
        <f>HYPERLINK("https://ceds.ed.gov/elementComment.aspx?elementName=Career Education Plan Date &amp;elementID=10255", "Click here to submit comment")</f>
        <v>Click here to submit comment</v>
      </c>
    </row>
    <row r="2838" spans="1:17" ht="75" x14ac:dyDescent="0.25">
      <c r="A2838" s="12" t="s">
        <v>7313</v>
      </c>
      <c r="B2838" s="12" t="s">
        <v>7314</v>
      </c>
      <c r="C2838" s="12" t="s">
        <v>7315</v>
      </c>
      <c r="D2838" s="12" t="s">
        <v>7172</v>
      </c>
      <c r="E2838" s="12" t="s">
        <v>1679</v>
      </c>
      <c r="F2838" s="12" t="s">
        <v>1680</v>
      </c>
      <c r="G2838" s="13" t="s">
        <v>6808</v>
      </c>
      <c r="H2838" s="12"/>
      <c r="I2838" s="12"/>
      <c r="J2838" s="12"/>
      <c r="K2838" s="12"/>
      <c r="L2838" s="12"/>
      <c r="M2838" s="12" t="s">
        <v>1681</v>
      </c>
      <c r="N2838" s="12"/>
      <c r="O2838" s="12" t="s">
        <v>1682</v>
      </c>
      <c r="P2838" s="12" t="str">
        <f>HYPERLINK("https://ceds.ed.gov/cedselementdetails.aspx?termid=10256")</f>
        <v>https://ceds.ed.gov/cedselementdetails.aspx?termid=10256</v>
      </c>
      <c r="Q2838" s="12" t="str">
        <f>HYPERLINK("https://ceds.ed.gov/elementComment.aspx?elementName=Career Education Plan Type &amp;elementID=10256", "Click here to submit comment")</f>
        <v>Click here to submit comment</v>
      </c>
    </row>
    <row r="2839" spans="1:17" ht="285" x14ac:dyDescent="0.25">
      <c r="A2839" s="12" t="s">
        <v>7313</v>
      </c>
      <c r="B2839" s="12" t="s">
        <v>7314</v>
      </c>
      <c r="C2839" s="12" t="s">
        <v>7201</v>
      </c>
      <c r="D2839" s="12" t="s">
        <v>7176</v>
      </c>
      <c r="E2839" s="12" t="s">
        <v>3281</v>
      </c>
      <c r="F2839" s="12" t="s">
        <v>3282</v>
      </c>
      <c r="G2839" s="12" t="s">
        <v>6364</v>
      </c>
      <c r="H2839" s="12" t="s">
        <v>6568</v>
      </c>
      <c r="I2839" s="12"/>
      <c r="J2839" s="12"/>
      <c r="K2839" s="12"/>
      <c r="L2839" s="12"/>
      <c r="M2839" s="12" t="s">
        <v>3283</v>
      </c>
      <c r="N2839" s="12"/>
      <c r="O2839" s="12" t="s">
        <v>3284</v>
      </c>
      <c r="P2839" s="12" t="str">
        <f>HYPERLINK("https://ceds.ed.gov/cedselementdetails.aspx?termid=9151")</f>
        <v>https://ceds.ed.gov/cedselementdetails.aspx?termid=9151</v>
      </c>
      <c r="Q2839" s="12" t="str">
        <f>HYPERLINK("https://ceds.ed.gov/elementComment.aspx?elementName=IDEA Indicator &amp;elementID=9151", "Click here to submit comment")</f>
        <v>Click here to submit comment</v>
      </c>
    </row>
    <row r="2840" spans="1:17" ht="45" x14ac:dyDescent="0.25">
      <c r="A2840" s="12" t="s">
        <v>7313</v>
      </c>
      <c r="B2840" s="12" t="s">
        <v>7314</v>
      </c>
      <c r="C2840" s="12" t="s">
        <v>7201</v>
      </c>
      <c r="D2840" s="12" t="s">
        <v>7176</v>
      </c>
      <c r="E2840" s="12" t="s">
        <v>2349</v>
      </c>
      <c r="F2840" s="12" t="s">
        <v>2350</v>
      </c>
      <c r="G2840" s="12" t="s">
        <v>6364</v>
      </c>
      <c r="H2840" s="12" t="s">
        <v>222</v>
      </c>
      <c r="I2840" s="12"/>
      <c r="J2840" s="12"/>
      <c r="K2840" s="12"/>
      <c r="L2840" s="12"/>
      <c r="M2840" s="12" t="s">
        <v>2351</v>
      </c>
      <c r="N2840" s="12"/>
      <c r="O2840" s="12" t="s">
        <v>2352</v>
      </c>
      <c r="P2840" s="12" t="str">
        <f>HYPERLINK("https://ceds.ed.gov/cedselementdetails.aspx?termid=9569")</f>
        <v>https://ceds.ed.gov/cedselementdetails.aspx?termid=9569</v>
      </c>
      <c r="Q2840" s="12" t="str">
        <f>HYPERLINK("https://ceds.ed.gov/elementComment.aspx?elementName=Disability Status &amp;elementID=9569", "Click here to submit comment")</f>
        <v>Click here to submit comment</v>
      </c>
    </row>
    <row r="2841" spans="1:17" ht="90" x14ac:dyDescent="0.25">
      <c r="A2841" s="12" t="s">
        <v>7313</v>
      </c>
      <c r="B2841" s="12" t="s">
        <v>7314</v>
      </c>
      <c r="C2841" s="12" t="s">
        <v>7201</v>
      </c>
      <c r="D2841" s="12" t="s">
        <v>7176</v>
      </c>
      <c r="E2841" s="12" t="s">
        <v>5635</v>
      </c>
      <c r="F2841" s="12" t="s">
        <v>5636</v>
      </c>
      <c r="G2841" s="12" t="s">
        <v>6364</v>
      </c>
      <c r="H2841" s="12" t="s">
        <v>6568</v>
      </c>
      <c r="I2841" s="12"/>
      <c r="J2841" s="12"/>
      <c r="K2841" s="12"/>
      <c r="L2841" s="12"/>
      <c r="M2841" s="12" t="s">
        <v>5637</v>
      </c>
      <c r="N2841" s="12"/>
      <c r="O2841" s="12" t="s">
        <v>5638</v>
      </c>
      <c r="P2841" s="12" t="str">
        <f>HYPERLINK("https://ceds.ed.gov/cedselementdetails.aspx?termid=9249")</f>
        <v>https://ceds.ed.gov/cedselementdetails.aspx?termid=9249</v>
      </c>
      <c r="Q2841" s="12" t="str">
        <f>HYPERLINK("https://ceds.ed.gov/elementComment.aspx?elementName=Section 504 Status &amp;elementID=9249", "Click here to submit comment")</f>
        <v>Click here to submit comment</v>
      </c>
    </row>
    <row r="2842" spans="1:17" ht="210" x14ac:dyDescent="0.25">
      <c r="A2842" s="12" t="s">
        <v>7313</v>
      </c>
      <c r="B2842" s="12" t="s">
        <v>7314</v>
      </c>
      <c r="C2842" s="12" t="s">
        <v>7201</v>
      </c>
      <c r="D2842" s="12" t="s">
        <v>7176</v>
      </c>
      <c r="E2842" s="12" t="s">
        <v>4930</v>
      </c>
      <c r="F2842" s="12" t="s">
        <v>4931</v>
      </c>
      <c r="G2842" s="13" t="s">
        <v>7064</v>
      </c>
      <c r="H2842" s="12" t="s">
        <v>6633</v>
      </c>
      <c r="I2842" s="12"/>
      <c r="J2842" s="12"/>
      <c r="K2842" s="12"/>
      <c r="L2842" s="12"/>
      <c r="M2842" s="12" t="s">
        <v>4932</v>
      </c>
      <c r="N2842" s="12"/>
      <c r="O2842" s="12" t="s">
        <v>4933</v>
      </c>
      <c r="P2842" s="12" t="str">
        <f>HYPERLINK("https://ceds.ed.gov/cedselementdetails.aspx?termid=9218")</f>
        <v>https://ceds.ed.gov/cedselementdetails.aspx?termid=9218</v>
      </c>
      <c r="Q2842" s="12" t="str">
        <f>HYPERLINK("https://ceds.ed.gov/elementComment.aspx?elementName=Primary Disability Type &amp;elementID=9218", "Click here to submit comment")</f>
        <v>Click here to submit comment</v>
      </c>
    </row>
    <row r="2843" spans="1:17" ht="60" x14ac:dyDescent="0.25">
      <c r="A2843" s="12" t="s">
        <v>7313</v>
      </c>
      <c r="B2843" s="12" t="s">
        <v>7314</v>
      </c>
      <c r="C2843" s="12" t="s">
        <v>7201</v>
      </c>
      <c r="D2843" s="12" t="s">
        <v>7176</v>
      </c>
      <c r="E2843" s="12" t="s">
        <v>1557</v>
      </c>
      <c r="F2843" s="12" t="s">
        <v>1558</v>
      </c>
      <c r="G2843" s="12" t="s">
        <v>6364</v>
      </c>
      <c r="H2843" s="12" t="s">
        <v>4</v>
      </c>
      <c r="I2843" s="12"/>
      <c r="J2843" s="12"/>
      <c r="K2843" s="12"/>
      <c r="L2843" s="12"/>
      <c r="M2843" s="12" t="s">
        <v>1559</v>
      </c>
      <c r="N2843" s="12"/>
      <c r="O2843" s="12" t="s">
        <v>1560</v>
      </c>
      <c r="P2843" s="12" t="str">
        <f>HYPERLINK("https://ceds.ed.gov/cedselementdetails.aspx?termid=9031")</f>
        <v>https://ceds.ed.gov/cedselementdetails.aspx?termid=9031</v>
      </c>
      <c r="Q2843" s="12" t="str">
        <f>HYPERLINK("https://ceds.ed.gov/elementComment.aspx?elementName=Awaiting Initial IDEA Evaluation Status &amp;elementID=9031", "Click here to submit comment")</f>
        <v>Click here to submit comment</v>
      </c>
    </row>
    <row r="2844" spans="1:17" ht="195" x14ac:dyDescent="0.25">
      <c r="A2844" s="12" t="s">
        <v>7313</v>
      </c>
      <c r="B2844" s="12" t="s">
        <v>7314</v>
      </c>
      <c r="C2844" s="12" t="s">
        <v>7201</v>
      </c>
      <c r="D2844" s="12" t="s">
        <v>7176</v>
      </c>
      <c r="E2844" s="12" t="s">
        <v>3272</v>
      </c>
      <c r="F2844" s="12" t="s">
        <v>3273</v>
      </c>
      <c r="G2844" s="13" t="s">
        <v>6953</v>
      </c>
      <c r="H2844" s="12" t="s">
        <v>222</v>
      </c>
      <c r="I2844" s="12"/>
      <c r="J2844" s="12"/>
      <c r="K2844" s="12"/>
      <c r="L2844" s="12"/>
      <c r="M2844" s="12" t="s">
        <v>3274</v>
      </c>
      <c r="N2844" s="12"/>
      <c r="O2844" s="12" t="s">
        <v>3275</v>
      </c>
      <c r="P2844" s="12" t="str">
        <f>HYPERLINK("https://ceds.ed.gov/cedselementdetails.aspx?termid=9526")</f>
        <v>https://ceds.ed.gov/cedselementdetails.aspx?termid=9526</v>
      </c>
      <c r="Q2844" s="12" t="str">
        <f>HYPERLINK("https://ceds.ed.gov/elementComment.aspx?elementName=IDEA Educational Environment for School Age &amp;elementID=9526", "Click here to submit comment")</f>
        <v>Click here to submit comment</v>
      </c>
    </row>
    <row r="2845" spans="1:17" ht="255" x14ac:dyDescent="0.25">
      <c r="A2845" s="12" t="s">
        <v>7313</v>
      </c>
      <c r="B2845" s="12" t="s">
        <v>7314</v>
      </c>
      <c r="C2845" s="12" t="s">
        <v>7201</v>
      </c>
      <c r="D2845" s="12" t="s">
        <v>7176</v>
      </c>
      <c r="E2845" s="12" t="s">
        <v>2340</v>
      </c>
      <c r="F2845" s="12" t="s">
        <v>2341</v>
      </c>
      <c r="G2845" s="13" t="s">
        <v>6863</v>
      </c>
      <c r="H2845" s="12"/>
      <c r="I2845" s="12"/>
      <c r="J2845" s="12"/>
      <c r="K2845" s="12"/>
      <c r="L2845" s="12" t="s">
        <v>2342</v>
      </c>
      <c r="M2845" s="12" t="s">
        <v>2343</v>
      </c>
      <c r="N2845" s="12"/>
      <c r="O2845" s="12" t="s">
        <v>2344</v>
      </c>
      <c r="P2845" s="12" t="str">
        <f>HYPERLINK("https://ceds.ed.gov/cedselementdetails.aspx?termid=10286")</f>
        <v>https://ceds.ed.gov/cedselementdetails.aspx?termid=10286</v>
      </c>
      <c r="Q2845" s="12" t="str">
        <f>HYPERLINK("https://ceds.ed.gov/elementComment.aspx?elementName=Disability Condition Type &amp;elementID=10286", "Click here to submit comment")</f>
        <v>Click here to submit comment</v>
      </c>
    </row>
    <row r="2846" spans="1:17" ht="180" x14ac:dyDescent="0.25">
      <c r="A2846" s="12" t="s">
        <v>7313</v>
      </c>
      <c r="B2846" s="12" t="s">
        <v>7314</v>
      </c>
      <c r="C2846" s="12" t="s">
        <v>7201</v>
      </c>
      <c r="D2846" s="12" t="s">
        <v>7176</v>
      </c>
      <c r="E2846" s="12" t="s">
        <v>2345</v>
      </c>
      <c r="F2846" s="12" t="s">
        <v>2346</v>
      </c>
      <c r="G2846" s="13" t="s">
        <v>6864</v>
      </c>
      <c r="H2846" s="12"/>
      <c r="I2846" s="12"/>
      <c r="J2846" s="12"/>
      <c r="K2846" s="12"/>
      <c r="L2846" s="12" t="s">
        <v>2342</v>
      </c>
      <c r="M2846" s="12" t="s">
        <v>2347</v>
      </c>
      <c r="N2846" s="12"/>
      <c r="O2846" s="12" t="s">
        <v>2348</v>
      </c>
      <c r="P2846" s="12" t="str">
        <f>HYPERLINK("https://ceds.ed.gov/cedselementdetails.aspx?termid=10287")</f>
        <v>https://ceds.ed.gov/cedselementdetails.aspx?termid=10287</v>
      </c>
      <c r="Q2846" s="12" t="str">
        <f>HYPERLINK("https://ceds.ed.gov/elementComment.aspx?elementName=Disability Determination Source Type &amp;elementID=10287", "Click here to submit comment")</f>
        <v>Click here to submit comment</v>
      </c>
    </row>
    <row r="2847" spans="1:17" ht="409.5" x14ac:dyDescent="0.25">
      <c r="A2847" s="12" t="s">
        <v>7313</v>
      </c>
      <c r="B2847" s="12" t="s">
        <v>7200</v>
      </c>
      <c r="C2847" s="12"/>
      <c r="D2847" s="12" t="s">
        <v>7172</v>
      </c>
      <c r="E2847" s="12" t="s">
        <v>5197</v>
      </c>
      <c r="F2847" s="12" t="s">
        <v>5198</v>
      </c>
      <c r="G2847" s="13" t="s">
        <v>7082</v>
      </c>
      <c r="H2847" s="12" t="s">
        <v>6369</v>
      </c>
      <c r="I2847" s="12"/>
      <c r="J2847" s="12"/>
      <c r="K2847" s="12"/>
      <c r="L2847" s="12"/>
      <c r="M2847" s="12" t="s">
        <v>5199</v>
      </c>
      <c r="N2847" s="12"/>
      <c r="O2847" s="12" t="s">
        <v>5200</v>
      </c>
      <c r="P2847" s="12" t="str">
        <f>HYPERLINK("https://ceds.ed.gov/cedselementdetails.aspx?termid=9225")</f>
        <v>https://ceds.ed.gov/cedselementdetails.aspx?termid=9225</v>
      </c>
      <c r="Q2847" s="12" t="str">
        <f>HYPERLINK("https://ceds.ed.gov/elementComment.aspx?elementName=Program Type &amp;elementID=9225", "Click here to submit comment")</f>
        <v>Click here to submit comment</v>
      </c>
    </row>
    <row r="2848" spans="1:17" ht="60" x14ac:dyDescent="0.25">
      <c r="A2848" s="12" t="s">
        <v>7313</v>
      </c>
      <c r="B2848" s="12" t="s">
        <v>7200</v>
      </c>
      <c r="C2848" s="12"/>
      <c r="D2848" s="12" t="s">
        <v>7172</v>
      </c>
      <c r="E2848" s="12" t="s">
        <v>5157</v>
      </c>
      <c r="F2848" s="12" t="s">
        <v>5158</v>
      </c>
      <c r="G2848" s="12" t="s">
        <v>12</v>
      </c>
      <c r="H2848" s="12" t="s">
        <v>2017</v>
      </c>
      <c r="I2848" s="12"/>
      <c r="J2848" s="12" t="s">
        <v>99</v>
      </c>
      <c r="K2848" s="12"/>
      <c r="L2848" s="12"/>
      <c r="M2848" s="12" t="s">
        <v>5159</v>
      </c>
      <c r="N2848" s="12"/>
      <c r="O2848" s="12" t="s">
        <v>5160</v>
      </c>
      <c r="P2848" s="12" t="str">
        <f>HYPERLINK("https://ceds.ed.gov/cedselementdetails.aspx?termid=9619")</f>
        <v>https://ceds.ed.gov/cedselementdetails.aspx?termid=9619</v>
      </c>
      <c r="Q2848" s="12" t="str">
        <f>HYPERLINK("https://ceds.ed.gov/elementComment.aspx?elementName=Program Name &amp;elementID=9619", "Click here to submit comment")</f>
        <v>Click here to submit comment</v>
      </c>
    </row>
    <row r="2849" spans="1:17" ht="360" x14ac:dyDescent="0.25">
      <c r="A2849" s="12" t="s">
        <v>7313</v>
      </c>
      <c r="B2849" s="12" t="s">
        <v>7200</v>
      </c>
      <c r="C2849" s="12"/>
      <c r="D2849" s="12" t="s">
        <v>7172</v>
      </c>
      <c r="E2849" s="12" t="s">
        <v>1670</v>
      </c>
      <c r="F2849" s="12" t="s">
        <v>1671</v>
      </c>
      <c r="G2849" s="13" t="s">
        <v>6807</v>
      </c>
      <c r="H2849" s="12"/>
      <c r="I2849" s="12"/>
      <c r="J2849" s="12"/>
      <c r="K2849" s="12"/>
      <c r="L2849" s="12" t="s">
        <v>1672</v>
      </c>
      <c r="M2849" s="12" t="s">
        <v>1673</v>
      </c>
      <c r="N2849" s="12"/>
      <c r="O2849" s="12" t="s">
        <v>1674</v>
      </c>
      <c r="P2849" s="12" t="str">
        <f>HYPERLINK("https://ceds.ed.gov/cedselementdetails.aspx?termid=10254")</f>
        <v>https://ceds.ed.gov/cedselementdetails.aspx?termid=10254</v>
      </c>
      <c r="Q2849" s="12" t="str">
        <f>HYPERLINK("https://ceds.ed.gov/elementComment.aspx?elementName=Career Cluster &amp;elementID=10254", "Click here to submit comment")</f>
        <v>Click here to submit comment</v>
      </c>
    </row>
    <row r="2850" spans="1:17" ht="270" x14ac:dyDescent="0.25">
      <c r="A2850" s="12" t="s">
        <v>7313</v>
      </c>
      <c r="B2850" s="12" t="s">
        <v>7200</v>
      </c>
      <c r="C2850" s="12"/>
      <c r="D2850" s="12" t="s">
        <v>7172</v>
      </c>
      <c r="E2850" s="12" t="s">
        <v>5189</v>
      </c>
      <c r="F2850" s="12" t="s">
        <v>5190</v>
      </c>
      <c r="G2850" s="13" t="s">
        <v>7081</v>
      </c>
      <c r="H2850" s="12"/>
      <c r="I2850" s="12"/>
      <c r="J2850" s="12"/>
      <c r="K2850" s="12"/>
      <c r="L2850" s="12"/>
      <c r="M2850" s="12" t="s">
        <v>5191</v>
      </c>
      <c r="N2850" s="12"/>
      <c r="O2850" s="12" t="s">
        <v>5192</v>
      </c>
      <c r="P2850" s="12" t="str">
        <f>HYPERLINK("https://ceds.ed.gov/cedselementdetails.aspx?termid=9692")</f>
        <v>https://ceds.ed.gov/cedselementdetails.aspx?termid=9692</v>
      </c>
      <c r="Q2850" s="12" t="str">
        <f>HYPERLINK("https://ceds.ed.gov/elementComment.aspx?elementName=Program Sponsor Type &amp;elementID=9692", "Click here to submit comment")</f>
        <v>Click here to submit comment</v>
      </c>
    </row>
    <row r="2851" spans="1:17" ht="225" x14ac:dyDescent="0.25">
      <c r="A2851" s="12" t="s">
        <v>7313</v>
      </c>
      <c r="B2851" s="12" t="s">
        <v>7281</v>
      </c>
      <c r="C2851" s="12"/>
      <c r="D2851" s="12" t="s">
        <v>7172</v>
      </c>
      <c r="E2851" s="12" t="s">
        <v>2146</v>
      </c>
      <c r="F2851" s="12" t="s">
        <v>2147</v>
      </c>
      <c r="G2851" s="12" t="s">
        <v>12</v>
      </c>
      <c r="H2851" s="12" t="s">
        <v>6429</v>
      </c>
      <c r="I2851" s="12"/>
      <c r="J2851" s="12" t="s">
        <v>99</v>
      </c>
      <c r="K2851" s="12"/>
      <c r="L2851" s="12"/>
      <c r="M2851" s="12" t="s">
        <v>2148</v>
      </c>
      <c r="N2851" s="12"/>
      <c r="O2851" s="12" t="s">
        <v>2149</v>
      </c>
      <c r="P2851" s="12" t="str">
        <f>HYPERLINK("https://ceds.ed.gov/cedselementdetails.aspx?termid=9067")</f>
        <v>https://ceds.ed.gov/cedselementdetails.aspx?termid=9067</v>
      </c>
      <c r="Q2851" s="12" t="str">
        <f>HYPERLINK("https://ceds.ed.gov/elementComment.aspx?elementName=Course Title &amp;elementID=9067", "Click here to submit comment")</f>
        <v>Click here to submit comment</v>
      </c>
    </row>
    <row r="2852" spans="1:17" ht="105" x14ac:dyDescent="0.25">
      <c r="A2852" s="18" t="s">
        <v>7313</v>
      </c>
      <c r="B2852" s="18" t="s">
        <v>7281</v>
      </c>
      <c r="C2852" s="18"/>
      <c r="D2852" s="18" t="s">
        <v>7172</v>
      </c>
      <c r="E2852" s="18" t="s">
        <v>2036</v>
      </c>
      <c r="F2852" s="18" t="s">
        <v>2037</v>
      </c>
      <c r="G2852" s="18" t="s">
        <v>12</v>
      </c>
      <c r="H2852" s="18" t="s">
        <v>6479</v>
      </c>
      <c r="I2852" s="18"/>
      <c r="J2852" s="18" t="s">
        <v>142</v>
      </c>
      <c r="K2852" s="18"/>
      <c r="L2852" s="12" t="s">
        <v>143</v>
      </c>
      <c r="M2852" s="18" t="s">
        <v>2038</v>
      </c>
      <c r="N2852" s="18"/>
      <c r="O2852" s="18" t="s">
        <v>2039</v>
      </c>
      <c r="P2852" s="18" t="str">
        <f>HYPERLINK("https://ceds.ed.gov/cedselementdetails.aspx?termid=9055")</f>
        <v>https://ceds.ed.gov/cedselementdetails.aspx?termid=9055</v>
      </c>
      <c r="Q2852" s="18" t="str">
        <f>HYPERLINK("https://ceds.ed.gov/elementComment.aspx?elementName=Course Identifier &amp;elementID=9055", "Click here to submit comment")</f>
        <v>Click here to submit comment</v>
      </c>
    </row>
    <row r="2853" spans="1:17" x14ac:dyDescent="0.25">
      <c r="A2853" s="18"/>
      <c r="B2853" s="18"/>
      <c r="C2853" s="18"/>
      <c r="D2853" s="18"/>
      <c r="E2853" s="18"/>
      <c r="F2853" s="18"/>
      <c r="G2853" s="18"/>
      <c r="H2853" s="18"/>
      <c r="I2853" s="18"/>
      <c r="J2853" s="18"/>
      <c r="K2853" s="18"/>
      <c r="L2853" s="12"/>
      <c r="M2853" s="18"/>
      <c r="N2853" s="18"/>
      <c r="O2853" s="18"/>
      <c r="P2853" s="18"/>
      <c r="Q2853" s="18"/>
    </row>
    <row r="2854" spans="1:17" ht="90" x14ac:dyDescent="0.25">
      <c r="A2854" s="18"/>
      <c r="B2854" s="18"/>
      <c r="C2854" s="18"/>
      <c r="D2854" s="18"/>
      <c r="E2854" s="18"/>
      <c r="F2854" s="18"/>
      <c r="G2854" s="18"/>
      <c r="H2854" s="18"/>
      <c r="I2854" s="18"/>
      <c r="J2854" s="18"/>
      <c r="K2854" s="18"/>
      <c r="L2854" s="12" t="s">
        <v>144</v>
      </c>
      <c r="M2854" s="18"/>
      <c r="N2854" s="18"/>
      <c r="O2854" s="18"/>
      <c r="P2854" s="18"/>
      <c r="Q2854" s="18"/>
    </row>
    <row r="2855" spans="1:17" ht="195" x14ac:dyDescent="0.25">
      <c r="A2855" s="12" t="s">
        <v>7313</v>
      </c>
      <c r="B2855" s="12" t="s">
        <v>7281</v>
      </c>
      <c r="C2855" s="12"/>
      <c r="D2855" s="12" t="s">
        <v>7172</v>
      </c>
      <c r="E2855" s="12" t="s">
        <v>1984</v>
      </c>
      <c r="F2855" s="12" t="s">
        <v>1985</v>
      </c>
      <c r="G2855" s="13" t="s">
        <v>6832</v>
      </c>
      <c r="H2855" s="12" t="s">
        <v>6429</v>
      </c>
      <c r="I2855" s="12"/>
      <c r="J2855" s="12"/>
      <c r="K2855" s="12"/>
      <c r="L2855" s="12"/>
      <c r="M2855" s="12" t="s">
        <v>1986</v>
      </c>
      <c r="N2855" s="12"/>
      <c r="O2855" s="12" t="s">
        <v>1987</v>
      </c>
      <c r="P2855" s="12" t="str">
        <f>HYPERLINK("https://ceds.ed.gov/cedselementdetails.aspx?termid=9056")</f>
        <v>https://ceds.ed.gov/cedselementdetails.aspx?termid=9056</v>
      </c>
      <c r="Q2855" s="12" t="str">
        <f>HYPERLINK("https://ceds.ed.gov/elementComment.aspx?elementName=Course Code System &amp;elementID=9056", "Click here to submit comment")</f>
        <v>Click here to submit comment</v>
      </c>
    </row>
    <row r="2856" spans="1:17" ht="45" x14ac:dyDescent="0.25">
      <c r="A2856" s="12" t="s">
        <v>7313</v>
      </c>
      <c r="B2856" s="12" t="s">
        <v>7281</v>
      </c>
      <c r="C2856" s="12"/>
      <c r="D2856" s="12" t="s">
        <v>7172</v>
      </c>
      <c r="E2856" s="12" t="s">
        <v>2009</v>
      </c>
      <c r="F2856" s="12" t="s">
        <v>2010</v>
      </c>
      <c r="G2856" s="12" t="s">
        <v>12</v>
      </c>
      <c r="H2856" s="12"/>
      <c r="I2856" s="12"/>
      <c r="J2856" s="12" t="s">
        <v>99</v>
      </c>
      <c r="K2856" s="12"/>
      <c r="L2856" s="12"/>
      <c r="M2856" s="12" t="s">
        <v>2011</v>
      </c>
      <c r="N2856" s="12"/>
      <c r="O2856" s="12" t="s">
        <v>2012</v>
      </c>
      <c r="P2856" s="12" t="str">
        <f>HYPERLINK("https://ceds.ed.gov/cedselementdetails.aspx?termid=9508")</f>
        <v>https://ceds.ed.gov/cedselementdetails.aspx?termid=9508</v>
      </c>
      <c r="Q2856" s="12" t="str">
        <f>HYPERLINK("https://ceds.ed.gov/elementComment.aspx?elementName=Course Description &amp;elementID=9508", "Click here to submit comment")</f>
        <v>Click here to submit comment</v>
      </c>
    </row>
    <row r="2857" spans="1:17" ht="120" x14ac:dyDescent="0.25">
      <c r="A2857" s="12" t="s">
        <v>7313</v>
      </c>
      <c r="B2857" s="12" t="s">
        <v>7281</v>
      </c>
      <c r="C2857" s="12"/>
      <c r="D2857" s="12" t="s">
        <v>7172</v>
      </c>
      <c r="E2857" s="12" t="s">
        <v>5574</v>
      </c>
      <c r="F2857" s="12" t="s">
        <v>5575</v>
      </c>
      <c r="G2857" s="12" t="s">
        <v>12</v>
      </c>
      <c r="H2857" s="12" t="s">
        <v>6429</v>
      </c>
      <c r="I2857" s="12"/>
      <c r="J2857" s="12" t="s">
        <v>2143</v>
      </c>
      <c r="K2857" s="12"/>
      <c r="L2857" s="12" t="s">
        <v>5576</v>
      </c>
      <c r="M2857" s="12" t="s">
        <v>5577</v>
      </c>
      <c r="N2857" s="12" t="s">
        <v>5578</v>
      </c>
      <c r="O2857" s="12" t="s">
        <v>5579</v>
      </c>
      <c r="P2857" s="12" t="str">
        <f>HYPERLINK("https://ceds.ed.gov/cedselementdetails.aspx?termid=9250")</f>
        <v>https://ceds.ed.gov/cedselementdetails.aspx?termid=9250</v>
      </c>
      <c r="Q2857" s="12" t="str">
        <f>HYPERLINK("https://ceds.ed.gov/elementComment.aspx?elementName=School Courses for the Exchange of Data Sequence of Course &amp;elementID=9250", "Click here to submit comment")</f>
        <v>Click here to submit comment</v>
      </c>
    </row>
    <row r="2858" spans="1:17" ht="165" x14ac:dyDescent="0.25">
      <c r="A2858" s="12" t="s">
        <v>7313</v>
      </c>
      <c r="B2858" s="12" t="s">
        <v>7281</v>
      </c>
      <c r="C2858" s="12"/>
      <c r="D2858" s="12" t="s">
        <v>7172</v>
      </c>
      <c r="E2858" s="12" t="s">
        <v>1996</v>
      </c>
      <c r="F2858" s="12" t="s">
        <v>1997</v>
      </c>
      <c r="G2858" s="13" t="s">
        <v>6835</v>
      </c>
      <c r="H2858" s="12" t="s">
        <v>25</v>
      </c>
      <c r="I2858" s="12"/>
      <c r="J2858" s="12"/>
      <c r="K2858" s="12"/>
      <c r="L2858" s="12"/>
      <c r="M2858" s="12" t="s">
        <v>1998</v>
      </c>
      <c r="N2858" s="12"/>
      <c r="O2858" s="12" t="s">
        <v>1999</v>
      </c>
      <c r="P2858" s="12" t="str">
        <f>HYPERLINK("https://ceds.ed.gov/cedselementdetails.aspx?termid=9057")</f>
        <v>https://ceds.ed.gov/cedselementdetails.aspx?termid=9057</v>
      </c>
      <c r="Q2858" s="12" t="str">
        <f>HYPERLINK("https://ceds.ed.gov/elementComment.aspx?elementName=Course Credit Units &amp;elementID=9057", "Click here to submit comment")</f>
        <v>Click here to submit comment</v>
      </c>
    </row>
    <row r="2859" spans="1:17" ht="285" x14ac:dyDescent="0.25">
      <c r="A2859" s="12" t="s">
        <v>7313</v>
      </c>
      <c r="B2859" s="12" t="s">
        <v>7281</v>
      </c>
      <c r="C2859" s="12"/>
      <c r="D2859" s="12" t="s">
        <v>7172</v>
      </c>
      <c r="E2859" s="12" t="s">
        <v>2174</v>
      </c>
      <c r="F2859" s="12" t="s">
        <v>2175</v>
      </c>
      <c r="G2859" s="13" t="s">
        <v>6851</v>
      </c>
      <c r="H2859" s="12" t="s">
        <v>6369</v>
      </c>
      <c r="I2859" s="12"/>
      <c r="J2859" s="12"/>
      <c r="K2859" s="12"/>
      <c r="L2859" s="12"/>
      <c r="M2859" s="12" t="s">
        <v>2176</v>
      </c>
      <c r="N2859" s="12"/>
      <c r="O2859" s="12" t="s">
        <v>2177</v>
      </c>
      <c r="P2859" s="12" t="str">
        <f>HYPERLINK("https://ceds.ed.gov/cedselementdetails.aspx?termid=9072")</f>
        <v>https://ceds.ed.gov/cedselementdetails.aspx?termid=9072</v>
      </c>
      <c r="Q2859" s="12" t="str">
        <f>HYPERLINK("https://ceds.ed.gov/elementComment.aspx?elementName=Credit Type Earned &amp;elementID=9072", "Click here to submit comment")</f>
        <v>Click here to submit comment</v>
      </c>
    </row>
    <row r="2860" spans="1:17" ht="105" x14ac:dyDescent="0.25">
      <c r="A2860" s="12" t="s">
        <v>7313</v>
      </c>
      <c r="B2860" s="12" t="s">
        <v>7281</v>
      </c>
      <c r="C2860" s="12"/>
      <c r="D2860" s="12" t="s">
        <v>7172</v>
      </c>
      <c r="E2860" s="12" t="s">
        <v>2000</v>
      </c>
      <c r="F2860" s="12" t="s">
        <v>2001</v>
      </c>
      <c r="G2860" s="12" t="s">
        <v>12</v>
      </c>
      <c r="H2860" s="12" t="s">
        <v>25</v>
      </c>
      <c r="I2860" s="12"/>
      <c r="J2860" s="12" t="s">
        <v>1554</v>
      </c>
      <c r="K2860" s="12"/>
      <c r="L2860" s="12" t="s">
        <v>2002</v>
      </c>
      <c r="M2860" s="12" t="s">
        <v>2003</v>
      </c>
      <c r="N2860" s="12"/>
      <c r="O2860" s="12" t="s">
        <v>2004</v>
      </c>
      <c r="P2860" s="12" t="str">
        <f>HYPERLINK("https://ceds.ed.gov/cedselementdetails.aspx?termid=9058")</f>
        <v>https://ceds.ed.gov/cedselementdetails.aspx?termid=9058</v>
      </c>
      <c r="Q2860" s="12" t="str">
        <f>HYPERLINK("https://ceds.ed.gov/elementComment.aspx?elementName=Course Credit Value &amp;elementID=9058", "Click here to submit comment")</f>
        <v>Click here to submit comment</v>
      </c>
    </row>
    <row r="2861" spans="1:17" ht="255" x14ac:dyDescent="0.25">
      <c r="A2861" s="12" t="s">
        <v>7313</v>
      </c>
      <c r="B2861" s="12" t="s">
        <v>7281</v>
      </c>
      <c r="C2861" s="12"/>
      <c r="D2861" s="12" t="s">
        <v>7172</v>
      </c>
      <c r="E2861" s="12" t="s">
        <v>168</v>
      </c>
      <c r="F2861" s="12" t="s">
        <v>169</v>
      </c>
      <c r="G2861" s="13" t="s">
        <v>6725</v>
      </c>
      <c r="H2861" s="12"/>
      <c r="I2861" s="12"/>
      <c r="J2861" s="12"/>
      <c r="K2861" s="12"/>
      <c r="L2861" s="12"/>
      <c r="M2861" s="12" t="s">
        <v>170</v>
      </c>
      <c r="N2861" s="12"/>
      <c r="O2861" s="12" t="s">
        <v>171</v>
      </c>
      <c r="P2861" s="12" t="str">
        <f>HYPERLINK("https://ceds.ed.gov/cedselementdetails.aspx?termid=9589")</f>
        <v>https://ceds.ed.gov/cedselementdetails.aspx?termid=9589</v>
      </c>
      <c r="Q2861" s="12" t="str">
        <f>HYPERLINK("https://ceds.ed.gov/elementComment.aspx?elementName=Additional Credit Type &amp;elementID=9589", "Click here to submit comment")</f>
        <v>Click here to submit comment</v>
      </c>
    </row>
    <row r="2862" spans="1:17" ht="150" x14ac:dyDescent="0.25">
      <c r="A2862" s="12" t="s">
        <v>7313</v>
      </c>
      <c r="B2862" s="12" t="s">
        <v>7281</v>
      </c>
      <c r="C2862" s="12"/>
      <c r="D2862" s="12" t="s">
        <v>7172</v>
      </c>
      <c r="E2862" s="12" t="s">
        <v>1552</v>
      </c>
      <c r="F2862" s="12" t="s">
        <v>1553</v>
      </c>
      <c r="G2862" s="12" t="s">
        <v>12</v>
      </c>
      <c r="H2862" s="12" t="s">
        <v>6429</v>
      </c>
      <c r="I2862" s="12"/>
      <c r="J2862" s="12" t="s">
        <v>1554</v>
      </c>
      <c r="K2862" s="12"/>
      <c r="L2862" s="12"/>
      <c r="M2862" s="12" t="s">
        <v>1555</v>
      </c>
      <c r="N2862" s="12"/>
      <c r="O2862" s="12" t="s">
        <v>1556</v>
      </c>
      <c r="P2862" s="12" t="str">
        <f>HYPERLINK("https://ceds.ed.gov/cedselementdetails.aspx?termid=9030")</f>
        <v>https://ceds.ed.gov/cedselementdetails.aspx?termid=9030</v>
      </c>
      <c r="Q2862" s="12" t="str">
        <f>HYPERLINK("https://ceds.ed.gov/elementComment.aspx?elementName=Available Carnegie Unit Credit &amp;elementID=9030", "Click here to submit comment")</f>
        <v>Click here to submit comment</v>
      </c>
    </row>
    <row r="2863" spans="1:17" ht="120" x14ac:dyDescent="0.25">
      <c r="A2863" s="12" t="s">
        <v>7313</v>
      </c>
      <c r="B2863" s="12" t="s">
        <v>7281</v>
      </c>
      <c r="C2863" s="12"/>
      <c r="D2863" s="12" t="s">
        <v>7172</v>
      </c>
      <c r="E2863" s="12" t="s">
        <v>2027</v>
      </c>
      <c r="F2863" s="12" t="s">
        <v>2028</v>
      </c>
      <c r="G2863" s="13" t="s">
        <v>6836</v>
      </c>
      <c r="H2863" s="12" t="s">
        <v>6429</v>
      </c>
      <c r="I2863" s="12"/>
      <c r="J2863" s="12"/>
      <c r="K2863" s="12"/>
      <c r="L2863" s="12"/>
      <c r="M2863" s="12" t="s">
        <v>2029</v>
      </c>
      <c r="N2863" s="12" t="s">
        <v>2030</v>
      </c>
      <c r="O2863" s="12" t="s">
        <v>2031</v>
      </c>
      <c r="P2863" s="12" t="str">
        <f>HYPERLINK("https://ceds.ed.gov/cedselementdetails.aspx?termid=9060")</f>
        <v>https://ceds.ed.gov/cedselementdetails.aspx?termid=9060</v>
      </c>
      <c r="Q2863" s="12" t="str">
        <f>HYPERLINK("https://ceds.ed.gov/elementComment.aspx?elementName=Course Grade Point Average Applicability &amp;elementID=9060", "Click here to submit comment")</f>
        <v>Click here to submit comment</v>
      </c>
    </row>
    <row r="2864" spans="1:17" ht="345" x14ac:dyDescent="0.25">
      <c r="A2864" s="12" t="s">
        <v>7313</v>
      </c>
      <c r="B2864" s="12" t="s">
        <v>7281</v>
      </c>
      <c r="C2864" s="12"/>
      <c r="D2864" s="12" t="s">
        <v>7172</v>
      </c>
      <c r="E2864" s="12" t="s">
        <v>2057</v>
      </c>
      <c r="F2864" s="12" t="s">
        <v>2058</v>
      </c>
      <c r="G2864" s="13" t="s">
        <v>6841</v>
      </c>
      <c r="H2864" s="12" t="s">
        <v>6479</v>
      </c>
      <c r="I2864" s="12"/>
      <c r="J2864" s="12"/>
      <c r="K2864" s="12"/>
      <c r="L2864" s="12"/>
      <c r="M2864" s="12" t="s">
        <v>2059</v>
      </c>
      <c r="N2864" s="12"/>
      <c r="O2864" s="12" t="s">
        <v>2060</v>
      </c>
      <c r="P2864" s="12" t="str">
        <f>HYPERLINK("https://ceds.ed.gov/cedselementdetails.aspx?termid=9061")</f>
        <v>https://ceds.ed.gov/cedselementdetails.aspx?termid=9061</v>
      </c>
      <c r="Q2864" s="12" t="str">
        <f>HYPERLINK("https://ceds.ed.gov/elementComment.aspx?elementName=Course Level Characteristic &amp;elementID=9061", "Click here to submit comment")</f>
        <v>Click here to submit comment</v>
      </c>
    </row>
    <row r="2865" spans="1:17" ht="120" x14ac:dyDescent="0.25">
      <c r="A2865" s="12" t="s">
        <v>7313</v>
      </c>
      <c r="B2865" s="12" t="s">
        <v>7281</v>
      </c>
      <c r="C2865" s="12"/>
      <c r="D2865" s="12" t="s">
        <v>7172</v>
      </c>
      <c r="E2865" s="12" t="s">
        <v>3183</v>
      </c>
      <c r="F2865" s="12" t="s">
        <v>3184</v>
      </c>
      <c r="G2865" s="12" t="s">
        <v>6364</v>
      </c>
      <c r="H2865" s="12" t="s">
        <v>6429</v>
      </c>
      <c r="I2865" s="12"/>
      <c r="J2865" s="12"/>
      <c r="K2865" s="12"/>
      <c r="L2865" s="12"/>
      <c r="M2865" s="12" t="s">
        <v>3185</v>
      </c>
      <c r="N2865" s="12"/>
      <c r="O2865" s="12" t="s">
        <v>3186</v>
      </c>
      <c r="P2865" s="12" t="str">
        <f>HYPERLINK("https://ceds.ed.gov/cedselementdetails.aspx?termid=9137")</f>
        <v>https://ceds.ed.gov/cedselementdetails.aspx?termid=9137</v>
      </c>
      <c r="Q2865" s="12" t="str">
        <f>HYPERLINK("https://ceds.ed.gov/elementComment.aspx?elementName=High School Course Requirement &amp;elementID=9137", "Click here to submit comment")</f>
        <v>Click here to submit comment</v>
      </c>
    </row>
    <row r="2866" spans="1:17" ht="90" x14ac:dyDescent="0.25">
      <c r="A2866" s="12" t="s">
        <v>7313</v>
      </c>
      <c r="B2866" s="12" t="s">
        <v>7281</v>
      </c>
      <c r="C2866" s="12"/>
      <c r="D2866" s="12" t="s">
        <v>7172</v>
      </c>
      <c r="E2866" s="12" t="s">
        <v>3544</v>
      </c>
      <c r="F2866" s="12" t="s">
        <v>3545</v>
      </c>
      <c r="G2866" s="14" t="s">
        <v>999</v>
      </c>
      <c r="H2866" s="12" t="s">
        <v>211</v>
      </c>
      <c r="I2866" s="12" t="s">
        <v>98</v>
      </c>
      <c r="J2866" s="12"/>
      <c r="K2866" s="12"/>
      <c r="L2866" s="14" t="s">
        <v>1000</v>
      </c>
      <c r="M2866" s="12" t="s">
        <v>3546</v>
      </c>
      <c r="N2866" s="12"/>
      <c r="O2866" s="12" t="s">
        <v>3547</v>
      </c>
      <c r="P2866" s="12" t="str">
        <f>HYPERLINK("https://ceds.ed.gov/cedselementdetails.aspx?termid=9438")</f>
        <v>https://ceds.ed.gov/cedselementdetails.aspx?termid=9438</v>
      </c>
      <c r="Q2866" s="12" t="str">
        <f>HYPERLINK("https://ceds.ed.gov/elementComment.aspx?elementName=Instruction Language &amp;elementID=9438", "Click here to submit comment")</f>
        <v>Click here to submit comment</v>
      </c>
    </row>
    <row r="2867" spans="1:17" ht="45" x14ac:dyDescent="0.25">
      <c r="A2867" s="12" t="s">
        <v>7313</v>
      </c>
      <c r="B2867" s="12" t="s">
        <v>7281</v>
      </c>
      <c r="C2867" s="12"/>
      <c r="D2867" s="12" t="s">
        <v>7172</v>
      </c>
      <c r="E2867" s="12" t="s">
        <v>1917</v>
      </c>
      <c r="F2867" s="12" t="s">
        <v>1918</v>
      </c>
      <c r="G2867" s="12" t="s">
        <v>6364</v>
      </c>
      <c r="H2867" s="12"/>
      <c r="I2867" s="12"/>
      <c r="J2867" s="12"/>
      <c r="K2867" s="12"/>
      <c r="L2867" s="12"/>
      <c r="M2867" s="12" t="s">
        <v>1919</v>
      </c>
      <c r="N2867" s="12"/>
      <c r="O2867" s="12" t="s">
        <v>1920</v>
      </c>
      <c r="P2867" s="12" t="str">
        <f>HYPERLINK("https://ceds.ed.gov/cedselementdetails.aspx?termid=9509")</f>
        <v>https://ceds.ed.gov/cedselementdetails.aspx?termid=9509</v>
      </c>
      <c r="Q2867" s="12" t="str">
        <f>HYPERLINK("https://ceds.ed.gov/elementComment.aspx?elementName=Core Academic Course &amp;elementID=9509", "Click here to submit comment")</f>
        <v>Click here to submit comment</v>
      </c>
    </row>
    <row r="2868" spans="1:17" ht="150" x14ac:dyDescent="0.25">
      <c r="A2868" s="12" t="s">
        <v>7313</v>
      </c>
      <c r="B2868" s="12" t="s">
        <v>7281</v>
      </c>
      <c r="C2868" s="12"/>
      <c r="D2868" s="12" t="s">
        <v>7172</v>
      </c>
      <c r="E2868" s="12" t="s">
        <v>2221</v>
      </c>
      <c r="F2868" s="12" t="s">
        <v>2222</v>
      </c>
      <c r="G2868" s="13" t="s">
        <v>6852</v>
      </c>
      <c r="H2868" s="12"/>
      <c r="I2868" s="12"/>
      <c r="J2868" s="12"/>
      <c r="K2868" s="12"/>
      <c r="L2868" s="12"/>
      <c r="M2868" s="12" t="s">
        <v>2223</v>
      </c>
      <c r="N2868" s="12"/>
      <c r="O2868" s="12" t="s">
        <v>2224</v>
      </c>
      <c r="P2868" s="12" t="str">
        <f>HYPERLINK("https://ceds.ed.gov/cedselementdetails.aspx?termid=9688")</f>
        <v>https://ceds.ed.gov/cedselementdetails.aspx?termid=9688</v>
      </c>
      <c r="Q2868" s="12" t="str">
        <f>HYPERLINK("https://ceds.ed.gov/elementComment.aspx?elementName=Curriculum Framework Type &amp;elementID=9688", "Click here to submit comment")</f>
        <v>Click here to submit comment</v>
      </c>
    </row>
    <row r="2869" spans="1:17" ht="45" x14ac:dyDescent="0.25">
      <c r="A2869" s="12" t="s">
        <v>7313</v>
      </c>
      <c r="B2869" s="12" t="s">
        <v>7281</v>
      </c>
      <c r="C2869" s="12"/>
      <c r="D2869" s="12" t="s">
        <v>7172</v>
      </c>
      <c r="E2869" s="12" t="s">
        <v>1967</v>
      </c>
      <c r="F2869" s="12" t="s">
        <v>1968</v>
      </c>
      <c r="G2869" s="12" t="s">
        <v>6364</v>
      </c>
      <c r="H2869" s="12"/>
      <c r="I2869" s="12"/>
      <c r="J2869" s="12"/>
      <c r="K2869" s="12"/>
      <c r="L2869" s="12"/>
      <c r="M2869" s="12" t="s">
        <v>1969</v>
      </c>
      <c r="N2869" s="12"/>
      <c r="O2869" s="12" t="s">
        <v>1970</v>
      </c>
      <c r="P2869" s="12" t="str">
        <f>HYPERLINK("https://ceds.ed.gov/cedselementdetails.aspx?termid=9013")</f>
        <v>https://ceds.ed.gov/cedselementdetails.aspx?termid=9013</v>
      </c>
      <c r="Q2869" s="12" t="str">
        <f>HYPERLINK("https://ceds.ed.gov/elementComment.aspx?elementName=Course Aligned with Standards &amp;elementID=9013", "Click here to submit comment")</f>
        <v>Click here to submit comment</v>
      </c>
    </row>
    <row r="2870" spans="1:17" ht="30" x14ac:dyDescent="0.25">
      <c r="A2870" s="12" t="s">
        <v>7313</v>
      </c>
      <c r="B2870" s="12" t="s">
        <v>7281</v>
      </c>
      <c r="C2870" s="12"/>
      <c r="D2870" s="12" t="s">
        <v>7172</v>
      </c>
      <c r="E2870" s="12" t="s">
        <v>2005</v>
      </c>
      <c r="F2870" s="12" t="s">
        <v>2006</v>
      </c>
      <c r="G2870" s="12" t="s">
        <v>12</v>
      </c>
      <c r="H2870" s="12"/>
      <c r="I2870" s="12"/>
      <c r="J2870" s="12" t="s">
        <v>99</v>
      </c>
      <c r="K2870" s="12"/>
      <c r="L2870" s="12"/>
      <c r="M2870" s="12" t="s">
        <v>2007</v>
      </c>
      <c r="N2870" s="12"/>
      <c r="O2870" s="12" t="s">
        <v>2008</v>
      </c>
      <c r="P2870" s="12" t="str">
        <f>HYPERLINK("https://ceds.ed.gov/cedselementdetails.aspx?termid=10525")</f>
        <v>https://ceds.ed.gov/cedselementdetails.aspx?termid=10525</v>
      </c>
      <c r="Q2870" s="12" t="str">
        <f>HYPERLINK("https://ceds.ed.gov/elementComment.aspx?elementName=Course Department Name &amp;elementID=10525", "Click here to submit comment")</f>
        <v>Click here to submit comment</v>
      </c>
    </row>
    <row r="2871" spans="1:17" ht="120" x14ac:dyDescent="0.25">
      <c r="A2871" s="12" t="s">
        <v>7313</v>
      </c>
      <c r="B2871" s="12" t="s">
        <v>7281</v>
      </c>
      <c r="C2871" s="12"/>
      <c r="D2871" s="12" t="s">
        <v>7172</v>
      </c>
      <c r="E2871" s="12" t="s">
        <v>5546</v>
      </c>
      <c r="F2871" s="12" t="s">
        <v>5547</v>
      </c>
      <c r="G2871" s="14" t="s">
        <v>5548</v>
      </c>
      <c r="H2871" s="12"/>
      <c r="I2871" s="12"/>
      <c r="J2871" s="12" t="s">
        <v>5549</v>
      </c>
      <c r="K2871" s="12"/>
      <c r="L2871" s="12" t="s">
        <v>5550</v>
      </c>
      <c r="M2871" s="12" t="s">
        <v>5551</v>
      </c>
      <c r="N2871" s="12" t="s">
        <v>5552</v>
      </c>
      <c r="O2871" s="12" t="s">
        <v>5553</v>
      </c>
      <c r="P2871" s="12" t="str">
        <f>HYPERLINK("https://ceds.ed.gov/cedselementdetails.aspx?termid=10490")</f>
        <v>https://ceds.ed.gov/cedselementdetails.aspx?termid=10490</v>
      </c>
      <c r="Q2871" s="12" t="str">
        <f>HYPERLINK("https://ceds.ed.gov/elementComment.aspx?elementName=School Courses for the Exchange of Data Course Code &amp;elementID=10490", "Click here to submit comment")</f>
        <v>Click here to submit comment</v>
      </c>
    </row>
    <row r="2872" spans="1:17" ht="105" x14ac:dyDescent="0.25">
      <c r="A2872" s="12" t="s">
        <v>7313</v>
      </c>
      <c r="B2872" s="12" t="s">
        <v>7281</v>
      </c>
      <c r="C2872" s="12"/>
      <c r="D2872" s="12" t="s">
        <v>7172</v>
      </c>
      <c r="E2872" s="12" t="s">
        <v>5554</v>
      </c>
      <c r="F2872" s="12" t="s">
        <v>5555</v>
      </c>
      <c r="G2872" s="13" t="s">
        <v>7101</v>
      </c>
      <c r="H2872" s="12"/>
      <c r="I2872" s="12"/>
      <c r="J2872" s="12" t="s">
        <v>5556</v>
      </c>
      <c r="K2872" s="12"/>
      <c r="L2872" s="12"/>
      <c r="M2872" s="12" t="s">
        <v>5557</v>
      </c>
      <c r="N2872" s="12" t="s">
        <v>5558</v>
      </c>
      <c r="O2872" s="12" t="s">
        <v>5559</v>
      </c>
      <c r="P2872" s="12" t="str">
        <f>HYPERLINK("https://ceds.ed.gov/cedselementdetails.aspx?termid=10488")</f>
        <v>https://ceds.ed.gov/cedselementdetails.aspx?termid=10488</v>
      </c>
      <c r="Q2872" s="12" t="str">
        <f>HYPERLINK("https://ceds.ed.gov/elementComment.aspx?elementName=School Courses for the Exchange of Data Course Level &amp;elementID=10488", "Click here to submit comment")</f>
        <v>Click here to submit comment</v>
      </c>
    </row>
    <row r="2873" spans="1:17" ht="409.5" x14ac:dyDescent="0.25">
      <c r="A2873" s="12" t="s">
        <v>7313</v>
      </c>
      <c r="B2873" s="12" t="s">
        <v>7281</v>
      </c>
      <c r="C2873" s="12"/>
      <c r="D2873" s="12" t="s">
        <v>7172</v>
      </c>
      <c r="E2873" s="12" t="s">
        <v>5560</v>
      </c>
      <c r="F2873" s="12" t="s">
        <v>5561</v>
      </c>
      <c r="G2873" s="13" t="s">
        <v>7102</v>
      </c>
      <c r="H2873" s="12"/>
      <c r="I2873" s="12"/>
      <c r="J2873" s="12" t="s">
        <v>5562</v>
      </c>
      <c r="K2873" s="12"/>
      <c r="L2873" s="12" t="s">
        <v>5563</v>
      </c>
      <c r="M2873" s="12" t="s">
        <v>5564</v>
      </c>
      <c r="N2873" s="12" t="s">
        <v>5565</v>
      </c>
      <c r="O2873" s="12" t="s">
        <v>5566</v>
      </c>
      <c r="P2873" s="12" t="str">
        <f>HYPERLINK("https://ceds.ed.gov/cedselementdetails.aspx?termid=10491")</f>
        <v>https://ceds.ed.gov/cedselementdetails.aspx?termid=10491</v>
      </c>
      <c r="Q2873" s="12" t="str">
        <f>HYPERLINK("https://ceds.ed.gov/elementComment.aspx?elementName=School Courses for the Exchange of Data Course Subject Area &amp;elementID=10491", "Click here to submit comment")</f>
        <v>Click here to submit comment</v>
      </c>
    </row>
    <row r="2874" spans="1:17" ht="30" x14ac:dyDescent="0.25">
      <c r="A2874" s="12" t="s">
        <v>7313</v>
      </c>
      <c r="B2874" s="12" t="s">
        <v>7280</v>
      </c>
      <c r="C2874" s="12"/>
      <c r="D2874" s="12" t="s">
        <v>7172</v>
      </c>
      <c r="E2874" s="12" t="s">
        <v>2124</v>
      </c>
      <c r="F2874" s="12" t="s">
        <v>2125</v>
      </c>
      <c r="G2874" s="12" t="s">
        <v>12</v>
      </c>
      <c r="H2874" s="12"/>
      <c r="I2874" s="12" t="s">
        <v>1498</v>
      </c>
      <c r="J2874" s="12" t="s">
        <v>317</v>
      </c>
      <c r="K2874" s="12"/>
      <c r="L2874" s="12"/>
      <c r="M2874" s="12" t="s">
        <v>2126</v>
      </c>
      <c r="N2874" s="12"/>
      <c r="O2874" s="12" t="s">
        <v>2127</v>
      </c>
      <c r="P2874" s="12" t="str">
        <f>HYPERLINK("https://ceds.ed.gov/cedselementdetails.aspx?termid=10636")</f>
        <v>https://ceds.ed.gov/cedselementdetails.aspx?termid=10636</v>
      </c>
      <c r="Q2874" s="12" t="str">
        <f>HYPERLINK("https://ceds.ed.gov/elementComment.aspx?elementName=Course Section Maximum Capacity &amp;elementID=10636", "Click here to submit comment")</f>
        <v>Click here to submit comment</v>
      </c>
    </row>
    <row r="2875" spans="1:17" ht="105" x14ac:dyDescent="0.25">
      <c r="A2875" s="18" t="s">
        <v>7313</v>
      </c>
      <c r="B2875" s="18" t="s">
        <v>7280</v>
      </c>
      <c r="C2875" s="18"/>
      <c r="D2875" s="18" t="s">
        <v>7172</v>
      </c>
      <c r="E2875" s="18" t="s">
        <v>2116</v>
      </c>
      <c r="F2875" s="18" t="s">
        <v>2117</v>
      </c>
      <c r="G2875" s="18" t="s">
        <v>12</v>
      </c>
      <c r="H2875" s="18"/>
      <c r="I2875" s="18"/>
      <c r="J2875" s="18" t="s">
        <v>142</v>
      </c>
      <c r="K2875" s="18"/>
      <c r="L2875" s="12" t="s">
        <v>143</v>
      </c>
      <c r="M2875" s="18" t="s">
        <v>2118</v>
      </c>
      <c r="N2875" s="18"/>
      <c r="O2875" s="18" t="s">
        <v>2119</v>
      </c>
      <c r="P2875" s="18" t="str">
        <f>HYPERLINK("https://ceds.ed.gov/cedselementdetails.aspx?termid=9979")</f>
        <v>https://ceds.ed.gov/cedselementdetails.aspx?termid=9979</v>
      </c>
      <c r="Q2875" s="18" t="str">
        <f>HYPERLINK("https://ceds.ed.gov/elementComment.aspx?elementName=Course Section Identifier &amp;elementID=9979", "Click here to submit comment")</f>
        <v>Click here to submit comment</v>
      </c>
    </row>
    <row r="2876" spans="1:17" x14ac:dyDescent="0.25">
      <c r="A2876" s="18"/>
      <c r="B2876" s="18"/>
      <c r="C2876" s="18"/>
      <c r="D2876" s="18"/>
      <c r="E2876" s="18"/>
      <c r="F2876" s="18"/>
      <c r="G2876" s="18"/>
      <c r="H2876" s="18"/>
      <c r="I2876" s="18"/>
      <c r="J2876" s="18"/>
      <c r="K2876" s="18"/>
      <c r="L2876" s="12"/>
      <c r="M2876" s="18"/>
      <c r="N2876" s="18"/>
      <c r="O2876" s="18"/>
      <c r="P2876" s="18"/>
      <c r="Q2876" s="18"/>
    </row>
    <row r="2877" spans="1:17" ht="90" x14ac:dyDescent="0.25">
      <c r="A2877" s="18"/>
      <c r="B2877" s="18"/>
      <c r="C2877" s="18"/>
      <c r="D2877" s="18"/>
      <c r="E2877" s="18"/>
      <c r="F2877" s="18"/>
      <c r="G2877" s="18"/>
      <c r="H2877" s="18"/>
      <c r="I2877" s="18"/>
      <c r="J2877" s="18"/>
      <c r="K2877" s="18"/>
      <c r="L2877" s="12" t="s">
        <v>144</v>
      </c>
      <c r="M2877" s="18"/>
      <c r="N2877" s="18"/>
      <c r="O2877" s="18"/>
      <c r="P2877" s="18"/>
      <c r="Q2877" s="18"/>
    </row>
    <row r="2878" spans="1:17" ht="105" x14ac:dyDescent="0.25">
      <c r="A2878" s="18" t="s">
        <v>7313</v>
      </c>
      <c r="B2878" s="18" t="s">
        <v>7280</v>
      </c>
      <c r="C2878" s="18"/>
      <c r="D2878" s="18" t="s">
        <v>7172</v>
      </c>
      <c r="E2878" s="18" t="s">
        <v>1842</v>
      </c>
      <c r="F2878" s="18" t="s">
        <v>1843</v>
      </c>
      <c r="G2878" s="18" t="s">
        <v>12</v>
      </c>
      <c r="H2878" s="18"/>
      <c r="I2878" s="18"/>
      <c r="J2878" s="18" t="s">
        <v>142</v>
      </c>
      <c r="K2878" s="18"/>
      <c r="L2878" s="12" t="s">
        <v>143</v>
      </c>
      <c r="M2878" s="18" t="s">
        <v>1844</v>
      </c>
      <c r="N2878" s="18"/>
      <c r="O2878" s="18" t="s">
        <v>1845</v>
      </c>
      <c r="P2878" s="18" t="str">
        <f>HYPERLINK("https://ceds.ed.gov/cedselementdetails.aspx?termid=9507")</f>
        <v>https://ceds.ed.gov/cedselementdetails.aspx?termid=9507</v>
      </c>
      <c r="Q2878" s="18" t="str">
        <f>HYPERLINK("https://ceds.ed.gov/elementComment.aspx?elementName=Classroom Identifier &amp;elementID=9507", "Click here to submit comment")</f>
        <v>Click here to submit comment</v>
      </c>
    </row>
    <row r="2879" spans="1:17" x14ac:dyDescent="0.25">
      <c r="A2879" s="18"/>
      <c r="B2879" s="18"/>
      <c r="C2879" s="18"/>
      <c r="D2879" s="18"/>
      <c r="E2879" s="18"/>
      <c r="F2879" s="18"/>
      <c r="G2879" s="18"/>
      <c r="H2879" s="18"/>
      <c r="I2879" s="18"/>
      <c r="J2879" s="18"/>
      <c r="K2879" s="18"/>
      <c r="L2879" s="12"/>
      <c r="M2879" s="18"/>
      <c r="N2879" s="18"/>
      <c r="O2879" s="18"/>
      <c r="P2879" s="18"/>
      <c r="Q2879" s="18"/>
    </row>
    <row r="2880" spans="1:17" ht="90" x14ac:dyDescent="0.25">
      <c r="A2880" s="18"/>
      <c r="B2880" s="18"/>
      <c r="C2880" s="18"/>
      <c r="D2880" s="18"/>
      <c r="E2880" s="18"/>
      <c r="F2880" s="18"/>
      <c r="G2880" s="18"/>
      <c r="H2880" s="18"/>
      <c r="I2880" s="18"/>
      <c r="J2880" s="18"/>
      <c r="K2880" s="18"/>
      <c r="L2880" s="12" t="s">
        <v>144</v>
      </c>
      <c r="M2880" s="18"/>
      <c r="N2880" s="18"/>
      <c r="O2880" s="18"/>
      <c r="P2880" s="18"/>
      <c r="Q2880" s="18"/>
    </row>
    <row r="2881" spans="1:17" ht="120" x14ac:dyDescent="0.25">
      <c r="A2881" s="12" t="s">
        <v>7313</v>
      </c>
      <c r="B2881" s="12" t="s">
        <v>7280</v>
      </c>
      <c r="C2881" s="12"/>
      <c r="D2881" s="12" t="s">
        <v>7172</v>
      </c>
      <c r="E2881" s="12" t="s">
        <v>5671</v>
      </c>
      <c r="F2881" s="12" t="s">
        <v>5672</v>
      </c>
      <c r="G2881" s="12" t="s">
        <v>12</v>
      </c>
      <c r="H2881" s="12" t="s">
        <v>6429</v>
      </c>
      <c r="I2881" s="12"/>
      <c r="J2881" s="12" t="s">
        <v>73</v>
      </c>
      <c r="K2881" s="12"/>
      <c r="L2881" s="12"/>
      <c r="M2881" s="12" t="s">
        <v>5673</v>
      </c>
      <c r="N2881" s="12"/>
      <c r="O2881" s="12" t="s">
        <v>5674</v>
      </c>
      <c r="P2881" s="12" t="str">
        <f>HYPERLINK("https://ceds.ed.gov/cedselementdetails.aspx?termid=9251")</f>
        <v>https://ceds.ed.gov/cedselementdetails.aspx?termid=9251</v>
      </c>
      <c r="Q2881" s="12" t="str">
        <f>HYPERLINK("https://ceds.ed.gov/elementComment.aspx?elementName=Session Begin Date &amp;elementID=9251", "Click here to submit comment")</f>
        <v>Click here to submit comment</v>
      </c>
    </row>
    <row r="2882" spans="1:17" ht="120" x14ac:dyDescent="0.25">
      <c r="A2882" s="12" t="s">
        <v>7313</v>
      </c>
      <c r="B2882" s="12" t="s">
        <v>7280</v>
      </c>
      <c r="C2882" s="12"/>
      <c r="D2882" s="12" t="s">
        <v>7172</v>
      </c>
      <c r="E2882" s="12" t="s">
        <v>5687</v>
      </c>
      <c r="F2882" s="12" t="s">
        <v>5688</v>
      </c>
      <c r="G2882" s="12" t="s">
        <v>12</v>
      </c>
      <c r="H2882" s="12" t="s">
        <v>6429</v>
      </c>
      <c r="I2882" s="12"/>
      <c r="J2882" s="12" t="s">
        <v>73</v>
      </c>
      <c r="K2882" s="12"/>
      <c r="L2882" s="12"/>
      <c r="M2882" s="12" t="s">
        <v>5689</v>
      </c>
      <c r="N2882" s="12"/>
      <c r="O2882" s="12" t="s">
        <v>5690</v>
      </c>
      <c r="P2882" s="12" t="str">
        <f>HYPERLINK("https://ceds.ed.gov/cedselementdetails.aspx?termid=9253")</f>
        <v>https://ceds.ed.gov/cedselementdetails.aspx?termid=9253</v>
      </c>
      <c r="Q2882" s="12" t="str">
        <f>HYPERLINK("https://ceds.ed.gov/elementComment.aspx?elementName=Session End Date &amp;elementID=9253", "Click here to submit comment")</f>
        <v>Click here to submit comment</v>
      </c>
    </row>
    <row r="2883" spans="1:17" ht="30" x14ac:dyDescent="0.25">
      <c r="A2883" s="12" t="s">
        <v>7313</v>
      </c>
      <c r="B2883" s="12" t="s">
        <v>7280</v>
      </c>
      <c r="C2883" s="12"/>
      <c r="D2883" s="12" t="s">
        <v>7172</v>
      </c>
      <c r="E2883" s="12" t="s">
        <v>5683</v>
      </c>
      <c r="F2883" s="12" t="s">
        <v>5684</v>
      </c>
      <c r="G2883" s="12" t="s">
        <v>12</v>
      </c>
      <c r="H2883" s="12" t="s">
        <v>6446</v>
      </c>
      <c r="I2883" s="12"/>
      <c r="J2883" s="12" t="s">
        <v>2328</v>
      </c>
      <c r="K2883" s="12"/>
      <c r="L2883" s="12"/>
      <c r="M2883" s="12" t="s">
        <v>5685</v>
      </c>
      <c r="N2883" s="12"/>
      <c r="O2883" s="12" t="s">
        <v>5686</v>
      </c>
      <c r="P2883" s="12" t="str">
        <f>HYPERLINK("https://ceds.ed.gov/cedselementdetails.aspx?termid=9252")</f>
        <v>https://ceds.ed.gov/cedselementdetails.aspx?termid=9252</v>
      </c>
      <c r="Q2883" s="12" t="str">
        <f>HYPERLINK("https://ceds.ed.gov/elementComment.aspx?elementName=Session Designator &amp;elementID=9252", "Click here to submit comment")</f>
        <v>Click here to submit comment</v>
      </c>
    </row>
    <row r="2884" spans="1:17" ht="180" x14ac:dyDescent="0.25">
      <c r="A2884" s="12" t="s">
        <v>7313</v>
      </c>
      <c r="B2884" s="12" t="s">
        <v>7280</v>
      </c>
      <c r="C2884" s="12"/>
      <c r="D2884" s="12" t="s">
        <v>7172</v>
      </c>
      <c r="E2884" s="12" t="s">
        <v>5707</v>
      </c>
      <c r="F2884" s="12" t="s">
        <v>5708</v>
      </c>
      <c r="G2884" s="13" t="s">
        <v>7111</v>
      </c>
      <c r="H2884" s="12" t="s">
        <v>6429</v>
      </c>
      <c r="I2884" s="12"/>
      <c r="J2884" s="12"/>
      <c r="K2884" s="12"/>
      <c r="L2884" s="12"/>
      <c r="M2884" s="12" t="s">
        <v>5709</v>
      </c>
      <c r="N2884" s="12"/>
      <c r="O2884" s="12" t="s">
        <v>5710</v>
      </c>
      <c r="P2884" s="12" t="str">
        <f>HYPERLINK("https://ceds.ed.gov/cedselementdetails.aspx?termid=9254")</f>
        <v>https://ceds.ed.gov/cedselementdetails.aspx?termid=9254</v>
      </c>
      <c r="Q2884" s="12" t="str">
        <f>HYPERLINK("https://ceds.ed.gov/elementComment.aspx?elementName=Session Type &amp;elementID=9254", "Click here to submit comment")</f>
        <v>Click here to submit comment</v>
      </c>
    </row>
    <row r="2885" spans="1:17" ht="60" x14ac:dyDescent="0.25">
      <c r="A2885" s="12" t="s">
        <v>7313</v>
      </c>
      <c r="B2885" s="12" t="s">
        <v>7280</v>
      </c>
      <c r="C2885" s="12"/>
      <c r="D2885" s="12" t="s">
        <v>7176</v>
      </c>
      <c r="E2885" s="12" t="s">
        <v>5675</v>
      </c>
      <c r="F2885" s="12" t="s">
        <v>5676</v>
      </c>
      <c r="G2885" s="12" t="s">
        <v>12</v>
      </c>
      <c r="H2885" s="12"/>
      <c r="I2885" s="12"/>
      <c r="J2885" s="12" t="s">
        <v>92</v>
      </c>
      <c r="K2885" s="12"/>
      <c r="L2885" s="12"/>
      <c r="M2885" s="12" t="s">
        <v>5677</v>
      </c>
      <c r="N2885" s="12"/>
      <c r="O2885" s="12" t="s">
        <v>5678</v>
      </c>
      <c r="P2885" s="12" t="str">
        <f>HYPERLINK("https://ceds.ed.gov/cedselementdetails.aspx?termid=10236")</f>
        <v>https://ceds.ed.gov/cedselementdetails.aspx?termid=10236</v>
      </c>
      <c r="Q2885" s="12" t="str">
        <f>HYPERLINK("https://ceds.ed.gov/elementComment.aspx?elementName=Session Code &amp;elementID=10236", "Click here to submit comment")</f>
        <v>Click here to submit comment</v>
      </c>
    </row>
    <row r="2886" spans="1:17" ht="30" x14ac:dyDescent="0.25">
      <c r="A2886" s="12" t="s">
        <v>7313</v>
      </c>
      <c r="B2886" s="12" t="s">
        <v>7280</v>
      </c>
      <c r="C2886" s="12"/>
      <c r="D2886" s="12" t="s">
        <v>7176</v>
      </c>
      <c r="E2886" s="12" t="s">
        <v>5679</v>
      </c>
      <c r="F2886" s="12" t="s">
        <v>5680</v>
      </c>
      <c r="G2886" s="12" t="s">
        <v>12</v>
      </c>
      <c r="H2886" s="12"/>
      <c r="I2886" s="12"/>
      <c r="J2886" s="12" t="s">
        <v>327</v>
      </c>
      <c r="K2886" s="12"/>
      <c r="L2886" s="12"/>
      <c r="M2886" s="12" t="s">
        <v>5681</v>
      </c>
      <c r="N2886" s="12"/>
      <c r="O2886" s="12" t="s">
        <v>5682</v>
      </c>
      <c r="P2886" s="12" t="str">
        <f>HYPERLINK("https://ceds.ed.gov/cedselementdetails.aspx?termid=10237")</f>
        <v>https://ceds.ed.gov/cedselementdetails.aspx?termid=10237</v>
      </c>
      <c r="Q2886" s="12" t="str">
        <f>HYPERLINK("https://ceds.ed.gov/elementComment.aspx?elementName=Session Description &amp;elementID=10237", "Click here to submit comment")</f>
        <v>Click here to submit comment</v>
      </c>
    </row>
    <row r="2887" spans="1:17" ht="45" x14ac:dyDescent="0.25">
      <c r="A2887" s="12" t="s">
        <v>7313</v>
      </c>
      <c r="B2887" s="12" t="s">
        <v>7280</v>
      </c>
      <c r="C2887" s="12"/>
      <c r="D2887" s="12" t="s">
        <v>7176</v>
      </c>
      <c r="E2887" s="12" t="s">
        <v>5695</v>
      </c>
      <c r="F2887" s="12" t="s">
        <v>5696</v>
      </c>
      <c r="G2887" s="12" t="s">
        <v>6364</v>
      </c>
      <c r="H2887" s="12"/>
      <c r="I2887" s="12"/>
      <c r="J2887" s="12"/>
      <c r="K2887" s="12"/>
      <c r="L2887" s="12"/>
      <c r="M2887" s="12" t="s">
        <v>5697</v>
      </c>
      <c r="N2887" s="12"/>
      <c r="O2887" s="12" t="s">
        <v>5698</v>
      </c>
      <c r="P2887" s="12" t="str">
        <f>HYPERLINK("https://ceds.ed.gov/cedselementdetails.aspx?termid=10238")</f>
        <v>https://ceds.ed.gov/cedselementdetails.aspx?termid=10238</v>
      </c>
      <c r="Q2887" s="12" t="str">
        <f>HYPERLINK("https://ceds.ed.gov/elementComment.aspx?elementName=Session Marking Term Indicator &amp;elementID=10238", "Click here to submit comment")</f>
        <v>Click here to submit comment</v>
      </c>
    </row>
    <row r="2888" spans="1:17" ht="45" x14ac:dyDescent="0.25">
      <c r="A2888" s="12" t="s">
        <v>7313</v>
      </c>
      <c r="B2888" s="12" t="s">
        <v>7280</v>
      </c>
      <c r="C2888" s="12"/>
      <c r="D2888" s="12" t="s">
        <v>7176</v>
      </c>
      <c r="E2888" s="12" t="s">
        <v>5699</v>
      </c>
      <c r="F2888" s="12" t="s">
        <v>5700</v>
      </c>
      <c r="G2888" s="12" t="s">
        <v>6364</v>
      </c>
      <c r="H2888" s="12"/>
      <c r="I2888" s="12"/>
      <c r="J2888" s="12"/>
      <c r="K2888" s="12"/>
      <c r="L2888" s="12"/>
      <c r="M2888" s="12" t="s">
        <v>5701</v>
      </c>
      <c r="N2888" s="12"/>
      <c r="O2888" s="12" t="s">
        <v>5702</v>
      </c>
      <c r="P2888" s="12" t="str">
        <f>HYPERLINK("https://ceds.ed.gov/cedselementdetails.aspx?termid=10239")</f>
        <v>https://ceds.ed.gov/cedselementdetails.aspx?termid=10239</v>
      </c>
      <c r="Q2888" s="12" t="str">
        <f>HYPERLINK("https://ceds.ed.gov/elementComment.aspx?elementName=Session Scheduling Term Indicator &amp;elementID=10239", "Click here to submit comment")</f>
        <v>Click here to submit comment</v>
      </c>
    </row>
    <row r="2889" spans="1:17" ht="45" x14ac:dyDescent="0.25">
      <c r="A2889" s="12" t="s">
        <v>7313</v>
      </c>
      <c r="B2889" s="12" t="s">
        <v>7280</v>
      </c>
      <c r="C2889" s="12"/>
      <c r="D2889" s="12" t="s">
        <v>7176</v>
      </c>
      <c r="E2889" s="12" t="s">
        <v>5667</v>
      </c>
      <c r="F2889" s="12" t="s">
        <v>5668</v>
      </c>
      <c r="G2889" s="12" t="s">
        <v>6364</v>
      </c>
      <c r="H2889" s="12"/>
      <c r="I2889" s="12"/>
      <c r="J2889" s="12"/>
      <c r="K2889" s="12"/>
      <c r="L2889" s="12"/>
      <c r="M2889" s="12" t="s">
        <v>5669</v>
      </c>
      <c r="N2889" s="12"/>
      <c r="O2889" s="12" t="s">
        <v>5670</v>
      </c>
      <c r="P2889" s="12" t="str">
        <f>HYPERLINK("https://ceds.ed.gov/cedselementdetails.aspx?termid=10240")</f>
        <v>https://ceds.ed.gov/cedselementdetails.aspx?termid=10240</v>
      </c>
      <c r="Q2889" s="12" t="str">
        <f>HYPERLINK("https://ceds.ed.gov/elementComment.aspx?elementName=Session Attendance Term Indicator &amp;elementID=10240", "Click here to submit comment")</f>
        <v>Click here to submit comment</v>
      </c>
    </row>
    <row r="2890" spans="1:17" ht="30" x14ac:dyDescent="0.25">
      <c r="A2890" s="12" t="s">
        <v>7313</v>
      </c>
      <c r="B2890" s="12" t="s">
        <v>7280</v>
      </c>
      <c r="C2890" s="12"/>
      <c r="D2890" s="12" t="s">
        <v>7172</v>
      </c>
      <c r="E2890" s="12" t="s">
        <v>1804</v>
      </c>
      <c r="F2890" s="12" t="s">
        <v>1805</v>
      </c>
      <c r="G2890" s="12" t="s">
        <v>12</v>
      </c>
      <c r="H2890" s="12" t="s">
        <v>6453</v>
      </c>
      <c r="I2890" s="12"/>
      <c r="J2890" s="12" t="s">
        <v>437</v>
      </c>
      <c r="K2890" s="12"/>
      <c r="L2890" s="12"/>
      <c r="M2890" s="12" t="s">
        <v>1806</v>
      </c>
      <c r="N2890" s="12"/>
      <c r="O2890" s="12" t="s">
        <v>1807</v>
      </c>
      <c r="P2890" s="12" t="str">
        <f>HYPERLINK("https://ceds.ed.gov/cedselementdetails.aspx?termid=9510")</f>
        <v>https://ceds.ed.gov/cedselementdetails.aspx?termid=9510</v>
      </c>
      <c r="Q2890" s="12" t="str">
        <f>HYPERLINK("https://ceds.ed.gov/elementComment.aspx?elementName=Class Beginning Time &amp;elementID=9510", "Click here to submit comment")</f>
        <v>Click here to submit comment</v>
      </c>
    </row>
    <row r="2891" spans="1:17" ht="30" x14ac:dyDescent="0.25">
      <c r="A2891" s="12" t="s">
        <v>7313</v>
      </c>
      <c r="B2891" s="12" t="s">
        <v>7280</v>
      </c>
      <c r="C2891" s="12"/>
      <c r="D2891" s="12" t="s">
        <v>7172</v>
      </c>
      <c r="E2891" s="12" t="s">
        <v>1808</v>
      </c>
      <c r="F2891" s="12" t="s">
        <v>1809</v>
      </c>
      <c r="G2891" s="12" t="s">
        <v>12</v>
      </c>
      <c r="H2891" s="12" t="s">
        <v>6453</v>
      </c>
      <c r="I2891" s="12"/>
      <c r="J2891" s="12" t="s">
        <v>1810</v>
      </c>
      <c r="K2891" s="12"/>
      <c r="L2891" s="12"/>
      <c r="M2891" s="12" t="s">
        <v>1811</v>
      </c>
      <c r="N2891" s="12"/>
      <c r="O2891" s="12" t="s">
        <v>1812</v>
      </c>
      <c r="P2891" s="12" t="str">
        <f>HYPERLINK("https://ceds.ed.gov/cedselementdetails.aspx?termid=9511")</f>
        <v>https://ceds.ed.gov/cedselementdetails.aspx?termid=9511</v>
      </c>
      <c r="Q2891" s="12" t="str">
        <f>HYPERLINK("https://ceds.ed.gov/elementComment.aspx?elementName=Class Ending Time &amp;elementID=9511", "Click here to submit comment")</f>
        <v>Click here to submit comment</v>
      </c>
    </row>
    <row r="2892" spans="1:17" ht="60" x14ac:dyDescent="0.25">
      <c r="A2892" s="12" t="s">
        <v>7313</v>
      </c>
      <c r="B2892" s="12" t="s">
        <v>7280</v>
      </c>
      <c r="C2892" s="12"/>
      <c r="D2892" s="12" t="s">
        <v>7172</v>
      </c>
      <c r="E2892" s="12" t="s">
        <v>1813</v>
      </c>
      <c r="F2892" s="12" t="s">
        <v>1814</v>
      </c>
      <c r="G2892" s="12" t="s">
        <v>12</v>
      </c>
      <c r="H2892" s="12"/>
      <c r="I2892" s="12"/>
      <c r="J2892" s="12" t="s">
        <v>99</v>
      </c>
      <c r="K2892" s="12"/>
      <c r="L2892" s="12"/>
      <c r="M2892" s="12" t="s">
        <v>1815</v>
      </c>
      <c r="N2892" s="12"/>
      <c r="O2892" s="12" t="s">
        <v>1816</v>
      </c>
      <c r="P2892" s="12" t="str">
        <f>HYPERLINK("https://ceds.ed.gov/cedselementdetails.aspx?termid=9512")</f>
        <v>https://ceds.ed.gov/cedselementdetails.aspx?termid=9512</v>
      </c>
      <c r="Q2892" s="12" t="str">
        <f>HYPERLINK("https://ceds.ed.gov/elementComment.aspx?elementName=Class Meeting Days &amp;elementID=9512", "Click here to submit comment")</f>
        <v>Click here to submit comment</v>
      </c>
    </row>
    <row r="2893" spans="1:17" ht="75" x14ac:dyDescent="0.25">
      <c r="A2893" s="12" t="s">
        <v>7313</v>
      </c>
      <c r="B2893" s="12" t="s">
        <v>7280</v>
      </c>
      <c r="C2893" s="12"/>
      <c r="D2893" s="12" t="s">
        <v>7172</v>
      </c>
      <c r="E2893" s="12" t="s">
        <v>1817</v>
      </c>
      <c r="F2893" s="12" t="s">
        <v>1818</v>
      </c>
      <c r="G2893" s="12" t="s">
        <v>12</v>
      </c>
      <c r="H2893" s="12"/>
      <c r="I2893" s="12"/>
      <c r="J2893" s="12" t="s">
        <v>92</v>
      </c>
      <c r="K2893" s="12"/>
      <c r="L2893" s="12"/>
      <c r="M2893" s="12" t="s">
        <v>1819</v>
      </c>
      <c r="N2893" s="12"/>
      <c r="O2893" s="12" t="s">
        <v>1820</v>
      </c>
      <c r="P2893" s="12" t="str">
        <f>HYPERLINK("https://ceds.ed.gov/cedselementdetails.aspx?termid=9513")</f>
        <v>https://ceds.ed.gov/cedselementdetails.aspx?termid=9513</v>
      </c>
      <c r="Q2893" s="12" t="str">
        <f>HYPERLINK("https://ceds.ed.gov/elementComment.aspx?elementName=Class Period &amp;elementID=9513", "Click here to submit comment")</f>
        <v>Click here to submit comment</v>
      </c>
    </row>
    <row r="2894" spans="1:17" ht="105" x14ac:dyDescent="0.25">
      <c r="A2894" s="18" t="s">
        <v>7313</v>
      </c>
      <c r="B2894" s="18" t="s">
        <v>7280</v>
      </c>
      <c r="C2894" s="18"/>
      <c r="D2894" s="18" t="s">
        <v>7172</v>
      </c>
      <c r="E2894" s="18" t="s">
        <v>6123</v>
      </c>
      <c r="F2894" s="18" t="s">
        <v>6124</v>
      </c>
      <c r="G2894" s="18" t="s">
        <v>12</v>
      </c>
      <c r="H2894" s="18"/>
      <c r="I2894" s="18"/>
      <c r="J2894" s="18" t="s">
        <v>142</v>
      </c>
      <c r="K2894" s="18"/>
      <c r="L2894" s="12" t="s">
        <v>143</v>
      </c>
      <c r="M2894" s="18" t="s">
        <v>6125</v>
      </c>
      <c r="N2894" s="18"/>
      <c r="O2894" s="18" t="s">
        <v>6126</v>
      </c>
      <c r="P2894" s="18" t="str">
        <f>HYPERLINK("https://ceds.ed.gov/cedselementdetails.aspx?termid=9514")</f>
        <v>https://ceds.ed.gov/cedselementdetails.aspx?termid=9514</v>
      </c>
      <c r="Q2894" s="18" t="str">
        <f>HYPERLINK("https://ceds.ed.gov/elementComment.aspx?elementName=Timetable Day Identifier &amp;elementID=9514", "Click here to submit comment")</f>
        <v>Click here to submit comment</v>
      </c>
    </row>
    <row r="2895" spans="1:17" x14ac:dyDescent="0.25">
      <c r="A2895" s="18"/>
      <c r="B2895" s="18"/>
      <c r="C2895" s="18"/>
      <c r="D2895" s="18"/>
      <c r="E2895" s="18"/>
      <c r="F2895" s="18"/>
      <c r="G2895" s="18"/>
      <c r="H2895" s="18"/>
      <c r="I2895" s="18"/>
      <c r="J2895" s="18"/>
      <c r="K2895" s="18"/>
      <c r="L2895" s="12"/>
      <c r="M2895" s="18"/>
      <c r="N2895" s="18"/>
      <c r="O2895" s="18"/>
      <c r="P2895" s="18"/>
      <c r="Q2895" s="18"/>
    </row>
    <row r="2896" spans="1:17" ht="90" x14ac:dyDescent="0.25">
      <c r="A2896" s="18"/>
      <c r="B2896" s="18"/>
      <c r="C2896" s="18"/>
      <c r="D2896" s="18"/>
      <c r="E2896" s="18"/>
      <c r="F2896" s="18"/>
      <c r="G2896" s="18"/>
      <c r="H2896" s="18"/>
      <c r="I2896" s="18"/>
      <c r="J2896" s="18"/>
      <c r="K2896" s="18"/>
      <c r="L2896" s="12" t="s">
        <v>144</v>
      </c>
      <c r="M2896" s="18"/>
      <c r="N2896" s="18"/>
      <c r="O2896" s="18"/>
      <c r="P2896" s="18"/>
      <c r="Q2896" s="18"/>
    </row>
    <row r="2897" spans="1:17" ht="165" x14ac:dyDescent="0.25">
      <c r="A2897" s="12" t="s">
        <v>7313</v>
      </c>
      <c r="B2897" s="12" t="s">
        <v>7280</v>
      </c>
      <c r="C2897" s="12"/>
      <c r="D2897" s="12" t="s">
        <v>7172</v>
      </c>
      <c r="E2897" s="12" t="s">
        <v>2136</v>
      </c>
      <c r="F2897" s="12" t="s">
        <v>2137</v>
      </c>
      <c r="G2897" s="12" t="s">
        <v>12</v>
      </c>
      <c r="H2897" s="12" t="s">
        <v>2140</v>
      </c>
      <c r="I2897" s="12"/>
      <c r="J2897" s="12" t="s">
        <v>317</v>
      </c>
      <c r="K2897" s="12"/>
      <c r="L2897" s="12"/>
      <c r="M2897" s="12" t="s">
        <v>2138</v>
      </c>
      <c r="N2897" s="12"/>
      <c r="O2897" s="12" t="s">
        <v>2139</v>
      </c>
      <c r="P2897" s="12" t="str">
        <f>HYPERLINK("https://ceds.ed.gov/cedselementdetails.aspx?termid=9101")</f>
        <v>https://ceds.ed.gov/cedselementdetails.aspx?termid=9101</v>
      </c>
      <c r="Q2897" s="12" t="str">
        <f>HYPERLINK("https://ceds.ed.gov/elementComment.aspx?elementName=Course Section Time Required For Completion &amp;elementID=9101", "Click here to submit comment")</f>
        <v>Click here to submit comment</v>
      </c>
    </row>
    <row r="2898" spans="1:17" ht="90" x14ac:dyDescent="0.25">
      <c r="A2898" s="12" t="s">
        <v>7313</v>
      </c>
      <c r="B2898" s="12" t="s">
        <v>7280</v>
      </c>
      <c r="C2898" s="12"/>
      <c r="D2898" s="12" t="s">
        <v>7172</v>
      </c>
      <c r="E2898" s="12" t="s">
        <v>3544</v>
      </c>
      <c r="F2898" s="12" t="s">
        <v>3545</v>
      </c>
      <c r="G2898" s="14" t="s">
        <v>999</v>
      </c>
      <c r="H2898" s="12" t="s">
        <v>211</v>
      </c>
      <c r="I2898" s="12" t="s">
        <v>98</v>
      </c>
      <c r="J2898" s="12"/>
      <c r="K2898" s="12"/>
      <c r="L2898" s="14" t="s">
        <v>1000</v>
      </c>
      <c r="M2898" s="12" t="s">
        <v>3546</v>
      </c>
      <c r="N2898" s="12"/>
      <c r="O2898" s="12" t="s">
        <v>3547</v>
      </c>
      <c r="P2898" s="12" t="str">
        <f>HYPERLINK("https://ceds.ed.gov/cedselementdetails.aspx?termid=9438")</f>
        <v>https://ceds.ed.gov/cedselementdetails.aspx?termid=9438</v>
      </c>
      <c r="Q2898" s="12" t="str">
        <f>HYPERLINK("https://ceds.ed.gov/elementComment.aspx?elementName=Instruction Language &amp;elementID=9438", "Click here to submit comment")</f>
        <v>Click here to submit comment</v>
      </c>
    </row>
    <row r="2899" spans="1:17" ht="60" x14ac:dyDescent="0.25">
      <c r="A2899" s="12" t="s">
        <v>7313</v>
      </c>
      <c r="B2899" s="12" t="s">
        <v>7280</v>
      </c>
      <c r="C2899" s="12"/>
      <c r="D2899" s="12" t="s">
        <v>7172</v>
      </c>
      <c r="E2899" s="12" t="s">
        <v>2132</v>
      </c>
      <c r="F2899" s="12" t="s">
        <v>2133</v>
      </c>
      <c r="G2899" s="13" t="s">
        <v>6848</v>
      </c>
      <c r="H2899" s="12" t="s">
        <v>6485</v>
      </c>
      <c r="I2899" s="12"/>
      <c r="J2899" s="12"/>
      <c r="K2899" s="12"/>
      <c r="L2899" s="12"/>
      <c r="M2899" s="12" t="s">
        <v>2134</v>
      </c>
      <c r="N2899" s="12"/>
      <c r="O2899" s="12" t="s">
        <v>2135</v>
      </c>
      <c r="P2899" s="12" t="str">
        <f>HYPERLINK("https://ceds.ed.gov/cedselementdetails.aspx?termid=9258")</f>
        <v>https://ceds.ed.gov/cedselementdetails.aspx?termid=9258</v>
      </c>
      <c r="Q2899" s="12" t="str">
        <f>HYPERLINK("https://ceds.ed.gov/elementComment.aspx?elementName=Course Section Single Sex Class Status &amp;elementID=9258", "Click here to submit comment")</f>
        <v>Click here to submit comment</v>
      </c>
    </row>
    <row r="2900" spans="1:17" ht="180" x14ac:dyDescent="0.25">
      <c r="A2900" s="12" t="s">
        <v>7313</v>
      </c>
      <c r="B2900" s="12" t="s">
        <v>7280</v>
      </c>
      <c r="C2900" s="12"/>
      <c r="D2900" s="12" t="s">
        <v>7172</v>
      </c>
      <c r="E2900" s="12" t="s">
        <v>5317</v>
      </c>
      <c r="F2900" s="12" t="s">
        <v>5318</v>
      </c>
      <c r="G2900" s="13" t="s">
        <v>7093</v>
      </c>
      <c r="H2900" s="12"/>
      <c r="I2900" s="12"/>
      <c r="J2900" s="12"/>
      <c r="K2900" s="12"/>
      <c r="L2900" s="12"/>
      <c r="M2900" s="12" t="s">
        <v>5319</v>
      </c>
      <c r="N2900" s="12"/>
      <c r="O2900" s="12" t="s">
        <v>5320</v>
      </c>
      <c r="P2900" s="12" t="str">
        <f>HYPERLINK("https://ceds.ed.gov/cedselementdetails.aspx?termid=9515")</f>
        <v>https://ceds.ed.gov/cedselementdetails.aspx?termid=9515</v>
      </c>
      <c r="Q2900" s="12" t="str">
        <f>HYPERLINK("https://ceds.ed.gov/elementComment.aspx?elementName=Receiving Location of Instruction &amp;elementID=9515", "Click here to submit comment")</f>
        <v>Click here to submit comment</v>
      </c>
    </row>
    <row r="2901" spans="1:17" ht="150" x14ac:dyDescent="0.25">
      <c r="A2901" s="12" t="s">
        <v>7313</v>
      </c>
      <c r="B2901" s="12" t="s">
        <v>7280</v>
      </c>
      <c r="C2901" s="12"/>
      <c r="D2901" s="12" t="s">
        <v>7172</v>
      </c>
      <c r="E2901" s="12" t="s">
        <v>2120</v>
      </c>
      <c r="F2901" s="12" t="s">
        <v>2121</v>
      </c>
      <c r="G2901" s="13" t="s">
        <v>6847</v>
      </c>
      <c r="H2901" s="12"/>
      <c r="I2901" s="12"/>
      <c r="J2901" s="12"/>
      <c r="K2901" s="12"/>
      <c r="L2901" s="12"/>
      <c r="M2901" s="12" t="s">
        <v>2122</v>
      </c>
      <c r="N2901" s="12"/>
      <c r="O2901" s="12" t="s">
        <v>2123</v>
      </c>
      <c r="P2901" s="12" t="str">
        <f>HYPERLINK("https://ceds.ed.gov/cedselementdetails.aspx?termid=10168")</f>
        <v>https://ceds.ed.gov/cedselementdetails.aspx?termid=10168</v>
      </c>
      <c r="Q2901" s="12" t="str">
        <f>HYPERLINK("https://ceds.ed.gov/elementComment.aspx?elementName=Course Section Instructional Delivery Mode &amp;elementID=10168", "Click here to submit comment")</f>
        <v>Click here to submit comment</v>
      </c>
    </row>
    <row r="2902" spans="1:17" ht="105" x14ac:dyDescent="0.25">
      <c r="A2902" s="12" t="s">
        <v>7313</v>
      </c>
      <c r="B2902" s="12" t="s">
        <v>7280</v>
      </c>
      <c r="C2902" s="12"/>
      <c r="D2902" s="12" t="s">
        <v>7172</v>
      </c>
      <c r="E2902" s="12" t="s">
        <v>6280</v>
      </c>
      <c r="F2902" s="12" t="s">
        <v>6281</v>
      </c>
      <c r="G2902" s="12" t="s">
        <v>6364</v>
      </c>
      <c r="H2902" s="12"/>
      <c r="I2902" s="12"/>
      <c r="J2902" s="12"/>
      <c r="K2902" s="12"/>
      <c r="L2902" s="12"/>
      <c r="M2902" s="12" t="s">
        <v>6282</v>
      </c>
      <c r="N2902" s="12"/>
      <c r="O2902" s="12" t="s">
        <v>6283</v>
      </c>
      <c r="P2902" s="12" t="str">
        <f>HYPERLINK("https://ceds.ed.gov/cedselementdetails.aspx?termid=10167")</f>
        <v>https://ceds.ed.gov/cedselementdetails.aspx?termid=10167</v>
      </c>
      <c r="Q2902" s="12" t="str">
        <f>HYPERLINK("https://ceds.ed.gov/elementComment.aspx?elementName=Virtual Indicator &amp;elementID=10167", "Click here to submit comment")</f>
        <v>Click here to submit comment</v>
      </c>
    </row>
    <row r="2903" spans="1:17" ht="120" x14ac:dyDescent="0.25">
      <c r="A2903" s="12" t="s">
        <v>7313</v>
      </c>
      <c r="B2903" s="12" t="s">
        <v>7280</v>
      </c>
      <c r="C2903" s="12"/>
      <c r="D2903" s="12" t="s">
        <v>7172</v>
      </c>
      <c r="E2903" s="12" t="s">
        <v>2027</v>
      </c>
      <c r="F2903" s="12" t="s">
        <v>2028</v>
      </c>
      <c r="G2903" s="13" t="s">
        <v>6836</v>
      </c>
      <c r="H2903" s="12" t="s">
        <v>6429</v>
      </c>
      <c r="I2903" s="12"/>
      <c r="J2903" s="12"/>
      <c r="K2903" s="12"/>
      <c r="L2903" s="12"/>
      <c r="M2903" s="12" t="s">
        <v>2029</v>
      </c>
      <c r="N2903" s="12" t="s">
        <v>2030</v>
      </c>
      <c r="O2903" s="12" t="s">
        <v>2031</v>
      </c>
      <c r="P2903" s="12" t="str">
        <f>HYPERLINK("https://ceds.ed.gov/cedselementdetails.aspx?termid=9060")</f>
        <v>https://ceds.ed.gov/cedselementdetails.aspx?termid=9060</v>
      </c>
      <c r="Q2903" s="12" t="str">
        <f>HYPERLINK("https://ceds.ed.gov/elementComment.aspx?elementName=Course Grade Point Average Applicability &amp;elementID=9060", "Click here to submit comment")</f>
        <v>Click here to submit comment</v>
      </c>
    </row>
    <row r="2904" spans="1:17" ht="45" x14ac:dyDescent="0.25">
      <c r="A2904" s="12" t="s">
        <v>7313</v>
      </c>
      <c r="B2904" s="12" t="s">
        <v>7280</v>
      </c>
      <c r="C2904" s="12"/>
      <c r="D2904" s="12" t="s">
        <v>7172</v>
      </c>
      <c r="E2904" s="12" t="s">
        <v>1967</v>
      </c>
      <c r="F2904" s="12" t="s">
        <v>1968</v>
      </c>
      <c r="G2904" s="12" t="s">
        <v>6364</v>
      </c>
      <c r="H2904" s="12"/>
      <c r="I2904" s="12"/>
      <c r="J2904" s="12"/>
      <c r="K2904" s="12"/>
      <c r="L2904" s="12"/>
      <c r="M2904" s="12" t="s">
        <v>1969</v>
      </c>
      <c r="N2904" s="12"/>
      <c r="O2904" s="12" t="s">
        <v>1970</v>
      </c>
      <c r="P2904" s="12" t="str">
        <f>HYPERLINK("https://ceds.ed.gov/cedselementdetails.aspx?termid=9013")</f>
        <v>https://ceds.ed.gov/cedselementdetails.aspx?termid=9013</v>
      </c>
      <c r="Q2904" s="12" t="str">
        <f>HYPERLINK("https://ceds.ed.gov/elementComment.aspx?elementName=Course Aligned with Standards &amp;elementID=9013", "Click here to submit comment")</f>
        <v>Click here to submit comment</v>
      </c>
    </row>
    <row r="2905" spans="1:17" ht="75" x14ac:dyDescent="0.25">
      <c r="A2905" s="12" t="s">
        <v>7313</v>
      </c>
      <c r="B2905" s="12" t="s">
        <v>7280</v>
      </c>
      <c r="C2905" s="12"/>
      <c r="D2905" s="12" t="s">
        <v>7176</v>
      </c>
      <c r="E2905" s="12" t="s">
        <v>0</v>
      </c>
      <c r="F2905" s="12" t="s">
        <v>1</v>
      </c>
      <c r="G2905" s="12" t="s">
        <v>6364</v>
      </c>
      <c r="H2905" s="12" t="s">
        <v>4</v>
      </c>
      <c r="I2905" s="12"/>
      <c r="J2905" s="12"/>
      <c r="K2905" s="12"/>
      <c r="L2905" s="12"/>
      <c r="M2905" s="12" t="s">
        <v>2</v>
      </c>
      <c r="N2905" s="12"/>
      <c r="O2905" s="12" t="s">
        <v>3</v>
      </c>
      <c r="P2905" s="12" t="str">
        <f>HYPERLINK("https://ceds.ed.gov/cedselementdetails.aspx?termid=9000")</f>
        <v>https://ceds.ed.gov/cedselementdetails.aspx?termid=9000</v>
      </c>
      <c r="Q2905" s="12" t="str">
        <f>HYPERLINK("https://ceds.ed.gov/elementComment.aspx?elementName=Ability Grouping Status &amp;elementID=9000", "Click here to submit comment")</f>
        <v>Click here to submit comment</v>
      </c>
    </row>
    <row r="2906" spans="1:17" ht="255" x14ac:dyDescent="0.25">
      <c r="A2906" s="12" t="s">
        <v>7313</v>
      </c>
      <c r="B2906" s="12" t="s">
        <v>7280</v>
      </c>
      <c r="C2906" s="12"/>
      <c r="D2906" s="12" t="s">
        <v>7176</v>
      </c>
      <c r="E2906" s="12" t="s">
        <v>168</v>
      </c>
      <c r="F2906" s="12" t="s">
        <v>169</v>
      </c>
      <c r="G2906" s="13" t="s">
        <v>6725</v>
      </c>
      <c r="H2906" s="12"/>
      <c r="I2906" s="12"/>
      <c r="J2906" s="12"/>
      <c r="K2906" s="12"/>
      <c r="L2906" s="12"/>
      <c r="M2906" s="12" t="s">
        <v>170</v>
      </c>
      <c r="N2906" s="12"/>
      <c r="O2906" s="12" t="s">
        <v>171</v>
      </c>
      <c r="P2906" s="12" t="str">
        <f>HYPERLINK("https://ceds.ed.gov/cedselementdetails.aspx?termid=9589")</f>
        <v>https://ceds.ed.gov/cedselementdetails.aspx?termid=9589</v>
      </c>
      <c r="Q2906" s="12" t="str">
        <f>HYPERLINK("https://ceds.ed.gov/elementComment.aspx?elementName=Additional Credit Type &amp;elementID=9589", "Click here to submit comment")</f>
        <v>Click here to submit comment</v>
      </c>
    </row>
    <row r="2907" spans="1:17" ht="409.5" x14ac:dyDescent="0.25">
      <c r="A2907" s="12" t="s">
        <v>7313</v>
      </c>
      <c r="B2907" s="12" t="s">
        <v>7280</v>
      </c>
      <c r="C2907" s="12"/>
      <c r="D2907" s="12" t="s">
        <v>7176</v>
      </c>
      <c r="E2907" s="12" t="s">
        <v>304</v>
      </c>
      <c r="F2907" s="12" t="s">
        <v>305</v>
      </c>
      <c r="G2907" s="13" t="s">
        <v>6744</v>
      </c>
      <c r="H2907" s="12"/>
      <c r="I2907" s="12"/>
      <c r="J2907" s="12" t="s">
        <v>99</v>
      </c>
      <c r="K2907" s="12"/>
      <c r="L2907" s="12"/>
      <c r="M2907" s="12" t="s">
        <v>306</v>
      </c>
      <c r="N2907" s="12" t="s">
        <v>307</v>
      </c>
      <c r="O2907" s="12" t="s">
        <v>308</v>
      </c>
      <c r="P2907" s="12" t="str">
        <f>HYPERLINK("https://ceds.ed.gov/cedselementdetails.aspx?termid=10244")</f>
        <v>https://ceds.ed.gov/cedselementdetails.aspx?termid=10244</v>
      </c>
      <c r="Q2907" s="12" t="str">
        <f>HYPERLINK("https://ceds.ed.gov/elementComment.aspx?elementName=Advanced Placement Course Code &amp;elementID=10244", "Click here to submit comment")</f>
        <v>Click here to submit comment</v>
      </c>
    </row>
    <row r="2908" spans="1:17" ht="75" x14ac:dyDescent="0.25">
      <c r="A2908" s="18" t="s">
        <v>7313</v>
      </c>
      <c r="B2908" s="18" t="s">
        <v>7280</v>
      </c>
      <c r="C2908" s="18"/>
      <c r="D2908" s="18" t="s">
        <v>7176</v>
      </c>
      <c r="E2908" s="18" t="s">
        <v>1583</v>
      </c>
      <c r="F2908" s="18" t="s">
        <v>1584</v>
      </c>
      <c r="G2908" s="20" t="s">
        <v>6802</v>
      </c>
      <c r="H2908" s="18"/>
      <c r="I2908" s="18"/>
      <c r="J2908" s="18"/>
      <c r="K2908" s="18"/>
      <c r="L2908" s="12" t="s">
        <v>1585</v>
      </c>
      <c r="M2908" s="18" t="s">
        <v>1587</v>
      </c>
      <c r="N2908" s="18"/>
      <c r="O2908" s="18" t="s">
        <v>1588</v>
      </c>
      <c r="P2908" s="18" t="str">
        <f>HYPERLINK("https://ceds.ed.gov/cedselementdetails.aspx?termid=10253")</f>
        <v>https://ceds.ed.gov/cedselementdetails.aspx?termid=10253</v>
      </c>
      <c r="Q2908" s="18" t="str">
        <f>HYPERLINK("https://ceds.ed.gov/elementComment.aspx?elementName=Blended Learning Model Type &amp;elementID=10253", "Click here to submit comment")</f>
        <v>Click here to submit comment</v>
      </c>
    </row>
    <row r="2909" spans="1:17" x14ac:dyDescent="0.25">
      <c r="A2909" s="18"/>
      <c r="B2909" s="18"/>
      <c r="C2909" s="18"/>
      <c r="D2909" s="18"/>
      <c r="E2909" s="18"/>
      <c r="F2909" s="18"/>
      <c r="G2909" s="18"/>
      <c r="H2909" s="18"/>
      <c r="I2909" s="18"/>
      <c r="J2909" s="18"/>
      <c r="K2909" s="18"/>
      <c r="L2909" s="12"/>
      <c r="M2909" s="18"/>
      <c r="N2909" s="18"/>
      <c r="O2909" s="18"/>
      <c r="P2909" s="18"/>
      <c r="Q2909" s="18"/>
    </row>
    <row r="2910" spans="1:17" ht="45" x14ac:dyDescent="0.25">
      <c r="A2910" s="18"/>
      <c r="B2910" s="18"/>
      <c r="C2910" s="18"/>
      <c r="D2910" s="18"/>
      <c r="E2910" s="18"/>
      <c r="F2910" s="18"/>
      <c r="G2910" s="18"/>
      <c r="H2910" s="18"/>
      <c r="I2910" s="18"/>
      <c r="J2910" s="18"/>
      <c r="K2910" s="18"/>
      <c r="L2910" s="12" t="s">
        <v>1586</v>
      </c>
      <c r="M2910" s="18"/>
      <c r="N2910" s="18"/>
      <c r="O2910" s="18"/>
      <c r="P2910" s="18"/>
      <c r="Q2910" s="18"/>
    </row>
    <row r="2911" spans="1:17" ht="360" x14ac:dyDescent="0.25">
      <c r="A2911" s="12" t="s">
        <v>7313</v>
      </c>
      <c r="B2911" s="12" t="s">
        <v>7280</v>
      </c>
      <c r="C2911" s="12"/>
      <c r="D2911" s="12" t="s">
        <v>7176</v>
      </c>
      <c r="E2911" s="12" t="s">
        <v>1670</v>
      </c>
      <c r="F2911" s="12" t="s">
        <v>1671</v>
      </c>
      <c r="G2911" s="13" t="s">
        <v>6807</v>
      </c>
      <c r="H2911" s="12"/>
      <c r="I2911" s="12"/>
      <c r="J2911" s="12"/>
      <c r="K2911" s="12"/>
      <c r="L2911" s="12" t="s">
        <v>1672</v>
      </c>
      <c r="M2911" s="12" t="s">
        <v>1673</v>
      </c>
      <c r="N2911" s="12"/>
      <c r="O2911" s="12" t="s">
        <v>1674</v>
      </c>
      <c r="P2911" s="12" t="str">
        <f>HYPERLINK("https://ceds.ed.gov/cedselementdetails.aspx?termid=10254")</f>
        <v>https://ceds.ed.gov/cedselementdetails.aspx?termid=10254</v>
      </c>
      <c r="Q2911" s="12" t="str">
        <f>HYPERLINK("https://ceds.ed.gov/elementComment.aspx?elementName=Career Cluster &amp;elementID=10254", "Click here to submit comment")</f>
        <v>Click here to submit comment</v>
      </c>
    </row>
    <row r="2912" spans="1:17" ht="270" x14ac:dyDescent="0.25">
      <c r="A2912" s="12" t="s">
        <v>7313</v>
      </c>
      <c r="B2912" s="12" t="s">
        <v>7280</v>
      </c>
      <c r="C2912" s="12"/>
      <c r="D2912" s="12" t="s">
        <v>7176</v>
      </c>
      <c r="E2912" s="12" t="s">
        <v>1846</v>
      </c>
      <c r="F2912" s="12" t="s">
        <v>1847</v>
      </c>
      <c r="G2912" s="13" t="s">
        <v>6820</v>
      </c>
      <c r="H2912" s="12"/>
      <c r="I2912" s="12"/>
      <c r="J2912" s="12"/>
      <c r="K2912" s="12"/>
      <c r="L2912" s="12"/>
      <c r="M2912" s="12" t="s">
        <v>1848</v>
      </c>
      <c r="N2912" s="12"/>
      <c r="O2912" s="12" t="s">
        <v>1849</v>
      </c>
      <c r="P2912" s="12" t="str">
        <f>HYPERLINK("https://ceds.ed.gov/cedselementdetails.aspx?termid=9615")</f>
        <v>https://ceds.ed.gov/cedselementdetails.aspx?termid=9615</v>
      </c>
      <c r="Q2912" s="12" t="str">
        <f>HYPERLINK("https://ceds.ed.gov/elementComment.aspx?elementName=Classroom Position Type &amp;elementID=9615", "Click here to submit comment")</f>
        <v>Click here to submit comment</v>
      </c>
    </row>
    <row r="2913" spans="1:17" ht="150" x14ac:dyDescent="0.25">
      <c r="A2913" s="12" t="s">
        <v>7313</v>
      </c>
      <c r="B2913" s="12" t="s">
        <v>7280</v>
      </c>
      <c r="C2913" s="12"/>
      <c r="D2913" s="12" t="s">
        <v>7176</v>
      </c>
      <c r="E2913" s="12" t="s">
        <v>1953</v>
      </c>
      <c r="F2913" s="12" t="s">
        <v>1954</v>
      </c>
      <c r="G2913" s="12" t="s">
        <v>12</v>
      </c>
      <c r="H2913" s="12"/>
      <c r="I2913" s="12"/>
      <c r="J2913" s="12" t="s">
        <v>1955</v>
      </c>
      <c r="K2913" s="12"/>
      <c r="L2913" s="12" t="s">
        <v>1956</v>
      </c>
      <c r="M2913" s="12" t="s">
        <v>1957</v>
      </c>
      <c r="N2913" s="12"/>
      <c r="O2913" s="12" t="s">
        <v>1958</v>
      </c>
      <c r="P2913" s="12" t="str">
        <f>HYPERLINK("https://ceds.ed.gov/cedselementdetails.aspx?termid=10264")</f>
        <v>https://ceds.ed.gov/cedselementdetails.aspx?termid=10264</v>
      </c>
      <c r="Q2913" s="12" t="str">
        <f>HYPERLINK("https://ceds.ed.gov/elementComment.aspx?elementName=Course Academic Grade Scale Code &amp;elementID=10264", "Click here to submit comment")</f>
        <v>Click here to submit comment</v>
      </c>
    </row>
    <row r="2914" spans="1:17" ht="409.5" x14ac:dyDescent="0.25">
      <c r="A2914" s="12" t="s">
        <v>7313</v>
      </c>
      <c r="B2914" s="12" t="s">
        <v>7280</v>
      </c>
      <c r="C2914" s="12"/>
      <c r="D2914" s="12" t="s">
        <v>7176</v>
      </c>
      <c r="E2914" s="12" t="s">
        <v>1971</v>
      </c>
      <c r="F2914" s="12" t="s">
        <v>1972</v>
      </c>
      <c r="G2914" s="13" t="s">
        <v>6831</v>
      </c>
      <c r="H2914" s="12"/>
      <c r="I2914" s="12"/>
      <c r="J2914" s="12"/>
      <c r="K2914" s="12"/>
      <c r="L2914" s="12" t="s">
        <v>1973</v>
      </c>
      <c r="M2914" s="12" t="s">
        <v>1974</v>
      </c>
      <c r="N2914" s="12"/>
      <c r="O2914" s="12" t="s">
        <v>1975</v>
      </c>
      <c r="P2914" s="12" t="str">
        <f>HYPERLINK("https://ceds.ed.gov/cedselementdetails.aspx?termid=10267")</f>
        <v>https://ceds.ed.gov/cedselementdetails.aspx?termid=10267</v>
      </c>
      <c r="Q2914" s="12" t="str">
        <f>HYPERLINK("https://ceds.ed.gov/elementComment.aspx?elementName=Course Applicable Education Level &amp;elementID=10267", "Click here to submit comment")</f>
        <v>Click here to submit comment</v>
      </c>
    </row>
    <row r="2915" spans="1:17" ht="45" x14ac:dyDescent="0.25">
      <c r="A2915" s="12" t="s">
        <v>7313</v>
      </c>
      <c r="B2915" s="12" t="s">
        <v>7280</v>
      </c>
      <c r="C2915" s="12"/>
      <c r="D2915" s="12" t="s">
        <v>7176</v>
      </c>
      <c r="E2915" s="12" t="s">
        <v>1980</v>
      </c>
      <c r="F2915" s="12" t="s">
        <v>1981</v>
      </c>
      <c r="G2915" s="12" t="s">
        <v>12</v>
      </c>
      <c r="H2915" s="12"/>
      <c r="I2915" s="12"/>
      <c r="J2915" s="12" t="s">
        <v>68</v>
      </c>
      <c r="K2915" s="12"/>
      <c r="L2915" s="12"/>
      <c r="M2915" s="12" t="s">
        <v>1982</v>
      </c>
      <c r="N2915" s="12"/>
      <c r="O2915" s="12" t="s">
        <v>1983</v>
      </c>
      <c r="P2915" s="12" t="str">
        <f>HYPERLINK("https://ceds.ed.gov/cedselementdetails.aspx?termid=10268")</f>
        <v>https://ceds.ed.gov/cedselementdetails.aspx?termid=10268</v>
      </c>
      <c r="Q2915" s="12" t="str">
        <f>HYPERLINK("https://ceds.ed.gov/elementComment.aspx?elementName=Course Certification Description &amp;elementID=10268", "Click here to submit comment")</f>
        <v>Click here to submit comment</v>
      </c>
    </row>
    <row r="2916" spans="1:17" ht="409.5" x14ac:dyDescent="0.25">
      <c r="A2916" s="12" t="s">
        <v>7313</v>
      </c>
      <c r="B2916" s="12" t="s">
        <v>7280</v>
      </c>
      <c r="C2916" s="12"/>
      <c r="D2916" s="12" t="s">
        <v>7176</v>
      </c>
      <c r="E2916" s="12" t="s">
        <v>1988</v>
      </c>
      <c r="F2916" s="12" t="s">
        <v>1989</v>
      </c>
      <c r="G2916" s="13" t="s">
        <v>6833</v>
      </c>
      <c r="H2916" s="12"/>
      <c r="I2916" s="12"/>
      <c r="J2916" s="12"/>
      <c r="K2916" s="12"/>
      <c r="L2916" s="12"/>
      <c r="M2916" s="12" t="s">
        <v>1990</v>
      </c>
      <c r="N2916" s="12"/>
      <c r="O2916" s="12" t="s">
        <v>1991</v>
      </c>
      <c r="P2916" s="12" t="str">
        <f>HYPERLINK("https://ceds.ed.gov/cedselementdetails.aspx?termid=10269")</f>
        <v>https://ceds.ed.gov/cedselementdetails.aspx?termid=10269</v>
      </c>
      <c r="Q2916" s="12" t="str">
        <f>HYPERLINK("https://ceds.ed.gov/elementComment.aspx?elementName=Course Credit Basis Type &amp;elementID=10269", "Click here to submit comment")</f>
        <v>Click here to submit comment</v>
      </c>
    </row>
    <row r="2917" spans="1:17" ht="255" x14ac:dyDescent="0.25">
      <c r="A2917" s="12" t="s">
        <v>7313</v>
      </c>
      <c r="B2917" s="12" t="s">
        <v>7280</v>
      </c>
      <c r="C2917" s="12"/>
      <c r="D2917" s="12" t="s">
        <v>7176</v>
      </c>
      <c r="E2917" s="12" t="s">
        <v>1992</v>
      </c>
      <c r="F2917" s="12" t="s">
        <v>1993</v>
      </c>
      <c r="G2917" s="13" t="s">
        <v>6834</v>
      </c>
      <c r="H2917" s="12"/>
      <c r="I2917" s="12"/>
      <c r="J2917" s="12"/>
      <c r="K2917" s="12"/>
      <c r="L2917" s="12"/>
      <c r="M2917" s="12" t="s">
        <v>1994</v>
      </c>
      <c r="N2917" s="12"/>
      <c r="O2917" s="12" t="s">
        <v>1995</v>
      </c>
      <c r="P2917" s="12" t="str">
        <f>HYPERLINK("https://ceds.ed.gov/cedselementdetails.aspx?termid=10270")</f>
        <v>https://ceds.ed.gov/cedselementdetails.aspx?termid=10270</v>
      </c>
      <c r="Q2917" s="12" t="str">
        <f>HYPERLINK("https://ceds.ed.gov/elementComment.aspx?elementName=Course Credit Level Type &amp;elementID=10270", "Click here to submit comment")</f>
        <v>Click here to submit comment</v>
      </c>
    </row>
    <row r="2918" spans="1:17" ht="45" x14ac:dyDescent="0.25">
      <c r="A2918" s="12" t="s">
        <v>7313</v>
      </c>
      <c r="B2918" s="12" t="s">
        <v>7280</v>
      </c>
      <c r="C2918" s="12"/>
      <c r="D2918" s="12" t="s">
        <v>7176</v>
      </c>
      <c r="E2918" s="12" t="s">
        <v>2009</v>
      </c>
      <c r="F2918" s="12" t="s">
        <v>2010</v>
      </c>
      <c r="G2918" s="12" t="s">
        <v>12</v>
      </c>
      <c r="H2918" s="12"/>
      <c r="I2918" s="12"/>
      <c r="J2918" s="12" t="s">
        <v>99</v>
      </c>
      <c r="K2918" s="12"/>
      <c r="L2918" s="12"/>
      <c r="M2918" s="12" t="s">
        <v>2011</v>
      </c>
      <c r="N2918" s="12"/>
      <c r="O2918" s="12" t="s">
        <v>2012</v>
      </c>
      <c r="P2918" s="12" t="str">
        <f>HYPERLINK("https://ceds.ed.gov/cedselementdetails.aspx?termid=9508")</f>
        <v>https://ceds.ed.gov/cedselementdetails.aspx?termid=9508</v>
      </c>
      <c r="Q2918" s="12" t="str">
        <f>HYPERLINK("https://ceds.ed.gov/elementComment.aspx?elementName=Course Description &amp;elementID=9508", "Click here to submit comment")</f>
        <v>Click here to submit comment</v>
      </c>
    </row>
    <row r="2919" spans="1:17" ht="90" x14ac:dyDescent="0.25">
      <c r="A2919" s="12" t="s">
        <v>7313</v>
      </c>
      <c r="B2919" s="12" t="s">
        <v>7280</v>
      </c>
      <c r="C2919" s="12"/>
      <c r="D2919" s="12" t="s">
        <v>7176</v>
      </c>
      <c r="E2919" s="12" t="s">
        <v>2022</v>
      </c>
      <c r="F2919" s="12" t="s">
        <v>2023</v>
      </c>
      <c r="G2919" s="12" t="s">
        <v>12</v>
      </c>
      <c r="H2919" s="12"/>
      <c r="I2919" s="12"/>
      <c r="J2919" s="12" t="s">
        <v>92</v>
      </c>
      <c r="K2919" s="12"/>
      <c r="L2919" s="12" t="s">
        <v>2024</v>
      </c>
      <c r="M2919" s="12" t="s">
        <v>2025</v>
      </c>
      <c r="N2919" s="12"/>
      <c r="O2919" s="12" t="s">
        <v>2026</v>
      </c>
      <c r="P2919" s="12" t="str">
        <f>HYPERLINK("https://ceds.ed.gov/cedselementdetails.aspx?termid=10272")</f>
        <v>https://ceds.ed.gov/cedselementdetails.aspx?termid=10272</v>
      </c>
      <c r="Q2919" s="12" t="str">
        <f>HYPERLINK("https://ceds.ed.gov/elementComment.aspx?elementName=Course Funding Program &amp;elementID=10272", "Click here to submit comment")</f>
        <v>Click here to submit comment</v>
      </c>
    </row>
    <row r="2920" spans="1:17" ht="45" x14ac:dyDescent="0.25">
      <c r="A2920" s="12" t="s">
        <v>7313</v>
      </c>
      <c r="B2920" s="12" t="s">
        <v>7280</v>
      </c>
      <c r="C2920" s="12"/>
      <c r="D2920" s="12" t="s">
        <v>7176</v>
      </c>
      <c r="E2920" s="12" t="s">
        <v>2032</v>
      </c>
      <c r="F2920" s="12" t="s">
        <v>2033</v>
      </c>
      <c r="G2920" s="13" t="s">
        <v>6837</v>
      </c>
      <c r="H2920" s="12"/>
      <c r="I2920" s="12"/>
      <c r="J2920" s="12"/>
      <c r="K2920" s="12"/>
      <c r="L2920" s="12"/>
      <c r="M2920" s="12" t="s">
        <v>2034</v>
      </c>
      <c r="N2920" s="12"/>
      <c r="O2920" s="12" t="s">
        <v>2035</v>
      </c>
      <c r="P2920" s="12" t="str">
        <f>HYPERLINK("https://ceds.ed.gov/cedselementdetails.aspx?termid=10273")</f>
        <v>https://ceds.ed.gov/cedselementdetails.aspx?termid=10273</v>
      </c>
      <c r="Q2920" s="12" t="str">
        <f>HYPERLINK("https://ceds.ed.gov/elementComment.aspx?elementName=Course Honors Type &amp;elementID=10273", "Click here to submit comment")</f>
        <v>Click here to submit comment</v>
      </c>
    </row>
    <row r="2921" spans="1:17" ht="409.5" x14ac:dyDescent="0.25">
      <c r="A2921" s="12" t="s">
        <v>7313</v>
      </c>
      <c r="B2921" s="12" t="s">
        <v>7280</v>
      </c>
      <c r="C2921" s="12"/>
      <c r="D2921" s="12" t="s">
        <v>7176</v>
      </c>
      <c r="E2921" s="12" t="s">
        <v>2040</v>
      </c>
      <c r="F2921" s="12" t="s">
        <v>2041</v>
      </c>
      <c r="G2921" s="13" t="s">
        <v>6838</v>
      </c>
      <c r="H2921" s="12"/>
      <c r="I2921" s="12"/>
      <c r="J2921" s="12"/>
      <c r="K2921" s="12"/>
      <c r="L2921" s="12"/>
      <c r="M2921" s="12" t="s">
        <v>2042</v>
      </c>
      <c r="N2921" s="12"/>
      <c r="O2921" s="12" t="s">
        <v>2043</v>
      </c>
      <c r="P2921" s="12" t="str">
        <f>HYPERLINK("https://ceds.ed.gov/cedselementdetails.aspx?termid=10274")</f>
        <v>https://ceds.ed.gov/cedselementdetails.aspx?termid=10274</v>
      </c>
      <c r="Q2921" s="12" t="str">
        <f>HYPERLINK("https://ceds.ed.gov/elementComment.aspx?elementName=Course Instruction Method &amp;elementID=10274", "Click here to submit comment")</f>
        <v>Click here to submit comment</v>
      </c>
    </row>
    <row r="2922" spans="1:17" ht="30" x14ac:dyDescent="0.25">
      <c r="A2922" s="12" t="s">
        <v>7313</v>
      </c>
      <c r="B2922" s="12" t="s">
        <v>7280</v>
      </c>
      <c r="C2922" s="12"/>
      <c r="D2922" s="12" t="s">
        <v>7176</v>
      </c>
      <c r="E2922" s="12" t="s">
        <v>2044</v>
      </c>
      <c r="F2922" s="12" t="s">
        <v>2045</v>
      </c>
      <c r="G2922" s="12" t="s">
        <v>12</v>
      </c>
      <c r="H2922" s="12"/>
      <c r="I2922" s="12"/>
      <c r="J2922" s="12" t="s">
        <v>99</v>
      </c>
      <c r="K2922" s="12"/>
      <c r="L2922" s="12"/>
      <c r="M2922" s="12" t="s">
        <v>2046</v>
      </c>
      <c r="N2922" s="12"/>
      <c r="O2922" s="12" t="s">
        <v>2047</v>
      </c>
      <c r="P2922" s="12" t="str">
        <f>HYPERLINK("https://ceds.ed.gov/cedselementdetails.aspx?termid=10275")</f>
        <v>https://ceds.ed.gov/cedselementdetails.aspx?termid=10275</v>
      </c>
      <c r="Q2922" s="12" t="str">
        <f>HYPERLINK("https://ceds.ed.gov/elementComment.aspx?elementName=Course Instruction Site Name &amp;elementID=10275", "Click here to submit comment")</f>
        <v>Click here to submit comment</v>
      </c>
    </row>
    <row r="2923" spans="1:17" ht="180" x14ac:dyDescent="0.25">
      <c r="A2923" s="12" t="s">
        <v>7313</v>
      </c>
      <c r="B2923" s="12" t="s">
        <v>7280</v>
      </c>
      <c r="C2923" s="12"/>
      <c r="D2923" s="12" t="s">
        <v>7176</v>
      </c>
      <c r="E2923" s="12" t="s">
        <v>2048</v>
      </c>
      <c r="F2923" s="12" t="s">
        <v>2049</v>
      </c>
      <c r="G2923" s="13" t="s">
        <v>6839</v>
      </c>
      <c r="H2923" s="12"/>
      <c r="I2923" s="12"/>
      <c r="J2923" s="12"/>
      <c r="K2923" s="12"/>
      <c r="L2923" s="12"/>
      <c r="M2923" s="12" t="s">
        <v>2050</v>
      </c>
      <c r="N2923" s="12"/>
      <c r="O2923" s="12" t="s">
        <v>2051</v>
      </c>
      <c r="P2923" s="12" t="str">
        <f>HYPERLINK("https://ceds.ed.gov/cedselementdetails.aspx?termid=10276")</f>
        <v>https://ceds.ed.gov/cedselementdetails.aspx?termid=10276</v>
      </c>
      <c r="Q2923" s="12" t="str">
        <f>HYPERLINK("https://ceds.ed.gov/elementComment.aspx?elementName=Course Instruction Site Type &amp;elementID=10276", "Click here to submit comment")</f>
        <v>Click here to submit comment</v>
      </c>
    </row>
    <row r="2924" spans="1:17" ht="45" x14ac:dyDescent="0.25">
      <c r="A2924" s="12" t="s">
        <v>7313</v>
      </c>
      <c r="B2924" s="12" t="s">
        <v>7280</v>
      </c>
      <c r="C2924" s="12"/>
      <c r="D2924" s="12" t="s">
        <v>7176</v>
      </c>
      <c r="E2924" s="12" t="s">
        <v>2052</v>
      </c>
      <c r="F2924" s="12" t="s">
        <v>2053</v>
      </c>
      <c r="G2924" s="13" t="s">
        <v>6840</v>
      </c>
      <c r="H2924" s="12"/>
      <c r="I2924" s="12"/>
      <c r="J2924" s="12"/>
      <c r="K2924" s="12"/>
      <c r="L2924" s="12" t="s">
        <v>2054</v>
      </c>
      <c r="M2924" s="12" t="s">
        <v>2055</v>
      </c>
      <c r="N2924" s="12"/>
      <c r="O2924" s="12" t="s">
        <v>2056</v>
      </c>
      <c r="P2924" s="12" t="str">
        <f>HYPERLINK("https://ceds.ed.gov/cedselementdetails.aspx?termid=10277")</f>
        <v>https://ceds.ed.gov/cedselementdetails.aspx?termid=10277</v>
      </c>
      <c r="Q2924" s="12" t="str">
        <f>HYPERLINK("https://ceds.ed.gov/elementComment.aspx?elementName=Course Interaction Mode &amp;elementID=10277", "Click here to submit comment")</f>
        <v>Click here to submit comment</v>
      </c>
    </row>
    <row r="2925" spans="1:17" ht="375" x14ac:dyDescent="0.25">
      <c r="A2925" s="12" t="s">
        <v>7313</v>
      </c>
      <c r="B2925" s="12" t="s">
        <v>7280</v>
      </c>
      <c r="C2925" s="12"/>
      <c r="D2925" s="12" t="s">
        <v>7176</v>
      </c>
      <c r="E2925" s="12" t="s">
        <v>2061</v>
      </c>
      <c r="F2925" s="12" t="s">
        <v>2062</v>
      </c>
      <c r="G2925" s="13" t="s">
        <v>6842</v>
      </c>
      <c r="H2925" s="12"/>
      <c r="I2925" s="12"/>
      <c r="J2925" s="12"/>
      <c r="K2925" s="12"/>
      <c r="L2925" s="12"/>
      <c r="M2925" s="12" t="s">
        <v>2063</v>
      </c>
      <c r="N2925" s="12"/>
      <c r="O2925" s="12" t="s">
        <v>2064</v>
      </c>
      <c r="P2925" s="12" t="str">
        <f>HYPERLINK("https://ceds.ed.gov/cedselementdetails.aspx?termid=10278")</f>
        <v>https://ceds.ed.gov/cedselementdetails.aspx?termid=10278</v>
      </c>
      <c r="Q2925" s="12" t="str">
        <f>HYPERLINK("https://ceds.ed.gov/elementComment.aspx?elementName=Course Level Type &amp;elementID=10278", "Click here to submit comment")</f>
        <v>Click here to submit comment</v>
      </c>
    </row>
    <row r="2926" spans="1:17" ht="90" x14ac:dyDescent="0.25">
      <c r="A2926" s="12" t="s">
        <v>7313</v>
      </c>
      <c r="B2926" s="12" t="s">
        <v>7280</v>
      </c>
      <c r="C2926" s="12"/>
      <c r="D2926" s="12" t="s">
        <v>7176</v>
      </c>
      <c r="E2926" s="12" t="s">
        <v>2065</v>
      </c>
      <c r="F2926" s="12" t="s">
        <v>2066</v>
      </c>
      <c r="G2926" s="12" t="s">
        <v>12</v>
      </c>
      <c r="H2926" s="12"/>
      <c r="I2926" s="12"/>
      <c r="J2926" s="12" t="s">
        <v>327</v>
      </c>
      <c r="K2926" s="12"/>
      <c r="L2926" s="12"/>
      <c r="M2926" s="12" t="s">
        <v>2067</v>
      </c>
      <c r="N2926" s="12"/>
      <c r="O2926" s="12" t="s">
        <v>2068</v>
      </c>
      <c r="P2926" s="12" t="str">
        <f>HYPERLINK("https://ceds.ed.gov/cedselementdetails.aspx?termid=10279")</f>
        <v>https://ceds.ed.gov/cedselementdetails.aspx?termid=10279</v>
      </c>
      <c r="Q2926" s="12" t="str">
        <f>HYPERLINK("https://ceds.ed.gov/elementComment.aspx?elementName=Course Narrative Explanation Grade &amp;elementID=10279", "Click here to submit comment")</f>
        <v>Click here to submit comment</v>
      </c>
    </row>
    <row r="2927" spans="1:17" ht="90" x14ac:dyDescent="0.25">
      <c r="A2927" s="12" t="s">
        <v>7313</v>
      </c>
      <c r="B2927" s="12" t="s">
        <v>7280</v>
      </c>
      <c r="C2927" s="12"/>
      <c r="D2927" s="12" t="s">
        <v>7176</v>
      </c>
      <c r="E2927" s="12" t="s">
        <v>2069</v>
      </c>
      <c r="F2927" s="12" t="s">
        <v>2070</v>
      </c>
      <c r="G2927" s="12" t="s">
        <v>12</v>
      </c>
      <c r="H2927" s="12"/>
      <c r="I2927" s="12"/>
      <c r="J2927" s="12" t="s">
        <v>92</v>
      </c>
      <c r="K2927" s="12"/>
      <c r="L2927" s="12"/>
      <c r="M2927" s="12" t="s">
        <v>2071</v>
      </c>
      <c r="N2927" s="12"/>
      <c r="O2927" s="12" t="s">
        <v>2072</v>
      </c>
      <c r="P2927" s="12" t="str">
        <f>HYPERLINK("https://ceds.ed.gov/cedselementdetails.aspx?termid=10280")</f>
        <v>https://ceds.ed.gov/cedselementdetails.aspx?termid=10280</v>
      </c>
      <c r="Q2927" s="12" t="str">
        <f>HYPERLINK("https://ceds.ed.gov/elementComment.aspx?elementName=Course Number &amp;elementID=10280", "Click here to submit comment")</f>
        <v>Click here to submit comment</v>
      </c>
    </row>
    <row r="2928" spans="1:17" ht="210" x14ac:dyDescent="0.25">
      <c r="A2928" s="12" t="s">
        <v>7313</v>
      </c>
      <c r="B2928" s="12" t="s">
        <v>7280</v>
      </c>
      <c r="C2928" s="12"/>
      <c r="D2928" s="12" t="s">
        <v>7176</v>
      </c>
      <c r="E2928" s="12" t="s">
        <v>2081</v>
      </c>
      <c r="F2928" s="12" t="s">
        <v>2082</v>
      </c>
      <c r="G2928" s="13" t="s">
        <v>6843</v>
      </c>
      <c r="H2928" s="12" t="s">
        <v>6369</v>
      </c>
      <c r="I2928" s="12"/>
      <c r="J2928" s="12"/>
      <c r="K2928" s="12"/>
      <c r="L2928" s="12"/>
      <c r="M2928" s="12" t="s">
        <v>2083</v>
      </c>
      <c r="N2928" s="12"/>
      <c r="O2928" s="12" t="s">
        <v>2084</v>
      </c>
      <c r="P2928" s="12" t="str">
        <f>HYPERLINK("https://ceds.ed.gov/cedselementdetails.aspx?termid=9065")</f>
        <v>https://ceds.ed.gov/cedselementdetails.aspx?termid=9065</v>
      </c>
      <c r="Q2928" s="12" t="str">
        <f>HYPERLINK("https://ceds.ed.gov/elementComment.aspx?elementName=Course Repeat Code &amp;elementID=9065", "Click here to submit comment")</f>
        <v>Click here to submit comment</v>
      </c>
    </row>
    <row r="2929" spans="1:17" ht="75" x14ac:dyDescent="0.25">
      <c r="A2929" s="12" t="s">
        <v>7313</v>
      </c>
      <c r="B2929" s="12" t="s">
        <v>7280</v>
      </c>
      <c r="C2929" s="12"/>
      <c r="D2929" s="12" t="s">
        <v>7176</v>
      </c>
      <c r="E2929" s="12" t="s">
        <v>2128</v>
      </c>
      <c r="F2929" s="12" t="s">
        <v>2129</v>
      </c>
      <c r="G2929" s="12" t="s">
        <v>12</v>
      </c>
      <c r="H2929" s="12"/>
      <c r="I2929" s="12"/>
      <c r="J2929" s="12" t="s">
        <v>92</v>
      </c>
      <c r="K2929" s="12"/>
      <c r="L2929" s="12"/>
      <c r="M2929" s="12" t="s">
        <v>2130</v>
      </c>
      <c r="N2929" s="12"/>
      <c r="O2929" s="12" t="s">
        <v>2131</v>
      </c>
      <c r="P2929" s="12" t="str">
        <f>HYPERLINK("https://ceds.ed.gov/cedselementdetails.aspx?termid=10281")</f>
        <v>https://ceds.ed.gov/cedselementdetails.aspx?termid=10281</v>
      </c>
      <c r="Q2929" s="12" t="str">
        <f>HYPERLINK("https://ceds.ed.gov/elementComment.aspx?elementName=Course Section Number &amp;elementID=10281", "Click here to submit comment")</f>
        <v>Click here to submit comment</v>
      </c>
    </row>
    <row r="2930" spans="1:17" ht="165" x14ac:dyDescent="0.25">
      <c r="A2930" s="12" t="s">
        <v>7313</v>
      </c>
      <c r="B2930" s="12" t="s">
        <v>7280</v>
      </c>
      <c r="C2930" s="12"/>
      <c r="D2930" s="12" t="s">
        <v>7176</v>
      </c>
      <c r="E2930" s="12" t="s">
        <v>2309</v>
      </c>
      <c r="F2930" s="12" t="s">
        <v>2310</v>
      </c>
      <c r="G2930" s="13" t="s">
        <v>6859</v>
      </c>
      <c r="H2930" s="12" t="s">
        <v>2308</v>
      </c>
      <c r="I2930" s="12"/>
      <c r="J2930" s="12"/>
      <c r="K2930" s="12"/>
      <c r="L2930" s="12"/>
      <c r="M2930" s="12" t="s">
        <v>2311</v>
      </c>
      <c r="N2930" s="12"/>
      <c r="O2930" s="12" t="s">
        <v>2312</v>
      </c>
      <c r="P2930" s="12" t="str">
        <f>HYPERLINK("https://ceds.ed.gov/cedselementdetails.aspx?termid=10568")</f>
        <v>https://ceds.ed.gov/cedselementdetails.aspx?termid=10568</v>
      </c>
      <c r="Q2930" s="12" t="str">
        <f>HYPERLINK("https://ceds.ed.gov/elementComment.aspx?elementName=Developmental Education Type &amp;elementID=10568", "Click here to submit comment")</f>
        <v>Click here to submit comment</v>
      </c>
    </row>
    <row r="2931" spans="1:17" ht="45" x14ac:dyDescent="0.25">
      <c r="A2931" s="12" t="s">
        <v>7313</v>
      </c>
      <c r="B2931" s="12" t="s">
        <v>7280</v>
      </c>
      <c r="C2931" s="12"/>
      <c r="D2931" s="12" t="s">
        <v>7176</v>
      </c>
      <c r="E2931" s="12" t="s">
        <v>2827</v>
      </c>
      <c r="F2931" s="12" t="s">
        <v>2828</v>
      </c>
      <c r="G2931" s="12" t="s">
        <v>6364</v>
      </c>
      <c r="H2931" s="12"/>
      <c r="I2931" s="12"/>
      <c r="J2931" s="12"/>
      <c r="K2931" s="12"/>
      <c r="L2931" s="12"/>
      <c r="M2931" s="12" t="s">
        <v>2829</v>
      </c>
      <c r="N2931" s="12"/>
      <c r="O2931" s="12" t="s">
        <v>2830</v>
      </c>
      <c r="P2931" s="12" t="str">
        <f>HYPERLINK("https://ceds.ed.gov/cedselementdetails.aspx?termid=10311")</f>
        <v>https://ceds.ed.gov/cedselementdetails.aspx?termid=10311</v>
      </c>
      <c r="Q2931" s="12" t="str">
        <f>HYPERLINK("https://ceds.ed.gov/elementComment.aspx?elementName=Family and Consumer Sciences Course Indicator &amp;elementID=10311", "Click here to submit comment")</f>
        <v>Click here to submit comment</v>
      </c>
    </row>
    <row r="2932" spans="1:17" ht="45" x14ac:dyDescent="0.25">
      <c r="A2932" s="12" t="s">
        <v>7313</v>
      </c>
      <c r="B2932" s="12" t="s">
        <v>7280</v>
      </c>
      <c r="C2932" s="12"/>
      <c r="D2932" s="12" t="s">
        <v>7176</v>
      </c>
      <c r="E2932" s="12" t="s">
        <v>4526</v>
      </c>
      <c r="F2932" s="12" t="s">
        <v>4527</v>
      </c>
      <c r="G2932" s="12" t="s">
        <v>6364</v>
      </c>
      <c r="H2932" s="12"/>
      <c r="I2932" s="12"/>
      <c r="J2932" s="12"/>
      <c r="K2932" s="12"/>
      <c r="L2932" s="12"/>
      <c r="M2932" s="12" t="s">
        <v>4528</v>
      </c>
      <c r="N2932" s="12" t="s">
        <v>4529</v>
      </c>
      <c r="O2932" s="12" t="s">
        <v>4530</v>
      </c>
      <c r="P2932" s="12" t="str">
        <f>HYPERLINK("https://ceds.ed.gov/cedselementdetails.aspx?termid=10382")</f>
        <v>https://ceds.ed.gov/cedselementdetails.aspx?termid=10382</v>
      </c>
      <c r="Q2932" s="12" t="str">
        <f>HYPERLINK("https://ceds.ed.gov/elementComment.aspx?elementName=National Collegiate Athletic Association Eligibility &amp;elementID=10382", "Click here to submit comment")</f>
        <v>Click here to submit comment</v>
      </c>
    </row>
    <row r="2933" spans="1:17" ht="105" x14ac:dyDescent="0.25">
      <c r="A2933" s="18" t="s">
        <v>7313</v>
      </c>
      <c r="B2933" s="18" t="s">
        <v>7280</v>
      </c>
      <c r="C2933" s="18"/>
      <c r="D2933" s="18" t="s">
        <v>7176</v>
      </c>
      <c r="E2933" s="18" t="s">
        <v>4701</v>
      </c>
      <c r="F2933" s="18" t="s">
        <v>4702</v>
      </c>
      <c r="G2933" s="18" t="s">
        <v>12</v>
      </c>
      <c r="H2933" s="18"/>
      <c r="I2933" s="18"/>
      <c r="J2933" s="18" t="s">
        <v>142</v>
      </c>
      <c r="K2933" s="18"/>
      <c r="L2933" s="12" t="s">
        <v>143</v>
      </c>
      <c r="M2933" s="18" t="s">
        <v>4703</v>
      </c>
      <c r="N2933" s="18"/>
      <c r="O2933" s="18" t="s">
        <v>4704</v>
      </c>
      <c r="P2933" s="18" t="str">
        <f>HYPERLINK("https://ceds.ed.gov/cedselementdetails.aspx?termid=10389")</f>
        <v>https://ceds.ed.gov/cedselementdetails.aspx?termid=10389</v>
      </c>
      <c r="Q2933" s="18" t="str">
        <f>HYPERLINK("https://ceds.ed.gov/elementComment.aspx?elementName=Original Course Identifier &amp;elementID=10389", "Click here to submit comment")</f>
        <v>Click here to submit comment</v>
      </c>
    </row>
    <row r="2934" spans="1:17" x14ac:dyDescent="0.25">
      <c r="A2934" s="18"/>
      <c r="B2934" s="18"/>
      <c r="C2934" s="18"/>
      <c r="D2934" s="18"/>
      <c r="E2934" s="18"/>
      <c r="F2934" s="18"/>
      <c r="G2934" s="18"/>
      <c r="H2934" s="18"/>
      <c r="I2934" s="18"/>
      <c r="J2934" s="18"/>
      <c r="K2934" s="18"/>
      <c r="L2934" s="12"/>
      <c r="M2934" s="18"/>
      <c r="N2934" s="18"/>
      <c r="O2934" s="18"/>
      <c r="P2934" s="18"/>
      <c r="Q2934" s="18"/>
    </row>
    <row r="2935" spans="1:17" ht="90" x14ac:dyDescent="0.25">
      <c r="A2935" s="18"/>
      <c r="B2935" s="18"/>
      <c r="C2935" s="18"/>
      <c r="D2935" s="18"/>
      <c r="E2935" s="18"/>
      <c r="F2935" s="18"/>
      <c r="G2935" s="18"/>
      <c r="H2935" s="18"/>
      <c r="I2935" s="18"/>
      <c r="J2935" s="18"/>
      <c r="K2935" s="18"/>
      <c r="L2935" s="12" t="s">
        <v>144</v>
      </c>
      <c r="M2935" s="18"/>
      <c r="N2935" s="18"/>
      <c r="O2935" s="18"/>
      <c r="P2935" s="18"/>
      <c r="Q2935" s="18"/>
    </row>
    <row r="2936" spans="1:17" ht="45" x14ac:dyDescent="0.25">
      <c r="A2936" s="12" t="s">
        <v>7313</v>
      </c>
      <c r="B2936" s="12" t="s">
        <v>7280</v>
      </c>
      <c r="C2936" s="12"/>
      <c r="D2936" s="12" t="s">
        <v>7176</v>
      </c>
      <c r="E2936" s="12" t="s">
        <v>4737</v>
      </c>
      <c r="F2936" s="12" t="s">
        <v>4738</v>
      </c>
      <c r="G2936" s="12" t="s">
        <v>12</v>
      </c>
      <c r="H2936" s="12"/>
      <c r="I2936" s="12"/>
      <c r="J2936" s="12" t="s">
        <v>92</v>
      </c>
      <c r="K2936" s="12"/>
      <c r="L2936" s="12"/>
      <c r="M2936" s="12" t="s">
        <v>4739</v>
      </c>
      <c r="N2936" s="12"/>
      <c r="O2936" s="12" t="s">
        <v>4740</v>
      </c>
      <c r="P2936" s="12" t="str">
        <f>HYPERLINK("https://ceds.ed.gov/cedselementdetails.aspx?termid=10391")</f>
        <v>https://ceds.ed.gov/cedselementdetails.aspx?termid=10391</v>
      </c>
      <c r="Q2936" s="12" t="str">
        <f>HYPERLINK("https://ceds.ed.gov/elementComment.aspx?elementName=Override School Course Number &amp;elementID=10391", "Click here to submit comment")</f>
        <v>Click here to submit comment</v>
      </c>
    </row>
    <row r="2937" spans="1:17" ht="60" x14ac:dyDescent="0.25">
      <c r="A2937" s="12" t="s">
        <v>7313</v>
      </c>
      <c r="B2937" s="12" t="s">
        <v>7280</v>
      </c>
      <c r="C2937" s="12"/>
      <c r="D2937" s="12" t="s">
        <v>7176</v>
      </c>
      <c r="E2937" s="12" t="s">
        <v>6246</v>
      </c>
      <c r="F2937" s="12" t="s">
        <v>6247</v>
      </c>
      <c r="G2937" s="12" t="s">
        <v>6364</v>
      </c>
      <c r="H2937" s="12"/>
      <c r="I2937" s="12"/>
      <c r="J2937" s="12"/>
      <c r="K2937" s="12"/>
      <c r="L2937" s="12" t="s">
        <v>6248</v>
      </c>
      <c r="M2937" s="12" t="s">
        <v>6249</v>
      </c>
      <c r="N2937" s="12"/>
      <c r="O2937" s="12" t="s">
        <v>6250</v>
      </c>
      <c r="P2937" s="12" t="str">
        <f>HYPERLINK("https://ceds.ed.gov/cedselementdetails.aspx?termid=10554")</f>
        <v>https://ceds.ed.gov/cedselementdetails.aspx?termid=10554</v>
      </c>
      <c r="Q2937" s="12" t="str">
        <f>HYPERLINK("https://ceds.ed.gov/elementComment.aspx?elementName=Tuition Funded &amp;elementID=10554", "Click here to submit comment")</f>
        <v>Click here to submit comment</v>
      </c>
    </row>
    <row r="2938" spans="1:17" ht="240" x14ac:dyDescent="0.25">
      <c r="A2938" s="12" t="s">
        <v>7313</v>
      </c>
      <c r="B2938" s="12" t="s">
        <v>7280</v>
      </c>
      <c r="C2938" s="12"/>
      <c r="D2938" s="12" t="s">
        <v>7176</v>
      </c>
      <c r="E2938" s="12" t="s">
        <v>6336</v>
      </c>
      <c r="F2938" s="12" t="s">
        <v>6337</v>
      </c>
      <c r="G2938" s="13" t="s">
        <v>7156</v>
      </c>
      <c r="H2938" s="12"/>
      <c r="I2938" s="12"/>
      <c r="J2938" s="12"/>
      <c r="K2938" s="12"/>
      <c r="L2938" s="12"/>
      <c r="M2938" s="12" t="s">
        <v>6338</v>
      </c>
      <c r="N2938" s="12"/>
      <c r="O2938" s="12" t="s">
        <v>6339</v>
      </c>
      <c r="P2938" s="12" t="str">
        <f>HYPERLINK("https://ceds.ed.gov/cedselementdetails.aspx?termid=10471")</f>
        <v>https://ceds.ed.gov/cedselementdetails.aspx?termid=10471</v>
      </c>
      <c r="Q2938" s="12" t="str">
        <f>HYPERLINK("https://ceds.ed.gov/elementComment.aspx?elementName=Work-based Learning Opportunity Type &amp;elementID=10471", "Click here to submit comment")</f>
        <v>Click here to submit comment</v>
      </c>
    </row>
    <row r="2939" spans="1:17" ht="60" x14ac:dyDescent="0.25">
      <c r="A2939" s="12" t="s">
        <v>7313</v>
      </c>
      <c r="B2939" s="12" t="s">
        <v>7280</v>
      </c>
      <c r="C2939" s="12" t="s">
        <v>7281</v>
      </c>
      <c r="D2939" s="12" t="s">
        <v>7176</v>
      </c>
      <c r="E2939" s="12" t="s">
        <v>2141</v>
      </c>
      <c r="F2939" s="12" t="s">
        <v>2142</v>
      </c>
      <c r="G2939" s="12" t="s">
        <v>12</v>
      </c>
      <c r="H2939" s="12" t="s">
        <v>25</v>
      </c>
      <c r="I2939" s="12"/>
      <c r="J2939" s="12" t="s">
        <v>2143</v>
      </c>
      <c r="K2939" s="12"/>
      <c r="L2939" s="12"/>
      <c r="M2939" s="12" t="s">
        <v>2144</v>
      </c>
      <c r="N2939" s="12"/>
      <c r="O2939" s="12" t="s">
        <v>2145</v>
      </c>
      <c r="P2939" s="12" t="str">
        <f>HYPERLINK("https://ceds.ed.gov/cedselementdetails.aspx?termid=9066")</f>
        <v>https://ceds.ed.gov/cedselementdetails.aspx?termid=9066</v>
      </c>
      <c r="Q2939" s="12" t="str">
        <f>HYPERLINK("https://ceds.ed.gov/elementComment.aspx?elementName=Course Subject Abbreviation &amp;elementID=9066", "Click here to submit comment")</f>
        <v>Click here to submit comment</v>
      </c>
    </row>
    <row r="2940" spans="1:17" ht="30" x14ac:dyDescent="0.25">
      <c r="A2940" s="12" t="s">
        <v>7313</v>
      </c>
      <c r="B2940" s="12" t="s">
        <v>7280</v>
      </c>
      <c r="C2940" s="12" t="s">
        <v>7281</v>
      </c>
      <c r="D2940" s="12" t="s">
        <v>7176</v>
      </c>
      <c r="E2940" s="12" t="s">
        <v>4853</v>
      </c>
      <c r="F2940" s="12" t="s">
        <v>4854</v>
      </c>
      <c r="G2940" s="12" t="s">
        <v>12</v>
      </c>
      <c r="H2940" s="12" t="s">
        <v>25</v>
      </c>
      <c r="I2940" s="12"/>
      <c r="J2940" s="12" t="s">
        <v>99</v>
      </c>
      <c r="K2940" s="12"/>
      <c r="L2940" s="12"/>
      <c r="M2940" s="12" t="s">
        <v>4855</v>
      </c>
      <c r="N2940" s="12"/>
      <c r="O2940" s="12" t="s">
        <v>4856</v>
      </c>
      <c r="P2940" s="12" t="str">
        <f>HYPERLINK("https://ceds.ed.gov/cedselementdetails.aspx?termid=9068")</f>
        <v>https://ceds.ed.gov/cedselementdetails.aspx?termid=9068</v>
      </c>
      <c r="Q2940" s="12" t="str">
        <f>HYPERLINK("https://ceds.ed.gov/elementComment.aspx?elementName=Postsecondary Course Title &amp;elementID=9068", "Click here to submit comment")</f>
        <v>Click here to submit comment</v>
      </c>
    </row>
    <row r="2941" spans="1:17" ht="165" x14ac:dyDescent="0.25">
      <c r="A2941" s="12" t="s">
        <v>7313</v>
      </c>
      <c r="B2941" s="12" t="s">
        <v>7280</v>
      </c>
      <c r="C2941" s="12" t="s">
        <v>7281</v>
      </c>
      <c r="D2941" s="12" t="s">
        <v>7176</v>
      </c>
      <c r="E2941" s="12" t="s">
        <v>1996</v>
      </c>
      <c r="F2941" s="12" t="s">
        <v>1997</v>
      </c>
      <c r="G2941" s="13" t="s">
        <v>6835</v>
      </c>
      <c r="H2941" s="12" t="s">
        <v>25</v>
      </c>
      <c r="I2941" s="12"/>
      <c r="J2941" s="12"/>
      <c r="K2941" s="12"/>
      <c r="L2941" s="12"/>
      <c r="M2941" s="12" t="s">
        <v>1998</v>
      </c>
      <c r="N2941" s="12"/>
      <c r="O2941" s="12" t="s">
        <v>1999</v>
      </c>
      <c r="P2941" s="12" t="str">
        <f>HYPERLINK("https://ceds.ed.gov/cedselementdetails.aspx?termid=9057")</f>
        <v>https://ceds.ed.gov/cedselementdetails.aspx?termid=9057</v>
      </c>
      <c r="Q2941" s="12" t="str">
        <f>HYPERLINK("https://ceds.ed.gov/elementComment.aspx?elementName=Course Credit Units &amp;elementID=9057", "Click here to submit comment")</f>
        <v>Click here to submit comment</v>
      </c>
    </row>
    <row r="2942" spans="1:17" ht="105" x14ac:dyDescent="0.25">
      <c r="A2942" s="12" t="s">
        <v>7313</v>
      </c>
      <c r="B2942" s="12" t="s">
        <v>7280</v>
      </c>
      <c r="C2942" s="12" t="s">
        <v>7281</v>
      </c>
      <c r="D2942" s="12" t="s">
        <v>7176</v>
      </c>
      <c r="E2942" s="12" t="s">
        <v>2000</v>
      </c>
      <c r="F2942" s="12" t="s">
        <v>2001</v>
      </c>
      <c r="G2942" s="12" t="s">
        <v>12</v>
      </c>
      <c r="H2942" s="12" t="s">
        <v>25</v>
      </c>
      <c r="I2942" s="12"/>
      <c r="J2942" s="12" t="s">
        <v>1554</v>
      </c>
      <c r="K2942" s="12"/>
      <c r="L2942" s="12" t="s">
        <v>2002</v>
      </c>
      <c r="M2942" s="12" t="s">
        <v>2003</v>
      </c>
      <c r="N2942" s="12"/>
      <c r="O2942" s="12" t="s">
        <v>2004</v>
      </c>
      <c r="P2942" s="12" t="str">
        <f>HYPERLINK("https://ceds.ed.gov/cedselementdetails.aspx?termid=9058")</f>
        <v>https://ceds.ed.gov/cedselementdetails.aspx?termid=9058</v>
      </c>
      <c r="Q2942" s="12" t="str">
        <f>HYPERLINK("https://ceds.ed.gov/elementComment.aspx?elementName=Course Credit Value &amp;elementID=9058", "Click here to submit comment")</f>
        <v>Click here to submit comment</v>
      </c>
    </row>
    <row r="2943" spans="1:17" ht="30" x14ac:dyDescent="0.25">
      <c r="A2943" s="12" t="s">
        <v>7313</v>
      </c>
      <c r="B2943" s="12" t="s">
        <v>7280</v>
      </c>
      <c r="C2943" s="12" t="s">
        <v>7281</v>
      </c>
      <c r="D2943" s="12" t="s">
        <v>7176</v>
      </c>
      <c r="E2943" s="12" t="s">
        <v>1976</v>
      </c>
      <c r="F2943" s="12" t="s">
        <v>1977</v>
      </c>
      <c r="G2943" s="12" t="s">
        <v>12</v>
      </c>
      <c r="H2943" s="12" t="s">
        <v>6446</v>
      </c>
      <c r="I2943" s="12"/>
      <c r="J2943" s="12" t="s">
        <v>73</v>
      </c>
      <c r="K2943" s="12"/>
      <c r="L2943" s="12"/>
      <c r="M2943" s="12" t="s">
        <v>1978</v>
      </c>
      <c r="N2943" s="12"/>
      <c r="O2943" s="12" t="s">
        <v>1979</v>
      </c>
      <c r="P2943" s="12" t="str">
        <f>HYPERLINK("https://ceds.ed.gov/cedselementdetails.aspx?termid=9054")</f>
        <v>https://ceds.ed.gov/cedselementdetails.aspx?termid=9054</v>
      </c>
      <c r="Q2943" s="12" t="str">
        <f>HYPERLINK("https://ceds.ed.gov/elementComment.aspx?elementName=Course Begin Date &amp;elementID=9054", "Click here to submit comment")</f>
        <v>Click here to submit comment</v>
      </c>
    </row>
    <row r="2944" spans="1:17" ht="30" x14ac:dyDescent="0.25">
      <c r="A2944" s="12" t="s">
        <v>7313</v>
      </c>
      <c r="B2944" s="12" t="s">
        <v>7280</v>
      </c>
      <c r="C2944" s="12" t="s">
        <v>7281</v>
      </c>
      <c r="D2944" s="12" t="s">
        <v>7176</v>
      </c>
      <c r="E2944" s="12" t="s">
        <v>2018</v>
      </c>
      <c r="F2944" s="12" t="s">
        <v>2019</v>
      </c>
      <c r="G2944" s="12" t="s">
        <v>12</v>
      </c>
      <c r="H2944" s="12" t="s">
        <v>6446</v>
      </c>
      <c r="I2944" s="12"/>
      <c r="J2944" s="12" t="s">
        <v>73</v>
      </c>
      <c r="K2944" s="12"/>
      <c r="L2944" s="12"/>
      <c r="M2944" s="12" t="s">
        <v>2020</v>
      </c>
      <c r="N2944" s="12"/>
      <c r="O2944" s="12" t="s">
        <v>2021</v>
      </c>
      <c r="P2944" s="12" t="str">
        <f>HYPERLINK("https://ceds.ed.gov/cedselementdetails.aspx?termid=9059")</f>
        <v>https://ceds.ed.gov/cedselementdetails.aspx?termid=9059</v>
      </c>
      <c r="Q2944" s="12" t="str">
        <f>HYPERLINK("https://ceds.ed.gov/elementComment.aspx?elementName=Course End Date &amp;elementID=9059", "Click here to submit comment")</f>
        <v>Click here to submit comment</v>
      </c>
    </row>
    <row r="2945" spans="1:17" ht="105" x14ac:dyDescent="0.25">
      <c r="A2945" s="18" t="s">
        <v>7313</v>
      </c>
      <c r="B2945" s="18" t="s">
        <v>7280</v>
      </c>
      <c r="C2945" s="18" t="s">
        <v>7281</v>
      </c>
      <c r="D2945" s="18" t="s">
        <v>7176</v>
      </c>
      <c r="E2945" s="18" t="s">
        <v>2036</v>
      </c>
      <c r="F2945" s="18" t="s">
        <v>2037</v>
      </c>
      <c r="G2945" s="18" t="s">
        <v>12</v>
      </c>
      <c r="H2945" s="18" t="s">
        <v>6479</v>
      </c>
      <c r="I2945" s="18"/>
      <c r="J2945" s="18" t="s">
        <v>142</v>
      </c>
      <c r="K2945" s="18"/>
      <c r="L2945" s="12" t="s">
        <v>143</v>
      </c>
      <c r="M2945" s="18" t="s">
        <v>2038</v>
      </c>
      <c r="N2945" s="18"/>
      <c r="O2945" s="18" t="s">
        <v>2039</v>
      </c>
      <c r="P2945" s="18" t="str">
        <f>HYPERLINK("https://ceds.ed.gov/cedselementdetails.aspx?termid=9055")</f>
        <v>https://ceds.ed.gov/cedselementdetails.aspx?termid=9055</v>
      </c>
      <c r="Q2945" s="18" t="str">
        <f>HYPERLINK("https://ceds.ed.gov/elementComment.aspx?elementName=Course Identifier &amp;elementID=9055", "Click here to submit comment")</f>
        <v>Click here to submit comment</v>
      </c>
    </row>
    <row r="2946" spans="1:17" x14ac:dyDescent="0.25">
      <c r="A2946" s="18"/>
      <c r="B2946" s="18"/>
      <c r="C2946" s="18"/>
      <c r="D2946" s="18"/>
      <c r="E2946" s="18"/>
      <c r="F2946" s="18"/>
      <c r="G2946" s="18"/>
      <c r="H2946" s="18"/>
      <c r="I2946" s="18"/>
      <c r="J2946" s="18"/>
      <c r="K2946" s="18"/>
      <c r="L2946" s="12"/>
      <c r="M2946" s="18"/>
      <c r="N2946" s="18"/>
      <c r="O2946" s="18"/>
      <c r="P2946" s="18"/>
      <c r="Q2946" s="18"/>
    </row>
    <row r="2947" spans="1:17" ht="90" x14ac:dyDescent="0.25">
      <c r="A2947" s="18"/>
      <c r="B2947" s="18"/>
      <c r="C2947" s="18"/>
      <c r="D2947" s="18"/>
      <c r="E2947" s="18"/>
      <c r="F2947" s="18"/>
      <c r="G2947" s="18"/>
      <c r="H2947" s="18"/>
      <c r="I2947" s="18"/>
      <c r="J2947" s="18"/>
      <c r="K2947" s="18"/>
      <c r="L2947" s="12" t="s">
        <v>144</v>
      </c>
      <c r="M2947" s="18"/>
      <c r="N2947" s="18"/>
      <c r="O2947" s="18"/>
      <c r="P2947" s="18"/>
      <c r="Q2947" s="18"/>
    </row>
    <row r="2948" spans="1:17" ht="195" x14ac:dyDescent="0.25">
      <c r="A2948" s="12" t="s">
        <v>7313</v>
      </c>
      <c r="B2948" s="12" t="s">
        <v>7280</v>
      </c>
      <c r="C2948" s="12" t="s">
        <v>7281</v>
      </c>
      <c r="D2948" s="12" t="s">
        <v>7176</v>
      </c>
      <c r="E2948" s="12" t="s">
        <v>1984</v>
      </c>
      <c r="F2948" s="12" t="s">
        <v>1985</v>
      </c>
      <c r="G2948" s="13" t="s">
        <v>6832</v>
      </c>
      <c r="H2948" s="12" t="s">
        <v>6429</v>
      </c>
      <c r="I2948" s="12"/>
      <c r="J2948" s="12"/>
      <c r="K2948" s="12"/>
      <c r="L2948" s="12"/>
      <c r="M2948" s="12" t="s">
        <v>1986</v>
      </c>
      <c r="N2948" s="12"/>
      <c r="O2948" s="12" t="s">
        <v>1987</v>
      </c>
      <c r="P2948" s="12" t="str">
        <f>HYPERLINK("https://ceds.ed.gov/cedselementdetails.aspx?termid=9056")</f>
        <v>https://ceds.ed.gov/cedselementdetails.aspx?termid=9056</v>
      </c>
      <c r="Q2948" s="12" t="str">
        <f>HYPERLINK("https://ceds.ed.gov/elementComment.aspx?elementName=Course Code System &amp;elementID=9056", "Click here to submit comment")</f>
        <v>Click here to submit comment</v>
      </c>
    </row>
    <row r="2949" spans="1:17" ht="225" x14ac:dyDescent="0.25">
      <c r="A2949" s="12" t="s">
        <v>7313</v>
      </c>
      <c r="B2949" s="12" t="s">
        <v>7280</v>
      </c>
      <c r="C2949" s="12" t="s">
        <v>7281</v>
      </c>
      <c r="D2949" s="12" t="s">
        <v>7176</v>
      </c>
      <c r="E2949" s="12" t="s">
        <v>2146</v>
      </c>
      <c r="F2949" s="12" t="s">
        <v>2147</v>
      </c>
      <c r="G2949" s="12" t="s">
        <v>12</v>
      </c>
      <c r="H2949" s="12" t="s">
        <v>6429</v>
      </c>
      <c r="I2949" s="12"/>
      <c r="J2949" s="12" t="s">
        <v>99</v>
      </c>
      <c r="K2949" s="12"/>
      <c r="L2949" s="12"/>
      <c r="M2949" s="12" t="s">
        <v>2148</v>
      </c>
      <c r="N2949" s="12"/>
      <c r="O2949" s="12" t="s">
        <v>2149</v>
      </c>
      <c r="P2949" s="12" t="str">
        <f>HYPERLINK("https://ceds.ed.gov/cedselementdetails.aspx?termid=9067")</f>
        <v>https://ceds.ed.gov/cedselementdetails.aspx?termid=9067</v>
      </c>
      <c r="Q2949" s="12" t="str">
        <f>HYPERLINK("https://ceds.ed.gov/elementComment.aspx?elementName=Course Title &amp;elementID=9067", "Click here to submit comment")</f>
        <v>Click here to submit comment</v>
      </c>
    </row>
    <row r="2950" spans="1:17" ht="120" x14ac:dyDescent="0.25">
      <c r="A2950" s="12" t="s">
        <v>7313</v>
      </c>
      <c r="B2950" s="12" t="s">
        <v>7280</v>
      </c>
      <c r="C2950" s="12" t="s">
        <v>7281</v>
      </c>
      <c r="D2950" s="12" t="s">
        <v>7176</v>
      </c>
      <c r="E2950" s="12" t="s">
        <v>5574</v>
      </c>
      <c r="F2950" s="12" t="s">
        <v>5575</v>
      </c>
      <c r="G2950" s="12" t="s">
        <v>12</v>
      </c>
      <c r="H2950" s="12" t="s">
        <v>6429</v>
      </c>
      <c r="I2950" s="12"/>
      <c r="J2950" s="12" t="s">
        <v>2143</v>
      </c>
      <c r="K2950" s="12"/>
      <c r="L2950" s="12" t="s">
        <v>5576</v>
      </c>
      <c r="M2950" s="12" t="s">
        <v>5577</v>
      </c>
      <c r="N2950" s="12" t="s">
        <v>5578</v>
      </c>
      <c r="O2950" s="12" t="s">
        <v>5579</v>
      </c>
      <c r="P2950" s="12" t="str">
        <f>HYPERLINK("https://ceds.ed.gov/cedselementdetails.aspx?termid=9250")</f>
        <v>https://ceds.ed.gov/cedselementdetails.aspx?termid=9250</v>
      </c>
      <c r="Q2950" s="12" t="str">
        <f>HYPERLINK("https://ceds.ed.gov/elementComment.aspx?elementName=School Courses for the Exchange of Data Sequence of Course &amp;elementID=9250", "Click here to submit comment")</f>
        <v>Click here to submit comment</v>
      </c>
    </row>
    <row r="2951" spans="1:17" ht="345" x14ac:dyDescent="0.25">
      <c r="A2951" s="12" t="s">
        <v>7313</v>
      </c>
      <c r="B2951" s="12" t="s">
        <v>7280</v>
      </c>
      <c r="C2951" s="12" t="s">
        <v>7281</v>
      </c>
      <c r="D2951" s="12" t="s">
        <v>7176</v>
      </c>
      <c r="E2951" s="12" t="s">
        <v>2057</v>
      </c>
      <c r="F2951" s="12" t="s">
        <v>2058</v>
      </c>
      <c r="G2951" s="13" t="s">
        <v>6841</v>
      </c>
      <c r="H2951" s="12" t="s">
        <v>6479</v>
      </c>
      <c r="I2951" s="12"/>
      <c r="J2951" s="12"/>
      <c r="K2951" s="12"/>
      <c r="L2951" s="12"/>
      <c r="M2951" s="12" t="s">
        <v>2059</v>
      </c>
      <c r="N2951" s="12"/>
      <c r="O2951" s="12" t="s">
        <v>2060</v>
      </c>
      <c r="P2951" s="12" t="str">
        <f>HYPERLINK("https://ceds.ed.gov/cedselementdetails.aspx?termid=9061")</f>
        <v>https://ceds.ed.gov/cedselementdetails.aspx?termid=9061</v>
      </c>
      <c r="Q2951" s="12" t="str">
        <f>HYPERLINK("https://ceds.ed.gov/elementComment.aspx?elementName=Course Level Characteristic &amp;elementID=9061", "Click here to submit comment")</f>
        <v>Click here to submit comment</v>
      </c>
    </row>
    <row r="2952" spans="1:17" ht="285" x14ac:dyDescent="0.25">
      <c r="A2952" s="12" t="s">
        <v>7313</v>
      </c>
      <c r="B2952" s="12" t="s">
        <v>7280</v>
      </c>
      <c r="C2952" s="12" t="s">
        <v>7281</v>
      </c>
      <c r="D2952" s="12" t="s">
        <v>7176</v>
      </c>
      <c r="E2952" s="12" t="s">
        <v>2174</v>
      </c>
      <c r="F2952" s="12" t="s">
        <v>2175</v>
      </c>
      <c r="G2952" s="13" t="s">
        <v>6851</v>
      </c>
      <c r="H2952" s="12" t="s">
        <v>6369</v>
      </c>
      <c r="I2952" s="12"/>
      <c r="J2952" s="12"/>
      <c r="K2952" s="12"/>
      <c r="L2952" s="12"/>
      <c r="M2952" s="12" t="s">
        <v>2176</v>
      </c>
      <c r="N2952" s="12"/>
      <c r="O2952" s="12" t="s">
        <v>2177</v>
      </c>
      <c r="P2952" s="12" t="str">
        <f>HYPERLINK("https://ceds.ed.gov/cedselementdetails.aspx?termid=9072")</f>
        <v>https://ceds.ed.gov/cedselementdetails.aspx?termid=9072</v>
      </c>
      <c r="Q2952" s="12" t="str">
        <f>HYPERLINK("https://ceds.ed.gov/elementComment.aspx?elementName=Credit Type Earned &amp;elementID=9072", "Click here to submit comment")</f>
        <v>Click here to submit comment</v>
      </c>
    </row>
    <row r="2953" spans="1:17" ht="120" x14ac:dyDescent="0.25">
      <c r="A2953" s="12" t="s">
        <v>7313</v>
      </c>
      <c r="B2953" s="12" t="s">
        <v>7280</v>
      </c>
      <c r="C2953" s="12" t="s">
        <v>7281</v>
      </c>
      <c r="D2953" s="12" t="s">
        <v>7176</v>
      </c>
      <c r="E2953" s="12" t="s">
        <v>3183</v>
      </c>
      <c r="F2953" s="12" t="s">
        <v>3184</v>
      </c>
      <c r="G2953" s="12" t="s">
        <v>6364</v>
      </c>
      <c r="H2953" s="12" t="s">
        <v>6429</v>
      </c>
      <c r="I2953" s="12"/>
      <c r="J2953" s="12"/>
      <c r="K2953" s="12"/>
      <c r="L2953" s="12"/>
      <c r="M2953" s="12" t="s">
        <v>3185</v>
      </c>
      <c r="N2953" s="12"/>
      <c r="O2953" s="12" t="s">
        <v>3186</v>
      </c>
      <c r="P2953" s="12" t="str">
        <f>HYPERLINK("https://ceds.ed.gov/cedselementdetails.aspx?termid=9137")</f>
        <v>https://ceds.ed.gov/cedselementdetails.aspx?termid=9137</v>
      </c>
      <c r="Q2953" s="12" t="str">
        <f>HYPERLINK("https://ceds.ed.gov/elementComment.aspx?elementName=High School Course Requirement &amp;elementID=9137", "Click here to submit comment")</f>
        <v>Click here to submit comment</v>
      </c>
    </row>
    <row r="2954" spans="1:17" ht="150" x14ac:dyDescent="0.25">
      <c r="A2954" s="12" t="s">
        <v>7313</v>
      </c>
      <c r="B2954" s="12" t="s">
        <v>7280</v>
      </c>
      <c r="C2954" s="12" t="s">
        <v>7281</v>
      </c>
      <c r="D2954" s="12" t="s">
        <v>7176</v>
      </c>
      <c r="E2954" s="12" t="s">
        <v>1552</v>
      </c>
      <c r="F2954" s="12" t="s">
        <v>1553</v>
      </c>
      <c r="G2954" s="12" t="s">
        <v>12</v>
      </c>
      <c r="H2954" s="12" t="s">
        <v>6429</v>
      </c>
      <c r="I2954" s="12"/>
      <c r="J2954" s="12" t="s">
        <v>1554</v>
      </c>
      <c r="K2954" s="12"/>
      <c r="L2954" s="12"/>
      <c r="M2954" s="12" t="s">
        <v>1555</v>
      </c>
      <c r="N2954" s="12"/>
      <c r="O2954" s="12" t="s">
        <v>1556</v>
      </c>
      <c r="P2954" s="12" t="str">
        <f>HYPERLINK("https://ceds.ed.gov/cedselementdetails.aspx?termid=9030")</f>
        <v>https://ceds.ed.gov/cedselementdetails.aspx?termid=9030</v>
      </c>
      <c r="Q2954" s="12" t="str">
        <f>HYPERLINK("https://ceds.ed.gov/elementComment.aspx?elementName=Available Carnegie Unit Credit &amp;elementID=9030", "Click here to submit comment")</f>
        <v>Click here to submit comment</v>
      </c>
    </row>
    <row r="2955" spans="1:17" ht="45" x14ac:dyDescent="0.25">
      <c r="A2955" s="12" t="s">
        <v>7313</v>
      </c>
      <c r="B2955" s="12" t="s">
        <v>7280</v>
      </c>
      <c r="C2955" s="12" t="s">
        <v>7281</v>
      </c>
      <c r="D2955" s="12" t="s">
        <v>7176</v>
      </c>
      <c r="E2955" s="12" t="s">
        <v>5362</v>
      </c>
      <c r="F2955" s="12" t="s">
        <v>5363</v>
      </c>
      <c r="G2955" s="12" t="s">
        <v>12</v>
      </c>
      <c r="H2955" s="12"/>
      <c r="I2955" s="12"/>
      <c r="J2955" s="12" t="s">
        <v>99</v>
      </c>
      <c r="K2955" s="12"/>
      <c r="L2955" s="12"/>
      <c r="M2955" s="12" t="s">
        <v>5364</v>
      </c>
      <c r="N2955" s="12"/>
      <c r="O2955" s="12" t="s">
        <v>5365</v>
      </c>
      <c r="P2955" s="12" t="str">
        <f>HYPERLINK("https://ceds.ed.gov/cedselementdetails.aspx?termid=9231")</f>
        <v>https://ceds.ed.gov/cedselementdetails.aspx?termid=9231</v>
      </c>
      <c r="Q2955" s="12" t="str">
        <f>HYPERLINK("https://ceds.ed.gov/elementComment.aspx?elementName=Related Learning Standards &amp;elementID=9231", "Click here to submit comment")</f>
        <v>Click here to submit comment</v>
      </c>
    </row>
    <row r="2956" spans="1:17" ht="409.5" x14ac:dyDescent="0.25">
      <c r="A2956" s="12" t="s">
        <v>7313</v>
      </c>
      <c r="B2956" s="12" t="s">
        <v>7280</v>
      </c>
      <c r="C2956" s="12" t="s">
        <v>7281</v>
      </c>
      <c r="D2956" s="12" t="s">
        <v>7176</v>
      </c>
      <c r="E2956" s="12" t="s">
        <v>2085</v>
      </c>
      <c r="F2956" s="12" t="s">
        <v>2086</v>
      </c>
      <c r="G2956" s="13" t="s">
        <v>6783</v>
      </c>
      <c r="H2956" s="12" t="s">
        <v>6483</v>
      </c>
      <c r="I2956" s="12"/>
      <c r="J2956" s="12"/>
      <c r="K2956" s="12"/>
      <c r="L2956" s="12"/>
      <c r="M2956" s="12" t="s">
        <v>2087</v>
      </c>
      <c r="N2956" s="12"/>
      <c r="O2956" s="12" t="s">
        <v>2088</v>
      </c>
      <c r="P2956" s="12" t="str">
        <f>HYPERLINK("https://ceds.ed.gov/cedselementdetails.aspx?termid=9027")</f>
        <v>https://ceds.ed.gov/cedselementdetails.aspx?termid=9027</v>
      </c>
      <c r="Q2956" s="12" t="str">
        <f>HYPERLINK("https://ceds.ed.gov/elementComment.aspx?elementName=Course Section Assessment Reporting Method &amp;elementID=9027", "Click here to submit comment")</f>
        <v>Click here to submit comment</v>
      </c>
    </row>
    <row r="2957" spans="1:17" ht="105" x14ac:dyDescent="0.25">
      <c r="A2957" s="18" t="s">
        <v>7313</v>
      </c>
      <c r="B2957" s="18" t="s">
        <v>7280</v>
      </c>
      <c r="C2957" s="18" t="s">
        <v>7281</v>
      </c>
      <c r="D2957" s="18" t="s">
        <v>7176</v>
      </c>
      <c r="E2957" s="18" t="s">
        <v>321</v>
      </c>
      <c r="F2957" s="18" t="s">
        <v>322</v>
      </c>
      <c r="G2957" s="18" t="s">
        <v>12</v>
      </c>
      <c r="H2957" s="18"/>
      <c r="I2957" s="18"/>
      <c r="J2957" s="18" t="s">
        <v>142</v>
      </c>
      <c r="K2957" s="18"/>
      <c r="L2957" s="12" t="s">
        <v>143</v>
      </c>
      <c r="M2957" s="18" t="s">
        <v>323</v>
      </c>
      <c r="N2957" s="18"/>
      <c r="O2957" s="18" t="s">
        <v>324</v>
      </c>
      <c r="P2957" s="18" t="str">
        <f>HYPERLINK("https://ceds.ed.gov/cedselementdetails.aspx?termid=10246")</f>
        <v>https://ceds.ed.gov/cedselementdetails.aspx?termid=10246</v>
      </c>
      <c r="Q2957" s="18" t="str">
        <f>HYPERLINK("https://ceds.ed.gov/elementComment.aspx?elementName=Agency Course Identifier &amp;elementID=10246", "Click here to submit comment")</f>
        <v>Click here to submit comment</v>
      </c>
    </row>
    <row r="2958" spans="1:17" x14ac:dyDescent="0.25">
      <c r="A2958" s="18"/>
      <c r="B2958" s="18"/>
      <c r="C2958" s="18"/>
      <c r="D2958" s="18"/>
      <c r="E2958" s="18"/>
      <c r="F2958" s="18"/>
      <c r="G2958" s="18"/>
      <c r="H2958" s="18"/>
      <c r="I2958" s="18"/>
      <c r="J2958" s="18"/>
      <c r="K2958" s="18"/>
      <c r="L2958" s="12"/>
      <c r="M2958" s="18"/>
      <c r="N2958" s="18"/>
      <c r="O2958" s="18"/>
      <c r="P2958" s="18"/>
      <c r="Q2958" s="18"/>
    </row>
    <row r="2959" spans="1:17" ht="90" x14ac:dyDescent="0.25">
      <c r="A2959" s="18"/>
      <c r="B2959" s="18"/>
      <c r="C2959" s="18"/>
      <c r="D2959" s="18"/>
      <c r="E2959" s="18"/>
      <c r="F2959" s="18"/>
      <c r="G2959" s="18"/>
      <c r="H2959" s="18"/>
      <c r="I2959" s="18"/>
      <c r="J2959" s="18"/>
      <c r="K2959" s="18"/>
      <c r="L2959" s="12" t="s">
        <v>144</v>
      </c>
      <c r="M2959" s="18"/>
      <c r="N2959" s="18"/>
      <c r="O2959" s="18"/>
      <c r="P2959" s="18"/>
      <c r="Q2959" s="18"/>
    </row>
    <row r="2960" spans="1:17" ht="75" x14ac:dyDescent="0.25">
      <c r="A2960" s="12" t="s">
        <v>7313</v>
      </c>
      <c r="B2960" s="12" t="s">
        <v>7280</v>
      </c>
      <c r="C2960" s="12" t="s">
        <v>7281</v>
      </c>
      <c r="D2960" s="12" t="s">
        <v>7176</v>
      </c>
      <c r="E2960" s="12" t="s">
        <v>1826</v>
      </c>
      <c r="F2960" s="12" t="s">
        <v>1827</v>
      </c>
      <c r="G2960" s="14" t="s">
        <v>1828</v>
      </c>
      <c r="H2960" s="12" t="s">
        <v>6368</v>
      </c>
      <c r="I2960" s="12"/>
      <c r="J2960" s="12"/>
      <c r="K2960" s="12"/>
      <c r="L2960" s="12"/>
      <c r="M2960" s="12" t="s">
        <v>1829</v>
      </c>
      <c r="N2960" s="12" t="s">
        <v>1830</v>
      </c>
      <c r="O2960" s="12" t="s">
        <v>1831</v>
      </c>
      <c r="P2960" s="12" t="str">
        <f>HYPERLINK("https://ceds.ed.gov/cedselementdetails.aspx?termid=9043")</f>
        <v>https://ceds.ed.gov/cedselementdetails.aspx?termid=9043</v>
      </c>
      <c r="Q2960" s="12" t="str">
        <f>HYPERLINK("https://ceds.ed.gov/elementComment.aspx?elementName=Classification of Instructional Program Code &amp;elementID=9043", "Click here to submit comment")</f>
        <v>Click here to submit comment</v>
      </c>
    </row>
    <row r="2961" spans="1:17" ht="90" x14ac:dyDescent="0.25">
      <c r="A2961" s="12" t="s">
        <v>7313</v>
      </c>
      <c r="B2961" s="12" t="s">
        <v>7280</v>
      </c>
      <c r="C2961" s="12" t="s">
        <v>7281</v>
      </c>
      <c r="D2961" s="12" t="s">
        <v>7176</v>
      </c>
      <c r="E2961" s="12" t="s">
        <v>1837</v>
      </c>
      <c r="F2961" s="12" t="s">
        <v>1838</v>
      </c>
      <c r="G2961" s="13" t="s">
        <v>6819</v>
      </c>
      <c r="H2961" s="12" t="s">
        <v>6380</v>
      </c>
      <c r="I2961" s="12"/>
      <c r="J2961" s="12"/>
      <c r="K2961" s="12"/>
      <c r="L2961" s="12"/>
      <c r="M2961" s="12" t="s">
        <v>1839</v>
      </c>
      <c r="N2961" s="12" t="s">
        <v>1840</v>
      </c>
      <c r="O2961" s="12" t="s">
        <v>1841</v>
      </c>
      <c r="P2961" s="12" t="str">
        <f>HYPERLINK("https://ceds.ed.gov/cedselementdetails.aspx?termid=9045")</f>
        <v>https://ceds.ed.gov/cedselementdetails.aspx?termid=9045</v>
      </c>
      <c r="Q2961" s="12" t="str">
        <f>HYPERLINK("https://ceds.ed.gov/elementComment.aspx?elementName=Classification of Instructional Program Version &amp;elementID=9045", "Click here to submit comment")</f>
        <v>Click here to submit comment</v>
      </c>
    </row>
    <row r="2962" spans="1:17" ht="30" x14ac:dyDescent="0.25">
      <c r="A2962" s="12" t="s">
        <v>7313</v>
      </c>
      <c r="B2962" s="12" t="s">
        <v>7280</v>
      </c>
      <c r="C2962" s="12" t="s">
        <v>7281</v>
      </c>
      <c r="D2962" s="12" t="s">
        <v>7176</v>
      </c>
      <c r="E2962" s="12" t="s">
        <v>2005</v>
      </c>
      <c r="F2962" s="12" t="s">
        <v>2006</v>
      </c>
      <c r="G2962" s="12" t="s">
        <v>12</v>
      </c>
      <c r="H2962" s="12"/>
      <c r="I2962" s="12"/>
      <c r="J2962" s="12" t="s">
        <v>99</v>
      </c>
      <c r="K2962" s="12"/>
      <c r="L2962" s="12"/>
      <c r="M2962" s="12" t="s">
        <v>2007</v>
      </c>
      <c r="N2962" s="12"/>
      <c r="O2962" s="12" t="s">
        <v>2008</v>
      </c>
      <c r="P2962" s="12" t="str">
        <f>HYPERLINK("https://ceds.ed.gov/cedselementdetails.aspx?termid=10525")</f>
        <v>https://ceds.ed.gov/cedselementdetails.aspx?termid=10525</v>
      </c>
      <c r="Q2962" s="12" t="str">
        <f>HYPERLINK("https://ceds.ed.gov/elementComment.aspx?elementName=Course Department Name &amp;elementID=10525", "Click here to submit comment")</f>
        <v>Click here to submit comment</v>
      </c>
    </row>
    <row r="2963" spans="1:17" ht="45" x14ac:dyDescent="0.25">
      <c r="A2963" s="12" t="s">
        <v>7313</v>
      </c>
      <c r="B2963" s="12" t="s">
        <v>7280</v>
      </c>
      <c r="C2963" s="12" t="s">
        <v>7281</v>
      </c>
      <c r="D2963" s="12" t="s">
        <v>7176</v>
      </c>
      <c r="E2963" s="12" t="s">
        <v>4540</v>
      </c>
      <c r="F2963" s="12" t="s">
        <v>4541</v>
      </c>
      <c r="G2963" s="12" t="s">
        <v>4542</v>
      </c>
      <c r="H2963" s="12"/>
      <c r="I2963" s="12"/>
      <c r="J2963" s="12"/>
      <c r="K2963" s="12"/>
      <c r="L2963" s="12"/>
      <c r="M2963" s="12" t="s">
        <v>4543</v>
      </c>
      <c r="N2963" s="12"/>
      <c r="O2963" s="12" t="s">
        <v>4544</v>
      </c>
      <c r="P2963" s="12" t="str">
        <f>HYPERLINK("https://ceds.ed.gov/cedselementdetails.aspx?termid=10383")</f>
        <v>https://ceds.ed.gov/cedselementdetails.aspx?termid=10383</v>
      </c>
      <c r="Q2963" s="12" t="str">
        <f>HYPERLINK("https://ceds.ed.gov/elementComment.aspx?elementName=NCES College Course Map Code &amp;elementID=10383", "Click here to submit comment")</f>
        <v>Click here to submit comment</v>
      </c>
    </row>
    <row r="2964" spans="1:17" ht="225" x14ac:dyDescent="0.25">
      <c r="A2964" s="18" t="s">
        <v>7313</v>
      </c>
      <c r="B2964" s="18" t="s">
        <v>7280</v>
      </c>
      <c r="C2964" s="18" t="s">
        <v>7191</v>
      </c>
      <c r="D2964" s="18" t="s">
        <v>7176</v>
      </c>
      <c r="E2964" s="18" t="s">
        <v>5745</v>
      </c>
      <c r="F2964" s="18" t="s">
        <v>5746</v>
      </c>
      <c r="G2964" s="18" t="s">
        <v>12</v>
      </c>
      <c r="H2964" s="18" t="s">
        <v>6670</v>
      </c>
      <c r="I2964" s="18"/>
      <c r="J2964" s="18" t="s">
        <v>5747</v>
      </c>
      <c r="K2964" s="18"/>
      <c r="L2964" s="12" t="s">
        <v>5748</v>
      </c>
      <c r="M2964" s="18" t="s">
        <v>5750</v>
      </c>
      <c r="N2964" s="18" t="s">
        <v>5751</v>
      </c>
      <c r="O2964" s="18" t="s">
        <v>5752</v>
      </c>
      <c r="P2964" s="18" t="str">
        <f>HYPERLINK("https://ceds.ed.gov/cedselementdetails.aspx?termid=9259")</f>
        <v>https://ceds.ed.gov/cedselementdetails.aspx?termid=9259</v>
      </c>
      <c r="Q2964" s="18" t="str">
        <f>HYPERLINK("https://ceds.ed.gov/elementComment.aspx?elementName=Social Security Number &amp;elementID=9259", "Click here to submit comment")</f>
        <v>Click here to submit comment</v>
      </c>
    </row>
    <row r="2965" spans="1:17" x14ac:dyDescent="0.25">
      <c r="A2965" s="18"/>
      <c r="B2965" s="18"/>
      <c r="C2965" s="18"/>
      <c r="D2965" s="18"/>
      <c r="E2965" s="18"/>
      <c r="F2965" s="18"/>
      <c r="G2965" s="18"/>
      <c r="H2965" s="18"/>
      <c r="I2965" s="18"/>
      <c r="J2965" s="18"/>
      <c r="K2965" s="18"/>
      <c r="L2965" s="12"/>
      <c r="M2965" s="18"/>
      <c r="N2965" s="18"/>
      <c r="O2965" s="18"/>
      <c r="P2965" s="18"/>
      <c r="Q2965" s="18"/>
    </row>
    <row r="2966" spans="1:17" ht="180" x14ac:dyDescent="0.25">
      <c r="A2966" s="18"/>
      <c r="B2966" s="18"/>
      <c r="C2966" s="18"/>
      <c r="D2966" s="18"/>
      <c r="E2966" s="18"/>
      <c r="F2966" s="18"/>
      <c r="G2966" s="18"/>
      <c r="H2966" s="18"/>
      <c r="I2966" s="18"/>
      <c r="J2966" s="18"/>
      <c r="K2966" s="18"/>
      <c r="L2966" s="12" t="s">
        <v>5749</v>
      </c>
      <c r="M2966" s="18"/>
      <c r="N2966" s="18"/>
      <c r="O2966" s="18"/>
      <c r="P2966" s="18"/>
      <c r="Q2966" s="18"/>
    </row>
    <row r="2967" spans="1:17" ht="105" x14ac:dyDescent="0.25">
      <c r="A2967" s="18" t="s">
        <v>7313</v>
      </c>
      <c r="B2967" s="18" t="s">
        <v>7280</v>
      </c>
      <c r="C2967" s="18" t="s">
        <v>7191</v>
      </c>
      <c r="D2967" s="18" t="s">
        <v>7176</v>
      </c>
      <c r="E2967" s="18" t="s">
        <v>5984</v>
      </c>
      <c r="F2967" s="18" t="s">
        <v>5985</v>
      </c>
      <c r="G2967" s="18" t="s">
        <v>12</v>
      </c>
      <c r="H2967" s="18" t="s">
        <v>6687</v>
      </c>
      <c r="I2967" s="18"/>
      <c r="J2967" s="18" t="s">
        <v>142</v>
      </c>
      <c r="K2967" s="18"/>
      <c r="L2967" s="12" t="s">
        <v>143</v>
      </c>
      <c r="M2967" s="18" t="s">
        <v>5986</v>
      </c>
      <c r="N2967" s="18"/>
      <c r="O2967" s="18" t="s">
        <v>5987</v>
      </c>
      <c r="P2967" s="18" t="str">
        <f>HYPERLINK("https://ceds.ed.gov/cedselementdetails.aspx?termid=9157")</f>
        <v>https://ceds.ed.gov/cedselementdetails.aspx?termid=9157</v>
      </c>
      <c r="Q2967" s="18" t="str">
        <f>HYPERLINK("https://ceds.ed.gov/elementComment.aspx?elementName=Student Identifier &amp;elementID=9157", "Click here to submit comment")</f>
        <v>Click here to submit comment</v>
      </c>
    </row>
    <row r="2968" spans="1:17" x14ac:dyDescent="0.25">
      <c r="A2968" s="18"/>
      <c r="B2968" s="18"/>
      <c r="C2968" s="18"/>
      <c r="D2968" s="18"/>
      <c r="E2968" s="18"/>
      <c r="F2968" s="18"/>
      <c r="G2968" s="18"/>
      <c r="H2968" s="18"/>
      <c r="I2968" s="18"/>
      <c r="J2968" s="18"/>
      <c r="K2968" s="18"/>
      <c r="L2968" s="12"/>
      <c r="M2968" s="18"/>
      <c r="N2968" s="18"/>
      <c r="O2968" s="18"/>
      <c r="P2968" s="18"/>
      <c r="Q2968" s="18"/>
    </row>
    <row r="2969" spans="1:17" ht="90" x14ac:dyDescent="0.25">
      <c r="A2969" s="18"/>
      <c r="B2969" s="18"/>
      <c r="C2969" s="18"/>
      <c r="D2969" s="18"/>
      <c r="E2969" s="18"/>
      <c r="F2969" s="18"/>
      <c r="G2969" s="18"/>
      <c r="H2969" s="18"/>
      <c r="I2969" s="18"/>
      <c r="J2969" s="18"/>
      <c r="K2969" s="18"/>
      <c r="L2969" s="12" t="s">
        <v>144</v>
      </c>
      <c r="M2969" s="18"/>
      <c r="N2969" s="18"/>
      <c r="O2969" s="18"/>
      <c r="P2969" s="18"/>
      <c r="Q2969" s="18"/>
    </row>
    <row r="2970" spans="1:17" ht="210" x14ac:dyDescent="0.25">
      <c r="A2970" s="12" t="s">
        <v>7313</v>
      </c>
      <c r="B2970" s="12" t="s">
        <v>7280</v>
      </c>
      <c r="C2970" s="12" t="s">
        <v>7191</v>
      </c>
      <c r="D2970" s="12" t="s">
        <v>7176</v>
      </c>
      <c r="E2970" s="12" t="s">
        <v>5980</v>
      </c>
      <c r="F2970" s="12" t="s">
        <v>5981</v>
      </c>
      <c r="G2970" s="13" t="s">
        <v>7124</v>
      </c>
      <c r="H2970" s="12" t="s">
        <v>6687</v>
      </c>
      <c r="I2970" s="12"/>
      <c r="J2970" s="12"/>
      <c r="K2970" s="12"/>
      <c r="L2970" s="12"/>
      <c r="M2970" s="12" t="s">
        <v>5982</v>
      </c>
      <c r="N2970" s="12"/>
      <c r="O2970" s="12" t="s">
        <v>5983</v>
      </c>
      <c r="P2970" s="12" t="str">
        <f>HYPERLINK("https://ceds.ed.gov/cedselementdetails.aspx?termid=9163")</f>
        <v>https://ceds.ed.gov/cedselementdetails.aspx?termid=9163</v>
      </c>
      <c r="Q2970" s="12" t="str">
        <f>HYPERLINK("https://ceds.ed.gov/elementComment.aspx?elementName=Student Identification System &amp;elementID=9163", "Click here to submit comment")</f>
        <v>Click here to submit comment</v>
      </c>
    </row>
    <row r="2971" spans="1:17" ht="45" x14ac:dyDescent="0.25">
      <c r="A2971" s="12" t="s">
        <v>7313</v>
      </c>
      <c r="B2971" s="12" t="s">
        <v>7280</v>
      </c>
      <c r="C2971" s="12" t="s">
        <v>7191</v>
      </c>
      <c r="D2971" s="12" t="s">
        <v>7176</v>
      </c>
      <c r="E2971" s="12" t="s">
        <v>2073</v>
      </c>
      <c r="F2971" s="12" t="s">
        <v>2074</v>
      </c>
      <c r="G2971" s="12" t="s">
        <v>12</v>
      </c>
      <c r="H2971" s="12" t="s">
        <v>25</v>
      </c>
      <c r="I2971" s="12"/>
      <c r="J2971" s="12" t="s">
        <v>22</v>
      </c>
      <c r="K2971" s="12"/>
      <c r="L2971" s="12"/>
      <c r="M2971" s="12" t="s">
        <v>2075</v>
      </c>
      <c r="N2971" s="12"/>
      <c r="O2971" s="12" t="s">
        <v>2076</v>
      </c>
      <c r="P2971" s="12" t="str">
        <f>HYPERLINK("https://ceds.ed.gov/cedselementdetails.aspx?termid=9063")</f>
        <v>https://ceds.ed.gov/cedselementdetails.aspx?termid=9063</v>
      </c>
      <c r="Q2971" s="12" t="str">
        <f>HYPERLINK("https://ceds.ed.gov/elementComment.aspx?elementName=Course Override School &amp;elementID=9063", "Click here to submit comment")</f>
        <v>Click here to submit comment</v>
      </c>
    </row>
    <row r="2972" spans="1:17" ht="45" x14ac:dyDescent="0.25">
      <c r="A2972" s="12" t="s">
        <v>7313</v>
      </c>
      <c r="B2972" s="12" t="s">
        <v>7280</v>
      </c>
      <c r="C2972" s="12" t="s">
        <v>7191</v>
      </c>
      <c r="D2972" s="12" t="s">
        <v>7176</v>
      </c>
      <c r="E2972" s="12" t="s">
        <v>2253</v>
      </c>
      <c r="F2972" s="12" t="s">
        <v>2254</v>
      </c>
      <c r="G2972" s="12" t="s">
        <v>6364</v>
      </c>
      <c r="H2972" s="12" t="s">
        <v>25</v>
      </c>
      <c r="I2972" s="12"/>
      <c r="J2972" s="12"/>
      <c r="K2972" s="12"/>
      <c r="L2972" s="12"/>
      <c r="M2972" s="12" t="s">
        <v>2255</v>
      </c>
      <c r="N2972" s="12"/>
      <c r="O2972" s="12" t="s">
        <v>2256</v>
      </c>
      <c r="P2972" s="12" t="str">
        <f>HYPERLINK("https://ceds.ed.gov/cedselementdetails.aspx?termid=9077")</f>
        <v>https://ceds.ed.gov/cedselementdetails.aspx?termid=9077</v>
      </c>
      <c r="Q2972" s="12" t="str">
        <f>HYPERLINK("https://ceds.ed.gov/elementComment.aspx?elementName=Degree Applicability &amp;elementID=9077", "Click here to submit comment")</f>
        <v>Click here to submit comment</v>
      </c>
    </row>
    <row r="2973" spans="1:17" ht="30" x14ac:dyDescent="0.25">
      <c r="A2973" s="12" t="s">
        <v>7313</v>
      </c>
      <c r="B2973" s="12" t="s">
        <v>7280</v>
      </c>
      <c r="C2973" s="12" t="s">
        <v>7191</v>
      </c>
      <c r="D2973" s="12" t="s">
        <v>7176</v>
      </c>
      <c r="E2973" s="12" t="s">
        <v>1948</v>
      </c>
      <c r="F2973" s="12" t="s">
        <v>1949</v>
      </c>
      <c r="G2973" s="12" t="s">
        <v>12</v>
      </c>
      <c r="H2973" s="12" t="s">
        <v>6446</v>
      </c>
      <c r="I2973" s="12"/>
      <c r="J2973" s="12" t="s">
        <v>1950</v>
      </c>
      <c r="K2973" s="12"/>
      <c r="L2973" s="12"/>
      <c r="M2973" s="12" t="s">
        <v>1951</v>
      </c>
      <c r="N2973" s="12"/>
      <c r="O2973" s="12" t="s">
        <v>1952</v>
      </c>
      <c r="P2973" s="12" t="str">
        <f>HYPERLINK("https://ceds.ed.gov/cedselementdetails.aspx?termid=9053")</f>
        <v>https://ceds.ed.gov/cedselementdetails.aspx?termid=9053</v>
      </c>
      <c r="Q2973" s="12" t="str">
        <f>HYPERLINK("https://ceds.ed.gov/elementComment.aspx?elementName=Course Academic Grade &amp;elementID=9053", "Click here to submit comment")</f>
        <v>Click here to submit comment</v>
      </c>
    </row>
    <row r="2974" spans="1:17" ht="120" x14ac:dyDescent="0.25">
      <c r="A2974" s="12" t="s">
        <v>7313</v>
      </c>
      <c r="B2974" s="12" t="s">
        <v>7280</v>
      </c>
      <c r="C2974" s="12" t="s">
        <v>7191</v>
      </c>
      <c r="D2974" s="12" t="s">
        <v>7176</v>
      </c>
      <c r="E2974" s="12" t="s">
        <v>4588</v>
      </c>
      <c r="F2974" s="12" t="s">
        <v>4589</v>
      </c>
      <c r="G2974" s="12" t="s">
        <v>12</v>
      </c>
      <c r="H2974" s="12" t="s">
        <v>6596</v>
      </c>
      <c r="I2974" s="12"/>
      <c r="J2974" s="12" t="s">
        <v>1554</v>
      </c>
      <c r="K2974" s="12"/>
      <c r="L2974" s="12"/>
      <c r="M2974" s="12" t="s">
        <v>4590</v>
      </c>
      <c r="N2974" s="12"/>
      <c r="O2974" s="12" t="s">
        <v>4591</v>
      </c>
      <c r="P2974" s="12" t="str">
        <f>HYPERLINK("https://ceds.ed.gov/cedselementdetails.aspx?termid=9200")</f>
        <v>https://ceds.ed.gov/cedselementdetails.aspx?termid=9200</v>
      </c>
      <c r="Q2974" s="12" t="str">
        <f>HYPERLINK("https://ceds.ed.gov/elementComment.aspx?elementName=Number of Credits Earned &amp;elementID=9200", "Click here to submit comment")</f>
        <v>Click here to submit comment</v>
      </c>
    </row>
    <row r="2975" spans="1:17" ht="60" x14ac:dyDescent="0.25">
      <c r="A2975" s="12" t="s">
        <v>7313</v>
      </c>
      <c r="B2975" s="12" t="s">
        <v>7280</v>
      </c>
      <c r="C2975" s="12" t="s">
        <v>7191</v>
      </c>
      <c r="D2975" s="12" t="s">
        <v>7176</v>
      </c>
      <c r="E2975" s="12" t="s">
        <v>2077</v>
      </c>
      <c r="F2975" s="12" t="s">
        <v>2078</v>
      </c>
      <c r="G2975" s="12" t="s">
        <v>12</v>
      </c>
      <c r="H2975" s="12" t="s">
        <v>25</v>
      </c>
      <c r="I2975" s="12"/>
      <c r="J2975" s="12" t="s">
        <v>1554</v>
      </c>
      <c r="K2975" s="12"/>
      <c r="L2975" s="12"/>
      <c r="M2975" s="12" t="s">
        <v>2079</v>
      </c>
      <c r="N2975" s="12"/>
      <c r="O2975" s="12" t="s">
        <v>2080</v>
      </c>
      <c r="P2975" s="12" t="str">
        <f>HYPERLINK("https://ceds.ed.gov/cedselementdetails.aspx?termid=9064")</f>
        <v>https://ceds.ed.gov/cedselementdetails.aspx?termid=9064</v>
      </c>
      <c r="Q2975" s="12" t="str">
        <f>HYPERLINK("https://ceds.ed.gov/elementComment.aspx?elementName=Course Quality Points Earned &amp;elementID=9064", "Click here to submit comment")</f>
        <v>Click here to submit comment</v>
      </c>
    </row>
    <row r="2976" spans="1:17" ht="30" x14ac:dyDescent="0.25">
      <c r="A2976" s="12" t="s">
        <v>7313</v>
      </c>
      <c r="B2976" s="12" t="s">
        <v>7280</v>
      </c>
      <c r="C2976" s="12" t="s">
        <v>7191</v>
      </c>
      <c r="D2976" s="12" t="s">
        <v>7176</v>
      </c>
      <c r="E2976" s="12" t="s">
        <v>1963</v>
      </c>
      <c r="F2976" s="12" t="s">
        <v>1964</v>
      </c>
      <c r="G2976" s="12" t="s">
        <v>12</v>
      </c>
      <c r="H2976" s="12"/>
      <c r="I2976" s="12"/>
      <c r="J2976" s="12" t="s">
        <v>73</v>
      </c>
      <c r="K2976" s="12"/>
      <c r="L2976" s="12"/>
      <c r="M2976" s="12" t="s">
        <v>1965</v>
      </c>
      <c r="N2976" s="12"/>
      <c r="O2976" s="12" t="s">
        <v>1966</v>
      </c>
      <c r="P2976" s="12" t="str">
        <f>HYPERLINK("https://ceds.ed.gov/cedselementdetails.aspx?termid=10266")</f>
        <v>https://ceds.ed.gov/cedselementdetails.aspx?termid=10266</v>
      </c>
      <c r="Q2976" s="12" t="str">
        <f>HYPERLINK("https://ceds.ed.gov/elementComment.aspx?elementName=Course Add Date &amp;elementID=10266", "Click here to submit comment")</f>
        <v>Click here to submit comment</v>
      </c>
    </row>
    <row r="2977" spans="1:17" ht="30" x14ac:dyDescent="0.25">
      <c r="A2977" s="12" t="s">
        <v>7313</v>
      </c>
      <c r="B2977" s="12" t="s">
        <v>7280</v>
      </c>
      <c r="C2977" s="12" t="s">
        <v>7191</v>
      </c>
      <c r="D2977" s="12" t="s">
        <v>7176</v>
      </c>
      <c r="E2977" s="12" t="s">
        <v>2013</v>
      </c>
      <c r="F2977" s="12" t="s">
        <v>2014</v>
      </c>
      <c r="G2977" s="12" t="s">
        <v>12</v>
      </c>
      <c r="H2977" s="12" t="s">
        <v>2017</v>
      </c>
      <c r="I2977" s="12"/>
      <c r="J2977" s="12" t="s">
        <v>73</v>
      </c>
      <c r="K2977" s="12"/>
      <c r="L2977" s="12"/>
      <c r="M2977" s="12" t="s">
        <v>2015</v>
      </c>
      <c r="N2977" s="12"/>
      <c r="O2977" s="12" t="s">
        <v>2016</v>
      </c>
      <c r="P2977" s="12" t="str">
        <f>HYPERLINK("https://ceds.ed.gov/cedselementdetails.aspx?termid=10271")</f>
        <v>https://ceds.ed.gov/cedselementdetails.aspx?termid=10271</v>
      </c>
      <c r="Q2977" s="12" t="str">
        <f>HYPERLINK("https://ceds.ed.gov/elementComment.aspx?elementName=Course Drop Date &amp;elementID=10271", "Click here to submit comment")</f>
        <v>Click here to submit comment</v>
      </c>
    </row>
    <row r="2978" spans="1:17" ht="90" x14ac:dyDescent="0.25">
      <c r="A2978" s="12" t="s">
        <v>7313</v>
      </c>
      <c r="B2978" s="12" t="s">
        <v>7280</v>
      </c>
      <c r="C2978" s="12" t="s">
        <v>7191</v>
      </c>
      <c r="D2978" s="12" t="s">
        <v>7176</v>
      </c>
      <c r="E2978" s="12" t="s">
        <v>5968</v>
      </c>
      <c r="F2978" s="12" t="s">
        <v>5969</v>
      </c>
      <c r="G2978" s="12" t="s">
        <v>12</v>
      </c>
      <c r="H2978" s="12" t="s">
        <v>6369</v>
      </c>
      <c r="I2978" s="12"/>
      <c r="J2978" s="12" t="s">
        <v>1950</v>
      </c>
      <c r="K2978" s="12"/>
      <c r="L2978" s="12"/>
      <c r="M2978" s="12" t="s">
        <v>5970</v>
      </c>
      <c r="N2978" s="12"/>
      <c r="O2978" s="12" t="s">
        <v>5971</v>
      </c>
      <c r="P2978" s="12" t="str">
        <f>HYPERLINK("https://ceds.ed.gov/cedselementdetails.aspx?termid=9124")</f>
        <v>https://ceds.ed.gov/cedselementdetails.aspx?termid=9124</v>
      </c>
      <c r="Q2978" s="12" t="str">
        <f>HYPERLINK("https://ceds.ed.gov/elementComment.aspx?elementName=Student Course Section Grade Earned &amp;elementID=9124", "Click here to submit comment")</f>
        <v>Click here to submit comment</v>
      </c>
    </row>
    <row r="2979" spans="1:17" ht="45" x14ac:dyDescent="0.25">
      <c r="A2979" s="12" t="s">
        <v>7313</v>
      </c>
      <c r="B2979" s="12" t="s">
        <v>7280</v>
      </c>
      <c r="C2979" s="12" t="s">
        <v>7191</v>
      </c>
      <c r="D2979" s="12" t="s">
        <v>7176</v>
      </c>
      <c r="E2979" s="12" t="s">
        <v>5972</v>
      </c>
      <c r="F2979" s="12" t="s">
        <v>5973</v>
      </c>
      <c r="G2979" s="12" t="s">
        <v>12</v>
      </c>
      <c r="H2979" s="12"/>
      <c r="I2979" s="12"/>
      <c r="J2979" s="12" t="s">
        <v>68</v>
      </c>
      <c r="K2979" s="12"/>
      <c r="L2979" s="12"/>
      <c r="M2979" s="12" t="s">
        <v>5974</v>
      </c>
      <c r="N2979" s="12"/>
      <c r="O2979" s="12" t="s">
        <v>5975</v>
      </c>
      <c r="P2979" s="12" t="str">
        <f>HYPERLINK("https://ceds.ed.gov/cedselementdetails.aspx?termid=10552")</f>
        <v>https://ceds.ed.gov/cedselementdetails.aspx?termid=10552</v>
      </c>
      <c r="Q2979" s="12" t="str">
        <f>HYPERLINK("https://ceds.ed.gov/elementComment.aspx?elementName=Student Course Section Grade Narrative &amp;elementID=10552", "Click here to submit comment")</f>
        <v>Click here to submit comment</v>
      </c>
    </row>
    <row r="2980" spans="1:17" ht="90" x14ac:dyDescent="0.25">
      <c r="A2980" s="12" t="s">
        <v>7313</v>
      </c>
      <c r="B2980" s="12" t="s">
        <v>7280</v>
      </c>
      <c r="C2980" s="12" t="s">
        <v>7282</v>
      </c>
      <c r="D2980" s="12" t="s">
        <v>7176</v>
      </c>
      <c r="E2980" s="12" t="s">
        <v>4372</v>
      </c>
      <c r="F2980" s="12" t="s">
        <v>4373</v>
      </c>
      <c r="G2980" s="12" t="s">
        <v>12</v>
      </c>
      <c r="H2980" s="12" t="s">
        <v>6369</v>
      </c>
      <c r="I2980" s="12"/>
      <c r="J2980" s="12" t="s">
        <v>92</v>
      </c>
      <c r="K2980" s="12"/>
      <c r="L2980" s="12"/>
      <c r="M2980" s="12" t="s">
        <v>4374</v>
      </c>
      <c r="N2980" s="12"/>
      <c r="O2980" s="12" t="s">
        <v>4375</v>
      </c>
      <c r="P2980" s="12" t="str">
        <f>HYPERLINK("https://ceds.ed.gov/cedselementdetails.aspx?termid=9182")</f>
        <v>https://ceds.ed.gov/cedselementdetails.aspx?termid=9182</v>
      </c>
      <c r="Q2980" s="12" t="str">
        <f>HYPERLINK("https://ceds.ed.gov/elementComment.aspx?elementName=Marking Period Name &amp;elementID=9182", "Click here to submit comment")</f>
        <v>Click here to submit comment</v>
      </c>
    </row>
    <row r="2981" spans="1:17" ht="45" x14ac:dyDescent="0.25">
      <c r="A2981" s="12" t="s">
        <v>7313</v>
      </c>
      <c r="B2981" s="12" t="s">
        <v>7280</v>
      </c>
      <c r="C2981" s="12" t="s">
        <v>7282</v>
      </c>
      <c r="D2981" s="12" t="s">
        <v>7176</v>
      </c>
      <c r="E2981" s="12" t="s">
        <v>5976</v>
      </c>
      <c r="F2981" s="12" t="s">
        <v>5977</v>
      </c>
      <c r="G2981" s="12" t="s">
        <v>6364</v>
      </c>
      <c r="H2981" s="12"/>
      <c r="I2981" s="12"/>
      <c r="J2981" s="12"/>
      <c r="K2981" s="12"/>
      <c r="L2981" s="12"/>
      <c r="M2981" s="12" t="s">
        <v>5978</v>
      </c>
      <c r="N2981" s="12"/>
      <c r="O2981" s="12" t="s">
        <v>5979</v>
      </c>
      <c r="P2981" s="12" t="str">
        <f>HYPERLINK("https://ceds.ed.gov/cedselementdetails.aspx?termid=10191")</f>
        <v>https://ceds.ed.gov/cedselementdetails.aspx?termid=10191</v>
      </c>
      <c r="Q2981" s="12" t="str">
        <f>HYPERLINK("https://ceds.ed.gov/elementComment.aspx?elementName=Student Course Section Mark Final Indicator &amp;elementID=10191", "Click here to submit comment")</f>
        <v>Click here to submit comment</v>
      </c>
    </row>
    <row r="2982" spans="1:17" ht="90" x14ac:dyDescent="0.25">
      <c r="A2982" s="12" t="s">
        <v>7313</v>
      </c>
      <c r="B2982" s="12" t="s">
        <v>7280</v>
      </c>
      <c r="C2982" s="12" t="s">
        <v>7282</v>
      </c>
      <c r="D2982" s="12" t="s">
        <v>7176</v>
      </c>
      <c r="E2982" s="12" t="s">
        <v>4401</v>
      </c>
      <c r="F2982" s="12" t="s">
        <v>4402</v>
      </c>
      <c r="G2982" s="12" t="s">
        <v>12</v>
      </c>
      <c r="H2982" s="12" t="s">
        <v>6369</v>
      </c>
      <c r="I2982" s="12"/>
      <c r="J2982" s="12" t="s">
        <v>1950</v>
      </c>
      <c r="K2982" s="12"/>
      <c r="L2982" s="12"/>
      <c r="M2982" s="12" t="s">
        <v>4403</v>
      </c>
      <c r="N2982" s="12"/>
      <c r="O2982" s="12" t="s">
        <v>4404</v>
      </c>
      <c r="P2982" s="12" t="str">
        <f>HYPERLINK("https://ceds.ed.gov/cedselementdetails.aspx?termid=9183")</f>
        <v>https://ceds.ed.gov/cedselementdetails.aspx?termid=9183</v>
      </c>
      <c r="Q2982" s="12" t="str">
        <f>HYPERLINK("https://ceds.ed.gov/elementComment.aspx?elementName=Mid Term Mark &amp;elementID=9183", "Click here to submit comment")</f>
        <v>Click here to submit comment</v>
      </c>
    </row>
    <row r="2983" spans="1:17" ht="90" x14ac:dyDescent="0.25">
      <c r="A2983" s="12" t="s">
        <v>7313</v>
      </c>
      <c r="B2983" s="12" t="s">
        <v>7280</v>
      </c>
      <c r="C2983" s="12" t="s">
        <v>7282</v>
      </c>
      <c r="D2983" s="12" t="s">
        <v>7176</v>
      </c>
      <c r="E2983" s="12" t="s">
        <v>5968</v>
      </c>
      <c r="F2983" s="12" t="s">
        <v>5969</v>
      </c>
      <c r="G2983" s="12" t="s">
        <v>12</v>
      </c>
      <c r="H2983" s="12" t="s">
        <v>6369</v>
      </c>
      <c r="I2983" s="12"/>
      <c r="J2983" s="12" t="s">
        <v>1950</v>
      </c>
      <c r="K2983" s="12"/>
      <c r="L2983" s="12"/>
      <c r="M2983" s="12" t="s">
        <v>5970</v>
      </c>
      <c r="N2983" s="12"/>
      <c r="O2983" s="12" t="s">
        <v>5971</v>
      </c>
      <c r="P2983" s="12" t="str">
        <f>HYPERLINK("https://ceds.ed.gov/cedselementdetails.aspx?termid=9124")</f>
        <v>https://ceds.ed.gov/cedselementdetails.aspx?termid=9124</v>
      </c>
      <c r="Q2983" s="12" t="str">
        <f>HYPERLINK("https://ceds.ed.gov/elementComment.aspx?elementName=Student Course Section Grade Earned &amp;elementID=9124", "Click here to submit comment")</f>
        <v>Click here to submit comment</v>
      </c>
    </row>
    <row r="2984" spans="1:17" ht="135" x14ac:dyDescent="0.25">
      <c r="A2984" s="12" t="s">
        <v>7313</v>
      </c>
      <c r="B2984" s="12" t="s">
        <v>7280</v>
      </c>
      <c r="C2984" s="12" t="s">
        <v>7282</v>
      </c>
      <c r="D2984" s="12" t="s">
        <v>7176</v>
      </c>
      <c r="E2984" s="12" t="s">
        <v>3129</v>
      </c>
      <c r="F2984" s="12" t="s">
        <v>3130</v>
      </c>
      <c r="G2984" s="12" t="s">
        <v>12</v>
      </c>
      <c r="H2984" s="12"/>
      <c r="I2984" s="12"/>
      <c r="J2984" s="12" t="s">
        <v>794</v>
      </c>
      <c r="K2984" s="12"/>
      <c r="L2984" s="12" t="s">
        <v>3131</v>
      </c>
      <c r="M2984" s="12" t="s">
        <v>3132</v>
      </c>
      <c r="N2984" s="12"/>
      <c r="O2984" s="12" t="s">
        <v>3133</v>
      </c>
      <c r="P2984" s="12" t="str">
        <f>HYPERLINK("https://ceds.ed.gov/cedselementdetails.aspx?termid=9609")</f>
        <v>https://ceds.ed.gov/cedselementdetails.aspx?termid=9609</v>
      </c>
      <c r="Q2984" s="12" t="str">
        <f>HYPERLINK("https://ceds.ed.gov/elementComment.aspx?elementName=Grade Value Qualifier &amp;elementID=9609", "Click here to submit comment")</f>
        <v>Click here to submit comment</v>
      </c>
    </row>
    <row r="2985" spans="1:17" ht="285" x14ac:dyDescent="0.25">
      <c r="A2985" s="12" t="s">
        <v>7313</v>
      </c>
      <c r="B2985" s="12" t="s">
        <v>7280</v>
      </c>
      <c r="C2985" s="12" t="s">
        <v>7282</v>
      </c>
      <c r="D2985" s="12" t="s">
        <v>7176</v>
      </c>
      <c r="E2985" s="12" t="s">
        <v>1959</v>
      </c>
      <c r="F2985" s="12" t="s">
        <v>1960</v>
      </c>
      <c r="G2985" s="13" t="s">
        <v>6830</v>
      </c>
      <c r="H2985" s="12"/>
      <c r="I2985" s="12"/>
      <c r="J2985" s="12"/>
      <c r="K2985" s="12"/>
      <c r="L2985" s="12"/>
      <c r="M2985" s="12" t="s">
        <v>1961</v>
      </c>
      <c r="N2985" s="12"/>
      <c r="O2985" s="12" t="s">
        <v>1962</v>
      </c>
      <c r="P2985" s="12" t="str">
        <f>HYPERLINK("https://ceds.ed.gov/cedselementdetails.aspx?termid=10265")</f>
        <v>https://ceds.ed.gov/cedselementdetails.aspx?termid=10265</v>
      </c>
      <c r="Q2985" s="12" t="str">
        <f>HYPERLINK("https://ceds.ed.gov/elementComment.aspx?elementName=Course Academic Grade Status Code &amp;elementID=10265", "Click here to submit comment")</f>
        <v>Click here to submit comment</v>
      </c>
    </row>
    <row r="2986" spans="1:17" ht="345" x14ac:dyDescent="0.25">
      <c r="A2986" s="12" t="s">
        <v>7313</v>
      </c>
      <c r="B2986" s="12" t="s">
        <v>7280</v>
      </c>
      <c r="C2986" s="12" t="s">
        <v>7283</v>
      </c>
      <c r="D2986" s="12" t="s">
        <v>7176</v>
      </c>
      <c r="E2986" s="12" t="s">
        <v>5868</v>
      </c>
      <c r="F2986" s="12" t="s">
        <v>5869</v>
      </c>
      <c r="G2986" s="13" t="s">
        <v>7118</v>
      </c>
      <c r="H2986" s="12" t="s">
        <v>6675</v>
      </c>
      <c r="I2986" s="12"/>
      <c r="J2986" s="12"/>
      <c r="K2986" s="12"/>
      <c r="L2986" s="12"/>
      <c r="M2986" s="12" t="s">
        <v>5870</v>
      </c>
      <c r="N2986" s="12"/>
      <c r="O2986" s="12" t="s">
        <v>5871</v>
      </c>
      <c r="P2986" s="12" t="str">
        <f>HYPERLINK("https://ceds.ed.gov/cedselementdetails.aspx?termid=9162")</f>
        <v>https://ceds.ed.gov/cedselementdetails.aspx?termid=9162</v>
      </c>
      <c r="Q2986" s="12" t="str">
        <f>HYPERLINK("https://ceds.ed.gov/elementComment.aspx?elementName=Staff Member Identification System &amp;elementID=9162", "Click here to submit comment")</f>
        <v>Click here to submit comment</v>
      </c>
    </row>
    <row r="2987" spans="1:17" ht="105" x14ac:dyDescent="0.25">
      <c r="A2987" s="18" t="s">
        <v>7313</v>
      </c>
      <c r="B2987" s="18" t="s">
        <v>7280</v>
      </c>
      <c r="C2987" s="18" t="s">
        <v>7283</v>
      </c>
      <c r="D2987" s="18" t="s">
        <v>7176</v>
      </c>
      <c r="E2987" s="18" t="s">
        <v>5872</v>
      </c>
      <c r="F2987" s="18" t="s">
        <v>5873</v>
      </c>
      <c r="G2987" s="18" t="s">
        <v>12</v>
      </c>
      <c r="H2987" s="18" t="s">
        <v>6676</v>
      </c>
      <c r="I2987" s="18"/>
      <c r="J2987" s="18" t="s">
        <v>142</v>
      </c>
      <c r="K2987" s="18"/>
      <c r="L2987" s="12" t="s">
        <v>143</v>
      </c>
      <c r="M2987" s="18" t="s">
        <v>5874</v>
      </c>
      <c r="N2987" s="18"/>
      <c r="O2987" s="18" t="s">
        <v>5875</v>
      </c>
      <c r="P2987" s="18" t="str">
        <f>HYPERLINK("https://ceds.ed.gov/cedselementdetails.aspx?termid=9156")</f>
        <v>https://ceds.ed.gov/cedselementdetails.aspx?termid=9156</v>
      </c>
      <c r="Q2987" s="18" t="str">
        <f>HYPERLINK("https://ceds.ed.gov/elementComment.aspx?elementName=Staff Member Identifier &amp;elementID=9156", "Click here to submit comment")</f>
        <v>Click here to submit comment</v>
      </c>
    </row>
    <row r="2988" spans="1:17" x14ac:dyDescent="0.25">
      <c r="A2988" s="18"/>
      <c r="B2988" s="18"/>
      <c r="C2988" s="18"/>
      <c r="D2988" s="18"/>
      <c r="E2988" s="18"/>
      <c r="F2988" s="18"/>
      <c r="G2988" s="18"/>
      <c r="H2988" s="18"/>
      <c r="I2988" s="18"/>
      <c r="J2988" s="18"/>
      <c r="K2988" s="18"/>
      <c r="L2988" s="12"/>
      <c r="M2988" s="18"/>
      <c r="N2988" s="18"/>
      <c r="O2988" s="18"/>
      <c r="P2988" s="18"/>
      <c r="Q2988" s="18"/>
    </row>
    <row r="2989" spans="1:17" ht="90" x14ac:dyDescent="0.25">
      <c r="A2989" s="18"/>
      <c r="B2989" s="18"/>
      <c r="C2989" s="18"/>
      <c r="D2989" s="18"/>
      <c r="E2989" s="18"/>
      <c r="F2989" s="18"/>
      <c r="G2989" s="18"/>
      <c r="H2989" s="18"/>
      <c r="I2989" s="18"/>
      <c r="J2989" s="18"/>
      <c r="K2989" s="18"/>
      <c r="L2989" s="12" t="s">
        <v>144</v>
      </c>
      <c r="M2989" s="18"/>
      <c r="N2989" s="18"/>
      <c r="O2989" s="18"/>
      <c r="P2989" s="18"/>
      <c r="Q2989" s="18"/>
    </row>
    <row r="2990" spans="1:17" ht="30" x14ac:dyDescent="0.25">
      <c r="A2990" s="12" t="s">
        <v>7313</v>
      </c>
      <c r="B2990" s="12" t="s">
        <v>7280</v>
      </c>
      <c r="C2990" s="12" t="s">
        <v>7283</v>
      </c>
      <c r="D2990" s="12" t="s">
        <v>7176</v>
      </c>
      <c r="E2990" s="12" t="s">
        <v>1492</v>
      </c>
      <c r="F2990" s="12" t="s">
        <v>1493</v>
      </c>
      <c r="G2990" s="12" t="s">
        <v>12</v>
      </c>
      <c r="H2990" s="12"/>
      <c r="I2990" s="12"/>
      <c r="J2990" s="12" t="s">
        <v>73</v>
      </c>
      <c r="K2990" s="12"/>
      <c r="L2990" s="12"/>
      <c r="M2990" s="12" t="s">
        <v>1494</v>
      </c>
      <c r="N2990" s="12"/>
      <c r="O2990" s="12" t="s">
        <v>1495</v>
      </c>
      <c r="P2990" s="12" t="str">
        <f>HYPERLINK("https://ceds.ed.gov/cedselementdetails.aspx?termid=9517")</f>
        <v>https://ceds.ed.gov/cedselementdetails.aspx?termid=9517</v>
      </c>
      <c r="Q2990" s="12" t="str">
        <f>HYPERLINK("https://ceds.ed.gov/elementComment.aspx?elementName=Assignment Start Date &amp;elementID=9517", "Click here to submit comment")</f>
        <v>Click here to submit comment</v>
      </c>
    </row>
    <row r="2991" spans="1:17" ht="30" x14ac:dyDescent="0.25">
      <c r="A2991" s="12" t="s">
        <v>7313</v>
      </c>
      <c r="B2991" s="12" t="s">
        <v>7280</v>
      </c>
      <c r="C2991" s="12" t="s">
        <v>7283</v>
      </c>
      <c r="D2991" s="12" t="s">
        <v>7176</v>
      </c>
      <c r="E2991" s="12" t="s">
        <v>1488</v>
      </c>
      <c r="F2991" s="12" t="s">
        <v>1489</v>
      </c>
      <c r="G2991" s="12" t="s">
        <v>12</v>
      </c>
      <c r="H2991" s="12"/>
      <c r="I2991" s="12"/>
      <c r="J2991" s="12" t="s">
        <v>73</v>
      </c>
      <c r="K2991" s="12"/>
      <c r="L2991" s="12"/>
      <c r="M2991" s="12" t="s">
        <v>1490</v>
      </c>
      <c r="N2991" s="12"/>
      <c r="O2991" s="12" t="s">
        <v>1491</v>
      </c>
      <c r="P2991" s="12" t="str">
        <f>HYPERLINK("https://ceds.ed.gov/cedselementdetails.aspx?termid=9518")</f>
        <v>https://ceds.ed.gov/cedselementdetails.aspx?termid=9518</v>
      </c>
      <c r="Q2991" s="12" t="str">
        <f>HYPERLINK("https://ceds.ed.gov/elementComment.aspx?elementName=Assignment End Date &amp;elementID=9518", "Click here to submit comment")</f>
        <v>Click here to submit comment</v>
      </c>
    </row>
    <row r="2992" spans="1:17" ht="60" x14ac:dyDescent="0.25">
      <c r="A2992" s="12" t="s">
        <v>7313</v>
      </c>
      <c r="B2992" s="12" t="s">
        <v>7280</v>
      </c>
      <c r="C2992" s="12" t="s">
        <v>7283</v>
      </c>
      <c r="D2992" s="12" t="s">
        <v>7176</v>
      </c>
      <c r="E2992" s="12" t="s">
        <v>6038</v>
      </c>
      <c r="F2992" s="12" t="s">
        <v>6039</v>
      </c>
      <c r="G2992" s="12" t="s">
        <v>6364</v>
      </c>
      <c r="H2992" s="12" t="s">
        <v>6043</v>
      </c>
      <c r="I2992" s="12"/>
      <c r="J2992" s="12"/>
      <c r="K2992" s="12"/>
      <c r="L2992" s="12" t="s">
        <v>6040</v>
      </c>
      <c r="M2992" s="12" t="s">
        <v>6041</v>
      </c>
      <c r="N2992" s="12"/>
      <c r="O2992" s="12" t="s">
        <v>6042</v>
      </c>
      <c r="P2992" s="12" t="str">
        <f>HYPERLINK("https://ceds.ed.gov/cedselementdetails.aspx?termid=9649")</f>
        <v>https://ceds.ed.gov/cedselementdetails.aspx?termid=9649</v>
      </c>
      <c r="Q2992" s="12" t="str">
        <f>HYPERLINK("https://ceds.ed.gov/elementComment.aspx?elementName=Teacher of Record &amp;elementID=9649", "Click here to submit comment")</f>
        <v>Click here to submit comment</v>
      </c>
    </row>
    <row r="2993" spans="1:17" ht="90" x14ac:dyDescent="0.25">
      <c r="A2993" s="12" t="s">
        <v>7313</v>
      </c>
      <c r="B2993" s="12" t="s">
        <v>7280</v>
      </c>
      <c r="C2993" s="12" t="s">
        <v>7283</v>
      </c>
      <c r="D2993" s="12" t="s">
        <v>7176</v>
      </c>
      <c r="E2993" s="12" t="s">
        <v>6066</v>
      </c>
      <c r="F2993" s="12" t="s">
        <v>6067</v>
      </c>
      <c r="G2993" s="13" t="s">
        <v>7130</v>
      </c>
      <c r="H2993" s="12" t="s">
        <v>6043</v>
      </c>
      <c r="I2993" s="12"/>
      <c r="J2993" s="12"/>
      <c r="K2993" s="12"/>
      <c r="L2993" s="12"/>
      <c r="M2993" s="12" t="s">
        <v>6068</v>
      </c>
      <c r="N2993" s="12"/>
      <c r="O2993" s="12" t="s">
        <v>6069</v>
      </c>
      <c r="P2993" s="12" t="str">
        <f>HYPERLINK("https://ceds.ed.gov/cedselementdetails.aspx?termid=9650")</f>
        <v>https://ceds.ed.gov/cedselementdetails.aspx?termid=9650</v>
      </c>
      <c r="Q2993" s="12" t="str">
        <f>HYPERLINK("https://ceds.ed.gov/elementComment.aspx?elementName=Teaching Assignment Role &amp;elementID=9650", "Click here to submit comment")</f>
        <v>Click here to submit comment</v>
      </c>
    </row>
    <row r="2994" spans="1:17" ht="90" x14ac:dyDescent="0.25">
      <c r="A2994" s="12" t="s">
        <v>7313</v>
      </c>
      <c r="B2994" s="12" t="s">
        <v>7280</v>
      </c>
      <c r="C2994" s="12" t="s">
        <v>7283</v>
      </c>
      <c r="D2994" s="12" t="s">
        <v>7176</v>
      </c>
      <c r="E2994" s="12" t="s">
        <v>6058</v>
      </c>
      <c r="F2994" s="12" t="s">
        <v>6059</v>
      </c>
      <c r="G2994" s="12" t="s">
        <v>12</v>
      </c>
      <c r="H2994" s="12" t="s">
        <v>6043</v>
      </c>
      <c r="I2994" s="12"/>
      <c r="J2994" s="12" t="s">
        <v>789</v>
      </c>
      <c r="K2994" s="12"/>
      <c r="L2994" s="12"/>
      <c r="M2994" s="12" t="s">
        <v>6060</v>
      </c>
      <c r="N2994" s="12"/>
      <c r="O2994" s="12" t="s">
        <v>6061</v>
      </c>
      <c r="P2994" s="12" t="str">
        <f>HYPERLINK("https://ceds.ed.gov/cedselementdetails.aspx?termid=9651")</f>
        <v>https://ceds.ed.gov/cedselementdetails.aspx?termid=9651</v>
      </c>
      <c r="Q2994" s="12" t="str">
        <f>HYPERLINK("https://ceds.ed.gov/elementComment.aspx?elementName=Teaching Assignment Contribution Percentage &amp;elementID=9651", "Click here to submit comment")</f>
        <v>Click here to submit comment</v>
      </c>
    </row>
    <row r="2995" spans="1:17" ht="270" x14ac:dyDescent="0.25">
      <c r="A2995" s="12" t="s">
        <v>7313</v>
      </c>
      <c r="B2995" s="12" t="s">
        <v>7280</v>
      </c>
      <c r="C2995" s="12" t="s">
        <v>7283</v>
      </c>
      <c r="D2995" s="12" t="s">
        <v>7176</v>
      </c>
      <c r="E2995" s="12" t="s">
        <v>1846</v>
      </c>
      <c r="F2995" s="12" t="s">
        <v>1847</v>
      </c>
      <c r="G2995" s="13" t="s">
        <v>6820</v>
      </c>
      <c r="H2995" s="12"/>
      <c r="I2995" s="12"/>
      <c r="J2995" s="12"/>
      <c r="K2995" s="12"/>
      <c r="L2995" s="12"/>
      <c r="M2995" s="12" t="s">
        <v>1848</v>
      </c>
      <c r="N2995" s="12"/>
      <c r="O2995" s="12" t="s">
        <v>1849</v>
      </c>
      <c r="P2995" s="12" t="str">
        <f>HYPERLINK("https://ceds.ed.gov/cedselementdetails.aspx?termid=9615")</f>
        <v>https://ceds.ed.gov/cedselementdetails.aspx?termid=9615</v>
      </c>
      <c r="Q2995" s="12" t="str">
        <f>HYPERLINK("https://ceds.ed.gov/elementComment.aspx?elementName=Classroom Position Type &amp;elementID=9615", "Click here to submit comment")</f>
        <v>Click here to submit comment</v>
      </c>
    </row>
    <row r="2996" spans="1:17" ht="30" x14ac:dyDescent="0.25">
      <c r="A2996" s="12" t="s">
        <v>7313</v>
      </c>
      <c r="B2996" s="12" t="s">
        <v>7280</v>
      </c>
      <c r="C2996" s="12" t="s">
        <v>7262</v>
      </c>
      <c r="D2996" s="12" t="s">
        <v>7176</v>
      </c>
      <c r="E2996" s="12" t="s">
        <v>1496</v>
      </c>
      <c r="F2996" s="12" t="s">
        <v>1497</v>
      </c>
      <c r="G2996" s="12" t="s">
        <v>12</v>
      </c>
      <c r="H2996" s="12"/>
      <c r="I2996" s="12" t="s">
        <v>1498</v>
      </c>
      <c r="J2996" s="12" t="s">
        <v>73</v>
      </c>
      <c r="K2996" s="12"/>
      <c r="L2996" s="12"/>
      <c r="M2996" s="12" t="s">
        <v>1499</v>
      </c>
      <c r="N2996" s="12"/>
      <c r="O2996" s="12" t="s">
        <v>1500</v>
      </c>
      <c r="P2996" s="12" t="str">
        <f>HYPERLINK("https://ceds.ed.gov/cedselementdetails.aspx?termid=10630")</f>
        <v>https://ceds.ed.gov/cedselementdetails.aspx?termid=10630</v>
      </c>
      <c r="Q2996" s="12" t="str">
        <f>HYPERLINK("https://ceds.ed.gov/elementComment.aspx?elementName=Attendance Event Date &amp;elementID=10630", "Click here to submit comment")</f>
        <v>Click here to submit comment</v>
      </c>
    </row>
    <row r="2997" spans="1:17" ht="120" x14ac:dyDescent="0.25">
      <c r="A2997" s="12" t="s">
        <v>7313</v>
      </c>
      <c r="B2997" s="12" t="s">
        <v>7280</v>
      </c>
      <c r="C2997" s="12" t="s">
        <v>7262</v>
      </c>
      <c r="D2997" s="12" t="s">
        <v>7176</v>
      </c>
      <c r="E2997" s="12" t="s">
        <v>1501</v>
      </c>
      <c r="F2997" s="12" t="s">
        <v>1502</v>
      </c>
      <c r="G2997" s="13" t="s">
        <v>6798</v>
      </c>
      <c r="H2997" s="12"/>
      <c r="I2997" s="12"/>
      <c r="J2997" s="12"/>
      <c r="K2997" s="12"/>
      <c r="L2997" s="12"/>
      <c r="M2997" s="12" t="s">
        <v>1503</v>
      </c>
      <c r="N2997" s="12"/>
      <c r="O2997" s="12" t="s">
        <v>1504</v>
      </c>
      <c r="P2997" s="12" t="str">
        <f>HYPERLINK("https://ceds.ed.gov/cedselementdetails.aspx?termid=9594")</f>
        <v>https://ceds.ed.gov/cedselementdetails.aspx?termid=9594</v>
      </c>
      <c r="Q2997" s="12" t="str">
        <f>HYPERLINK("https://ceds.ed.gov/elementComment.aspx?elementName=Attendance Event Type &amp;elementID=9594", "Click here to submit comment")</f>
        <v>Click here to submit comment</v>
      </c>
    </row>
    <row r="2998" spans="1:17" ht="105" x14ac:dyDescent="0.25">
      <c r="A2998" s="12" t="s">
        <v>7313</v>
      </c>
      <c r="B2998" s="12" t="s">
        <v>7280</v>
      </c>
      <c r="C2998" s="12" t="s">
        <v>7262</v>
      </c>
      <c r="D2998" s="12" t="s">
        <v>7176</v>
      </c>
      <c r="E2998" s="12" t="s">
        <v>1505</v>
      </c>
      <c r="F2998" s="12" t="s">
        <v>1506</v>
      </c>
      <c r="G2998" s="13" t="s">
        <v>6799</v>
      </c>
      <c r="H2998" s="12"/>
      <c r="I2998" s="12" t="s">
        <v>98</v>
      </c>
      <c r="J2998" s="12"/>
      <c r="K2998" s="12"/>
      <c r="L2998" s="12"/>
      <c r="M2998" s="12" t="s">
        <v>1507</v>
      </c>
      <c r="N2998" s="12"/>
      <c r="O2998" s="12" t="s">
        <v>1508</v>
      </c>
      <c r="P2998" s="12" t="str">
        <f>HYPERLINK("https://ceds.ed.gov/cedselementdetails.aspx?termid=9076")</f>
        <v>https://ceds.ed.gov/cedselementdetails.aspx?termid=9076</v>
      </c>
      <c r="Q2998" s="12" t="str">
        <f>HYPERLINK("https://ceds.ed.gov/elementComment.aspx?elementName=Attendance Status &amp;elementID=9076", "Click here to submit comment")</f>
        <v>Click here to submit comment</v>
      </c>
    </row>
    <row r="2999" spans="1:17" ht="195" x14ac:dyDescent="0.25">
      <c r="A2999" s="12" t="s">
        <v>7313</v>
      </c>
      <c r="B2999" s="12" t="s">
        <v>7316</v>
      </c>
      <c r="C2999" s="12" t="s">
        <v>7171</v>
      </c>
      <c r="D2999" s="12" t="s">
        <v>7172</v>
      </c>
      <c r="E2999" s="12" t="s">
        <v>3017</v>
      </c>
      <c r="F2999" s="12" t="s">
        <v>3018</v>
      </c>
      <c r="G2999" s="12" t="s">
        <v>12</v>
      </c>
      <c r="H2999" s="12" t="s">
        <v>6540</v>
      </c>
      <c r="I2999" s="12"/>
      <c r="J2999" s="12" t="s">
        <v>1349</v>
      </c>
      <c r="K2999" s="12"/>
      <c r="L2999" s="12" t="s">
        <v>3019</v>
      </c>
      <c r="M2999" s="12" t="s">
        <v>3020</v>
      </c>
      <c r="N2999" s="12"/>
      <c r="O2999" s="12" t="s">
        <v>3021</v>
      </c>
      <c r="P2999" s="12" t="str">
        <f>HYPERLINK("https://ceds.ed.gov/cedselementdetails.aspx?termid=9115")</f>
        <v>https://ceds.ed.gov/cedselementdetails.aspx?termid=9115</v>
      </c>
      <c r="Q2999" s="12" t="str">
        <f>HYPERLINK("https://ceds.ed.gov/elementComment.aspx?elementName=First Name &amp;elementID=9115", "Click here to submit comment")</f>
        <v>Click here to submit comment</v>
      </c>
    </row>
    <row r="3000" spans="1:17" x14ac:dyDescent="0.25">
      <c r="A3000" s="18" t="s">
        <v>7313</v>
      </c>
      <c r="B3000" s="18" t="s">
        <v>7316</v>
      </c>
      <c r="C3000" s="18" t="s">
        <v>7171</v>
      </c>
      <c r="D3000" s="18" t="s">
        <v>7172</v>
      </c>
      <c r="E3000" s="18" t="s">
        <v>4405</v>
      </c>
      <c r="F3000" s="18" t="s">
        <v>4406</v>
      </c>
      <c r="G3000" s="18" t="s">
        <v>12</v>
      </c>
      <c r="H3000" s="18" t="s">
        <v>6540</v>
      </c>
      <c r="I3000" s="18"/>
      <c r="J3000" s="18" t="s">
        <v>1349</v>
      </c>
      <c r="K3000" s="18"/>
      <c r="L3000" s="12" t="s">
        <v>3078</v>
      </c>
      <c r="M3000" s="18" t="s">
        <v>4407</v>
      </c>
      <c r="N3000" s="18"/>
      <c r="O3000" s="18" t="s">
        <v>4408</v>
      </c>
      <c r="P3000" s="18" t="str">
        <f>HYPERLINK("https://ceds.ed.gov/cedselementdetails.aspx?termid=9184")</f>
        <v>https://ceds.ed.gov/cedselementdetails.aspx?termid=9184</v>
      </c>
      <c r="Q3000" s="18" t="str">
        <f>HYPERLINK("https://ceds.ed.gov/elementComment.aspx?elementName=Middle Name &amp;elementID=9184", "Click here to submit comment")</f>
        <v>Click here to submit comment</v>
      </c>
    </row>
    <row r="3001" spans="1:17" ht="90" x14ac:dyDescent="0.25">
      <c r="A3001" s="18"/>
      <c r="B3001" s="18"/>
      <c r="C3001" s="18"/>
      <c r="D3001" s="18"/>
      <c r="E3001" s="18"/>
      <c r="F3001" s="18"/>
      <c r="G3001" s="18"/>
      <c r="H3001" s="18"/>
      <c r="I3001" s="18"/>
      <c r="J3001" s="18"/>
      <c r="K3001" s="18"/>
      <c r="L3001" s="12" t="s">
        <v>3079</v>
      </c>
      <c r="M3001" s="18"/>
      <c r="N3001" s="18"/>
      <c r="O3001" s="18"/>
      <c r="P3001" s="18"/>
      <c r="Q3001" s="18"/>
    </row>
    <row r="3002" spans="1:17" x14ac:dyDescent="0.25">
      <c r="A3002" s="18" t="s">
        <v>7313</v>
      </c>
      <c r="B3002" s="18" t="s">
        <v>7316</v>
      </c>
      <c r="C3002" s="18" t="s">
        <v>7171</v>
      </c>
      <c r="D3002" s="18" t="s">
        <v>7172</v>
      </c>
      <c r="E3002" s="18" t="s">
        <v>3684</v>
      </c>
      <c r="F3002" s="18" t="s">
        <v>3685</v>
      </c>
      <c r="G3002" s="18" t="s">
        <v>12</v>
      </c>
      <c r="H3002" s="18" t="s">
        <v>6540</v>
      </c>
      <c r="I3002" s="18"/>
      <c r="J3002" s="18" t="s">
        <v>1349</v>
      </c>
      <c r="K3002" s="18"/>
      <c r="L3002" s="12" t="s">
        <v>3078</v>
      </c>
      <c r="M3002" s="18" t="s">
        <v>3686</v>
      </c>
      <c r="N3002" s="18" t="s">
        <v>3687</v>
      </c>
      <c r="O3002" s="18" t="s">
        <v>3688</v>
      </c>
      <c r="P3002" s="18" t="str">
        <f>HYPERLINK("https://ceds.ed.gov/cedselementdetails.aspx?termid=9172")</f>
        <v>https://ceds.ed.gov/cedselementdetails.aspx?termid=9172</v>
      </c>
      <c r="Q3002" s="18" t="str">
        <f>HYPERLINK("https://ceds.ed.gov/elementComment.aspx?elementName=Last or Surname &amp;elementID=9172", "Click here to submit comment")</f>
        <v>Click here to submit comment</v>
      </c>
    </row>
    <row r="3003" spans="1:17" ht="90" x14ac:dyDescent="0.25">
      <c r="A3003" s="18"/>
      <c r="B3003" s="18"/>
      <c r="C3003" s="18"/>
      <c r="D3003" s="18"/>
      <c r="E3003" s="18"/>
      <c r="F3003" s="18"/>
      <c r="G3003" s="18"/>
      <c r="H3003" s="18"/>
      <c r="I3003" s="18"/>
      <c r="J3003" s="18"/>
      <c r="K3003" s="18"/>
      <c r="L3003" s="12" t="s">
        <v>3079</v>
      </c>
      <c r="M3003" s="18"/>
      <c r="N3003" s="18"/>
      <c r="O3003" s="18"/>
      <c r="P3003" s="18"/>
      <c r="Q3003" s="18"/>
    </row>
    <row r="3004" spans="1:17" x14ac:dyDescent="0.25">
      <c r="A3004" s="18" t="s">
        <v>7313</v>
      </c>
      <c r="B3004" s="18" t="s">
        <v>7316</v>
      </c>
      <c r="C3004" s="18" t="s">
        <v>7171</v>
      </c>
      <c r="D3004" s="18" t="s">
        <v>7172</v>
      </c>
      <c r="E3004" s="18" t="s">
        <v>3076</v>
      </c>
      <c r="F3004" s="18" t="s">
        <v>3077</v>
      </c>
      <c r="G3004" s="18" t="s">
        <v>12</v>
      </c>
      <c r="H3004" s="18" t="s">
        <v>6543</v>
      </c>
      <c r="I3004" s="18"/>
      <c r="J3004" s="18" t="s">
        <v>2143</v>
      </c>
      <c r="K3004" s="18"/>
      <c r="L3004" s="12" t="s">
        <v>3078</v>
      </c>
      <c r="M3004" s="18" t="s">
        <v>3080</v>
      </c>
      <c r="N3004" s="18"/>
      <c r="O3004" s="18" t="s">
        <v>3081</v>
      </c>
      <c r="P3004" s="18" t="str">
        <f>HYPERLINK("https://ceds.ed.gov/cedselementdetails.aspx?termid=9121")</f>
        <v>https://ceds.ed.gov/cedselementdetails.aspx?termid=9121</v>
      </c>
      <c r="Q3004" s="18" t="str">
        <f>HYPERLINK("https://ceds.ed.gov/elementComment.aspx?elementName=Generation Code or Suffix &amp;elementID=9121", "Click here to submit comment")</f>
        <v>Click here to submit comment</v>
      </c>
    </row>
    <row r="3005" spans="1:17" ht="90" x14ac:dyDescent="0.25">
      <c r="A3005" s="18"/>
      <c r="B3005" s="18"/>
      <c r="C3005" s="18"/>
      <c r="D3005" s="18"/>
      <c r="E3005" s="18"/>
      <c r="F3005" s="18"/>
      <c r="G3005" s="18"/>
      <c r="H3005" s="18"/>
      <c r="I3005" s="18"/>
      <c r="J3005" s="18"/>
      <c r="K3005" s="18"/>
      <c r="L3005" s="12" t="s">
        <v>3079</v>
      </c>
      <c r="M3005" s="18"/>
      <c r="N3005" s="18"/>
      <c r="O3005" s="18"/>
      <c r="P3005" s="18"/>
      <c r="Q3005" s="18"/>
    </row>
    <row r="3006" spans="1:17" ht="105" x14ac:dyDescent="0.25">
      <c r="A3006" s="12" t="s">
        <v>7313</v>
      </c>
      <c r="B3006" s="12" t="s">
        <v>7316</v>
      </c>
      <c r="C3006" s="12" t="s">
        <v>7171</v>
      </c>
      <c r="D3006" s="12" t="s">
        <v>7172</v>
      </c>
      <c r="E3006" s="12" t="s">
        <v>4835</v>
      </c>
      <c r="F3006" s="12" t="s">
        <v>4836</v>
      </c>
      <c r="G3006" s="12" t="s">
        <v>12</v>
      </c>
      <c r="H3006" s="12" t="s">
        <v>6627</v>
      </c>
      <c r="I3006" s="12"/>
      <c r="J3006" s="12" t="s">
        <v>92</v>
      </c>
      <c r="K3006" s="12"/>
      <c r="L3006" s="12"/>
      <c r="M3006" s="12" t="s">
        <v>4837</v>
      </c>
      <c r="N3006" s="12" t="s">
        <v>4838</v>
      </c>
      <c r="O3006" s="12" t="s">
        <v>4839</v>
      </c>
      <c r="P3006" s="12" t="str">
        <f>HYPERLINK("https://ceds.ed.gov/cedselementdetails.aspx?termid=9212")</f>
        <v>https://ceds.ed.gov/cedselementdetails.aspx?termid=9212</v>
      </c>
      <c r="Q3006" s="12" t="str">
        <f>HYPERLINK("https://ceds.ed.gov/elementComment.aspx?elementName=Personal Title or Prefix &amp;elementID=9212", "Click here to submit comment")</f>
        <v>Click here to submit comment</v>
      </c>
    </row>
    <row r="3007" spans="1:17" ht="30" x14ac:dyDescent="0.25">
      <c r="A3007" s="12" t="s">
        <v>7313</v>
      </c>
      <c r="B3007" s="12" t="s">
        <v>7316</v>
      </c>
      <c r="C3007" s="12" t="s">
        <v>7173</v>
      </c>
      <c r="D3007" s="12" t="s">
        <v>7172</v>
      </c>
      <c r="E3007" s="12" t="s">
        <v>4705</v>
      </c>
      <c r="F3007" s="12" t="s">
        <v>4706</v>
      </c>
      <c r="G3007" s="12" t="s">
        <v>12</v>
      </c>
      <c r="H3007" s="12"/>
      <c r="I3007" s="12"/>
      <c r="J3007" s="12" t="s">
        <v>1349</v>
      </c>
      <c r="K3007" s="12"/>
      <c r="L3007" s="12" t="s">
        <v>4707</v>
      </c>
      <c r="M3007" s="12" t="s">
        <v>4708</v>
      </c>
      <c r="N3007" s="12"/>
      <c r="O3007" s="12" t="s">
        <v>4709</v>
      </c>
      <c r="P3007" s="12" t="str">
        <f>HYPERLINK("https://ceds.ed.gov/cedselementdetails.aspx?termid=10486")</f>
        <v>https://ceds.ed.gov/cedselementdetails.aspx?termid=10486</v>
      </c>
      <c r="Q3007" s="12" t="str">
        <f>HYPERLINK("https://ceds.ed.gov/elementComment.aspx?elementName=Other First Name &amp;elementID=10486", "Click here to submit comment")</f>
        <v>Click here to submit comment</v>
      </c>
    </row>
    <row r="3008" spans="1:17" ht="30" x14ac:dyDescent="0.25">
      <c r="A3008" s="12" t="s">
        <v>7313</v>
      </c>
      <c r="B3008" s="12" t="s">
        <v>7316</v>
      </c>
      <c r="C3008" s="12" t="s">
        <v>7173</v>
      </c>
      <c r="D3008" s="12" t="s">
        <v>7172</v>
      </c>
      <c r="E3008" s="12" t="s">
        <v>4710</v>
      </c>
      <c r="F3008" s="12" t="s">
        <v>4711</v>
      </c>
      <c r="G3008" s="12" t="s">
        <v>12</v>
      </c>
      <c r="H3008" s="12"/>
      <c r="I3008" s="12"/>
      <c r="J3008" s="12" t="s">
        <v>1349</v>
      </c>
      <c r="K3008" s="12"/>
      <c r="L3008" s="12" t="s">
        <v>4712</v>
      </c>
      <c r="M3008" s="12" t="s">
        <v>4713</v>
      </c>
      <c r="N3008" s="12"/>
      <c r="O3008" s="12" t="s">
        <v>4714</v>
      </c>
      <c r="P3008" s="12" t="str">
        <f>HYPERLINK("https://ceds.ed.gov/cedselementdetails.aspx?termid=10485")</f>
        <v>https://ceds.ed.gov/cedselementdetails.aspx?termid=10485</v>
      </c>
      <c r="Q3008" s="12" t="str">
        <f>HYPERLINK("https://ceds.ed.gov/elementComment.aspx?elementName=Other Last Name &amp;elementID=10485", "Click here to submit comment")</f>
        <v>Click here to submit comment</v>
      </c>
    </row>
    <row r="3009" spans="1:17" ht="30" x14ac:dyDescent="0.25">
      <c r="A3009" s="12" t="s">
        <v>7313</v>
      </c>
      <c r="B3009" s="12" t="s">
        <v>7316</v>
      </c>
      <c r="C3009" s="12" t="s">
        <v>7173</v>
      </c>
      <c r="D3009" s="12" t="s">
        <v>7172</v>
      </c>
      <c r="E3009" s="12" t="s">
        <v>4715</v>
      </c>
      <c r="F3009" s="12" t="s">
        <v>4716</v>
      </c>
      <c r="G3009" s="12" t="s">
        <v>12</v>
      </c>
      <c r="H3009" s="12"/>
      <c r="I3009" s="12"/>
      <c r="J3009" s="12" t="s">
        <v>1349</v>
      </c>
      <c r="K3009" s="12"/>
      <c r="L3009" s="12" t="s">
        <v>4717</v>
      </c>
      <c r="M3009" s="12" t="s">
        <v>4718</v>
      </c>
      <c r="N3009" s="12"/>
      <c r="O3009" s="12" t="s">
        <v>4719</v>
      </c>
      <c r="P3009" s="12" t="str">
        <f>HYPERLINK("https://ceds.ed.gov/cedselementdetails.aspx?termid=10487")</f>
        <v>https://ceds.ed.gov/cedselementdetails.aspx?termid=10487</v>
      </c>
      <c r="Q3009" s="12" t="str">
        <f>HYPERLINK("https://ceds.ed.gov/elementComment.aspx?elementName=Other Middle Name &amp;elementID=10487", "Click here to submit comment")</f>
        <v>Click here to submit comment</v>
      </c>
    </row>
    <row r="3010" spans="1:17" ht="150" x14ac:dyDescent="0.25">
      <c r="A3010" s="12" t="s">
        <v>7313</v>
      </c>
      <c r="B3010" s="12" t="s">
        <v>7316</v>
      </c>
      <c r="C3010" s="12" t="s">
        <v>7173</v>
      </c>
      <c r="D3010" s="12" t="s">
        <v>7172</v>
      </c>
      <c r="E3010" s="12" t="s">
        <v>4720</v>
      </c>
      <c r="F3010" s="12" t="s">
        <v>4721</v>
      </c>
      <c r="G3010" s="12" t="s">
        <v>12</v>
      </c>
      <c r="H3010" s="12" t="s">
        <v>6543</v>
      </c>
      <c r="I3010" s="12"/>
      <c r="J3010" s="12" t="s">
        <v>142</v>
      </c>
      <c r="K3010" s="12"/>
      <c r="L3010" s="12"/>
      <c r="M3010" s="12" t="s">
        <v>4722</v>
      </c>
      <c r="N3010" s="12"/>
      <c r="O3010" s="12" t="s">
        <v>4723</v>
      </c>
      <c r="P3010" s="12" t="str">
        <f>HYPERLINK("https://ceds.ed.gov/cedselementdetails.aspx?termid=9206")</f>
        <v>https://ceds.ed.gov/cedselementdetails.aspx?termid=9206</v>
      </c>
      <c r="Q3010" s="12" t="str">
        <f>HYPERLINK("https://ceds.ed.gov/elementComment.aspx?elementName=Other Name &amp;elementID=9206", "Click here to submit comment")</f>
        <v>Click here to submit comment</v>
      </c>
    </row>
    <row r="3011" spans="1:17" ht="165" x14ac:dyDescent="0.25">
      <c r="A3011" s="12" t="s">
        <v>7313</v>
      </c>
      <c r="B3011" s="12" t="s">
        <v>7316</v>
      </c>
      <c r="C3011" s="12" t="s">
        <v>7173</v>
      </c>
      <c r="D3011" s="12" t="s">
        <v>7172</v>
      </c>
      <c r="E3011" s="12" t="s">
        <v>4724</v>
      </c>
      <c r="F3011" s="12" t="s">
        <v>4725</v>
      </c>
      <c r="G3011" s="13" t="s">
        <v>7046</v>
      </c>
      <c r="H3011" s="12" t="s">
        <v>6619</v>
      </c>
      <c r="I3011" s="12"/>
      <c r="J3011" s="12" t="s">
        <v>92</v>
      </c>
      <c r="K3011" s="12"/>
      <c r="L3011" s="12"/>
      <c r="M3011" s="12" t="s">
        <v>4726</v>
      </c>
      <c r="N3011" s="12"/>
      <c r="O3011" s="12" t="s">
        <v>4727</v>
      </c>
      <c r="P3011" s="12" t="str">
        <f>HYPERLINK("https://ceds.ed.gov/cedselementdetails.aspx?termid=9627")</f>
        <v>https://ceds.ed.gov/cedselementdetails.aspx?termid=9627</v>
      </c>
      <c r="Q3011" s="12" t="str">
        <f>HYPERLINK("https://ceds.ed.gov/elementComment.aspx?elementName=Other Name Type &amp;elementID=9627", "Click here to submit comment")</f>
        <v>Click here to submit comment</v>
      </c>
    </row>
    <row r="3012" spans="1:17" ht="105" x14ac:dyDescent="0.25">
      <c r="A3012" s="18" t="s">
        <v>7313</v>
      </c>
      <c r="B3012" s="18" t="s">
        <v>7316</v>
      </c>
      <c r="C3012" s="18" t="s">
        <v>7174</v>
      </c>
      <c r="D3012" s="18" t="s">
        <v>7172</v>
      </c>
      <c r="E3012" s="18" t="s">
        <v>5872</v>
      </c>
      <c r="F3012" s="18" t="s">
        <v>5873</v>
      </c>
      <c r="G3012" s="18" t="s">
        <v>12</v>
      </c>
      <c r="H3012" s="18" t="s">
        <v>6676</v>
      </c>
      <c r="I3012" s="18"/>
      <c r="J3012" s="18" t="s">
        <v>142</v>
      </c>
      <c r="K3012" s="18"/>
      <c r="L3012" s="12" t="s">
        <v>143</v>
      </c>
      <c r="M3012" s="18" t="s">
        <v>5874</v>
      </c>
      <c r="N3012" s="18"/>
      <c r="O3012" s="18" t="s">
        <v>5875</v>
      </c>
      <c r="P3012" s="18" t="str">
        <f>HYPERLINK("https://ceds.ed.gov/cedselementdetails.aspx?termid=9156")</f>
        <v>https://ceds.ed.gov/cedselementdetails.aspx?termid=9156</v>
      </c>
      <c r="Q3012" s="18" t="str">
        <f>HYPERLINK("https://ceds.ed.gov/elementComment.aspx?elementName=Staff Member Identifier &amp;elementID=9156", "Click here to submit comment")</f>
        <v>Click here to submit comment</v>
      </c>
    </row>
    <row r="3013" spans="1:17" x14ac:dyDescent="0.25">
      <c r="A3013" s="18"/>
      <c r="B3013" s="18"/>
      <c r="C3013" s="18"/>
      <c r="D3013" s="18"/>
      <c r="E3013" s="18"/>
      <c r="F3013" s="18"/>
      <c r="G3013" s="18"/>
      <c r="H3013" s="18"/>
      <c r="I3013" s="18"/>
      <c r="J3013" s="18"/>
      <c r="K3013" s="18"/>
      <c r="L3013" s="12"/>
      <c r="M3013" s="18"/>
      <c r="N3013" s="18"/>
      <c r="O3013" s="18"/>
      <c r="P3013" s="18"/>
      <c r="Q3013" s="18"/>
    </row>
    <row r="3014" spans="1:17" ht="90" x14ac:dyDescent="0.25">
      <c r="A3014" s="18"/>
      <c r="B3014" s="18"/>
      <c r="C3014" s="18"/>
      <c r="D3014" s="18"/>
      <c r="E3014" s="18"/>
      <c r="F3014" s="18"/>
      <c r="G3014" s="18"/>
      <c r="H3014" s="18"/>
      <c r="I3014" s="18"/>
      <c r="J3014" s="18"/>
      <c r="K3014" s="18"/>
      <c r="L3014" s="12" t="s">
        <v>144</v>
      </c>
      <c r="M3014" s="18"/>
      <c r="N3014" s="18"/>
      <c r="O3014" s="18"/>
      <c r="P3014" s="18"/>
      <c r="Q3014" s="18"/>
    </row>
    <row r="3015" spans="1:17" ht="345" x14ac:dyDescent="0.25">
      <c r="A3015" s="12" t="s">
        <v>7313</v>
      </c>
      <c r="B3015" s="12" t="s">
        <v>7316</v>
      </c>
      <c r="C3015" s="12" t="s">
        <v>7174</v>
      </c>
      <c r="D3015" s="12" t="s">
        <v>7172</v>
      </c>
      <c r="E3015" s="12" t="s">
        <v>5868</v>
      </c>
      <c r="F3015" s="12" t="s">
        <v>5869</v>
      </c>
      <c r="G3015" s="13" t="s">
        <v>7118</v>
      </c>
      <c r="H3015" s="12" t="s">
        <v>6675</v>
      </c>
      <c r="I3015" s="12"/>
      <c r="J3015" s="12"/>
      <c r="K3015" s="12"/>
      <c r="L3015" s="12"/>
      <c r="M3015" s="12" t="s">
        <v>5870</v>
      </c>
      <c r="N3015" s="12"/>
      <c r="O3015" s="12" t="s">
        <v>5871</v>
      </c>
      <c r="P3015" s="12" t="str">
        <f>HYPERLINK("https://ceds.ed.gov/cedselementdetails.aspx?termid=9162")</f>
        <v>https://ceds.ed.gov/cedselementdetails.aspx?termid=9162</v>
      </c>
      <c r="Q3015" s="12" t="str">
        <f>HYPERLINK("https://ceds.ed.gov/elementComment.aspx?elementName=Staff Member Identification System &amp;elementID=9162", "Click here to submit comment")</f>
        <v>Click here to submit comment</v>
      </c>
    </row>
    <row r="3016" spans="1:17" ht="225" x14ac:dyDescent="0.25">
      <c r="A3016" s="18" t="s">
        <v>7313</v>
      </c>
      <c r="B3016" s="18" t="s">
        <v>7316</v>
      </c>
      <c r="C3016" s="18" t="s">
        <v>7174</v>
      </c>
      <c r="D3016" s="18" t="s">
        <v>7172</v>
      </c>
      <c r="E3016" s="18" t="s">
        <v>5745</v>
      </c>
      <c r="F3016" s="18" t="s">
        <v>5746</v>
      </c>
      <c r="G3016" s="18" t="s">
        <v>12</v>
      </c>
      <c r="H3016" s="18" t="s">
        <v>6670</v>
      </c>
      <c r="I3016" s="18"/>
      <c r="J3016" s="18" t="s">
        <v>5747</v>
      </c>
      <c r="K3016" s="18"/>
      <c r="L3016" s="12" t="s">
        <v>5748</v>
      </c>
      <c r="M3016" s="18" t="s">
        <v>5750</v>
      </c>
      <c r="N3016" s="18" t="s">
        <v>5751</v>
      </c>
      <c r="O3016" s="18" t="s">
        <v>5752</v>
      </c>
      <c r="P3016" s="18" t="str">
        <f>HYPERLINK("https://ceds.ed.gov/cedselementdetails.aspx?termid=9259")</f>
        <v>https://ceds.ed.gov/cedselementdetails.aspx?termid=9259</v>
      </c>
      <c r="Q3016" s="18" t="str">
        <f>HYPERLINK("https://ceds.ed.gov/elementComment.aspx?elementName=Social Security Number &amp;elementID=9259", "Click here to submit comment")</f>
        <v>Click here to submit comment</v>
      </c>
    </row>
    <row r="3017" spans="1:17" x14ac:dyDescent="0.25">
      <c r="A3017" s="18"/>
      <c r="B3017" s="18"/>
      <c r="C3017" s="18"/>
      <c r="D3017" s="18"/>
      <c r="E3017" s="18"/>
      <c r="F3017" s="18"/>
      <c r="G3017" s="18"/>
      <c r="H3017" s="18"/>
      <c r="I3017" s="18"/>
      <c r="J3017" s="18"/>
      <c r="K3017" s="18"/>
      <c r="L3017" s="12"/>
      <c r="M3017" s="18"/>
      <c r="N3017" s="18"/>
      <c r="O3017" s="18"/>
      <c r="P3017" s="18"/>
      <c r="Q3017" s="18"/>
    </row>
    <row r="3018" spans="1:17" ht="180" x14ac:dyDescent="0.25">
      <c r="A3018" s="18"/>
      <c r="B3018" s="18"/>
      <c r="C3018" s="18"/>
      <c r="D3018" s="18"/>
      <c r="E3018" s="18"/>
      <c r="F3018" s="18"/>
      <c r="G3018" s="18"/>
      <c r="H3018" s="18"/>
      <c r="I3018" s="18"/>
      <c r="J3018" s="18"/>
      <c r="K3018" s="18"/>
      <c r="L3018" s="12" t="s">
        <v>5749</v>
      </c>
      <c r="M3018" s="18"/>
      <c r="N3018" s="18"/>
      <c r="O3018" s="18"/>
      <c r="P3018" s="18"/>
      <c r="Q3018" s="18"/>
    </row>
    <row r="3019" spans="1:17" ht="255" x14ac:dyDescent="0.25">
      <c r="A3019" s="12" t="s">
        <v>7313</v>
      </c>
      <c r="B3019" s="12" t="s">
        <v>7316</v>
      </c>
      <c r="C3019" s="12" t="s">
        <v>7174</v>
      </c>
      <c r="D3019" s="12" t="s">
        <v>7172</v>
      </c>
      <c r="E3019" s="12" t="s">
        <v>4831</v>
      </c>
      <c r="F3019" s="12" t="s">
        <v>4832</v>
      </c>
      <c r="G3019" s="13" t="s">
        <v>7053</v>
      </c>
      <c r="H3019" s="12"/>
      <c r="I3019" s="12"/>
      <c r="J3019" s="12"/>
      <c r="K3019" s="12"/>
      <c r="L3019" s="12"/>
      <c r="M3019" s="12" t="s">
        <v>4833</v>
      </c>
      <c r="N3019" s="12"/>
      <c r="O3019" s="12" t="s">
        <v>4834</v>
      </c>
      <c r="P3019" s="12" t="str">
        <f>HYPERLINK("https://ceds.ed.gov/cedselementdetails.aspx?termid=9611")</f>
        <v>https://ceds.ed.gov/cedselementdetails.aspx?termid=9611</v>
      </c>
      <c r="Q3019" s="12" t="str">
        <f>HYPERLINK("https://ceds.ed.gov/elementComment.aspx?elementName=Personal Information Verification &amp;elementID=9611", "Click here to submit comment")</f>
        <v>Click here to submit comment</v>
      </c>
    </row>
    <row r="3020" spans="1:17" ht="105" x14ac:dyDescent="0.25">
      <c r="A3020" s="12" t="s">
        <v>7313</v>
      </c>
      <c r="B3020" s="12" t="s">
        <v>7316</v>
      </c>
      <c r="C3020" s="12" t="s">
        <v>7175</v>
      </c>
      <c r="D3020" s="12" t="s">
        <v>7172</v>
      </c>
      <c r="E3020" s="12" t="s">
        <v>201</v>
      </c>
      <c r="F3020" s="12" t="s">
        <v>202</v>
      </c>
      <c r="G3020" s="13" t="s">
        <v>6728</v>
      </c>
      <c r="H3020" s="12" t="s">
        <v>205</v>
      </c>
      <c r="I3020" s="12"/>
      <c r="J3020" s="12" t="s">
        <v>92</v>
      </c>
      <c r="K3020" s="12"/>
      <c r="L3020" s="12"/>
      <c r="M3020" s="12" t="s">
        <v>203</v>
      </c>
      <c r="N3020" s="12"/>
      <c r="O3020" s="12" t="s">
        <v>204</v>
      </c>
      <c r="P3020" s="12" t="str">
        <f>HYPERLINK("https://ceds.ed.gov/cedselementdetails.aspx?termid=9698")</f>
        <v>https://ceds.ed.gov/cedselementdetails.aspx?termid=9698</v>
      </c>
      <c r="Q3020" s="12" t="str">
        <f>HYPERLINK("https://ceds.ed.gov/elementComment.aspx?elementName=Address Type for Staff &amp;elementID=9698", "Click here to submit comment")</f>
        <v>Click here to submit comment</v>
      </c>
    </row>
    <row r="3021" spans="1:17" ht="225" x14ac:dyDescent="0.25">
      <c r="A3021" s="12" t="s">
        <v>7313</v>
      </c>
      <c r="B3021" s="12" t="s">
        <v>7316</v>
      </c>
      <c r="C3021" s="12" t="s">
        <v>7175</v>
      </c>
      <c r="D3021" s="12" t="s">
        <v>7172</v>
      </c>
      <c r="E3021" s="12" t="s">
        <v>189</v>
      </c>
      <c r="F3021" s="12" t="s">
        <v>190</v>
      </c>
      <c r="G3021" s="12" t="s">
        <v>12</v>
      </c>
      <c r="H3021" s="12" t="s">
        <v>6377</v>
      </c>
      <c r="I3021" s="12"/>
      <c r="J3021" s="12" t="s">
        <v>142</v>
      </c>
      <c r="K3021" s="12"/>
      <c r="L3021" s="12"/>
      <c r="M3021" s="12" t="s">
        <v>191</v>
      </c>
      <c r="N3021" s="12"/>
      <c r="O3021" s="12" t="s">
        <v>192</v>
      </c>
      <c r="P3021" s="12" t="str">
        <f>HYPERLINK("https://ceds.ed.gov/cedselementdetails.aspx?termid=9269")</f>
        <v>https://ceds.ed.gov/cedselementdetails.aspx?termid=9269</v>
      </c>
      <c r="Q3021" s="12" t="str">
        <f>HYPERLINK("https://ceds.ed.gov/elementComment.aspx?elementName=Address Street Number and Name &amp;elementID=9269", "Click here to submit comment")</f>
        <v>Click here to submit comment</v>
      </c>
    </row>
    <row r="3022" spans="1:17" ht="225" x14ac:dyDescent="0.25">
      <c r="A3022" s="12" t="s">
        <v>7313</v>
      </c>
      <c r="B3022" s="12" t="s">
        <v>7316</v>
      </c>
      <c r="C3022" s="12" t="s">
        <v>7175</v>
      </c>
      <c r="D3022" s="12" t="s">
        <v>7172</v>
      </c>
      <c r="E3022" s="12" t="s">
        <v>172</v>
      </c>
      <c r="F3022" s="12" t="s">
        <v>173</v>
      </c>
      <c r="G3022" s="12" t="s">
        <v>12</v>
      </c>
      <c r="H3022" s="12" t="s">
        <v>6377</v>
      </c>
      <c r="I3022" s="12"/>
      <c r="J3022" s="12" t="s">
        <v>92</v>
      </c>
      <c r="K3022" s="12"/>
      <c r="L3022" s="12"/>
      <c r="M3022" s="12" t="s">
        <v>174</v>
      </c>
      <c r="N3022" s="12"/>
      <c r="O3022" s="12" t="s">
        <v>175</v>
      </c>
      <c r="P3022" s="12" t="str">
        <f>HYPERLINK("https://ceds.ed.gov/cedselementdetails.aspx?termid=9019")</f>
        <v>https://ceds.ed.gov/cedselementdetails.aspx?termid=9019</v>
      </c>
      <c r="Q3022" s="12" t="str">
        <f>HYPERLINK("https://ceds.ed.gov/elementComment.aspx?elementName=Address Apartment Room or Suite Number &amp;elementID=9019", "Click here to submit comment")</f>
        <v>Click here to submit comment</v>
      </c>
    </row>
    <row r="3023" spans="1:17" ht="225" x14ac:dyDescent="0.25">
      <c r="A3023" s="12" t="s">
        <v>7313</v>
      </c>
      <c r="B3023" s="12" t="s">
        <v>7316</v>
      </c>
      <c r="C3023" s="12" t="s">
        <v>7175</v>
      </c>
      <c r="D3023" s="12" t="s">
        <v>7172</v>
      </c>
      <c r="E3023" s="12" t="s">
        <v>176</v>
      </c>
      <c r="F3023" s="12" t="s">
        <v>177</v>
      </c>
      <c r="G3023" s="12" t="s">
        <v>12</v>
      </c>
      <c r="H3023" s="12" t="s">
        <v>6377</v>
      </c>
      <c r="I3023" s="12"/>
      <c r="J3023" s="12" t="s">
        <v>92</v>
      </c>
      <c r="K3023" s="12"/>
      <c r="L3023" s="12"/>
      <c r="M3023" s="12" t="s">
        <v>178</v>
      </c>
      <c r="N3023" s="12"/>
      <c r="O3023" s="12" t="s">
        <v>179</v>
      </c>
      <c r="P3023" s="12" t="str">
        <f>HYPERLINK("https://ceds.ed.gov/cedselementdetails.aspx?termid=9040")</f>
        <v>https://ceds.ed.gov/cedselementdetails.aspx?termid=9040</v>
      </c>
      <c r="Q3023" s="12" t="str">
        <f>HYPERLINK("https://ceds.ed.gov/elementComment.aspx?elementName=Address City &amp;elementID=9040", "Click here to submit comment")</f>
        <v>Click here to submit comment</v>
      </c>
    </row>
    <row r="3024" spans="1:17" ht="409.5" x14ac:dyDescent="0.25">
      <c r="A3024" s="12" t="s">
        <v>7313</v>
      </c>
      <c r="B3024" s="12" t="s">
        <v>7316</v>
      </c>
      <c r="C3024" s="12" t="s">
        <v>7175</v>
      </c>
      <c r="D3024" s="12" t="s">
        <v>7172</v>
      </c>
      <c r="E3024" s="12" t="s">
        <v>5898</v>
      </c>
      <c r="F3024" s="12" t="s">
        <v>5899</v>
      </c>
      <c r="G3024" s="13" t="s">
        <v>7120</v>
      </c>
      <c r="H3024" s="12" t="s">
        <v>6678</v>
      </c>
      <c r="I3024" s="12"/>
      <c r="J3024" s="12"/>
      <c r="K3024" s="12"/>
      <c r="L3024" s="12"/>
      <c r="M3024" s="12" t="s">
        <v>5900</v>
      </c>
      <c r="N3024" s="12"/>
      <c r="O3024" s="12" t="s">
        <v>5901</v>
      </c>
      <c r="P3024" s="12" t="str">
        <f>HYPERLINK("https://ceds.ed.gov/cedselementdetails.aspx?termid=9267")</f>
        <v>https://ceds.ed.gov/cedselementdetails.aspx?termid=9267</v>
      </c>
      <c r="Q3024" s="12" t="str">
        <f>HYPERLINK("https://ceds.ed.gov/elementComment.aspx?elementName=State Abbreviation &amp;elementID=9267", "Click here to submit comment")</f>
        <v>Click here to submit comment</v>
      </c>
    </row>
    <row r="3025" spans="1:17" ht="225" x14ac:dyDescent="0.25">
      <c r="A3025" s="12" t="s">
        <v>7313</v>
      </c>
      <c r="B3025" s="12" t="s">
        <v>7316</v>
      </c>
      <c r="C3025" s="12" t="s">
        <v>7175</v>
      </c>
      <c r="D3025" s="12" t="s">
        <v>7172</v>
      </c>
      <c r="E3025" s="12" t="s">
        <v>184</v>
      </c>
      <c r="F3025" s="12" t="s">
        <v>185</v>
      </c>
      <c r="G3025" s="12" t="s">
        <v>12</v>
      </c>
      <c r="H3025" s="12" t="s">
        <v>6377</v>
      </c>
      <c r="I3025" s="12"/>
      <c r="J3025" s="12" t="s">
        <v>186</v>
      </c>
      <c r="K3025" s="12"/>
      <c r="L3025" s="12"/>
      <c r="M3025" s="12" t="s">
        <v>187</v>
      </c>
      <c r="N3025" s="12"/>
      <c r="O3025" s="12" t="s">
        <v>188</v>
      </c>
      <c r="P3025" s="12" t="str">
        <f>HYPERLINK("https://ceds.ed.gov/cedselementdetails.aspx?termid=9214")</f>
        <v>https://ceds.ed.gov/cedselementdetails.aspx?termid=9214</v>
      </c>
      <c r="Q3025" s="12" t="str">
        <f>HYPERLINK("https://ceds.ed.gov/elementComment.aspx?elementName=Address Postal Code &amp;elementID=9214", "Click here to submit comment")</f>
        <v>Click here to submit comment</v>
      </c>
    </row>
    <row r="3026" spans="1:17" ht="225" x14ac:dyDescent="0.25">
      <c r="A3026" s="12" t="s">
        <v>7313</v>
      </c>
      <c r="B3026" s="12" t="s">
        <v>7316</v>
      </c>
      <c r="C3026" s="12" t="s">
        <v>7175</v>
      </c>
      <c r="D3026" s="12" t="s">
        <v>7172</v>
      </c>
      <c r="E3026" s="12" t="s">
        <v>180</v>
      </c>
      <c r="F3026" s="12" t="s">
        <v>181</v>
      </c>
      <c r="G3026" s="12" t="s">
        <v>12</v>
      </c>
      <c r="H3026" s="12" t="s">
        <v>6377</v>
      </c>
      <c r="I3026" s="12"/>
      <c r="J3026" s="12" t="s">
        <v>92</v>
      </c>
      <c r="K3026" s="12"/>
      <c r="L3026" s="12"/>
      <c r="M3026" s="12" t="s">
        <v>182</v>
      </c>
      <c r="N3026" s="12"/>
      <c r="O3026" s="12" t="s">
        <v>183</v>
      </c>
      <c r="P3026" s="12" t="str">
        <f>HYPERLINK("https://ceds.ed.gov/cedselementdetails.aspx?termid=9190")</f>
        <v>https://ceds.ed.gov/cedselementdetails.aspx?termid=9190</v>
      </c>
      <c r="Q3026" s="12" t="str">
        <f>HYPERLINK("https://ceds.ed.gov/elementComment.aspx?elementName=Address County Name &amp;elementID=9190", "Click here to submit comment")</f>
        <v>Click here to submit comment</v>
      </c>
    </row>
    <row r="3027" spans="1:17" ht="409.5" x14ac:dyDescent="0.25">
      <c r="A3027" s="12" t="s">
        <v>7313</v>
      </c>
      <c r="B3027" s="12" t="s">
        <v>7316</v>
      </c>
      <c r="C3027" s="12" t="s">
        <v>7175</v>
      </c>
      <c r="D3027" s="12" t="s">
        <v>7172</v>
      </c>
      <c r="E3027" s="12" t="s">
        <v>1934</v>
      </c>
      <c r="F3027" s="12" t="s">
        <v>1935</v>
      </c>
      <c r="G3027" s="13" t="s">
        <v>6829</v>
      </c>
      <c r="H3027" s="12" t="s">
        <v>6467</v>
      </c>
      <c r="I3027" s="12" t="s">
        <v>98</v>
      </c>
      <c r="J3027" s="12"/>
      <c r="K3027" s="12"/>
      <c r="L3027" s="14" t="s">
        <v>1936</v>
      </c>
      <c r="M3027" s="12" t="s">
        <v>1937</v>
      </c>
      <c r="N3027" s="12"/>
      <c r="O3027" s="12" t="s">
        <v>1938</v>
      </c>
      <c r="P3027" s="12" t="str">
        <f>HYPERLINK("https://ceds.ed.gov/cedselementdetails.aspx?termid=9050")</f>
        <v>https://ceds.ed.gov/cedselementdetails.aspx?termid=9050</v>
      </c>
      <c r="Q3027" s="12" t="str">
        <f>HYPERLINK("https://ceds.ed.gov/elementComment.aspx?elementName=Country Code &amp;elementID=9050", "Click here to submit comment")</f>
        <v>Click here to submit comment</v>
      </c>
    </row>
    <row r="3028" spans="1:17" ht="75" x14ac:dyDescent="0.25">
      <c r="A3028" s="12" t="s">
        <v>7313</v>
      </c>
      <c r="B3028" s="12" t="s">
        <v>7316</v>
      </c>
      <c r="C3028" s="12" t="s">
        <v>7175</v>
      </c>
      <c r="D3028" s="12" t="s">
        <v>7176</v>
      </c>
      <c r="E3028" s="12" t="s">
        <v>3693</v>
      </c>
      <c r="F3028" s="12" t="s">
        <v>3694</v>
      </c>
      <c r="G3028" s="12" t="s">
        <v>12</v>
      </c>
      <c r="H3028" s="12"/>
      <c r="I3028" s="12"/>
      <c r="J3028" s="12" t="s">
        <v>1201</v>
      </c>
      <c r="K3028" s="12"/>
      <c r="L3028" s="12"/>
      <c r="M3028" s="12" t="s">
        <v>3695</v>
      </c>
      <c r="N3028" s="12"/>
      <c r="O3028" s="12" t="s">
        <v>3693</v>
      </c>
      <c r="P3028" s="12" t="str">
        <f>HYPERLINK("https://ceds.ed.gov/cedselementdetails.aspx?termid=9599")</f>
        <v>https://ceds.ed.gov/cedselementdetails.aspx?termid=9599</v>
      </c>
      <c r="Q3028" s="12" t="str">
        <f>HYPERLINK("https://ceds.ed.gov/elementComment.aspx?elementName=Latitude &amp;elementID=9599", "Click here to submit comment")</f>
        <v>Click here to submit comment</v>
      </c>
    </row>
    <row r="3029" spans="1:17" ht="75" x14ac:dyDescent="0.25">
      <c r="A3029" s="12" t="s">
        <v>7313</v>
      </c>
      <c r="B3029" s="12" t="s">
        <v>7316</v>
      </c>
      <c r="C3029" s="12" t="s">
        <v>7175</v>
      </c>
      <c r="D3029" s="12" t="s">
        <v>7176</v>
      </c>
      <c r="E3029" s="12" t="s">
        <v>4361</v>
      </c>
      <c r="F3029" s="12" t="s">
        <v>4362</v>
      </c>
      <c r="G3029" s="12" t="s">
        <v>12</v>
      </c>
      <c r="H3029" s="12"/>
      <c r="I3029" s="12"/>
      <c r="J3029" s="12" t="s">
        <v>1201</v>
      </c>
      <c r="K3029" s="12"/>
      <c r="L3029" s="12"/>
      <c r="M3029" s="12" t="s">
        <v>4363</v>
      </c>
      <c r="N3029" s="12"/>
      <c r="O3029" s="12" t="s">
        <v>4361</v>
      </c>
      <c r="P3029" s="12" t="str">
        <f>HYPERLINK("https://ceds.ed.gov/cedselementdetails.aspx?termid=9600")</f>
        <v>https://ceds.ed.gov/cedselementdetails.aspx?termid=9600</v>
      </c>
      <c r="Q3029" s="12" t="str">
        <f>HYPERLINK("https://ceds.ed.gov/elementComment.aspx?elementName=Longitude &amp;elementID=9600", "Click here to submit comment")</f>
        <v>Click here to submit comment</v>
      </c>
    </row>
    <row r="3030" spans="1:17" ht="90" x14ac:dyDescent="0.25">
      <c r="A3030" s="12" t="s">
        <v>7313</v>
      </c>
      <c r="B3030" s="12" t="s">
        <v>7316</v>
      </c>
      <c r="C3030" s="12" t="s">
        <v>7204</v>
      </c>
      <c r="D3030" s="12" t="s">
        <v>7172</v>
      </c>
      <c r="E3030" s="12" t="s">
        <v>2653</v>
      </c>
      <c r="F3030" s="12" t="s">
        <v>2654</v>
      </c>
      <c r="G3030" s="13" t="s">
        <v>6898</v>
      </c>
      <c r="H3030" s="12" t="s">
        <v>6369</v>
      </c>
      <c r="I3030" s="12"/>
      <c r="J3030" s="12"/>
      <c r="K3030" s="12"/>
      <c r="L3030" s="12"/>
      <c r="M3030" s="12" t="s">
        <v>2655</v>
      </c>
      <c r="N3030" s="12" t="s">
        <v>2656</v>
      </c>
      <c r="O3030" s="12" t="s">
        <v>2657</v>
      </c>
      <c r="P3030" s="12" t="str">
        <f>HYPERLINK("https://ceds.ed.gov/cedselementdetails.aspx?termid=9089")</f>
        <v>https://ceds.ed.gov/cedselementdetails.aspx?termid=9089</v>
      </c>
      <c r="Q3030" s="12" t="str">
        <f>HYPERLINK("https://ceds.ed.gov/elementComment.aspx?elementName=Electronic Mail Address Type &amp;elementID=9089", "Click here to submit comment")</f>
        <v>Click here to submit comment</v>
      </c>
    </row>
    <row r="3031" spans="1:17" ht="90" x14ac:dyDescent="0.25">
      <c r="A3031" s="12" t="s">
        <v>7313</v>
      </c>
      <c r="B3031" s="12" t="s">
        <v>7316</v>
      </c>
      <c r="C3031" s="12" t="s">
        <v>7177</v>
      </c>
      <c r="D3031" s="12" t="s">
        <v>7172</v>
      </c>
      <c r="E3031" s="12" t="s">
        <v>6107</v>
      </c>
      <c r="F3031" s="12" t="s">
        <v>6108</v>
      </c>
      <c r="G3031" s="13" t="s">
        <v>7135</v>
      </c>
      <c r="H3031" s="12" t="s">
        <v>6369</v>
      </c>
      <c r="I3031" s="12"/>
      <c r="J3031" s="12" t="s">
        <v>1950</v>
      </c>
      <c r="K3031" s="12"/>
      <c r="L3031" s="12"/>
      <c r="M3031" s="12" t="s">
        <v>6109</v>
      </c>
      <c r="N3031" s="12"/>
      <c r="O3031" s="12" t="s">
        <v>6110</v>
      </c>
      <c r="P3031" s="12" t="str">
        <f>HYPERLINK("https://ceds.ed.gov/cedselementdetails.aspx?termid=9280")</f>
        <v>https://ceds.ed.gov/cedselementdetails.aspx?termid=9280</v>
      </c>
      <c r="Q3031" s="12" t="str">
        <f>HYPERLINK("https://ceds.ed.gov/elementComment.aspx?elementName=Telephone Number Type &amp;elementID=9280", "Click here to submit comment")</f>
        <v>Click here to submit comment</v>
      </c>
    </row>
    <row r="3032" spans="1:17" ht="90" x14ac:dyDescent="0.25">
      <c r="A3032" s="12" t="s">
        <v>7313</v>
      </c>
      <c r="B3032" s="12" t="s">
        <v>7316</v>
      </c>
      <c r="C3032" s="12" t="s">
        <v>7204</v>
      </c>
      <c r="D3032" s="12" t="s">
        <v>7172</v>
      </c>
      <c r="E3032" s="12" t="s">
        <v>2647</v>
      </c>
      <c r="F3032" s="12" t="s">
        <v>2648</v>
      </c>
      <c r="G3032" s="12" t="s">
        <v>12</v>
      </c>
      <c r="H3032" s="12" t="s">
        <v>6369</v>
      </c>
      <c r="I3032" s="12"/>
      <c r="J3032" s="12" t="s">
        <v>2649</v>
      </c>
      <c r="K3032" s="12"/>
      <c r="L3032" s="12"/>
      <c r="M3032" s="12" t="s">
        <v>2650</v>
      </c>
      <c r="N3032" s="12" t="s">
        <v>2651</v>
      </c>
      <c r="O3032" s="12" t="s">
        <v>2652</v>
      </c>
      <c r="P3032" s="12" t="str">
        <f>HYPERLINK("https://ceds.ed.gov/cedselementdetails.aspx?termid=9088")</f>
        <v>https://ceds.ed.gov/cedselementdetails.aspx?termid=9088</v>
      </c>
      <c r="Q3032" s="12" t="str">
        <f>HYPERLINK("https://ceds.ed.gov/elementComment.aspx?elementName=Electronic Mail Address &amp;elementID=9088", "Click here to submit comment")</f>
        <v>Click here to submit comment</v>
      </c>
    </row>
    <row r="3033" spans="1:17" ht="90" x14ac:dyDescent="0.25">
      <c r="A3033" s="12" t="s">
        <v>7313</v>
      </c>
      <c r="B3033" s="12" t="s">
        <v>7316</v>
      </c>
      <c r="C3033" s="12" t="s">
        <v>7177</v>
      </c>
      <c r="D3033" s="12" t="s">
        <v>7172</v>
      </c>
      <c r="E3033" s="12" t="s">
        <v>4934</v>
      </c>
      <c r="F3033" s="12" t="s">
        <v>4935</v>
      </c>
      <c r="G3033" s="12" t="s">
        <v>6364</v>
      </c>
      <c r="H3033" s="12" t="s">
        <v>6369</v>
      </c>
      <c r="I3033" s="12"/>
      <c r="J3033" s="12"/>
      <c r="K3033" s="12"/>
      <c r="L3033" s="12"/>
      <c r="M3033" s="12" t="s">
        <v>4936</v>
      </c>
      <c r="N3033" s="12"/>
      <c r="O3033" s="12" t="s">
        <v>4937</v>
      </c>
      <c r="P3033" s="12" t="str">
        <f>HYPERLINK("https://ceds.ed.gov/cedselementdetails.aspx?termid=9219")</f>
        <v>https://ceds.ed.gov/cedselementdetails.aspx?termid=9219</v>
      </c>
      <c r="Q3033" s="12" t="str">
        <f>HYPERLINK("https://ceds.ed.gov/elementComment.aspx?elementName=Primary Telephone Number Indicator &amp;elementID=9219", "Click here to submit comment")</f>
        <v>Click here to submit comment</v>
      </c>
    </row>
    <row r="3034" spans="1:17" ht="90" x14ac:dyDescent="0.25">
      <c r="A3034" s="12" t="s">
        <v>7313</v>
      </c>
      <c r="B3034" s="12" t="s">
        <v>7316</v>
      </c>
      <c r="C3034" s="12" t="s">
        <v>7177</v>
      </c>
      <c r="D3034" s="12" t="s">
        <v>7172</v>
      </c>
      <c r="E3034" s="12" t="s">
        <v>6102</v>
      </c>
      <c r="F3034" s="12" t="s">
        <v>6103</v>
      </c>
      <c r="G3034" s="12" t="s">
        <v>12</v>
      </c>
      <c r="H3034" s="12" t="s">
        <v>6369</v>
      </c>
      <c r="I3034" s="12"/>
      <c r="J3034" s="12" t="s">
        <v>6104</v>
      </c>
      <c r="K3034" s="12"/>
      <c r="L3034" s="12"/>
      <c r="M3034" s="12" t="s">
        <v>6105</v>
      </c>
      <c r="N3034" s="12"/>
      <c r="O3034" s="12" t="s">
        <v>6106</v>
      </c>
      <c r="P3034" s="12" t="str">
        <f>HYPERLINK("https://ceds.ed.gov/cedselementdetails.aspx?termid=9279")</f>
        <v>https://ceds.ed.gov/cedselementdetails.aspx?termid=9279</v>
      </c>
      <c r="Q3034" s="12" t="str">
        <f>HYPERLINK("https://ceds.ed.gov/elementComment.aspx?elementName=Telephone Number &amp;elementID=9279", "Click here to submit comment")</f>
        <v>Click here to submit comment</v>
      </c>
    </row>
    <row r="3035" spans="1:17" ht="75" x14ac:dyDescent="0.25">
      <c r="A3035" s="12" t="s">
        <v>7313</v>
      </c>
      <c r="B3035" s="12" t="s">
        <v>7316</v>
      </c>
      <c r="C3035" s="12" t="s">
        <v>7235</v>
      </c>
      <c r="D3035" s="12" t="s">
        <v>7172</v>
      </c>
      <c r="E3035" s="12" t="s">
        <v>1655</v>
      </c>
      <c r="F3035" s="12" t="s">
        <v>1656</v>
      </c>
      <c r="G3035" s="12" t="s">
        <v>6364</v>
      </c>
      <c r="H3035" s="12"/>
      <c r="I3035" s="12"/>
      <c r="J3035" s="12"/>
      <c r="K3035" s="12"/>
      <c r="L3035" s="12"/>
      <c r="M3035" s="12" t="s">
        <v>1657</v>
      </c>
      <c r="N3035" s="12" t="s">
        <v>1658</v>
      </c>
      <c r="O3035" s="12" t="s">
        <v>1659</v>
      </c>
      <c r="P3035" s="12" t="str">
        <f>HYPERLINK("https://ceds.ed.gov/cedselementdetails.aspx?termid=10284")</f>
        <v>https://ceds.ed.gov/cedselementdetails.aspx?termid=10284</v>
      </c>
      <c r="Q3035" s="12" t="str">
        <f>HYPERLINK("https://ceds.ed.gov/elementComment.aspx?elementName=Career and Technical Education Instructor Industry Certification &amp;elementID=10284", "Click here to submit comment")</f>
        <v>Click here to submit comment</v>
      </c>
    </row>
    <row r="3036" spans="1:17" ht="90" x14ac:dyDescent="0.25">
      <c r="A3036" s="12" t="s">
        <v>7313</v>
      </c>
      <c r="B3036" s="12" t="s">
        <v>7316</v>
      </c>
      <c r="C3036" s="12" t="s">
        <v>7235</v>
      </c>
      <c r="D3036" s="12" t="s">
        <v>7172</v>
      </c>
      <c r="E3036" s="12" t="s">
        <v>2166</v>
      </c>
      <c r="F3036" s="12" t="s">
        <v>2167</v>
      </c>
      <c r="G3036" s="13" t="s">
        <v>6849</v>
      </c>
      <c r="H3036" s="12"/>
      <c r="I3036" s="12"/>
      <c r="J3036" s="12"/>
      <c r="K3036" s="12"/>
      <c r="L3036" s="12"/>
      <c r="M3036" s="12" t="s">
        <v>2168</v>
      </c>
      <c r="N3036" s="12"/>
      <c r="O3036" s="12" t="s">
        <v>2169</v>
      </c>
      <c r="P3036" s="12" t="str">
        <f>HYPERLINK("https://ceds.ed.gov/cedselementdetails.aspx?termid=9071")</f>
        <v>https://ceds.ed.gov/cedselementdetails.aspx?termid=9071</v>
      </c>
      <c r="Q3036" s="12" t="str">
        <f>HYPERLINK("https://ceds.ed.gov/elementComment.aspx?elementName=Credential Type &amp;elementID=9071", "Click here to submit comment")</f>
        <v>Click here to submit comment</v>
      </c>
    </row>
    <row r="3037" spans="1:17" ht="240" x14ac:dyDescent="0.25">
      <c r="A3037" s="12" t="s">
        <v>7313</v>
      </c>
      <c r="B3037" s="12" t="s">
        <v>7316</v>
      </c>
      <c r="C3037" s="12" t="s">
        <v>7235</v>
      </c>
      <c r="D3037" s="12" t="s">
        <v>7172</v>
      </c>
      <c r="E3037" s="12" t="s">
        <v>6074</v>
      </c>
      <c r="F3037" s="12" t="s">
        <v>6075</v>
      </c>
      <c r="G3037" s="13" t="s">
        <v>7131</v>
      </c>
      <c r="H3037" s="12" t="s">
        <v>354</v>
      </c>
      <c r="I3037" s="12"/>
      <c r="J3037" s="12"/>
      <c r="K3037" s="12"/>
      <c r="L3037" s="12"/>
      <c r="M3037" s="12" t="s">
        <v>6076</v>
      </c>
      <c r="N3037" s="12"/>
      <c r="O3037" s="12" t="s">
        <v>6077</v>
      </c>
      <c r="P3037" s="12" t="str">
        <f>HYPERLINK("https://ceds.ed.gov/cedselementdetails.aspx?termid=9277")</f>
        <v>https://ceds.ed.gov/cedselementdetails.aspx?termid=9277</v>
      </c>
      <c r="Q3037" s="12" t="str">
        <f>HYPERLINK("https://ceds.ed.gov/elementComment.aspx?elementName=Teaching Credential Basis &amp;elementID=9277", "Click here to submit comment")</f>
        <v>Click here to submit comment</v>
      </c>
    </row>
    <row r="3038" spans="1:17" ht="30" x14ac:dyDescent="0.25">
      <c r="A3038" s="12" t="s">
        <v>7317</v>
      </c>
      <c r="B3038" s="12" t="s">
        <v>7280</v>
      </c>
      <c r="C3038" s="12"/>
      <c r="D3038" s="12" t="s">
        <v>7172</v>
      </c>
      <c r="E3038" s="12" t="s">
        <v>2124</v>
      </c>
      <c r="F3038" s="12" t="s">
        <v>2125</v>
      </c>
      <c r="G3038" s="12" t="s">
        <v>12</v>
      </c>
      <c r="H3038" s="12"/>
      <c r="I3038" s="12" t="s">
        <v>1498</v>
      </c>
      <c r="J3038" s="12" t="s">
        <v>317</v>
      </c>
      <c r="K3038" s="12"/>
      <c r="L3038" s="12"/>
      <c r="M3038" s="12" t="s">
        <v>2126</v>
      </c>
      <c r="N3038" s="12"/>
      <c r="O3038" s="12" t="s">
        <v>2127</v>
      </c>
      <c r="P3038" s="12" t="str">
        <f>HYPERLINK("https://ceds.ed.gov/cedselementdetails.aspx?termid=10636")</f>
        <v>https://ceds.ed.gov/cedselementdetails.aspx?termid=10636</v>
      </c>
      <c r="Q3038" s="12" t="str">
        <f>HYPERLINK("https://ceds.ed.gov/elementComment.aspx?elementName=Course Section Maximum Capacity &amp;elementID=10636", "Click here to submit comment")</f>
        <v>Click here to submit comment</v>
      </c>
    </row>
    <row r="3039" spans="1:17" ht="105" x14ac:dyDescent="0.25">
      <c r="A3039" s="18" t="s">
        <v>7317</v>
      </c>
      <c r="B3039" s="18" t="s">
        <v>7280</v>
      </c>
      <c r="C3039" s="18"/>
      <c r="D3039" s="18" t="s">
        <v>7176</v>
      </c>
      <c r="E3039" s="18" t="s">
        <v>2116</v>
      </c>
      <c r="F3039" s="18" t="s">
        <v>2117</v>
      </c>
      <c r="G3039" s="18" t="s">
        <v>12</v>
      </c>
      <c r="H3039" s="18"/>
      <c r="I3039" s="18"/>
      <c r="J3039" s="18" t="s">
        <v>142</v>
      </c>
      <c r="K3039" s="18"/>
      <c r="L3039" s="12" t="s">
        <v>143</v>
      </c>
      <c r="M3039" s="18" t="s">
        <v>2118</v>
      </c>
      <c r="N3039" s="18"/>
      <c r="O3039" s="18" t="s">
        <v>2119</v>
      </c>
      <c r="P3039" s="18" t="str">
        <f>HYPERLINK("https://ceds.ed.gov/cedselementdetails.aspx?termid=9979")</f>
        <v>https://ceds.ed.gov/cedselementdetails.aspx?termid=9979</v>
      </c>
      <c r="Q3039" s="18" t="str">
        <f>HYPERLINK("https://ceds.ed.gov/elementComment.aspx?elementName=Course Section Identifier &amp;elementID=9979", "Click here to submit comment")</f>
        <v>Click here to submit comment</v>
      </c>
    </row>
    <row r="3040" spans="1:17" x14ac:dyDescent="0.25">
      <c r="A3040" s="18"/>
      <c r="B3040" s="18"/>
      <c r="C3040" s="18"/>
      <c r="D3040" s="18"/>
      <c r="E3040" s="18"/>
      <c r="F3040" s="18"/>
      <c r="G3040" s="18"/>
      <c r="H3040" s="18"/>
      <c r="I3040" s="18"/>
      <c r="J3040" s="18"/>
      <c r="K3040" s="18"/>
      <c r="L3040" s="12"/>
      <c r="M3040" s="18"/>
      <c r="N3040" s="18"/>
      <c r="O3040" s="18"/>
      <c r="P3040" s="18"/>
      <c r="Q3040" s="18"/>
    </row>
    <row r="3041" spans="1:17" ht="90" x14ac:dyDescent="0.25">
      <c r="A3041" s="18"/>
      <c r="B3041" s="18"/>
      <c r="C3041" s="18"/>
      <c r="D3041" s="18"/>
      <c r="E3041" s="18"/>
      <c r="F3041" s="18"/>
      <c r="G3041" s="18"/>
      <c r="H3041" s="18"/>
      <c r="I3041" s="18"/>
      <c r="J3041" s="18"/>
      <c r="K3041" s="18"/>
      <c r="L3041" s="12" t="s">
        <v>144</v>
      </c>
      <c r="M3041" s="18"/>
      <c r="N3041" s="18"/>
      <c r="O3041" s="18"/>
      <c r="P3041" s="18"/>
      <c r="Q3041" s="18"/>
    </row>
    <row r="3042" spans="1:17" ht="105" x14ac:dyDescent="0.25">
      <c r="A3042" s="18" t="s">
        <v>7317</v>
      </c>
      <c r="B3042" s="18" t="s">
        <v>7280</v>
      </c>
      <c r="C3042" s="18"/>
      <c r="D3042" s="18" t="s">
        <v>7176</v>
      </c>
      <c r="E3042" s="18" t="s">
        <v>1842</v>
      </c>
      <c r="F3042" s="18" t="s">
        <v>1843</v>
      </c>
      <c r="G3042" s="18" t="s">
        <v>12</v>
      </c>
      <c r="H3042" s="18"/>
      <c r="I3042" s="18"/>
      <c r="J3042" s="18" t="s">
        <v>142</v>
      </c>
      <c r="K3042" s="18"/>
      <c r="L3042" s="12" t="s">
        <v>143</v>
      </c>
      <c r="M3042" s="18" t="s">
        <v>1844</v>
      </c>
      <c r="N3042" s="18"/>
      <c r="O3042" s="18" t="s">
        <v>1845</v>
      </c>
      <c r="P3042" s="18" t="str">
        <f>HYPERLINK("https://ceds.ed.gov/cedselementdetails.aspx?termid=9507")</f>
        <v>https://ceds.ed.gov/cedselementdetails.aspx?termid=9507</v>
      </c>
      <c r="Q3042" s="18" t="str">
        <f>HYPERLINK("https://ceds.ed.gov/elementComment.aspx?elementName=Classroom Identifier &amp;elementID=9507", "Click here to submit comment")</f>
        <v>Click here to submit comment</v>
      </c>
    </row>
    <row r="3043" spans="1:17" x14ac:dyDescent="0.25">
      <c r="A3043" s="18"/>
      <c r="B3043" s="18"/>
      <c r="C3043" s="18"/>
      <c r="D3043" s="18"/>
      <c r="E3043" s="18"/>
      <c r="F3043" s="18"/>
      <c r="G3043" s="18"/>
      <c r="H3043" s="18"/>
      <c r="I3043" s="18"/>
      <c r="J3043" s="18"/>
      <c r="K3043" s="18"/>
      <c r="L3043" s="12"/>
      <c r="M3043" s="18"/>
      <c r="N3043" s="18"/>
      <c r="O3043" s="18"/>
      <c r="P3043" s="18"/>
      <c r="Q3043" s="18"/>
    </row>
    <row r="3044" spans="1:17" ht="90" x14ac:dyDescent="0.25">
      <c r="A3044" s="18"/>
      <c r="B3044" s="18"/>
      <c r="C3044" s="18"/>
      <c r="D3044" s="18"/>
      <c r="E3044" s="18"/>
      <c r="F3044" s="18"/>
      <c r="G3044" s="18"/>
      <c r="H3044" s="18"/>
      <c r="I3044" s="18"/>
      <c r="J3044" s="18"/>
      <c r="K3044" s="18"/>
      <c r="L3044" s="12" t="s">
        <v>144</v>
      </c>
      <c r="M3044" s="18"/>
      <c r="N3044" s="18"/>
      <c r="O3044" s="18"/>
      <c r="P3044" s="18"/>
      <c r="Q3044" s="18"/>
    </row>
    <row r="3045" spans="1:17" ht="120" x14ac:dyDescent="0.25">
      <c r="A3045" s="12" t="s">
        <v>7317</v>
      </c>
      <c r="B3045" s="12" t="s">
        <v>7280</v>
      </c>
      <c r="C3045" s="12"/>
      <c r="D3045" s="12" t="s">
        <v>7176</v>
      </c>
      <c r="E3045" s="12" t="s">
        <v>5671</v>
      </c>
      <c r="F3045" s="12" t="s">
        <v>5672</v>
      </c>
      <c r="G3045" s="12" t="s">
        <v>12</v>
      </c>
      <c r="H3045" s="12" t="s">
        <v>6429</v>
      </c>
      <c r="I3045" s="12"/>
      <c r="J3045" s="12" t="s">
        <v>73</v>
      </c>
      <c r="K3045" s="12"/>
      <c r="L3045" s="12"/>
      <c r="M3045" s="12" t="s">
        <v>5673</v>
      </c>
      <c r="N3045" s="12"/>
      <c r="O3045" s="12" t="s">
        <v>5674</v>
      </c>
      <c r="P3045" s="12" t="str">
        <f>HYPERLINK("https://ceds.ed.gov/cedselementdetails.aspx?termid=9251")</f>
        <v>https://ceds.ed.gov/cedselementdetails.aspx?termid=9251</v>
      </c>
      <c r="Q3045" s="12" t="str">
        <f>HYPERLINK("https://ceds.ed.gov/elementComment.aspx?elementName=Session Begin Date &amp;elementID=9251", "Click here to submit comment")</f>
        <v>Click here to submit comment</v>
      </c>
    </row>
    <row r="3046" spans="1:17" ht="120" x14ac:dyDescent="0.25">
      <c r="A3046" s="12" t="s">
        <v>7317</v>
      </c>
      <c r="B3046" s="12" t="s">
        <v>7280</v>
      </c>
      <c r="C3046" s="12"/>
      <c r="D3046" s="12" t="s">
        <v>7176</v>
      </c>
      <c r="E3046" s="12" t="s">
        <v>5687</v>
      </c>
      <c r="F3046" s="12" t="s">
        <v>5688</v>
      </c>
      <c r="G3046" s="12" t="s">
        <v>12</v>
      </c>
      <c r="H3046" s="12" t="s">
        <v>6429</v>
      </c>
      <c r="I3046" s="12"/>
      <c r="J3046" s="12" t="s">
        <v>73</v>
      </c>
      <c r="K3046" s="12"/>
      <c r="L3046" s="12"/>
      <c r="M3046" s="12" t="s">
        <v>5689</v>
      </c>
      <c r="N3046" s="12"/>
      <c r="O3046" s="12" t="s">
        <v>5690</v>
      </c>
      <c r="P3046" s="12" t="str">
        <f>HYPERLINK("https://ceds.ed.gov/cedselementdetails.aspx?termid=9253")</f>
        <v>https://ceds.ed.gov/cedselementdetails.aspx?termid=9253</v>
      </c>
      <c r="Q3046" s="12" t="str">
        <f>HYPERLINK("https://ceds.ed.gov/elementComment.aspx?elementName=Session End Date &amp;elementID=9253", "Click here to submit comment")</f>
        <v>Click here to submit comment</v>
      </c>
    </row>
    <row r="3047" spans="1:17" ht="30" x14ac:dyDescent="0.25">
      <c r="A3047" s="12" t="s">
        <v>7317</v>
      </c>
      <c r="B3047" s="12" t="s">
        <v>7280</v>
      </c>
      <c r="C3047" s="12"/>
      <c r="D3047" s="12" t="s">
        <v>7176</v>
      </c>
      <c r="E3047" s="12" t="s">
        <v>5683</v>
      </c>
      <c r="F3047" s="12" t="s">
        <v>5684</v>
      </c>
      <c r="G3047" s="12" t="s">
        <v>12</v>
      </c>
      <c r="H3047" s="12" t="s">
        <v>6446</v>
      </c>
      <c r="I3047" s="12"/>
      <c r="J3047" s="12" t="s">
        <v>2328</v>
      </c>
      <c r="K3047" s="12"/>
      <c r="L3047" s="12"/>
      <c r="M3047" s="12" t="s">
        <v>5685</v>
      </c>
      <c r="N3047" s="12"/>
      <c r="O3047" s="12" t="s">
        <v>5686</v>
      </c>
      <c r="P3047" s="12" t="str">
        <f>HYPERLINK("https://ceds.ed.gov/cedselementdetails.aspx?termid=9252")</f>
        <v>https://ceds.ed.gov/cedselementdetails.aspx?termid=9252</v>
      </c>
      <c r="Q3047" s="12" t="str">
        <f>HYPERLINK("https://ceds.ed.gov/elementComment.aspx?elementName=Session Designator &amp;elementID=9252", "Click here to submit comment")</f>
        <v>Click here to submit comment</v>
      </c>
    </row>
    <row r="3048" spans="1:17" ht="180" x14ac:dyDescent="0.25">
      <c r="A3048" s="12" t="s">
        <v>7317</v>
      </c>
      <c r="B3048" s="12" t="s">
        <v>7280</v>
      </c>
      <c r="C3048" s="12"/>
      <c r="D3048" s="12" t="s">
        <v>7176</v>
      </c>
      <c r="E3048" s="12" t="s">
        <v>5707</v>
      </c>
      <c r="F3048" s="12" t="s">
        <v>5708</v>
      </c>
      <c r="G3048" s="13" t="s">
        <v>7111</v>
      </c>
      <c r="H3048" s="12" t="s">
        <v>6429</v>
      </c>
      <c r="I3048" s="12"/>
      <c r="J3048" s="12"/>
      <c r="K3048" s="12"/>
      <c r="L3048" s="12"/>
      <c r="M3048" s="12" t="s">
        <v>5709</v>
      </c>
      <c r="N3048" s="12"/>
      <c r="O3048" s="12" t="s">
        <v>5710</v>
      </c>
      <c r="P3048" s="12" t="str">
        <f>HYPERLINK("https://ceds.ed.gov/cedselementdetails.aspx?termid=9254")</f>
        <v>https://ceds.ed.gov/cedselementdetails.aspx?termid=9254</v>
      </c>
      <c r="Q3048" s="12" t="str">
        <f>HYPERLINK("https://ceds.ed.gov/elementComment.aspx?elementName=Session Type &amp;elementID=9254", "Click here to submit comment")</f>
        <v>Click here to submit comment</v>
      </c>
    </row>
    <row r="3049" spans="1:17" ht="60" x14ac:dyDescent="0.25">
      <c r="A3049" s="12" t="s">
        <v>7317</v>
      </c>
      <c r="B3049" s="12" t="s">
        <v>7280</v>
      </c>
      <c r="C3049" s="12"/>
      <c r="D3049" s="12" t="s">
        <v>7176</v>
      </c>
      <c r="E3049" s="12" t="s">
        <v>5675</v>
      </c>
      <c r="F3049" s="12" t="s">
        <v>5676</v>
      </c>
      <c r="G3049" s="12" t="s">
        <v>12</v>
      </c>
      <c r="H3049" s="12"/>
      <c r="I3049" s="12"/>
      <c r="J3049" s="12" t="s">
        <v>92</v>
      </c>
      <c r="K3049" s="12"/>
      <c r="L3049" s="12"/>
      <c r="M3049" s="12" t="s">
        <v>5677</v>
      </c>
      <c r="N3049" s="12"/>
      <c r="O3049" s="12" t="s">
        <v>5678</v>
      </c>
      <c r="P3049" s="12" t="str">
        <f>HYPERLINK("https://ceds.ed.gov/cedselementdetails.aspx?termid=10236")</f>
        <v>https://ceds.ed.gov/cedselementdetails.aspx?termid=10236</v>
      </c>
      <c r="Q3049" s="12" t="str">
        <f>HYPERLINK("https://ceds.ed.gov/elementComment.aspx?elementName=Session Code &amp;elementID=10236", "Click here to submit comment")</f>
        <v>Click here to submit comment</v>
      </c>
    </row>
    <row r="3050" spans="1:17" ht="30" x14ac:dyDescent="0.25">
      <c r="A3050" s="12" t="s">
        <v>7317</v>
      </c>
      <c r="B3050" s="12" t="s">
        <v>7280</v>
      </c>
      <c r="C3050" s="12"/>
      <c r="D3050" s="12" t="s">
        <v>7176</v>
      </c>
      <c r="E3050" s="12" t="s">
        <v>5679</v>
      </c>
      <c r="F3050" s="12" t="s">
        <v>5680</v>
      </c>
      <c r="G3050" s="12" t="s">
        <v>12</v>
      </c>
      <c r="H3050" s="12"/>
      <c r="I3050" s="12"/>
      <c r="J3050" s="12" t="s">
        <v>327</v>
      </c>
      <c r="K3050" s="12"/>
      <c r="L3050" s="12"/>
      <c r="M3050" s="12" t="s">
        <v>5681</v>
      </c>
      <c r="N3050" s="12"/>
      <c r="O3050" s="12" t="s">
        <v>5682</v>
      </c>
      <c r="P3050" s="12" t="str">
        <f>HYPERLINK("https://ceds.ed.gov/cedselementdetails.aspx?termid=10237")</f>
        <v>https://ceds.ed.gov/cedselementdetails.aspx?termid=10237</v>
      </c>
      <c r="Q3050" s="12" t="str">
        <f>HYPERLINK("https://ceds.ed.gov/elementComment.aspx?elementName=Session Description &amp;elementID=10237", "Click here to submit comment")</f>
        <v>Click here to submit comment</v>
      </c>
    </row>
    <row r="3051" spans="1:17" ht="45" x14ac:dyDescent="0.25">
      <c r="A3051" s="12" t="s">
        <v>7317</v>
      </c>
      <c r="B3051" s="12" t="s">
        <v>7280</v>
      </c>
      <c r="C3051" s="12"/>
      <c r="D3051" s="12" t="s">
        <v>7176</v>
      </c>
      <c r="E3051" s="12" t="s">
        <v>5695</v>
      </c>
      <c r="F3051" s="12" t="s">
        <v>5696</v>
      </c>
      <c r="G3051" s="12" t="s">
        <v>6364</v>
      </c>
      <c r="H3051" s="12"/>
      <c r="I3051" s="12"/>
      <c r="J3051" s="12"/>
      <c r="K3051" s="12"/>
      <c r="L3051" s="12"/>
      <c r="M3051" s="12" t="s">
        <v>5697</v>
      </c>
      <c r="N3051" s="12"/>
      <c r="O3051" s="12" t="s">
        <v>5698</v>
      </c>
      <c r="P3051" s="12" t="str">
        <f>HYPERLINK("https://ceds.ed.gov/cedselementdetails.aspx?termid=10238")</f>
        <v>https://ceds.ed.gov/cedselementdetails.aspx?termid=10238</v>
      </c>
      <c r="Q3051" s="12" t="str">
        <f>HYPERLINK("https://ceds.ed.gov/elementComment.aspx?elementName=Session Marking Term Indicator &amp;elementID=10238", "Click here to submit comment")</f>
        <v>Click here to submit comment</v>
      </c>
    </row>
    <row r="3052" spans="1:17" ht="45" x14ac:dyDescent="0.25">
      <c r="A3052" s="12" t="s">
        <v>7317</v>
      </c>
      <c r="B3052" s="12" t="s">
        <v>7280</v>
      </c>
      <c r="C3052" s="12"/>
      <c r="D3052" s="12" t="s">
        <v>7176</v>
      </c>
      <c r="E3052" s="12" t="s">
        <v>5699</v>
      </c>
      <c r="F3052" s="12" t="s">
        <v>5700</v>
      </c>
      <c r="G3052" s="12" t="s">
        <v>6364</v>
      </c>
      <c r="H3052" s="12"/>
      <c r="I3052" s="12"/>
      <c r="J3052" s="12"/>
      <c r="K3052" s="12"/>
      <c r="L3052" s="12"/>
      <c r="M3052" s="12" t="s">
        <v>5701</v>
      </c>
      <c r="N3052" s="12"/>
      <c r="O3052" s="12" t="s">
        <v>5702</v>
      </c>
      <c r="P3052" s="12" t="str">
        <f>HYPERLINK("https://ceds.ed.gov/cedselementdetails.aspx?termid=10239")</f>
        <v>https://ceds.ed.gov/cedselementdetails.aspx?termid=10239</v>
      </c>
      <c r="Q3052" s="12" t="str">
        <f>HYPERLINK("https://ceds.ed.gov/elementComment.aspx?elementName=Session Scheduling Term Indicator &amp;elementID=10239", "Click here to submit comment")</f>
        <v>Click here to submit comment</v>
      </c>
    </row>
    <row r="3053" spans="1:17" ht="45" x14ac:dyDescent="0.25">
      <c r="A3053" s="12" t="s">
        <v>7317</v>
      </c>
      <c r="B3053" s="12" t="s">
        <v>7280</v>
      </c>
      <c r="C3053" s="12"/>
      <c r="D3053" s="12" t="s">
        <v>7176</v>
      </c>
      <c r="E3053" s="12" t="s">
        <v>5667</v>
      </c>
      <c r="F3053" s="12" t="s">
        <v>5668</v>
      </c>
      <c r="G3053" s="12" t="s">
        <v>6364</v>
      </c>
      <c r="H3053" s="12"/>
      <c r="I3053" s="12"/>
      <c r="J3053" s="12"/>
      <c r="K3053" s="12"/>
      <c r="L3053" s="12"/>
      <c r="M3053" s="12" t="s">
        <v>5669</v>
      </c>
      <c r="N3053" s="12"/>
      <c r="O3053" s="12" t="s">
        <v>5670</v>
      </c>
      <c r="P3053" s="12" t="str">
        <f>HYPERLINK("https://ceds.ed.gov/cedselementdetails.aspx?termid=10240")</f>
        <v>https://ceds.ed.gov/cedselementdetails.aspx?termid=10240</v>
      </c>
      <c r="Q3053" s="12" t="str">
        <f>HYPERLINK("https://ceds.ed.gov/elementComment.aspx?elementName=Session Attendance Term Indicator &amp;elementID=10240", "Click here to submit comment")</f>
        <v>Click here to submit comment</v>
      </c>
    </row>
    <row r="3054" spans="1:17" ht="30" x14ac:dyDescent="0.25">
      <c r="A3054" s="12" t="s">
        <v>7317</v>
      </c>
      <c r="B3054" s="12" t="s">
        <v>7280</v>
      </c>
      <c r="C3054" s="12"/>
      <c r="D3054" s="12" t="s">
        <v>7176</v>
      </c>
      <c r="E3054" s="12" t="s">
        <v>1804</v>
      </c>
      <c r="F3054" s="12" t="s">
        <v>1805</v>
      </c>
      <c r="G3054" s="12" t="s">
        <v>12</v>
      </c>
      <c r="H3054" s="12" t="s">
        <v>6453</v>
      </c>
      <c r="I3054" s="12"/>
      <c r="J3054" s="12" t="s">
        <v>437</v>
      </c>
      <c r="K3054" s="12"/>
      <c r="L3054" s="12"/>
      <c r="M3054" s="12" t="s">
        <v>1806</v>
      </c>
      <c r="N3054" s="12"/>
      <c r="O3054" s="12" t="s">
        <v>1807</v>
      </c>
      <c r="P3054" s="12" t="str">
        <f>HYPERLINK("https://ceds.ed.gov/cedselementdetails.aspx?termid=9510")</f>
        <v>https://ceds.ed.gov/cedselementdetails.aspx?termid=9510</v>
      </c>
      <c r="Q3054" s="12" t="str">
        <f>HYPERLINK("https://ceds.ed.gov/elementComment.aspx?elementName=Class Beginning Time &amp;elementID=9510", "Click here to submit comment")</f>
        <v>Click here to submit comment</v>
      </c>
    </row>
    <row r="3055" spans="1:17" ht="30" x14ac:dyDescent="0.25">
      <c r="A3055" s="12" t="s">
        <v>7317</v>
      </c>
      <c r="B3055" s="12" t="s">
        <v>7280</v>
      </c>
      <c r="C3055" s="12"/>
      <c r="D3055" s="12" t="s">
        <v>7176</v>
      </c>
      <c r="E3055" s="12" t="s">
        <v>1808</v>
      </c>
      <c r="F3055" s="12" t="s">
        <v>1809</v>
      </c>
      <c r="G3055" s="12" t="s">
        <v>12</v>
      </c>
      <c r="H3055" s="12" t="s">
        <v>6453</v>
      </c>
      <c r="I3055" s="12"/>
      <c r="J3055" s="12" t="s">
        <v>1810</v>
      </c>
      <c r="K3055" s="12"/>
      <c r="L3055" s="12"/>
      <c r="M3055" s="12" t="s">
        <v>1811</v>
      </c>
      <c r="N3055" s="12"/>
      <c r="O3055" s="12" t="s">
        <v>1812</v>
      </c>
      <c r="P3055" s="12" t="str">
        <f>HYPERLINK("https://ceds.ed.gov/cedselementdetails.aspx?termid=9511")</f>
        <v>https://ceds.ed.gov/cedselementdetails.aspx?termid=9511</v>
      </c>
      <c r="Q3055" s="12" t="str">
        <f>HYPERLINK("https://ceds.ed.gov/elementComment.aspx?elementName=Class Ending Time &amp;elementID=9511", "Click here to submit comment")</f>
        <v>Click here to submit comment</v>
      </c>
    </row>
    <row r="3056" spans="1:17" ht="60" x14ac:dyDescent="0.25">
      <c r="A3056" s="12" t="s">
        <v>7317</v>
      </c>
      <c r="B3056" s="12" t="s">
        <v>7280</v>
      </c>
      <c r="C3056" s="12"/>
      <c r="D3056" s="12" t="s">
        <v>7176</v>
      </c>
      <c r="E3056" s="12" t="s">
        <v>1813</v>
      </c>
      <c r="F3056" s="12" t="s">
        <v>1814</v>
      </c>
      <c r="G3056" s="12" t="s">
        <v>12</v>
      </c>
      <c r="H3056" s="12"/>
      <c r="I3056" s="12"/>
      <c r="J3056" s="12" t="s">
        <v>99</v>
      </c>
      <c r="K3056" s="12"/>
      <c r="L3056" s="12"/>
      <c r="M3056" s="12" t="s">
        <v>1815</v>
      </c>
      <c r="N3056" s="12"/>
      <c r="O3056" s="12" t="s">
        <v>1816</v>
      </c>
      <c r="P3056" s="12" t="str">
        <f>HYPERLINK("https://ceds.ed.gov/cedselementdetails.aspx?termid=9512")</f>
        <v>https://ceds.ed.gov/cedselementdetails.aspx?termid=9512</v>
      </c>
      <c r="Q3056" s="12" t="str">
        <f>HYPERLINK("https://ceds.ed.gov/elementComment.aspx?elementName=Class Meeting Days &amp;elementID=9512", "Click here to submit comment")</f>
        <v>Click here to submit comment</v>
      </c>
    </row>
    <row r="3057" spans="1:17" ht="75" x14ac:dyDescent="0.25">
      <c r="A3057" s="12" t="s">
        <v>7317</v>
      </c>
      <c r="B3057" s="12" t="s">
        <v>7280</v>
      </c>
      <c r="C3057" s="12"/>
      <c r="D3057" s="12" t="s">
        <v>7176</v>
      </c>
      <c r="E3057" s="12" t="s">
        <v>1817</v>
      </c>
      <c r="F3057" s="12" t="s">
        <v>1818</v>
      </c>
      <c r="G3057" s="12" t="s">
        <v>12</v>
      </c>
      <c r="H3057" s="12"/>
      <c r="I3057" s="12"/>
      <c r="J3057" s="12" t="s">
        <v>92</v>
      </c>
      <c r="K3057" s="12"/>
      <c r="L3057" s="12"/>
      <c r="M3057" s="12" t="s">
        <v>1819</v>
      </c>
      <c r="N3057" s="12"/>
      <c r="O3057" s="12" t="s">
        <v>1820</v>
      </c>
      <c r="P3057" s="12" t="str">
        <f>HYPERLINK("https://ceds.ed.gov/cedselementdetails.aspx?termid=9513")</f>
        <v>https://ceds.ed.gov/cedselementdetails.aspx?termid=9513</v>
      </c>
      <c r="Q3057" s="12" t="str">
        <f>HYPERLINK("https://ceds.ed.gov/elementComment.aspx?elementName=Class Period &amp;elementID=9513", "Click here to submit comment")</f>
        <v>Click here to submit comment</v>
      </c>
    </row>
    <row r="3058" spans="1:17" ht="105" x14ac:dyDescent="0.25">
      <c r="A3058" s="18" t="s">
        <v>7317</v>
      </c>
      <c r="B3058" s="18" t="s">
        <v>7280</v>
      </c>
      <c r="C3058" s="18"/>
      <c r="D3058" s="18" t="s">
        <v>7176</v>
      </c>
      <c r="E3058" s="18" t="s">
        <v>6123</v>
      </c>
      <c r="F3058" s="18" t="s">
        <v>6124</v>
      </c>
      <c r="G3058" s="18" t="s">
        <v>12</v>
      </c>
      <c r="H3058" s="18"/>
      <c r="I3058" s="18"/>
      <c r="J3058" s="18" t="s">
        <v>142</v>
      </c>
      <c r="K3058" s="18"/>
      <c r="L3058" s="12" t="s">
        <v>143</v>
      </c>
      <c r="M3058" s="18" t="s">
        <v>6125</v>
      </c>
      <c r="N3058" s="18"/>
      <c r="O3058" s="18" t="s">
        <v>6126</v>
      </c>
      <c r="P3058" s="18" t="str">
        <f>HYPERLINK("https://ceds.ed.gov/cedselementdetails.aspx?termid=9514")</f>
        <v>https://ceds.ed.gov/cedselementdetails.aspx?termid=9514</v>
      </c>
      <c r="Q3058" s="18" t="str">
        <f>HYPERLINK("https://ceds.ed.gov/elementComment.aspx?elementName=Timetable Day Identifier &amp;elementID=9514", "Click here to submit comment")</f>
        <v>Click here to submit comment</v>
      </c>
    </row>
    <row r="3059" spans="1:17" x14ac:dyDescent="0.25">
      <c r="A3059" s="18"/>
      <c r="B3059" s="18"/>
      <c r="C3059" s="18"/>
      <c r="D3059" s="18"/>
      <c r="E3059" s="18"/>
      <c r="F3059" s="18"/>
      <c r="G3059" s="18"/>
      <c r="H3059" s="18"/>
      <c r="I3059" s="18"/>
      <c r="J3059" s="18"/>
      <c r="K3059" s="18"/>
      <c r="L3059" s="12"/>
      <c r="M3059" s="18"/>
      <c r="N3059" s="18"/>
      <c r="O3059" s="18"/>
      <c r="P3059" s="18"/>
      <c r="Q3059" s="18"/>
    </row>
    <row r="3060" spans="1:17" ht="90" x14ac:dyDescent="0.25">
      <c r="A3060" s="18"/>
      <c r="B3060" s="18"/>
      <c r="C3060" s="18"/>
      <c r="D3060" s="18"/>
      <c r="E3060" s="18"/>
      <c r="F3060" s="18"/>
      <c r="G3060" s="18"/>
      <c r="H3060" s="18"/>
      <c r="I3060" s="18"/>
      <c r="J3060" s="18"/>
      <c r="K3060" s="18"/>
      <c r="L3060" s="12" t="s">
        <v>144</v>
      </c>
      <c r="M3060" s="18"/>
      <c r="N3060" s="18"/>
      <c r="O3060" s="18"/>
      <c r="P3060" s="18"/>
      <c r="Q3060" s="18"/>
    </row>
    <row r="3061" spans="1:17" ht="165" x14ac:dyDescent="0.25">
      <c r="A3061" s="12" t="s">
        <v>7317</v>
      </c>
      <c r="B3061" s="12" t="s">
        <v>7280</v>
      </c>
      <c r="C3061" s="12"/>
      <c r="D3061" s="12" t="s">
        <v>7176</v>
      </c>
      <c r="E3061" s="12" t="s">
        <v>2136</v>
      </c>
      <c r="F3061" s="12" t="s">
        <v>2137</v>
      </c>
      <c r="G3061" s="12" t="s">
        <v>12</v>
      </c>
      <c r="H3061" s="12" t="s">
        <v>2140</v>
      </c>
      <c r="I3061" s="12"/>
      <c r="J3061" s="12" t="s">
        <v>317</v>
      </c>
      <c r="K3061" s="12"/>
      <c r="L3061" s="12"/>
      <c r="M3061" s="12" t="s">
        <v>2138</v>
      </c>
      <c r="N3061" s="12"/>
      <c r="O3061" s="12" t="s">
        <v>2139</v>
      </c>
      <c r="P3061" s="12" t="str">
        <f>HYPERLINK("https://ceds.ed.gov/cedselementdetails.aspx?termid=9101")</f>
        <v>https://ceds.ed.gov/cedselementdetails.aspx?termid=9101</v>
      </c>
      <c r="Q3061" s="12" t="str">
        <f>HYPERLINK("https://ceds.ed.gov/elementComment.aspx?elementName=Course Section Time Required For Completion &amp;elementID=9101", "Click here to submit comment")</f>
        <v>Click here to submit comment</v>
      </c>
    </row>
    <row r="3062" spans="1:17" ht="90" x14ac:dyDescent="0.25">
      <c r="A3062" s="12" t="s">
        <v>7317</v>
      </c>
      <c r="B3062" s="12" t="s">
        <v>7280</v>
      </c>
      <c r="C3062" s="12"/>
      <c r="D3062" s="12" t="s">
        <v>7176</v>
      </c>
      <c r="E3062" s="12" t="s">
        <v>3544</v>
      </c>
      <c r="F3062" s="12" t="s">
        <v>3545</v>
      </c>
      <c r="G3062" s="14" t="s">
        <v>999</v>
      </c>
      <c r="H3062" s="12" t="s">
        <v>211</v>
      </c>
      <c r="I3062" s="12" t="s">
        <v>98</v>
      </c>
      <c r="J3062" s="12"/>
      <c r="K3062" s="12"/>
      <c r="L3062" s="14" t="s">
        <v>1000</v>
      </c>
      <c r="M3062" s="12" t="s">
        <v>3546</v>
      </c>
      <c r="N3062" s="12"/>
      <c r="O3062" s="12" t="s">
        <v>3547</v>
      </c>
      <c r="P3062" s="12" t="str">
        <f>HYPERLINK("https://ceds.ed.gov/cedselementdetails.aspx?termid=9438")</f>
        <v>https://ceds.ed.gov/cedselementdetails.aspx?termid=9438</v>
      </c>
      <c r="Q3062" s="12" t="str">
        <f>HYPERLINK("https://ceds.ed.gov/elementComment.aspx?elementName=Instruction Language &amp;elementID=9438", "Click here to submit comment")</f>
        <v>Click here to submit comment</v>
      </c>
    </row>
    <row r="3063" spans="1:17" ht="60" x14ac:dyDescent="0.25">
      <c r="A3063" s="12" t="s">
        <v>7317</v>
      </c>
      <c r="B3063" s="12" t="s">
        <v>7280</v>
      </c>
      <c r="C3063" s="12"/>
      <c r="D3063" s="12" t="s">
        <v>7176</v>
      </c>
      <c r="E3063" s="12" t="s">
        <v>2132</v>
      </c>
      <c r="F3063" s="12" t="s">
        <v>2133</v>
      </c>
      <c r="G3063" s="13" t="s">
        <v>6848</v>
      </c>
      <c r="H3063" s="12" t="s">
        <v>6485</v>
      </c>
      <c r="I3063" s="12"/>
      <c r="J3063" s="12"/>
      <c r="K3063" s="12"/>
      <c r="L3063" s="12"/>
      <c r="M3063" s="12" t="s">
        <v>2134</v>
      </c>
      <c r="N3063" s="12"/>
      <c r="O3063" s="12" t="s">
        <v>2135</v>
      </c>
      <c r="P3063" s="12" t="str">
        <f>HYPERLINK("https://ceds.ed.gov/cedselementdetails.aspx?termid=9258")</f>
        <v>https://ceds.ed.gov/cedselementdetails.aspx?termid=9258</v>
      </c>
      <c r="Q3063" s="12" t="str">
        <f>HYPERLINK("https://ceds.ed.gov/elementComment.aspx?elementName=Course Section Single Sex Class Status &amp;elementID=9258", "Click here to submit comment")</f>
        <v>Click here to submit comment</v>
      </c>
    </row>
    <row r="3064" spans="1:17" ht="180" x14ac:dyDescent="0.25">
      <c r="A3064" s="12" t="s">
        <v>7317</v>
      </c>
      <c r="B3064" s="12" t="s">
        <v>7280</v>
      </c>
      <c r="C3064" s="12"/>
      <c r="D3064" s="12" t="s">
        <v>7176</v>
      </c>
      <c r="E3064" s="12" t="s">
        <v>5317</v>
      </c>
      <c r="F3064" s="12" t="s">
        <v>5318</v>
      </c>
      <c r="G3064" s="13" t="s">
        <v>7093</v>
      </c>
      <c r="H3064" s="12"/>
      <c r="I3064" s="12"/>
      <c r="J3064" s="12"/>
      <c r="K3064" s="12"/>
      <c r="L3064" s="12"/>
      <c r="M3064" s="12" t="s">
        <v>5319</v>
      </c>
      <c r="N3064" s="12"/>
      <c r="O3064" s="12" t="s">
        <v>5320</v>
      </c>
      <c r="P3064" s="12" t="str">
        <f>HYPERLINK("https://ceds.ed.gov/cedselementdetails.aspx?termid=9515")</f>
        <v>https://ceds.ed.gov/cedselementdetails.aspx?termid=9515</v>
      </c>
      <c r="Q3064" s="12" t="str">
        <f>HYPERLINK("https://ceds.ed.gov/elementComment.aspx?elementName=Receiving Location of Instruction &amp;elementID=9515", "Click here to submit comment")</f>
        <v>Click here to submit comment</v>
      </c>
    </row>
    <row r="3065" spans="1:17" ht="150" x14ac:dyDescent="0.25">
      <c r="A3065" s="12" t="s">
        <v>7317</v>
      </c>
      <c r="B3065" s="12" t="s">
        <v>7280</v>
      </c>
      <c r="C3065" s="12"/>
      <c r="D3065" s="12" t="s">
        <v>7176</v>
      </c>
      <c r="E3065" s="12" t="s">
        <v>2120</v>
      </c>
      <c r="F3065" s="12" t="s">
        <v>2121</v>
      </c>
      <c r="G3065" s="13" t="s">
        <v>6847</v>
      </c>
      <c r="H3065" s="12"/>
      <c r="I3065" s="12"/>
      <c r="J3065" s="12"/>
      <c r="K3065" s="12"/>
      <c r="L3065" s="12"/>
      <c r="M3065" s="12" t="s">
        <v>2122</v>
      </c>
      <c r="N3065" s="12"/>
      <c r="O3065" s="12" t="s">
        <v>2123</v>
      </c>
      <c r="P3065" s="12" t="str">
        <f>HYPERLINK("https://ceds.ed.gov/cedselementdetails.aspx?termid=10168")</f>
        <v>https://ceds.ed.gov/cedselementdetails.aspx?termid=10168</v>
      </c>
      <c r="Q3065" s="12" t="str">
        <f>HYPERLINK("https://ceds.ed.gov/elementComment.aspx?elementName=Course Section Instructional Delivery Mode &amp;elementID=10168", "Click here to submit comment")</f>
        <v>Click here to submit comment</v>
      </c>
    </row>
    <row r="3066" spans="1:17" ht="105" x14ac:dyDescent="0.25">
      <c r="A3066" s="12" t="s">
        <v>7317</v>
      </c>
      <c r="B3066" s="12" t="s">
        <v>7280</v>
      </c>
      <c r="C3066" s="12"/>
      <c r="D3066" s="12" t="s">
        <v>7176</v>
      </c>
      <c r="E3066" s="12" t="s">
        <v>6280</v>
      </c>
      <c r="F3066" s="12" t="s">
        <v>6281</v>
      </c>
      <c r="G3066" s="12" t="s">
        <v>6364</v>
      </c>
      <c r="H3066" s="12"/>
      <c r="I3066" s="12"/>
      <c r="J3066" s="12"/>
      <c r="K3066" s="12"/>
      <c r="L3066" s="12"/>
      <c r="M3066" s="12" t="s">
        <v>6282</v>
      </c>
      <c r="N3066" s="12"/>
      <c r="O3066" s="12" t="s">
        <v>6283</v>
      </c>
      <c r="P3066" s="12" t="str">
        <f>HYPERLINK("https://ceds.ed.gov/cedselementdetails.aspx?termid=10167")</f>
        <v>https://ceds.ed.gov/cedselementdetails.aspx?termid=10167</v>
      </c>
      <c r="Q3066" s="12" t="str">
        <f>HYPERLINK("https://ceds.ed.gov/elementComment.aspx?elementName=Virtual Indicator &amp;elementID=10167", "Click here to submit comment")</f>
        <v>Click here to submit comment</v>
      </c>
    </row>
    <row r="3067" spans="1:17" ht="120" x14ac:dyDescent="0.25">
      <c r="A3067" s="12" t="s">
        <v>7317</v>
      </c>
      <c r="B3067" s="12" t="s">
        <v>7280</v>
      </c>
      <c r="C3067" s="12"/>
      <c r="D3067" s="12" t="s">
        <v>7176</v>
      </c>
      <c r="E3067" s="12" t="s">
        <v>2027</v>
      </c>
      <c r="F3067" s="12" t="s">
        <v>2028</v>
      </c>
      <c r="G3067" s="13" t="s">
        <v>6836</v>
      </c>
      <c r="H3067" s="12" t="s">
        <v>6429</v>
      </c>
      <c r="I3067" s="12"/>
      <c r="J3067" s="12"/>
      <c r="K3067" s="12"/>
      <c r="L3067" s="12"/>
      <c r="M3067" s="12" t="s">
        <v>2029</v>
      </c>
      <c r="N3067" s="12" t="s">
        <v>2030</v>
      </c>
      <c r="O3067" s="12" t="s">
        <v>2031</v>
      </c>
      <c r="P3067" s="12" t="str">
        <f>HYPERLINK("https://ceds.ed.gov/cedselementdetails.aspx?termid=9060")</f>
        <v>https://ceds.ed.gov/cedselementdetails.aspx?termid=9060</v>
      </c>
      <c r="Q3067" s="12" t="str">
        <f>HYPERLINK("https://ceds.ed.gov/elementComment.aspx?elementName=Course Grade Point Average Applicability &amp;elementID=9060", "Click here to submit comment")</f>
        <v>Click here to submit comment</v>
      </c>
    </row>
    <row r="3068" spans="1:17" ht="45" x14ac:dyDescent="0.25">
      <c r="A3068" s="12" t="s">
        <v>7317</v>
      </c>
      <c r="B3068" s="12" t="s">
        <v>7280</v>
      </c>
      <c r="C3068" s="12"/>
      <c r="D3068" s="12" t="s">
        <v>7176</v>
      </c>
      <c r="E3068" s="12" t="s">
        <v>1967</v>
      </c>
      <c r="F3068" s="12" t="s">
        <v>1968</v>
      </c>
      <c r="G3068" s="12" t="s">
        <v>6364</v>
      </c>
      <c r="H3068" s="12"/>
      <c r="I3068" s="12"/>
      <c r="J3068" s="12"/>
      <c r="K3068" s="12"/>
      <c r="L3068" s="12"/>
      <c r="M3068" s="12" t="s">
        <v>1969</v>
      </c>
      <c r="N3068" s="12"/>
      <c r="O3068" s="12" t="s">
        <v>1970</v>
      </c>
      <c r="P3068" s="12" t="str">
        <f>HYPERLINK("https://ceds.ed.gov/cedselementdetails.aspx?termid=9013")</f>
        <v>https://ceds.ed.gov/cedselementdetails.aspx?termid=9013</v>
      </c>
      <c r="Q3068" s="12" t="str">
        <f>HYPERLINK("https://ceds.ed.gov/elementComment.aspx?elementName=Course Aligned with Standards &amp;elementID=9013", "Click here to submit comment")</f>
        <v>Click here to submit comment</v>
      </c>
    </row>
    <row r="3069" spans="1:17" ht="75" x14ac:dyDescent="0.25">
      <c r="A3069" s="12" t="s">
        <v>7317</v>
      </c>
      <c r="B3069" s="12" t="s">
        <v>7280</v>
      </c>
      <c r="C3069" s="12"/>
      <c r="D3069" s="12" t="s">
        <v>7176</v>
      </c>
      <c r="E3069" s="12" t="s">
        <v>0</v>
      </c>
      <c r="F3069" s="12" t="s">
        <v>1</v>
      </c>
      <c r="G3069" s="12" t="s">
        <v>6364</v>
      </c>
      <c r="H3069" s="12" t="s">
        <v>4</v>
      </c>
      <c r="I3069" s="12"/>
      <c r="J3069" s="12"/>
      <c r="K3069" s="12"/>
      <c r="L3069" s="12"/>
      <c r="M3069" s="12" t="s">
        <v>2</v>
      </c>
      <c r="N3069" s="12"/>
      <c r="O3069" s="12" t="s">
        <v>3</v>
      </c>
      <c r="P3069" s="12" t="str">
        <f>HYPERLINK("https://ceds.ed.gov/cedselementdetails.aspx?termid=9000")</f>
        <v>https://ceds.ed.gov/cedselementdetails.aspx?termid=9000</v>
      </c>
      <c r="Q3069" s="12" t="str">
        <f>HYPERLINK("https://ceds.ed.gov/elementComment.aspx?elementName=Ability Grouping Status &amp;elementID=9000", "Click here to submit comment")</f>
        <v>Click here to submit comment</v>
      </c>
    </row>
    <row r="3070" spans="1:17" ht="255" x14ac:dyDescent="0.25">
      <c r="A3070" s="12" t="s">
        <v>7317</v>
      </c>
      <c r="B3070" s="12" t="s">
        <v>7280</v>
      </c>
      <c r="C3070" s="12"/>
      <c r="D3070" s="12" t="s">
        <v>7176</v>
      </c>
      <c r="E3070" s="12" t="s">
        <v>168</v>
      </c>
      <c r="F3070" s="12" t="s">
        <v>169</v>
      </c>
      <c r="G3070" s="13" t="s">
        <v>6725</v>
      </c>
      <c r="H3070" s="12"/>
      <c r="I3070" s="12"/>
      <c r="J3070" s="12"/>
      <c r="K3070" s="12"/>
      <c r="L3070" s="12"/>
      <c r="M3070" s="12" t="s">
        <v>170</v>
      </c>
      <c r="N3070" s="12"/>
      <c r="O3070" s="12" t="s">
        <v>171</v>
      </c>
      <c r="P3070" s="12" t="str">
        <f>HYPERLINK("https://ceds.ed.gov/cedselementdetails.aspx?termid=9589")</f>
        <v>https://ceds.ed.gov/cedselementdetails.aspx?termid=9589</v>
      </c>
      <c r="Q3070" s="12" t="str">
        <f>HYPERLINK("https://ceds.ed.gov/elementComment.aspx?elementName=Additional Credit Type &amp;elementID=9589", "Click here to submit comment")</f>
        <v>Click here to submit comment</v>
      </c>
    </row>
    <row r="3071" spans="1:17" ht="409.5" x14ac:dyDescent="0.25">
      <c r="A3071" s="12" t="s">
        <v>7317</v>
      </c>
      <c r="B3071" s="12" t="s">
        <v>7280</v>
      </c>
      <c r="C3071" s="12"/>
      <c r="D3071" s="12" t="s">
        <v>7176</v>
      </c>
      <c r="E3071" s="12" t="s">
        <v>304</v>
      </c>
      <c r="F3071" s="12" t="s">
        <v>305</v>
      </c>
      <c r="G3071" s="13" t="s">
        <v>6744</v>
      </c>
      <c r="H3071" s="12"/>
      <c r="I3071" s="12"/>
      <c r="J3071" s="12" t="s">
        <v>99</v>
      </c>
      <c r="K3071" s="12"/>
      <c r="L3071" s="12"/>
      <c r="M3071" s="12" t="s">
        <v>306</v>
      </c>
      <c r="N3071" s="12" t="s">
        <v>307</v>
      </c>
      <c r="O3071" s="12" t="s">
        <v>308</v>
      </c>
      <c r="P3071" s="12" t="str">
        <f>HYPERLINK("https://ceds.ed.gov/cedselementdetails.aspx?termid=10244")</f>
        <v>https://ceds.ed.gov/cedselementdetails.aspx?termid=10244</v>
      </c>
      <c r="Q3071" s="12" t="str">
        <f>HYPERLINK("https://ceds.ed.gov/elementComment.aspx?elementName=Advanced Placement Course Code &amp;elementID=10244", "Click here to submit comment")</f>
        <v>Click here to submit comment</v>
      </c>
    </row>
    <row r="3072" spans="1:17" ht="75" x14ac:dyDescent="0.25">
      <c r="A3072" s="18" t="s">
        <v>7317</v>
      </c>
      <c r="B3072" s="18" t="s">
        <v>7280</v>
      </c>
      <c r="C3072" s="18"/>
      <c r="D3072" s="18" t="s">
        <v>7176</v>
      </c>
      <c r="E3072" s="18" t="s">
        <v>1583</v>
      </c>
      <c r="F3072" s="18" t="s">
        <v>1584</v>
      </c>
      <c r="G3072" s="20" t="s">
        <v>6802</v>
      </c>
      <c r="H3072" s="18"/>
      <c r="I3072" s="18"/>
      <c r="J3072" s="18"/>
      <c r="K3072" s="18"/>
      <c r="L3072" s="12" t="s">
        <v>1585</v>
      </c>
      <c r="M3072" s="18" t="s">
        <v>1587</v>
      </c>
      <c r="N3072" s="18"/>
      <c r="O3072" s="18" t="s">
        <v>1588</v>
      </c>
      <c r="P3072" s="18" t="str">
        <f>HYPERLINK("https://ceds.ed.gov/cedselementdetails.aspx?termid=10253")</f>
        <v>https://ceds.ed.gov/cedselementdetails.aspx?termid=10253</v>
      </c>
      <c r="Q3072" s="18" t="str">
        <f>HYPERLINK("https://ceds.ed.gov/elementComment.aspx?elementName=Blended Learning Model Type &amp;elementID=10253", "Click here to submit comment")</f>
        <v>Click here to submit comment</v>
      </c>
    </row>
    <row r="3073" spans="1:17" x14ac:dyDescent="0.25">
      <c r="A3073" s="18"/>
      <c r="B3073" s="18"/>
      <c r="C3073" s="18"/>
      <c r="D3073" s="18"/>
      <c r="E3073" s="18"/>
      <c r="F3073" s="18"/>
      <c r="G3073" s="18"/>
      <c r="H3073" s="18"/>
      <c r="I3073" s="18"/>
      <c r="J3073" s="18"/>
      <c r="K3073" s="18"/>
      <c r="L3073" s="12"/>
      <c r="M3073" s="18"/>
      <c r="N3073" s="18"/>
      <c r="O3073" s="18"/>
      <c r="P3073" s="18"/>
      <c r="Q3073" s="18"/>
    </row>
    <row r="3074" spans="1:17" ht="45" x14ac:dyDescent="0.25">
      <c r="A3074" s="18"/>
      <c r="B3074" s="18"/>
      <c r="C3074" s="18"/>
      <c r="D3074" s="18"/>
      <c r="E3074" s="18"/>
      <c r="F3074" s="18"/>
      <c r="G3074" s="18"/>
      <c r="H3074" s="18"/>
      <c r="I3074" s="18"/>
      <c r="J3074" s="18"/>
      <c r="K3074" s="18"/>
      <c r="L3074" s="12" t="s">
        <v>1586</v>
      </c>
      <c r="M3074" s="18"/>
      <c r="N3074" s="18"/>
      <c r="O3074" s="18"/>
      <c r="P3074" s="18"/>
      <c r="Q3074" s="18"/>
    </row>
    <row r="3075" spans="1:17" ht="360" x14ac:dyDescent="0.25">
      <c r="A3075" s="12" t="s">
        <v>7317</v>
      </c>
      <c r="B3075" s="12" t="s">
        <v>7280</v>
      </c>
      <c r="C3075" s="12"/>
      <c r="D3075" s="12" t="s">
        <v>7176</v>
      </c>
      <c r="E3075" s="12" t="s">
        <v>1670</v>
      </c>
      <c r="F3075" s="12" t="s">
        <v>1671</v>
      </c>
      <c r="G3075" s="13" t="s">
        <v>6807</v>
      </c>
      <c r="H3075" s="12"/>
      <c r="I3075" s="12"/>
      <c r="J3075" s="12"/>
      <c r="K3075" s="12"/>
      <c r="L3075" s="12" t="s">
        <v>1672</v>
      </c>
      <c r="M3075" s="12" t="s">
        <v>1673</v>
      </c>
      <c r="N3075" s="12"/>
      <c r="O3075" s="12" t="s">
        <v>1674</v>
      </c>
      <c r="P3075" s="12" t="str">
        <f>HYPERLINK("https://ceds.ed.gov/cedselementdetails.aspx?termid=10254")</f>
        <v>https://ceds.ed.gov/cedselementdetails.aspx?termid=10254</v>
      </c>
      <c r="Q3075" s="12" t="str">
        <f>HYPERLINK("https://ceds.ed.gov/elementComment.aspx?elementName=Career Cluster &amp;elementID=10254", "Click here to submit comment")</f>
        <v>Click here to submit comment</v>
      </c>
    </row>
    <row r="3076" spans="1:17" ht="270" x14ac:dyDescent="0.25">
      <c r="A3076" s="12" t="s">
        <v>7317</v>
      </c>
      <c r="B3076" s="12" t="s">
        <v>7280</v>
      </c>
      <c r="C3076" s="12"/>
      <c r="D3076" s="12" t="s">
        <v>7176</v>
      </c>
      <c r="E3076" s="12" t="s">
        <v>1846</v>
      </c>
      <c r="F3076" s="12" t="s">
        <v>1847</v>
      </c>
      <c r="G3076" s="13" t="s">
        <v>6820</v>
      </c>
      <c r="H3076" s="12"/>
      <c r="I3076" s="12"/>
      <c r="J3076" s="12"/>
      <c r="K3076" s="12"/>
      <c r="L3076" s="12"/>
      <c r="M3076" s="12" t="s">
        <v>1848</v>
      </c>
      <c r="N3076" s="12"/>
      <c r="O3076" s="12" t="s">
        <v>1849</v>
      </c>
      <c r="P3076" s="12" t="str">
        <f>HYPERLINK("https://ceds.ed.gov/cedselementdetails.aspx?termid=9615")</f>
        <v>https://ceds.ed.gov/cedselementdetails.aspx?termid=9615</v>
      </c>
      <c r="Q3076" s="12" t="str">
        <f>HYPERLINK("https://ceds.ed.gov/elementComment.aspx?elementName=Classroom Position Type &amp;elementID=9615", "Click here to submit comment")</f>
        <v>Click here to submit comment</v>
      </c>
    </row>
    <row r="3077" spans="1:17" ht="150" x14ac:dyDescent="0.25">
      <c r="A3077" s="12" t="s">
        <v>7317</v>
      </c>
      <c r="B3077" s="12" t="s">
        <v>7280</v>
      </c>
      <c r="C3077" s="12"/>
      <c r="D3077" s="12" t="s">
        <v>7176</v>
      </c>
      <c r="E3077" s="12" t="s">
        <v>1953</v>
      </c>
      <c r="F3077" s="12" t="s">
        <v>1954</v>
      </c>
      <c r="G3077" s="12" t="s">
        <v>12</v>
      </c>
      <c r="H3077" s="12"/>
      <c r="I3077" s="12"/>
      <c r="J3077" s="12" t="s">
        <v>1955</v>
      </c>
      <c r="K3077" s="12"/>
      <c r="L3077" s="12" t="s">
        <v>1956</v>
      </c>
      <c r="M3077" s="12" t="s">
        <v>1957</v>
      </c>
      <c r="N3077" s="12"/>
      <c r="O3077" s="12" t="s">
        <v>1958</v>
      </c>
      <c r="P3077" s="12" t="str">
        <f>HYPERLINK("https://ceds.ed.gov/cedselementdetails.aspx?termid=10264")</f>
        <v>https://ceds.ed.gov/cedselementdetails.aspx?termid=10264</v>
      </c>
      <c r="Q3077" s="12" t="str">
        <f>HYPERLINK("https://ceds.ed.gov/elementComment.aspx?elementName=Course Academic Grade Scale Code &amp;elementID=10264", "Click here to submit comment")</f>
        <v>Click here to submit comment</v>
      </c>
    </row>
    <row r="3078" spans="1:17" ht="409.5" x14ac:dyDescent="0.25">
      <c r="A3078" s="12" t="s">
        <v>7317</v>
      </c>
      <c r="B3078" s="12" t="s">
        <v>7280</v>
      </c>
      <c r="C3078" s="12"/>
      <c r="D3078" s="12" t="s">
        <v>7176</v>
      </c>
      <c r="E3078" s="12" t="s">
        <v>1971</v>
      </c>
      <c r="F3078" s="12" t="s">
        <v>1972</v>
      </c>
      <c r="G3078" s="13" t="s">
        <v>6831</v>
      </c>
      <c r="H3078" s="12"/>
      <c r="I3078" s="12"/>
      <c r="J3078" s="12"/>
      <c r="K3078" s="12"/>
      <c r="L3078" s="12" t="s">
        <v>1973</v>
      </c>
      <c r="M3078" s="12" t="s">
        <v>1974</v>
      </c>
      <c r="N3078" s="12"/>
      <c r="O3078" s="12" t="s">
        <v>1975</v>
      </c>
      <c r="P3078" s="12" t="str">
        <f>HYPERLINK("https://ceds.ed.gov/cedselementdetails.aspx?termid=10267")</f>
        <v>https://ceds.ed.gov/cedselementdetails.aspx?termid=10267</v>
      </c>
      <c r="Q3078" s="12" t="str">
        <f>HYPERLINK("https://ceds.ed.gov/elementComment.aspx?elementName=Course Applicable Education Level &amp;elementID=10267", "Click here to submit comment")</f>
        <v>Click here to submit comment</v>
      </c>
    </row>
    <row r="3079" spans="1:17" ht="45" x14ac:dyDescent="0.25">
      <c r="A3079" s="12" t="s">
        <v>7317</v>
      </c>
      <c r="B3079" s="12" t="s">
        <v>7280</v>
      </c>
      <c r="C3079" s="12"/>
      <c r="D3079" s="12" t="s">
        <v>7176</v>
      </c>
      <c r="E3079" s="12" t="s">
        <v>1980</v>
      </c>
      <c r="F3079" s="12" t="s">
        <v>1981</v>
      </c>
      <c r="G3079" s="12" t="s">
        <v>12</v>
      </c>
      <c r="H3079" s="12"/>
      <c r="I3079" s="12"/>
      <c r="J3079" s="12" t="s">
        <v>68</v>
      </c>
      <c r="K3079" s="12"/>
      <c r="L3079" s="12"/>
      <c r="M3079" s="12" t="s">
        <v>1982</v>
      </c>
      <c r="N3079" s="12"/>
      <c r="O3079" s="12" t="s">
        <v>1983</v>
      </c>
      <c r="P3079" s="12" t="str">
        <f>HYPERLINK("https://ceds.ed.gov/cedselementdetails.aspx?termid=10268")</f>
        <v>https://ceds.ed.gov/cedselementdetails.aspx?termid=10268</v>
      </c>
      <c r="Q3079" s="12" t="str">
        <f>HYPERLINK("https://ceds.ed.gov/elementComment.aspx?elementName=Course Certification Description &amp;elementID=10268", "Click here to submit comment")</f>
        <v>Click here to submit comment</v>
      </c>
    </row>
    <row r="3080" spans="1:17" ht="409.5" x14ac:dyDescent="0.25">
      <c r="A3080" s="12" t="s">
        <v>7317</v>
      </c>
      <c r="B3080" s="12" t="s">
        <v>7280</v>
      </c>
      <c r="C3080" s="12"/>
      <c r="D3080" s="12" t="s">
        <v>7176</v>
      </c>
      <c r="E3080" s="12" t="s">
        <v>1988</v>
      </c>
      <c r="F3080" s="12" t="s">
        <v>1989</v>
      </c>
      <c r="G3080" s="13" t="s">
        <v>6833</v>
      </c>
      <c r="H3080" s="12"/>
      <c r="I3080" s="12"/>
      <c r="J3080" s="12"/>
      <c r="K3080" s="12"/>
      <c r="L3080" s="12"/>
      <c r="M3080" s="12" t="s">
        <v>1990</v>
      </c>
      <c r="N3080" s="12"/>
      <c r="O3080" s="12" t="s">
        <v>1991</v>
      </c>
      <c r="P3080" s="12" t="str">
        <f>HYPERLINK("https://ceds.ed.gov/cedselementdetails.aspx?termid=10269")</f>
        <v>https://ceds.ed.gov/cedselementdetails.aspx?termid=10269</v>
      </c>
      <c r="Q3080" s="12" t="str">
        <f>HYPERLINK("https://ceds.ed.gov/elementComment.aspx?elementName=Course Credit Basis Type &amp;elementID=10269", "Click here to submit comment")</f>
        <v>Click here to submit comment</v>
      </c>
    </row>
    <row r="3081" spans="1:17" ht="255" x14ac:dyDescent="0.25">
      <c r="A3081" s="12" t="s">
        <v>7317</v>
      </c>
      <c r="B3081" s="12" t="s">
        <v>7280</v>
      </c>
      <c r="C3081" s="12"/>
      <c r="D3081" s="12" t="s">
        <v>7176</v>
      </c>
      <c r="E3081" s="12" t="s">
        <v>1992</v>
      </c>
      <c r="F3081" s="12" t="s">
        <v>1993</v>
      </c>
      <c r="G3081" s="13" t="s">
        <v>6834</v>
      </c>
      <c r="H3081" s="12"/>
      <c r="I3081" s="12"/>
      <c r="J3081" s="12"/>
      <c r="K3081" s="12"/>
      <c r="L3081" s="12"/>
      <c r="M3081" s="12" t="s">
        <v>1994</v>
      </c>
      <c r="N3081" s="12"/>
      <c r="O3081" s="12" t="s">
        <v>1995</v>
      </c>
      <c r="P3081" s="12" t="str">
        <f>HYPERLINK("https://ceds.ed.gov/cedselementdetails.aspx?termid=10270")</f>
        <v>https://ceds.ed.gov/cedselementdetails.aspx?termid=10270</v>
      </c>
      <c r="Q3081" s="12" t="str">
        <f>HYPERLINK("https://ceds.ed.gov/elementComment.aspx?elementName=Course Credit Level Type &amp;elementID=10270", "Click here to submit comment")</f>
        <v>Click here to submit comment</v>
      </c>
    </row>
    <row r="3082" spans="1:17" ht="45" x14ac:dyDescent="0.25">
      <c r="A3082" s="12" t="s">
        <v>7317</v>
      </c>
      <c r="B3082" s="12" t="s">
        <v>7280</v>
      </c>
      <c r="C3082" s="12"/>
      <c r="D3082" s="12" t="s">
        <v>7176</v>
      </c>
      <c r="E3082" s="12" t="s">
        <v>2009</v>
      </c>
      <c r="F3082" s="12" t="s">
        <v>2010</v>
      </c>
      <c r="G3082" s="12" t="s">
        <v>12</v>
      </c>
      <c r="H3082" s="12"/>
      <c r="I3082" s="12"/>
      <c r="J3082" s="12" t="s">
        <v>99</v>
      </c>
      <c r="K3082" s="12"/>
      <c r="L3082" s="12"/>
      <c r="M3082" s="12" t="s">
        <v>2011</v>
      </c>
      <c r="N3082" s="12"/>
      <c r="O3082" s="12" t="s">
        <v>2012</v>
      </c>
      <c r="P3082" s="12" t="str">
        <f>HYPERLINK("https://ceds.ed.gov/cedselementdetails.aspx?termid=9508")</f>
        <v>https://ceds.ed.gov/cedselementdetails.aspx?termid=9508</v>
      </c>
      <c r="Q3082" s="12" t="str">
        <f>HYPERLINK("https://ceds.ed.gov/elementComment.aspx?elementName=Course Description &amp;elementID=9508", "Click here to submit comment")</f>
        <v>Click here to submit comment</v>
      </c>
    </row>
    <row r="3083" spans="1:17" ht="90" x14ac:dyDescent="0.25">
      <c r="A3083" s="12" t="s">
        <v>7317</v>
      </c>
      <c r="B3083" s="12" t="s">
        <v>7280</v>
      </c>
      <c r="C3083" s="12"/>
      <c r="D3083" s="12" t="s">
        <v>7176</v>
      </c>
      <c r="E3083" s="12" t="s">
        <v>2022</v>
      </c>
      <c r="F3083" s="12" t="s">
        <v>2023</v>
      </c>
      <c r="G3083" s="12" t="s">
        <v>12</v>
      </c>
      <c r="H3083" s="12"/>
      <c r="I3083" s="12"/>
      <c r="J3083" s="12" t="s">
        <v>92</v>
      </c>
      <c r="K3083" s="12"/>
      <c r="L3083" s="12" t="s">
        <v>2024</v>
      </c>
      <c r="M3083" s="12" t="s">
        <v>2025</v>
      </c>
      <c r="N3083" s="12"/>
      <c r="O3083" s="12" t="s">
        <v>2026</v>
      </c>
      <c r="P3083" s="12" t="str">
        <f>HYPERLINK("https://ceds.ed.gov/cedselementdetails.aspx?termid=10272")</f>
        <v>https://ceds.ed.gov/cedselementdetails.aspx?termid=10272</v>
      </c>
      <c r="Q3083" s="12" t="str">
        <f>HYPERLINK("https://ceds.ed.gov/elementComment.aspx?elementName=Course Funding Program &amp;elementID=10272", "Click here to submit comment")</f>
        <v>Click here to submit comment</v>
      </c>
    </row>
    <row r="3084" spans="1:17" ht="45" x14ac:dyDescent="0.25">
      <c r="A3084" s="12" t="s">
        <v>7317</v>
      </c>
      <c r="B3084" s="12" t="s">
        <v>7280</v>
      </c>
      <c r="C3084" s="12"/>
      <c r="D3084" s="12" t="s">
        <v>7176</v>
      </c>
      <c r="E3084" s="12" t="s">
        <v>2032</v>
      </c>
      <c r="F3084" s="12" t="s">
        <v>2033</v>
      </c>
      <c r="G3084" s="13" t="s">
        <v>6837</v>
      </c>
      <c r="H3084" s="12"/>
      <c r="I3084" s="12"/>
      <c r="J3084" s="12"/>
      <c r="K3084" s="12"/>
      <c r="L3084" s="12"/>
      <c r="M3084" s="12" t="s">
        <v>2034</v>
      </c>
      <c r="N3084" s="12"/>
      <c r="O3084" s="12" t="s">
        <v>2035</v>
      </c>
      <c r="P3084" s="12" t="str">
        <f>HYPERLINK("https://ceds.ed.gov/cedselementdetails.aspx?termid=10273")</f>
        <v>https://ceds.ed.gov/cedselementdetails.aspx?termid=10273</v>
      </c>
      <c r="Q3084" s="12" t="str">
        <f>HYPERLINK("https://ceds.ed.gov/elementComment.aspx?elementName=Course Honors Type &amp;elementID=10273", "Click here to submit comment")</f>
        <v>Click here to submit comment</v>
      </c>
    </row>
    <row r="3085" spans="1:17" ht="409.5" x14ac:dyDescent="0.25">
      <c r="A3085" s="12" t="s">
        <v>7317</v>
      </c>
      <c r="B3085" s="12" t="s">
        <v>7280</v>
      </c>
      <c r="C3085" s="12"/>
      <c r="D3085" s="12" t="s">
        <v>7176</v>
      </c>
      <c r="E3085" s="12" t="s">
        <v>2040</v>
      </c>
      <c r="F3085" s="12" t="s">
        <v>2041</v>
      </c>
      <c r="G3085" s="13" t="s">
        <v>6838</v>
      </c>
      <c r="H3085" s="12"/>
      <c r="I3085" s="12"/>
      <c r="J3085" s="12"/>
      <c r="K3085" s="12"/>
      <c r="L3085" s="12"/>
      <c r="M3085" s="12" t="s">
        <v>2042</v>
      </c>
      <c r="N3085" s="12"/>
      <c r="O3085" s="12" t="s">
        <v>2043</v>
      </c>
      <c r="P3085" s="12" t="str">
        <f>HYPERLINK("https://ceds.ed.gov/cedselementdetails.aspx?termid=10274")</f>
        <v>https://ceds.ed.gov/cedselementdetails.aspx?termid=10274</v>
      </c>
      <c r="Q3085" s="12" t="str">
        <f>HYPERLINK("https://ceds.ed.gov/elementComment.aspx?elementName=Course Instruction Method &amp;elementID=10274", "Click here to submit comment")</f>
        <v>Click here to submit comment</v>
      </c>
    </row>
    <row r="3086" spans="1:17" ht="30" x14ac:dyDescent="0.25">
      <c r="A3086" s="12" t="s">
        <v>7317</v>
      </c>
      <c r="B3086" s="12" t="s">
        <v>7280</v>
      </c>
      <c r="C3086" s="12"/>
      <c r="D3086" s="12" t="s">
        <v>7176</v>
      </c>
      <c r="E3086" s="12" t="s">
        <v>2044</v>
      </c>
      <c r="F3086" s="12" t="s">
        <v>2045</v>
      </c>
      <c r="G3086" s="12" t="s">
        <v>12</v>
      </c>
      <c r="H3086" s="12"/>
      <c r="I3086" s="12"/>
      <c r="J3086" s="12" t="s">
        <v>99</v>
      </c>
      <c r="K3086" s="12"/>
      <c r="L3086" s="12"/>
      <c r="M3086" s="12" t="s">
        <v>2046</v>
      </c>
      <c r="N3086" s="12"/>
      <c r="O3086" s="12" t="s">
        <v>2047</v>
      </c>
      <c r="P3086" s="12" t="str">
        <f>HYPERLINK("https://ceds.ed.gov/cedselementdetails.aspx?termid=10275")</f>
        <v>https://ceds.ed.gov/cedselementdetails.aspx?termid=10275</v>
      </c>
      <c r="Q3086" s="12" t="str">
        <f>HYPERLINK("https://ceds.ed.gov/elementComment.aspx?elementName=Course Instruction Site Name &amp;elementID=10275", "Click here to submit comment")</f>
        <v>Click here to submit comment</v>
      </c>
    </row>
    <row r="3087" spans="1:17" ht="180" x14ac:dyDescent="0.25">
      <c r="A3087" s="12" t="s">
        <v>7317</v>
      </c>
      <c r="B3087" s="12" t="s">
        <v>7280</v>
      </c>
      <c r="C3087" s="12"/>
      <c r="D3087" s="12" t="s">
        <v>7176</v>
      </c>
      <c r="E3087" s="12" t="s">
        <v>2048</v>
      </c>
      <c r="F3087" s="12" t="s">
        <v>2049</v>
      </c>
      <c r="G3087" s="13" t="s">
        <v>6839</v>
      </c>
      <c r="H3087" s="12"/>
      <c r="I3087" s="12"/>
      <c r="J3087" s="12"/>
      <c r="K3087" s="12"/>
      <c r="L3087" s="12"/>
      <c r="M3087" s="12" t="s">
        <v>2050</v>
      </c>
      <c r="N3087" s="12"/>
      <c r="O3087" s="12" t="s">
        <v>2051</v>
      </c>
      <c r="P3087" s="12" t="str">
        <f>HYPERLINK("https://ceds.ed.gov/cedselementdetails.aspx?termid=10276")</f>
        <v>https://ceds.ed.gov/cedselementdetails.aspx?termid=10276</v>
      </c>
      <c r="Q3087" s="12" t="str">
        <f>HYPERLINK("https://ceds.ed.gov/elementComment.aspx?elementName=Course Instruction Site Type &amp;elementID=10276", "Click here to submit comment")</f>
        <v>Click here to submit comment</v>
      </c>
    </row>
    <row r="3088" spans="1:17" ht="45" x14ac:dyDescent="0.25">
      <c r="A3088" s="12" t="s">
        <v>7317</v>
      </c>
      <c r="B3088" s="12" t="s">
        <v>7280</v>
      </c>
      <c r="C3088" s="12"/>
      <c r="D3088" s="12" t="s">
        <v>7176</v>
      </c>
      <c r="E3088" s="12" t="s">
        <v>2052</v>
      </c>
      <c r="F3088" s="12" t="s">
        <v>2053</v>
      </c>
      <c r="G3088" s="13" t="s">
        <v>6840</v>
      </c>
      <c r="H3088" s="12"/>
      <c r="I3088" s="12"/>
      <c r="J3088" s="12"/>
      <c r="K3088" s="12"/>
      <c r="L3088" s="12" t="s">
        <v>2054</v>
      </c>
      <c r="M3088" s="12" t="s">
        <v>2055</v>
      </c>
      <c r="N3088" s="12"/>
      <c r="O3088" s="12" t="s">
        <v>2056</v>
      </c>
      <c r="P3088" s="12" t="str">
        <f>HYPERLINK("https://ceds.ed.gov/cedselementdetails.aspx?termid=10277")</f>
        <v>https://ceds.ed.gov/cedselementdetails.aspx?termid=10277</v>
      </c>
      <c r="Q3088" s="12" t="str">
        <f>HYPERLINK("https://ceds.ed.gov/elementComment.aspx?elementName=Course Interaction Mode &amp;elementID=10277", "Click here to submit comment")</f>
        <v>Click here to submit comment</v>
      </c>
    </row>
    <row r="3089" spans="1:17" ht="375" x14ac:dyDescent="0.25">
      <c r="A3089" s="12" t="s">
        <v>7317</v>
      </c>
      <c r="B3089" s="12" t="s">
        <v>7280</v>
      </c>
      <c r="C3089" s="12"/>
      <c r="D3089" s="12" t="s">
        <v>7176</v>
      </c>
      <c r="E3089" s="12" t="s">
        <v>2061</v>
      </c>
      <c r="F3089" s="12" t="s">
        <v>2062</v>
      </c>
      <c r="G3089" s="13" t="s">
        <v>6842</v>
      </c>
      <c r="H3089" s="12"/>
      <c r="I3089" s="12"/>
      <c r="J3089" s="12"/>
      <c r="K3089" s="12"/>
      <c r="L3089" s="12"/>
      <c r="M3089" s="12" t="s">
        <v>2063</v>
      </c>
      <c r="N3089" s="12"/>
      <c r="O3089" s="12" t="s">
        <v>2064</v>
      </c>
      <c r="P3089" s="12" t="str">
        <f>HYPERLINK("https://ceds.ed.gov/cedselementdetails.aspx?termid=10278")</f>
        <v>https://ceds.ed.gov/cedselementdetails.aspx?termid=10278</v>
      </c>
      <c r="Q3089" s="12" t="str">
        <f>HYPERLINK("https://ceds.ed.gov/elementComment.aspx?elementName=Course Level Type &amp;elementID=10278", "Click here to submit comment")</f>
        <v>Click here to submit comment</v>
      </c>
    </row>
    <row r="3090" spans="1:17" ht="90" x14ac:dyDescent="0.25">
      <c r="A3090" s="12" t="s">
        <v>7317</v>
      </c>
      <c r="B3090" s="12" t="s">
        <v>7280</v>
      </c>
      <c r="C3090" s="12"/>
      <c r="D3090" s="12" t="s">
        <v>7176</v>
      </c>
      <c r="E3090" s="12" t="s">
        <v>2065</v>
      </c>
      <c r="F3090" s="12" t="s">
        <v>2066</v>
      </c>
      <c r="G3090" s="12" t="s">
        <v>12</v>
      </c>
      <c r="H3090" s="12"/>
      <c r="I3090" s="12"/>
      <c r="J3090" s="12" t="s">
        <v>327</v>
      </c>
      <c r="K3090" s="12"/>
      <c r="L3090" s="12"/>
      <c r="M3090" s="12" t="s">
        <v>2067</v>
      </c>
      <c r="N3090" s="12"/>
      <c r="O3090" s="12" t="s">
        <v>2068</v>
      </c>
      <c r="P3090" s="12" t="str">
        <f>HYPERLINK("https://ceds.ed.gov/cedselementdetails.aspx?termid=10279")</f>
        <v>https://ceds.ed.gov/cedselementdetails.aspx?termid=10279</v>
      </c>
      <c r="Q3090" s="12" t="str">
        <f>HYPERLINK("https://ceds.ed.gov/elementComment.aspx?elementName=Course Narrative Explanation Grade &amp;elementID=10279", "Click here to submit comment")</f>
        <v>Click here to submit comment</v>
      </c>
    </row>
    <row r="3091" spans="1:17" ht="90" x14ac:dyDescent="0.25">
      <c r="A3091" s="12" t="s">
        <v>7317</v>
      </c>
      <c r="B3091" s="12" t="s">
        <v>7280</v>
      </c>
      <c r="C3091" s="12"/>
      <c r="D3091" s="12" t="s">
        <v>7176</v>
      </c>
      <c r="E3091" s="12" t="s">
        <v>2069</v>
      </c>
      <c r="F3091" s="12" t="s">
        <v>2070</v>
      </c>
      <c r="G3091" s="12" t="s">
        <v>12</v>
      </c>
      <c r="H3091" s="12"/>
      <c r="I3091" s="12"/>
      <c r="J3091" s="12" t="s">
        <v>92</v>
      </c>
      <c r="K3091" s="12"/>
      <c r="L3091" s="12"/>
      <c r="M3091" s="12" t="s">
        <v>2071</v>
      </c>
      <c r="N3091" s="12"/>
      <c r="O3091" s="12" t="s">
        <v>2072</v>
      </c>
      <c r="P3091" s="12" t="str">
        <f>HYPERLINK("https://ceds.ed.gov/cedselementdetails.aspx?termid=10280")</f>
        <v>https://ceds.ed.gov/cedselementdetails.aspx?termid=10280</v>
      </c>
      <c r="Q3091" s="12" t="str">
        <f>HYPERLINK("https://ceds.ed.gov/elementComment.aspx?elementName=Course Number &amp;elementID=10280", "Click here to submit comment")</f>
        <v>Click here to submit comment</v>
      </c>
    </row>
    <row r="3092" spans="1:17" ht="210" x14ac:dyDescent="0.25">
      <c r="A3092" s="12" t="s">
        <v>7317</v>
      </c>
      <c r="B3092" s="12" t="s">
        <v>7280</v>
      </c>
      <c r="C3092" s="12"/>
      <c r="D3092" s="12" t="s">
        <v>7176</v>
      </c>
      <c r="E3092" s="12" t="s">
        <v>2081</v>
      </c>
      <c r="F3092" s="12" t="s">
        <v>2082</v>
      </c>
      <c r="G3092" s="13" t="s">
        <v>6843</v>
      </c>
      <c r="H3092" s="12" t="s">
        <v>6369</v>
      </c>
      <c r="I3092" s="12"/>
      <c r="J3092" s="12"/>
      <c r="K3092" s="12"/>
      <c r="L3092" s="12"/>
      <c r="M3092" s="12" t="s">
        <v>2083</v>
      </c>
      <c r="N3092" s="12"/>
      <c r="O3092" s="12" t="s">
        <v>2084</v>
      </c>
      <c r="P3092" s="12" t="str">
        <f>HYPERLINK("https://ceds.ed.gov/cedselementdetails.aspx?termid=9065")</f>
        <v>https://ceds.ed.gov/cedselementdetails.aspx?termid=9065</v>
      </c>
      <c r="Q3092" s="12" t="str">
        <f>HYPERLINK("https://ceds.ed.gov/elementComment.aspx?elementName=Course Repeat Code &amp;elementID=9065", "Click here to submit comment")</f>
        <v>Click here to submit comment</v>
      </c>
    </row>
    <row r="3093" spans="1:17" ht="75" x14ac:dyDescent="0.25">
      <c r="A3093" s="12" t="s">
        <v>7317</v>
      </c>
      <c r="B3093" s="12" t="s">
        <v>7280</v>
      </c>
      <c r="C3093" s="12"/>
      <c r="D3093" s="12" t="s">
        <v>7176</v>
      </c>
      <c r="E3093" s="12" t="s">
        <v>2128</v>
      </c>
      <c r="F3093" s="12" t="s">
        <v>2129</v>
      </c>
      <c r="G3093" s="12" t="s">
        <v>12</v>
      </c>
      <c r="H3093" s="12"/>
      <c r="I3093" s="12"/>
      <c r="J3093" s="12" t="s">
        <v>92</v>
      </c>
      <c r="K3093" s="12"/>
      <c r="L3093" s="12"/>
      <c r="M3093" s="12" t="s">
        <v>2130</v>
      </c>
      <c r="N3093" s="12"/>
      <c r="O3093" s="12" t="s">
        <v>2131</v>
      </c>
      <c r="P3093" s="12" t="str">
        <f>HYPERLINK("https://ceds.ed.gov/cedselementdetails.aspx?termid=10281")</f>
        <v>https://ceds.ed.gov/cedselementdetails.aspx?termid=10281</v>
      </c>
      <c r="Q3093" s="12" t="str">
        <f>HYPERLINK("https://ceds.ed.gov/elementComment.aspx?elementName=Course Section Number &amp;elementID=10281", "Click here to submit comment")</f>
        <v>Click here to submit comment</v>
      </c>
    </row>
    <row r="3094" spans="1:17" ht="165" x14ac:dyDescent="0.25">
      <c r="A3094" s="12" t="s">
        <v>7317</v>
      </c>
      <c r="B3094" s="12" t="s">
        <v>7280</v>
      </c>
      <c r="C3094" s="12"/>
      <c r="D3094" s="12" t="s">
        <v>7176</v>
      </c>
      <c r="E3094" s="12" t="s">
        <v>2309</v>
      </c>
      <c r="F3094" s="12" t="s">
        <v>2310</v>
      </c>
      <c r="G3094" s="13" t="s">
        <v>6859</v>
      </c>
      <c r="H3094" s="12" t="s">
        <v>2308</v>
      </c>
      <c r="I3094" s="12"/>
      <c r="J3094" s="12"/>
      <c r="K3094" s="12"/>
      <c r="L3094" s="12"/>
      <c r="M3094" s="12" t="s">
        <v>2311</v>
      </c>
      <c r="N3094" s="12"/>
      <c r="O3094" s="12" t="s">
        <v>2312</v>
      </c>
      <c r="P3094" s="12" t="str">
        <f>HYPERLINK("https://ceds.ed.gov/cedselementdetails.aspx?termid=10568")</f>
        <v>https://ceds.ed.gov/cedselementdetails.aspx?termid=10568</v>
      </c>
      <c r="Q3094" s="12" t="str">
        <f>HYPERLINK("https://ceds.ed.gov/elementComment.aspx?elementName=Developmental Education Type &amp;elementID=10568", "Click here to submit comment")</f>
        <v>Click here to submit comment</v>
      </c>
    </row>
    <row r="3095" spans="1:17" ht="45" x14ac:dyDescent="0.25">
      <c r="A3095" s="12" t="s">
        <v>7317</v>
      </c>
      <c r="B3095" s="12" t="s">
        <v>7280</v>
      </c>
      <c r="C3095" s="12"/>
      <c r="D3095" s="12" t="s">
        <v>7176</v>
      </c>
      <c r="E3095" s="12" t="s">
        <v>2827</v>
      </c>
      <c r="F3095" s="12" t="s">
        <v>2828</v>
      </c>
      <c r="G3095" s="12" t="s">
        <v>6364</v>
      </c>
      <c r="H3095" s="12"/>
      <c r="I3095" s="12"/>
      <c r="J3095" s="12"/>
      <c r="K3095" s="12"/>
      <c r="L3095" s="12"/>
      <c r="M3095" s="12" t="s">
        <v>2829</v>
      </c>
      <c r="N3095" s="12"/>
      <c r="O3095" s="12" t="s">
        <v>2830</v>
      </c>
      <c r="P3095" s="12" t="str">
        <f>HYPERLINK("https://ceds.ed.gov/cedselementdetails.aspx?termid=10311")</f>
        <v>https://ceds.ed.gov/cedselementdetails.aspx?termid=10311</v>
      </c>
      <c r="Q3095" s="12" t="str">
        <f>HYPERLINK("https://ceds.ed.gov/elementComment.aspx?elementName=Family and Consumer Sciences Course Indicator &amp;elementID=10311", "Click here to submit comment")</f>
        <v>Click here to submit comment</v>
      </c>
    </row>
    <row r="3096" spans="1:17" ht="45" x14ac:dyDescent="0.25">
      <c r="A3096" s="12" t="s">
        <v>7317</v>
      </c>
      <c r="B3096" s="12" t="s">
        <v>7280</v>
      </c>
      <c r="C3096" s="12"/>
      <c r="D3096" s="12" t="s">
        <v>7176</v>
      </c>
      <c r="E3096" s="12" t="s">
        <v>4526</v>
      </c>
      <c r="F3096" s="12" t="s">
        <v>4527</v>
      </c>
      <c r="G3096" s="12" t="s">
        <v>6364</v>
      </c>
      <c r="H3096" s="12"/>
      <c r="I3096" s="12"/>
      <c r="J3096" s="12"/>
      <c r="K3096" s="12"/>
      <c r="L3096" s="12"/>
      <c r="M3096" s="12" t="s">
        <v>4528</v>
      </c>
      <c r="N3096" s="12" t="s">
        <v>4529</v>
      </c>
      <c r="O3096" s="12" t="s">
        <v>4530</v>
      </c>
      <c r="P3096" s="12" t="str">
        <f>HYPERLINK("https://ceds.ed.gov/cedselementdetails.aspx?termid=10382")</f>
        <v>https://ceds.ed.gov/cedselementdetails.aspx?termid=10382</v>
      </c>
      <c r="Q3096" s="12" t="str">
        <f>HYPERLINK("https://ceds.ed.gov/elementComment.aspx?elementName=National Collegiate Athletic Association Eligibility &amp;elementID=10382", "Click here to submit comment")</f>
        <v>Click here to submit comment</v>
      </c>
    </row>
    <row r="3097" spans="1:17" ht="105" x14ac:dyDescent="0.25">
      <c r="A3097" s="18" t="s">
        <v>7317</v>
      </c>
      <c r="B3097" s="18" t="s">
        <v>7280</v>
      </c>
      <c r="C3097" s="18"/>
      <c r="D3097" s="18" t="s">
        <v>7176</v>
      </c>
      <c r="E3097" s="18" t="s">
        <v>4701</v>
      </c>
      <c r="F3097" s="18" t="s">
        <v>4702</v>
      </c>
      <c r="G3097" s="18" t="s">
        <v>12</v>
      </c>
      <c r="H3097" s="18"/>
      <c r="I3097" s="18"/>
      <c r="J3097" s="18" t="s">
        <v>142</v>
      </c>
      <c r="K3097" s="18"/>
      <c r="L3097" s="12" t="s">
        <v>143</v>
      </c>
      <c r="M3097" s="18" t="s">
        <v>4703</v>
      </c>
      <c r="N3097" s="18"/>
      <c r="O3097" s="18" t="s">
        <v>4704</v>
      </c>
      <c r="P3097" s="18" t="str">
        <f>HYPERLINK("https://ceds.ed.gov/cedselementdetails.aspx?termid=10389")</f>
        <v>https://ceds.ed.gov/cedselementdetails.aspx?termid=10389</v>
      </c>
      <c r="Q3097" s="18" t="str">
        <f>HYPERLINK("https://ceds.ed.gov/elementComment.aspx?elementName=Original Course Identifier &amp;elementID=10389", "Click here to submit comment")</f>
        <v>Click here to submit comment</v>
      </c>
    </row>
    <row r="3098" spans="1:17" x14ac:dyDescent="0.25">
      <c r="A3098" s="18"/>
      <c r="B3098" s="18"/>
      <c r="C3098" s="18"/>
      <c r="D3098" s="18"/>
      <c r="E3098" s="18"/>
      <c r="F3098" s="18"/>
      <c r="G3098" s="18"/>
      <c r="H3098" s="18"/>
      <c r="I3098" s="18"/>
      <c r="J3098" s="18"/>
      <c r="K3098" s="18"/>
      <c r="L3098" s="12"/>
      <c r="M3098" s="18"/>
      <c r="N3098" s="18"/>
      <c r="O3098" s="18"/>
      <c r="P3098" s="18"/>
      <c r="Q3098" s="18"/>
    </row>
    <row r="3099" spans="1:17" ht="90" x14ac:dyDescent="0.25">
      <c r="A3099" s="18"/>
      <c r="B3099" s="18"/>
      <c r="C3099" s="18"/>
      <c r="D3099" s="18"/>
      <c r="E3099" s="18"/>
      <c r="F3099" s="18"/>
      <c r="G3099" s="18"/>
      <c r="H3099" s="18"/>
      <c r="I3099" s="18"/>
      <c r="J3099" s="18"/>
      <c r="K3099" s="18"/>
      <c r="L3099" s="12" t="s">
        <v>144</v>
      </c>
      <c r="M3099" s="18"/>
      <c r="N3099" s="18"/>
      <c r="O3099" s="18"/>
      <c r="P3099" s="18"/>
      <c r="Q3099" s="18"/>
    </row>
    <row r="3100" spans="1:17" ht="45" x14ac:dyDescent="0.25">
      <c r="A3100" s="12" t="s">
        <v>7317</v>
      </c>
      <c r="B3100" s="12" t="s">
        <v>7280</v>
      </c>
      <c r="C3100" s="12"/>
      <c r="D3100" s="12" t="s">
        <v>7176</v>
      </c>
      <c r="E3100" s="12" t="s">
        <v>4737</v>
      </c>
      <c r="F3100" s="12" t="s">
        <v>4738</v>
      </c>
      <c r="G3100" s="12" t="s">
        <v>12</v>
      </c>
      <c r="H3100" s="12"/>
      <c r="I3100" s="12"/>
      <c r="J3100" s="12" t="s">
        <v>92</v>
      </c>
      <c r="K3100" s="12"/>
      <c r="L3100" s="12"/>
      <c r="M3100" s="12" t="s">
        <v>4739</v>
      </c>
      <c r="N3100" s="12"/>
      <c r="O3100" s="12" t="s">
        <v>4740</v>
      </c>
      <c r="P3100" s="12" t="str">
        <f>HYPERLINK("https://ceds.ed.gov/cedselementdetails.aspx?termid=10391")</f>
        <v>https://ceds.ed.gov/cedselementdetails.aspx?termid=10391</v>
      </c>
      <c r="Q3100" s="12" t="str">
        <f>HYPERLINK("https://ceds.ed.gov/elementComment.aspx?elementName=Override School Course Number &amp;elementID=10391", "Click here to submit comment")</f>
        <v>Click here to submit comment</v>
      </c>
    </row>
    <row r="3101" spans="1:17" ht="60" x14ac:dyDescent="0.25">
      <c r="A3101" s="12" t="s">
        <v>7317</v>
      </c>
      <c r="B3101" s="12" t="s">
        <v>7280</v>
      </c>
      <c r="C3101" s="12"/>
      <c r="D3101" s="12" t="s">
        <v>7176</v>
      </c>
      <c r="E3101" s="12" t="s">
        <v>6246</v>
      </c>
      <c r="F3101" s="12" t="s">
        <v>6247</v>
      </c>
      <c r="G3101" s="12" t="s">
        <v>6364</v>
      </c>
      <c r="H3101" s="12"/>
      <c r="I3101" s="12"/>
      <c r="J3101" s="12"/>
      <c r="K3101" s="12"/>
      <c r="L3101" s="12" t="s">
        <v>6248</v>
      </c>
      <c r="M3101" s="12" t="s">
        <v>6249</v>
      </c>
      <c r="N3101" s="12"/>
      <c r="O3101" s="12" t="s">
        <v>6250</v>
      </c>
      <c r="P3101" s="12" t="str">
        <f>HYPERLINK("https://ceds.ed.gov/cedselementdetails.aspx?termid=10554")</f>
        <v>https://ceds.ed.gov/cedselementdetails.aspx?termid=10554</v>
      </c>
      <c r="Q3101" s="12" t="str">
        <f>HYPERLINK("https://ceds.ed.gov/elementComment.aspx?elementName=Tuition Funded &amp;elementID=10554", "Click here to submit comment")</f>
        <v>Click here to submit comment</v>
      </c>
    </row>
    <row r="3102" spans="1:17" ht="240" x14ac:dyDescent="0.25">
      <c r="A3102" s="12" t="s">
        <v>7317</v>
      </c>
      <c r="B3102" s="12" t="s">
        <v>7280</v>
      </c>
      <c r="C3102" s="12"/>
      <c r="D3102" s="12" t="s">
        <v>7176</v>
      </c>
      <c r="E3102" s="12" t="s">
        <v>6336</v>
      </c>
      <c r="F3102" s="12" t="s">
        <v>6337</v>
      </c>
      <c r="G3102" s="13" t="s">
        <v>7156</v>
      </c>
      <c r="H3102" s="12"/>
      <c r="I3102" s="12"/>
      <c r="J3102" s="12"/>
      <c r="K3102" s="12"/>
      <c r="L3102" s="12"/>
      <c r="M3102" s="12" t="s">
        <v>6338</v>
      </c>
      <c r="N3102" s="12"/>
      <c r="O3102" s="12" t="s">
        <v>6339</v>
      </c>
      <c r="P3102" s="12" t="str">
        <f>HYPERLINK("https://ceds.ed.gov/cedselementdetails.aspx?termid=10471")</f>
        <v>https://ceds.ed.gov/cedselementdetails.aspx?termid=10471</v>
      </c>
      <c r="Q3102" s="12" t="str">
        <f>HYPERLINK("https://ceds.ed.gov/elementComment.aspx?elementName=Work-based Learning Opportunity Type &amp;elementID=10471", "Click here to submit comment")</f>
        <v>Click here to submit comment</v>
      </c>
    </row>
    <row r="3103" spans="1:17" ht="60" x14ac:dyDescent="0.25">
      <c r="A3103" s="12" t="s">
        <v>7317</v>
      </c>
      <c r="B3103" s="12" t="s">
        <v>7280</v>
      </c>
      <c r="C3103" s="12" t="s">
        <v>7281</v>
      </c>
      <c r="D3103" s="12" t="s">
        <v>7176</v>
      </c>
      <c r="E3103" s="12" t="s">
        <v>2141</v>
      </c>
      <c r="F3103" s="12" t="s">
        <v>2142</v>
      </c>
      <c r="G3103" s="12" t="s">
        <v>12</v>
      </c>
      <c r="H3103" s="12" t="s">
        <v>25</v>
      </c>
      <c r="I3103" s="12"/>
      <c r="J3103" s="12" t="s">
        <v>2143</v>
      </c>
      <c r="K3103" s="12"/>
      <c r="L3103" s="12"/>
      <c r="M3103" s="12" t="s">
        <v>2144</v>
      </c>
      <c r="N3103" s="12"/>
      <c r="O3103" s="12" t="s">
        <v>2145</v>
      </c>
      <c r="P3103" s="12" t="str">
        <f>HYPERLINK("https://ceds.ed.gov/cedselementdetails.aspx?termid=9066")</f>
        <v>https://ceds.ed.gov/cedselementdetails.aspx?termid=9066</v>
      </c>
      <c r="Q3103" s="12" t="str">
        <f>HYPERLINK("https://ceds.ed.gov/elementComment.aspx?elementName=Course Subject Abbreviation &amp;elementID=9066", "Click here to submit comment")</f>
        <v>Click here to submit comment</v>
      </c>
    </row>
    <row r="3104" spans="1:17" ht="30" x14ac:dyDescent="0.25">
      <c r="A3104" s="12" t="s">
        <v>7317</v>
      </c>
      <c r="B3104" s="12" t="s">
        <v>7280</v>
      </c>
      <c r="C3104" s="12" t="s">
        <v>7281</v>
      </c>
      <c r="D3104" s="12" t="s">
        <v>7176</v>
      </c>
      <c r="E3104" s="12" t="s">
        <v>4853</v>
      </c>
      <c r="F3104" s="12" t="s">
        <v>4854</v>
      </c>
      <c r="G3104" s="12" t="s">
        <v>12</v>
      </c>
      <c r="H3104" s="12" t="s">
        <v>25</v>
      </c>
      <c r="I3104" s="12"/>
      <c r="J3104" s="12" t="s">
        <v>99</v>
      </c>
      <c r="K3104" s="12"/>
      <c r="L3104" s="12"/>
      <c r="M3104" s="12" t="s">
        <v>4855</v>
      </c>
      <c r="N3104" s="12"/>
      <c r="O3104" s="12" t="s">
        <v>4856</v>
      </c>
      <c r="P3104" s="12" t="str">
        <f>HYPERLINK("https://ceds.ed.gov/cedselementdetails.aspx?termid=9068")</f>
        <v>https://ceds.ed.gov/cedselementdetails.aspx?termid=9068</v>
      </c>
      <c r="Q3104" s="12" t="str">
        <f>HYPERLINK("https://ceds.ed.gov/elementComment.aspx?elementName=Postsecondary Course Title &amp;elementID=9068", "Click here to submit comment")</f>
        <v>Click here to submit comment</v>
      </c>
    </row>
    <row r="3105" spans="1:17" ht="165" x14ac:dyDescent="0.25">
      <c r="A3105" s="12" t="s">
        <v>7317</v>
      </c>
      <c r="B3105" s="12" t="s">
        <v>7280</v>
      </c>
      <c r="C3105" s="12" t="s">
        <v>7281</v>
      </c>
      <c r="D3105" s="12" t="s">
        <v>7176</v>
      </c>
      <c r="E3105" s="12" t="s">
        <v>1996</v>
      </c>
      <c r="F3105" s="12" t="s">
        <v>1997</v>
      </c>
      <c r="G3105" s="13" t="s">
        <v>6835</v>
      </c>
      <c r="H3105" s="12" t="s">
        <v>25</v>
      </c>
      <c r="I3105" s="12"/>
      <c r="J3105" s="12"/>
      <c r="K3105" s="12"/>
      <c r="L3105" s="12"/>
      <c r="M3105" s="12" t="s">
        <v>1998</v>
      </c>
      <c r="N3105" s="12"/>
      <c r="O3105" s="12" t="s">
        <v>1999</v>
      </c>
      <c r="P3105" s="12" t="str">
        <f>HYPERLINK("https://ceds.ed.gov/cedselementdetails.aspx?termid=9057")</f>
        <v>https://ceds.ed.gov/cedselementdetails.aspx?termid=9057</v>
      </c>
      <c r="Q3105" s="12" t="str">
        <f>HYPERLINK("https://ceds.ed.gov/elementComment.aspx?elementName=Course Credit Units &amp;elementID=9057", "Click here to submit comment")</f>
        <v>Click here to submit comment</v>
      </c>
    </row>
    <row r="3106" spans="1:17" ht="105" x14ac:dyDescent="0.25">
      <c r="A3106" s="12" t="s">
        <v>7317</v>
      </c>
      <c r="B3106" s="12" t="s">
        <v>7280</v>
      </c>
      <c r="C3106" s="12" t="s">
        <v>7281</v>
      </c>
      <c r="D3106" s="12" t="s">
        <v>7176</v>
      </c>
      <c r="E3106" s="12" t="s">
        <v>2000</v>
      </c>
      <c r="F3106" s="12" t="s">
        <v>2001</v>
      </c>
      <c r="G3106" s="12" t="s">
        <v>12</v>
      </c>
      <c r="H3106" s="12" t="s">
        <v>25</v>
      </c>
      <c r="I3106" s="12"/>
      <c r="J3106" s="12" t="s">
        <v>1554</v>
      </c>
      <c r="K3106" s="12"/>
      <c r="L3106" s="12" t="s">
        <v>2002</v>
      </c>
      <c r="M3106" s="12" t="s">
        <v>2003</v>
      </c>
      <c r="N3106" s="12"/>
      <c r="O3106" s="12" t="s">
        <v>2004</v>
      </c>
      <c r="P3106" s="12" t="str">
        <f>HYPERLINK("https://ceds.ed.gov/cedselementdetails.aspx?termid=9058")</f>
        <v>https://ceds.ed.gov/cedselementdetails.aspx?termid=9058</v>
      </c>
      <c r="Q3106" s="12" t="str">
        <f>HYPERLINK("https://ceds.ed.gov/elementComment.aspx?elementName=Course Credit Value &amp;elementID=9058", "Click here to submit comment")</f>
        <v>Click here to submit comment</v>
      </c>
    </row>
    <row r="3107" spans="1:17" ht="30" x14ac:dyDescent="0.25">
      <c r="A3107" s="12" t="s">
        <v>7317</v>
      </c>
      <c r="B3107" s="12" t="s">
        <v>7280</v>
      </c>
      <c r="C3107" s="12" t="s">
        <v>7281</v>
      </c>
      <c r="D3107" s="12" t="s">
        <v>7176</v>
      </c>
      <c r="E3107" s="12" t="s">
        <v>1976</v>
      </c>
      <c r="F3107" s="12" t="s">
        <v>1977</v>
      </c>
      <c r="G3107" s="12" t="s">
        <v>12</v>
      </c>
      <c r="H3107" s="12" t="s">
        <v>6446</v>
      </c>
      <c r="I3107" s="12"/>
      <c r="J3107" s="12" t="s">
        <v>73</v>
      </c>
      <c r="K3107" s="12"/>
      <c r="L3107" s="12"/>
      <c r="M3107" s="12" t="s">
        <v>1978</v>
      </c>
      <c r="N3107" s="12"/>
      <c r="O3107" s="12" t="s">
        <v>1979</v>
      </c>
      <c r="P3107" s="12" t="str">
        <f>HYPERLINK("https://ceds.ed.gov/cedselementdetails.aspx?termid=9054")</f>
        <v>https://ceds.ed.gov/cedselementdetails.aspx?termid=9054</v>
      </c>
      <c r="Q3107" s="12" t="str">
        <f>HYPERLINK("https://ceds.ed.gov/elementComment.aspx?elementName=Course Begin Date &amp;elementID=9054", "Click here to submit comment")</f>
        <v>Click here to submit comment</v>
      </c>
    </row>
    <row r="3108" spans="1:17" ht="30" x14ac:dyDescent="0.25">
      <c r="A3108" s="12" t="s">
        <v>7317</v>
      </c>
      <c r="B3108" s="12" t="s">
        <v>7280</v>
      </c>
      <c r="C3108" s="12" t="s">
        <v>7281</v>
      </c>
      <c r="D3108" s="12" t="s">
        <v>7176</v>
      </c>
      <c r="E3108" s="12" t="s">
        <v>2018</v>
      </c>
      <c r="F3108" s="12" t="s">
        <v>2019</v>
      </c>
      <c r="G3108" s="12" t="s">
        <v>12</v>
      </c>
      <c r="H3108" s="12" t="s">
        <v>6446</v>
      </c>
      <c r="I3108" s="12"/>
      <c r="J3108" s="12" t="s">
        <v>73</v>
      </c>
      <c r="K3108" s="12"/>
      <c r="L3108" s="12"/>
      <c r="M3108" s="12" t="s">
        <v>2020</v>
      </c>
      <c r="N3108" s="12"/>
      <c r="O3108" s="12" t="s">
        <v>2021</v>
      </c>
      <c r="P3108" s="12" t="str">
        <f>HYPERLINK("https://ceds.ed.gov/cedselementdetails.aspx?termid=9059")</f>
        <v>https://ceds.ed.gov/cedselementdetails.aspx?termid=9059</v>
      </c>
      <c r="Q3108" s="12" t="str">
        <f>HYPERLINK("https://ceds.ed.gov/elementComment.aspx?elementName=Course End Date &amp;elementID=9059", "Click here to submit comment")</f>
        <v>Click here to submit comment</v>
      </c>
    </row>
    <row r="3109" spans="1:17" ht="105" x14ac:dyDescent="0.25">
      <c r="A3109" s="18" t="s">
        <v>7317</v>
      </c>
      <c r="B3109" s="18" t="s">
        <v>7280</v>
      </c>
      <c r="C3109" s="18" t="s">
        <v>7281</v>
      </c>
      <c r="D3109" s="18" t="s">
        <v>7176</v>
      </c>
      <c r="E3109" s="18" t="s">
        <v>2036</v>
      </c>
      <c r="F3109" s="18" t="s">
        <v>2037</v>
      </c>
      <c r="G3109" s="18" t="s">
        <v>12</v>
      </c>
      <c r="H3109" s="18" t="s">
        <v>6479</v>
      </c>
      <c r="I3109" s="18"/>
      <c r="J3109" s="18" t="s">
        <v>142</v>
      </c>
      <c r="K3109" s="18"/>
      <c r="L3109" s="12" t="s">
        <v>143</v>
      </c>
      <c r="M3109" s="18" t="s">
        <v>2038</v>
      </c>
      <c r="N3109" s="18"/>
      <c r="O3109" s="18" t="s">
        <v>2039</v>
      </c>
      <c r="P3109" s="18" t="str">
        <f>HYPERLINK("https://ceds.ed.gov/cedselementdetails.aspx?termid=9055")</f>
        <v>https://ceds.ed.gov/cedselementdetails.aspx?termid=9055</v>
      </c>
      <c r="Q3109" s="18" t="str">
        <f>HYPERLINK("https://ceds.ed.gov/elementComment.aspx?elementName=Course Identifier &amp;elementID=9055", "Click here to submit comment")</f>
        <v>Click here to submit comment</v>
      </c>
    </row>
    <row r="3110" spans="1:17" x14ac:dyDescent="0.25">
      <c r="A3110" s="18"/>
      <c r="B3110" s="18"/>
      <c r="C3110" s="18"/>
      <c r="D3110" s="18"/>
      <c r="E3110" s="18"/>
      <c r="F3110" s="18"/>
      <c r="G3110" s="18"/>
      <c r="H3110" s="18"/>
      <c r="I3110" s="18"/>
      <c r="J3110" s="18"/>
      <c r="K3110" s="18"/>
      <c r="L3110" s="12"/>
      <c r="M3110" s="18"/>
      <c r="N3110" s="18"/>
      <c r="O3110" s="18"/>
      <c r="P3110" s="18"/>
      <c r="Q3110" s="18"/>
    </row>
    <row r="3111" spans="1:17" ht="90" x14ac:dyDescent="0.25">
      <c r="A3111" s="18"/>
      <c r="B3111" s="18"/>
      <c r="C3111" s="18"/>
      <c r="D3111" s="18"/>
      <c r="E3111" s="18"/>
      <c r="F3111" s="18"/>
      <c r="G3111" s="18"/>
      <c r="H3111" s="18"/>
      <c r="I3111" s="18"/>
      <c r="J3111" s="18"/>
      <c r="K3111" s="18"/>
      <c r="L3111" s="12" t="s">
        <v>144</v>
      </c>
      <c r="M3111" s="18"/>
      <c r="N3111" s="18"/>
      <c r="O3111" s="18"/>
      <c r="P3111" s="18"/>
      <c r="Q3111" s="18"/>
    </row>
    <row r="3112" spans="1:17" ht="195" x14ac:dyDescent="0.25">
      <c r="A3112" s="12" t="s">
        <v>7317</v>
      </c>
      <c r="B3112" s="12" t="s">
        <v>7280</v>
      </c>
      <c r="C3112" s="12" t="s">
        <v>7281</v>
      </c>
      <c r="D3112" s="12" t="s">
        <v>7176</v>
      </c>
      <c r="E3112" s="12" t="s">
        <v>1984</v>
      </c>
      <c r="F3112" s="12" t="s">
        <v>1985</v>
      </c>
      <c r="G3112" s="13" t="s">
        <v>6832</v>
      </c>
      <c r="H3112" s="12" t="s">
        <v>6429</v>
      </c>
      <c r="I3112" s="12"/>
      <c r="J3112" s="12"/>
      <c r="K3112" s="12"/>
      <c r="L3112" s="12"/>
      <c r="M3112" s="12" t="s">
        <v>1986</v>
      </c>
      <c r="N3112" s="12"/>
      <c r="O3112" s="12" t="s">
        <v>1987</v>
      </c>
      <c r="P3112" s="12" t="str">
        <f>HYPERLINK("https://ceds.ed.gov/cedselementdetails.aspx?termid=9056")</f>
        <v>https://ceds.ed.gov/cedselementdetails.aspx?termid=9056</v>
      </c>
      <c r="Q3112" s="12" t="str">
        <f>HYPERLINK("https://ceds.ed.gov/elementComment.aspx?elementName=Course Code System &amp;elementID=9056", "Click here to submit comment")</f>
        <v>Click here to submit comment</v>
      </c>
    </row>
    <row r="3113" spans="1:17" ht="225" x14ac:dyDescent="0.25">
      <c r="A3113" s="12" t="s">
        <v>7317</v>
      </c>
      <c r="B3113" s="12" t="s">
        <v>7280</v>
      </c>
      <c r="C3113" s="12" t="s">
        <v>7281</v>
      </c>
      <c r="D3113" s="12" t="s">
        <v>7176</v>
      </c>
      <c r="E3113" s="12" t="s">
        <v>2146</v>
      </c>
      <c r="F3113" s="12" t="s">
        <v>2147</v>
      </c>
      <c r="G3113" s="12" t="s">
        <v>12</v>
      </c>
      <c r="H3113" s="12" t="s">
        <v>6429</v>
      </c>
      <c r="I3113" s="12"/>
      <c r="J3113" s="12" t="s">
        <v>99</v>
      </c>
      <c r="K3113" s="12"/>
      <c r="L3113" s="12"/>
      <c r="M3113" s="12" t="s">
        <v>2148</v>
      </c>
      <c r="N3113" s="12"/>
      <c r="O3113" s="12" t="s">
        <v>2149</v>
      </c>
      <c r="P3113" s="12" t="str">
        <f>HYPERLINK("https://ceds.ed.gov/cedselementdetails.aspx?termid=9067")</f>
        <v>https://ceds.ed.gov/cedselementdetails.aspx?termid=9067</v>
      </c>
      <c r="Q3113" s="12" t="str">
        <f>HYPERLINK("https://ceds.ed.gov/elementComment.aspx?elementName=Course Title &amp;elementID=9067", "Click here to submit comment")</f>
        <v>Click here to submit comment</v>
      </c>
    </row>
    <row r="3114" spans="1:17" ht="120" x14ac:dyDescent="0.25">
      <c r="A3114" s="12" t="s">
        <v>7317</v>
      </c>
      <c r="B3114" s="12" t="s">
        <v>7280</v>
      </c>
      <c r="C3114" s="12" t="s">
        <v>7281</v>
      </c>
      <c r="D3114" s="12" t="s">
        <v>7176</v>
      </c>
      <c r="E3114" s="12" t="s">
        <v>5574</v>
      </c>
      <c r="F3114" s="12" t="s">
        <v>5575</v>
      </c>
      <c r="G3114" s="12" t="s">
        <v>12</v>
      </c>
      <c r="H3114" s="12" t="s">
        <v>6429</v>
      </c>
      <c r="I3114" s="12"/>
      <c r="J3114" s="12" t="s">
        <v>2143</v>
      </c>
      <c r="K3114" s="12"/>
      <c r="L3114" s="12" t="s">
        <v>5576</v>
      </c>
      <c r="M3114" s="12" t="s">
        <v>5577</v>
      </c>
      <c r="N3114" s="12" t="s">
        <v>5578</v>
      </c>
      <c r="O3114" s="12" t="s">
        <v>5579</v>
      </c>
      <c r="P3114" s="12" t="str">
        <f>HYPERLINK("https://ceds.ed.gov/cedselementdetails.aspx?termid=9250")</f>
        <v>https://ceds.ed.gov/cedselementdetails.aspx?termid=9250</v>
      </c>
      <c r="Q3114" s="12" t="str">
        <f>HYPERLINK("https://ceds.ed.gov/elementComment.aspx?elementName=School Courses for the Exchange of Data Sequence of Course &amp;elementID=9250", "Click here to submit comment")</f>
        <v>Click here to submit comment</v>
      </c>
    </row>
    <row r="3115" spans="1:17" ht="345" x14ac:dyDescent="0.25">
      <c r="A3115" s="12" t="s">
        <v>7317</v>
      </c>
      <c r="B3115" s="12" t="s">
        <v>7280</v>
      </c>
      <c r="C3115" s="12" t="s">
        <v>7281</v>
      </c>
      <c r="D3115" s="12" t="s">
        <v>7176</v>
      </c>
      <c r="E3115" s="12" t="s">
        <v>2057</v>
      </c>
      <c r="F3115" s="12" t="s">
        <v>2058</v>
      </c>
      <c r="G3115" s="13" t="s">
        <v>6841</v>
      </c>
      <c r="H3115" s="12" t="s">
        <v>6479</v>
      </c>
      <c r="I3115" s="12"/>
      <c r="J3115" s="12"/>
      <c r="K3115" s="12"/>
      <c r="L3115" s="12"/>
      <c r="M3115" s="12" t="s">
        <v>2059</v>
      </c>
      <c r="N3115" s="12"/>
      <c r="O3115" s="12" t="s">
        <v>2060</v>
      </c>
      <c r="P3115" s="12" t="str">
        <f>HYPERLINK("https://ceds.ed.gov/cedselementdetails.aspx?termid=9061")</f>
        <v>https://ceds.ed.gov/cedselementdetails.aspx?termid=9061</v>
      </c>
      <c r="Q3115" s="12" t="str">
        <f>HYPERLINK("https://ceds.ed.gov/elementComment.aspx?elementName=Course Level Characteristic &amp;elementID=9061", "Click here to submit comment")</f>
        <v>Click here to submit comment</v>
      </c>
    </row>
    <row r="3116" spans="1:17" ht="285" x14ac:dyDescent="0.25">
      <c r="A3116" s="12" t="s">
        <v>7317</v>
      </c>
      <c r="B3116" s="12" t="s">
        <v>7280</v>
      </c>
      <c r="C3116" s="12" t="s">
        <v>7281</v>
      </c>
      <c r="D3116" s="12" t="s">
        <v>7176</v>
      </c>
      <c r="E3116" s="12" t="s">
        <v>2174</v>
      </c>
      <c r="F3116" s="12" t="s">
        <v>2175</v>
      </c>
      <c r="G3116" s="13" t="s">
        <v>6851</v>
      </c>
      <c r="H3116" s="12" t="s">
        <v>6369</v>
      </c>
      <c r="I3116" s="12"/>
      <c r="J3116" s="12"/>
      <c r="K3116" s="12"/>
      <c r="L3116" s="12"/>
      <c r="M3116" s="12" t="s">
        <v>2176</v>
      </c>
      <c r="N3116" s="12"/>
      <c r="O3116" s="12" t="s">
        <v>2177</v>
      </c>
      <c r="P3116" s="12" t="str">
        <f>HYPERLINK("https://ceds.ed.gov/cedselementdetails.aspx?termid=9072")</f>
        <v>https://ceds.ed.gov/cedselementdetails.aspx?termid=9072</v>
      </c>
      <c r="Q3116" s="12" t="str">
        <f>HYPERLINK("https://ceds.ed.gov/elementComment.aspx?elementName=Credit Type Earned &amp;elementID=9072", "Click here to submit comment")</f>
        <v>Click here to submit comment</v>
      </c>
    </row>
    <row r="3117" spans="1:17" ht="120" x14ac:dyDescent="0.25">
      <c r="A3117" s="12" t="s">
        <v>7317</v>
      </c>
      <c r="B3117" s="12" t="s">
        <v>7280</v>
      </c>
      <c r="C3117" s="12" t="s">
        <v>7281</v>
      </c>
      <c r="D3117" s="12" t="s">
        <v>7176</v>
      </c>
      <c r="E3117" s="12" t="s">
        <v>3183</v>
      </c>
      <c r="F3117" s="12" t="s">
        <v>3184</v>
      </c>
      <c r="G3117" s="12" t="s">
        <v>6364</v>
      </c>
      <c r="H3117" s="12" t="s">
        <v>6429</v>
      </c>
      <c r="I3117" s="12"/>
      <c r="J3117" s="12"/>
      <c r="K3117" s="12"/>
      <c r="L3117" s="12"/>
      <c r="M3117" s="12" t="s">
        <v>3185</v>
      </c>
      <c r="N3117" s="12"/>
      <c r="O3117" s="12" t="s">
        <v>3186</v>
      </c>
      <c r="P3117" s="12" t="str">
        <f>HYPERLINK("https://ceds.ed.gov/cedselementdetails.aspx?termid=9137")</f>
        <v>https://ceds.ed.gov/cedselementdetails.aspx?termid=9137</v>
      </c>
      <c r="Q3117" s="12" t="str">
        <f>HYPERLINK("https://ceds.ed.gov/elementComment.aspx?elementName=High School Course Requirement &amp;elementID=9137", "Click here to submit comment")</f>
        <v>Click here to submit comment</v>
      </c>
    </row>
    <row r="3118" spans="1:17" ht="150" x14ac:dyDescent="0.25">
      <c r="A3118" s="12" t="s">
        <v>7317</v>
      </c>
      <c r="B3118" s="12" t="s">
        <v>7280</v>
      </c>
      <c r="C3118" s="12" t="s">
        <v>7281</v>
      </c>
      <c r="D3118" s="12" t="s">
        <v>7176</v>
      </c>
      <c r="E3118" s="12" t="s">
        <v>1552</v>
      </c>
      <c r="F3118" s="12" t="s">
        <v>1553</v>
      </c>
      <c r="G3118" s="12" t="s">
        <v>12</v>
      </c>
      <c r="H3118" s="12" t="s">
        <v>6429</v>
      </c>
      <c r="I3118" s="12"/>
      <c r="J3118" s="12" t="s">
        <v>1554</v>
      </c>
      <c r="K3118" s="12"/>
      <c r="L3118" s="12"/>
      <c r="M3118" s="12" t="s">
        <v>1555</v>
      </c>
      <c r="N3118" s="12"/>
      <c r="O3118" s="12" t="s">
        <v>1556</v>
      </c>
      <c r="P3118" s="12" t="str">
        <f>HYPERLINK("https://ceds.ed.gov/cedselementdetails.aspx?termid=9030")</f>
        <v>https://ceds.ed.gov/cedselementdetails.aspx?termid=9030</v>
      </c>
      <c r="Q3118" s="12" t="str">
        <f>HYPERLINK("https://ceds.ed.gov/elementComment.aspx?elementName=Available Carnegie Unit Credit &amp;elementID=9030", "Click here to submit comment")</f>
        <v>Click here to submit comment</v>
      </c>
    </row>
    <row r="3119" spans="1:17" ht="45" x14ac:dyDescent="0.25">
      <c r="A3119" s="12" t="s">
        <v>7317</v>
      </c>
      <c r="B3119" s="12" t="s">
        <v>7280</v>
      </c>
      <c r="C3119" s="12" t="s">
        <v>7281</v>
      </c>
      <c r="D3119" s="12" t="s">
        <v>7176</v>
      </c>
      <c r="E3119" s="12" t="s">
        <v>5362</v>
      </c>
      <c r="F3119" s="12" t="s">
        <v>5363</v>
      </c>
      <c r="G3119" s="12" t="s">
        <v>12</v>
      </c>
      <c r="H3119" s="12"/>
      <c r="I3119" s="12"/>
      <c r="J3119" s="12" t="s">
        <v>99</v>
      </c>
      <c r="K3119" s="12"/>
      <c r="L3119" s="12"/>
      <c r="M3119" s="12" t="s">
        <v>5364</v>
      </c>
      <c r="N3119" s="12"/>
      <c r="O3119" s="12" t="s">
        <v>5365</v>
      </c>
      <c r="P3119" s="12" t="str">
        <f>HYPERLINK("https://ceds.ed.gov/cedselementdetails.aspx?termid=9231")</f>
        <v>https://ceds.ed.gov/cedselementdetails.aspx?termid=9231</v>
      </c>
      <c r="Q3119" s="12" t="str">
        <f>HYPERLINK("https://ceds.ed.gov/elementComment.aspx?elementName=Related Learning Standards &amp;elementID=9231", "Click here to submit comment")</f>
        <v>Click here to submit comment</v>
      </c>
    </row>
    <row r="3120" spans="1:17" ht="409.5" x14ac:dyDescent="0.25">
      <c r="A3120" s="12" t="s">
        <v>7317</v>
      </c>
      <c r="B3120" s="12" t="s">
        <v>7280</v>
      </c>
      <c r="C3120" s="12" t="s">
        <v>7281</v>
      </c>
      <c r="D3120" s="12" t="s">
        <v>7176</v>
      </c>
      <c r="E3120" s="12" t="s">
        <v>2085</v>
      </c>
      <c r="F3120" s="12" t="s">
        <v>2086</v>
      </c>
      <c r="G3120" s="13" t="s">
        <v>6783</v>
      </c>
      <c r="H3120" s="12" t="s">
        <v>6483</v>
      </c>
      <c r="I3120" s="12"/>
      <c r="J3120" s="12"/>
      <c r="K3120" s="12"/>
      <c r="L3120" s="12"/>
      <c r="M3120" s="12" t="s">
        <v>2087</v>
      </c>
      <c r="N3120" s="12"/>
      <c r="O3120" s="12" t="s">
        <v>2088</v>
      </c>
      <c r="P3120" s="12" t="str">
        <f>HYPERLINK("https://ceds.ed.gov/cedselementdetails.aspx?termid=9027")</f>
        <v>https://ceds.ed.gov/cedselementdetails.aspx?termid=9027</v>
      </c>
      <c r="Q3120" s="12" t="str">
        <f>HYPERLINK("https://ceds.ed.gov/elementComment.aspx?elementName=Course Section Assessment Reporting Method &amp;elementID=9027", "Click here to submit comment")</f>
        <v>Click here to submit comment</v>
      </c>
    </row>
    <row r="3121" spans="1:17" ht="105" x14ac:dyDescent="0.25">
      <c r="A3121" s="18" t="s">
        <v>7317</v>
      </c>
      <c r="B3121" s="18" t="s">
        <v>7280</v>
      </c>
      <c r="C3121" s="18" t="s">
        <v>7281</v>
      </c>
      <c r="D3121" s="18" t="s">
        <v>7176</v>
      </c>
      <c r="E3121" s="18" t="s">
        <v>321</v>
      </c>
      <c r="F3121" s="18" t="s">
        <v>322</v>
      </c>
      <c r="G3121" s="18" t="s">
        <v>12</v>
      </c>
      <c r="H3121" s="18"/>
      <c r="I3121" s="18"/>
      <c r="J3121" s="18" t="s">
        <v>142</v>
      </c>
      <c r="K3121" s="18"/>
      <c r="L3121" s="12" t="s">
        <v>143</v>
      </c>
      <c r="M3121" s="18" t="s">
        <v>323</v>
      </c>
      <c r="N3121" s="18"/>
      <c r="O3121" s="18" t="s">
        <v>324</v>
      </c>
      <c r="P3121" s="18" t="str">
        <f>HYPERLINK("https://ceds.ed.gov/cedselementdetails.aspx?termid=10246")</f>
        <v>https://ceds.ed.gov/cedselementdetails.aspx?termid=10246</v>
      </c>
      <c r="Q3121" s="18" t="str">
        <f>HYPERLINK("https://ceds.ed.gov/elementComment.aspx?elementName=Agency Course Identifier &amp;elementID=10246", "Click here to submit comment")</f>
        <v>Click here to submit comment</v>
      </c>
    </row>
    <row r="3122" spans="1:17" x14ac:dyDescent="0.25">
      <c r="A3122" s="18"/>
      <c r="B3122" s="18"/>
      <c r="C3122" s="18"/>
      <c r="D3122" s="18"/>
      <c r="E3122" s="18"/>
      <c r="F3122" s="18"/>
      <c r="G3122" s="18"/>
      <c r="H3122" s="18"/>
      <c r="I3122" s="18"/>
      <c r="J3122" s="18"/>
      <c r="K3122" s="18"/>
      <c r="L3122" s="12"/>
      <c r="M3122" s="18"/>
      <c r="N3122" s="18"/>
      <c r="O3122" s="18"/>
      <c r="P3122" s="18"/>
      <c r="Q3122" s="18"/>
    </row>
    <row r="3123" spans="1:17" ht="90" x14ac:dyDescent="0.25">
      <c r="A3123" s="18"/>
      <c r="B3123" s="18"/>
      <c r="C3123" s="18"/>
      <c r="D3123" s="18"/>
      <c r="E3123" s="18"/>
      <c r="F3123" s="18"/>
      <c r="G3123" s="18"/>
      <c r="H3123" s="18"/>
      <c r="I3123" s="18"/>
      <c r="J3123" s="18"/>
      <c r="K3123" s="18"/>
      <c r="L3123" s="12" t="s">
        <v>144</v>
      </c>
      <c r="M3123" s="18"/>
      <c r="N3123" s="18"/>
      <c r="O3123" s="18"/>
      <c r="P3123" s="18"/>
      <c r="Q3123" s="18"/>
    </row>
    <row r="3124" spans="1:17" ht="75" x14ac:dyDescent="0.25">
      <c r="A3124" s="12" t="s">
        <v>7317</v>
      </c>
      <c r="B3124" s="12" t="s">
        <v>7280</v>
      </c>
      <c r="C3124" s="12" t="s">
        <v>7281</v>
      </c>
      <c r="D3124" s="12" t="s">
        <v>7176</v>
      </c>
      <c r="E3124" s="12" t="s">
        <v>1826</v>
      </c>
      <c r="F3124" s="12" t="s">
        <v>1827</v>
      </c>
      <c r="G3124" s="14" t="s">
        <v>1828</v>
      </c>
      <c r="H3124" s="12" t="s">
        <v>6368</v>
      </c>
      <c r="I3124" s="12"/>
      <c r="J3124" s="12"/>
      <c r="K3124" s="12"/>
      <c r="L3124" s="12"/>
      <c r="M3124" s="12" t="s">
        <v>1829</v>
      </c>
      <c r="N3124" s="12" t="s">
        <v>1830</v>
      </c>
      <c r="O3124" s="12" t="s">
        <v>1831</v>
      </c>
      <c r="P3124" s="12" t="str">
        <f>HYPERLINK("https://ceds.ed.gov/cedselementdetails.aspx?termid=9043")</f>
        <v>https://ceds.ed.gov/cedselementdetails.aspx?termid=9043</v>
      </c>
      <c r="Q3124" s="12" t="str">
        <f>HYPERLINK("https://ceds.ed.gov/elementComment.aspx?elementName=Classification of Instructional Program Code &amp;elementID=9043", "Click here to submit comment")</f>
        <v>Click here to submit comment</v>
      </c>
    </row>
    <row r="3125" spans="1:17" ht="90" x14ac:dyDescent="0.25">
      <c r="A3125" s="12" t="s">
        <v>7317</v>
      </c>
      <c r="B3125" s="12" t="s">
        <v>7280</v>
      </c>
      <c r="C3125" s="12" t="s">
        <v>7281</v>
      </c>
      <c r="D3125" s="12" t="s">
        <v>7176</v>
      </c>
      <c r="E3125" s="12" t="s">
        <v>1837</v>
      </c>
      <c r="F3125" s="12" t="s">
        <v>1838</v>
      </c>
      <c r="G3125" s="13" t="s">
        <v>6819</v>
      </c>
      <c r="H3125" s="12" t="s">
        <v>6380</v>
      </c>
      <c r="I3125" s="12"/>
      <c r="J3125" s="12"/>
      <c r="K3125" s="12"/>
      <c r="L3125" s="12"/>
      <c r="M3125" s="12" t="s">
        <v>1839</v>
      </c>
      <c r="N3125" s="12" t="s">
        <v>1840</v>
      </c>
      <c r="O3125" s="12" t="s">
        <v>1841</v>
      </c>
      <c r="P3125" s="12" t="str">
        <f>HYPERLINK("https://ceds.ed.gov/cedselementdetails.aspx?termid=9045")</f>
        <v>https://ceds.ed.gov/cedselementdetails.aspx?termid=9045</v>
      </c>
      <c r="Q3125" s="12" t="str">
        <f>HYPERLINK("https://ceds.ed.gov/elementComment.aspx?elementName=Classification of Instructional Program Version &amp;elementID=9045", "Click here to submit comment")</f>
        <v>Click here to submit comment</v>
      </c>
    </row>
    <row r="3126" spans="1:17" ht="30" x14ac:dyDescent="0.25">
      <c r="A3126" s="12" t="s">
        <v>7317</v>
      </c>
      <c r="B3126" s="12" t="s">
        <v>7280</v>
      </c>
      <c r="C3126" s="12" t="s">
        <v>7281</v>
      </c>
      <c r="D3126" s="12" t="s">
        <v>7176</v>
      </c>
      <c r="E3126" s="12" t="s">
        <v>2005</v>
      </c>
      <c r="F3126" s="12" t="s">
        <v>2006</v>
      </c>
      <c r="G3126" s="12" t="s">
        <v>12</v>
      </c>
      <c r="H3126" s="12"/>
      <c r="I3126" s="12"/>
      <c r="J3126" s="12" t="s">
        <v>99</v>
      </c>
      <c r="K3126" s="12"/>
      <c r="L3126" s="12"/>
      <c r="M3126" s="12" t="s">
        <v>2007</v>
      </c>
      <c r="N3126" s="12"/>
      <c r="O3126" s="12" t="s">
        <v>2008</v>
      </c>
      <c r="P3126" s="12" t="str">
        <f>HYPERLINK("https://ceds.ed.gov/cedselementdetails.aspx?termid=10525")</f>
        <v>https://ceds.ed.gov/cedselementdetails.aspx?termid=10525</v>
      </c>
      <c r="Q3126" s="12" t="str">
        <f>HYPERLINK("https://ceds.ed.gov/elementComment.aspx?elementName=Course Department Name &amp;elementID=10525", "Click here to submit comment")</f>
        <v>Click here to submit comment</v>
      </c>
    </row>
    <row r="3127" spans="1:17" ht="45" x14ac:dyDescent="0.25">
      <c r="A3127" s="12" t="s">
        <v>7317</v>
      </c>
      <c r="B3127" s="12" t="s">
        <v>7280</v>
      </c>
      <c r="C3127" s="12" t="s">
        <v>7281</v>
      </c>
      <c r="D3127" s="12" t="s">
        <v>7176</v>
      </c>
      <c r="E3127" s="12" t="s">
        <v>4540</v>
      </c>
      <c r="F3127" s="12" t="s">
        <v>4541</v>
      </c>
      <c r="G3127" s="12" t="s">
        <v>4542</v>
      </c>
      <c r="H3127" s="12"/>
      <c r="I3127" s="12"/>
      <c r="J3127" s="12"/>
      <c r="K3127" s="12"/>
      <c r="L3127" s="12"/>
      <c r="M3127" s="12" t="s">
        <v>4543</v>
      </c>
      <c r="N3127" s="12"/>
      <c r="O3127" s="12" t="s">
        <v>4544</v>
      </c>
      <c r="P3127" s="12" t="str">
        <f>HYPERLINK("https://ceds.ed.gov/cedselementdetails.aspx?termid=10383")</f>
        <v>https://ceds.ed.gov/cedselementdetails.aspx?termid=10383</v>
      </c>
      <c r="Q3127" s="12" t="str">
        <f>HYPERLINK("https://ceds.ed.gov/elementComment.aspx?elementName=NCES College Course Map Code &amp;elementID=10383", "Click here to submit comment")</f>
        <v>Click here to submit comment</v>
      </c>
    </row>
    <row r="3128" spans="1:17" ht="225" x14ac:dyDescent="0.25">
      <c r="A3128" s="18" t="s">
        <v>7317</v>
      </c>
      <c r="B3128" s="18" t="s">
        <v>7280</v>
      </c>
      <c r="C3128" s="18" t="s">
        <v>7191</v>
      </c>
      <c r="D3128" s="18" t="s">
        <v>7176</v>
      </c>
      <c r="E3128" s="18" t="s">
        <v>5745</v>
      </c>
      <c r="F3128" s="18" t="s">
        <v>5746</v>
      </c>
      <c r="G3128" s="18" t="s">
        <v>12</v>
      </c>
      <c r="H3128" s="18" t="s">
        <v>6670</v>
      </c>
      <c r="I3128" s="18"/>
      <c r="J3128" s="18" t="s">
        <v>5747</v>
      </c>
      <c r="K3128" s="18"/>
      <c r="L3128" s="12" t="s">
        <v>5748</v>
      </c>
      <c r="M3128" s="18" t="s">
        <v>5750</v>
      </c>
      <c r="N3128" s="18" t="s">
        <v>5751</v>
      </c>
      <c r="O3128" s="18" t="s">
        <v>5752</v>
      </c>
      <c r="P3128" s="18" t="str">
        <f>HYPERLINK("https://ceds.ed.gov/cedselementdetails.aspx?termid=9259")</f>
        <v>https://ceds.ed.gov/cedselementdetails.aspx?termid=9259</v>
      </c>
      <c r="Q3128" s="18" t="str">
        <f>HYPERLINK("https://ceds.ed.gov/elementComment.aspx?elementName=Social Security Number &amp;elementID=9259", "Click here to submit comment")</f>
        <v>Click here to submit comment</v>
      </c>
    </row>
    <row r="3129" spans="1:17" x14ac:dyDescent="0.25">
      <c r="A3129" s="18"/>
      <c r="B3129" s="18"/>
      <c r="C3129" s="18"/>
      <c r="D3129" s="18"/>
      <c r="E3129" s="18"/>
      <c r="F3129" s="18"/>
      <c r="G3129" s="18"/>
      <c r="H3129" s="18"/>
      <c r="I3129" s="18"/>
      <c r="J3129" s="18"/>
      <c r="K3129" s="18"/>
      <c r="L3129" s="12"/>
      <c r="M3129" s="18"/>
      <c r="N3129" s="18"/>
      <c r="O3129" s="18"/>
      <c r="P3129" s="18"/>
      <c r="Q3129" s="18"/>
    </row>
    <row r="3130" spans="1:17" ht="180" x14ac:dyDescent="0.25">
      <c r="A3130" s="18"/>
      <c r="B3130" s="18"/>
      <c r="C3130" s="18"/>
      <c r="D3130" s="18"/>
      <c r="E3130" s="18"/>
      <c r="F3130" s="18"/>
      <c r="G3130" s="18"/>
      <c r="H3130" s="18"/>
      <c r="I3130" s="18"/>
      <c r="J3130" s="18"/>
      <c r="K3130" s="18"/>
      <c r="L3130" s="12" t="s">
        <v>5749</v>
      </c>
      <c r="M3130" s="18"/>
      <c r="N3130" s="18"/>
      <c r="O3130" s="18"/>
      <c r="P3130" s="18"/>
      <c r="Q3130" s="18"/>
    </row>
    <row r="3131" spans="1:17" ht="105" x14ac:dyDescent="0.25">
      <c r="A3131" s="18" t="s">
        <v>7317</v>
      </c>
      <c r="B3131" s="18" t="s">
        <v>7280</v>
      </c>
      <c r="C3131" s="18" t="s">
        <v>7191</v>
      </c>
      <c r="D3131" s="18" t="s">
        <v>7176</v>
      </c>
      <c r="E3131" s="18" t="s">
        <v>5984</v>
      </c>
      <c r="F3131" s="18" t="s">
        <v>5985</v>
      </c>
      <c r="G3131" s="18" t="s">
        <v>12</v>
      </c>
      <c r="H3131" s="18" t="s">
        <v>6687</v>
      </c>
      <c r="I3131" s="18"/>
      <c r="J3131" s="18" t="s">
        <v>142</v>
      </c>
      <c r="K3131" s="18"/>
      <c r="L3131" s="12" t="s">
        <v>143</v>
      </c>
      <c r="M3131" s="18" t="s">
        <v>5986</v>
      </c>
      <c r="N3131" s="18"/>
      <c r="O3131" s="18" t="s">
        <v>5987</v>
      </c>
      <c r="P3131" s="18" t="str">
        <f>HYPERLINK("https://ceds.ed.gov/cedselementdetails.aspx?termid=9157")</f>
        <v>https://ceds.ed.gov/cedselementdetails.aspx?termid=9157</v>
      </c>
      <c r="Q3131" s="18" t="str">
        <f>HYPERLINK("https://ceds.ed.gov/elementComment.aspx?elementName=Student Identifier &amp;elementID=9157", "Click here to submit comment")</f>
        <v>Click here to submit comment</v>
      </c>
    </row>
    <row r="3132" spans="1:17" x14ac:dyDescent="0.25">
      <c r="A3132" s="18"/>
      <c r="B3132" s="18"/>
      <c r="C3132" s="18"/>
      <c r="D3132" s="18"/>
      <c r="E3132" s="18"/>
      <c r="F3132" s="18"/>
      <c r="G3132" s="18"/>
      <c r="H3132" s="18"/>
      <c r="I3132" s="18"/>
      <c r="J3132" s="18"/>
      <c r="K3132" s="18"/>
      <c r="L3132" s="12"/>
      <c r="M3132" s="18"/>
      <c r="N3132" s="18"/>
      <c r="O3132" s="18"/>
      <c r="P3132" s="18"/>
      <c r="Q3132" s="18"/>
    </row>
    <row r="3133" spans="1:17" ht="90" x14ac:dyDescent="0.25">
      <c r="A3133" s="18"/>
      <c r="B3133" s="18"/>
      <c r="C3133" s="18"/>
      <c r="D3133" s="18"/>
      <c r="E3133" s="18"/>
      <c r="F3133" s="18"/>
      <c r="G3133" s="18"/>
      <c r="H3133" s="18"/>
      <c r="I3133" s="18"/>
      <c r="J3133" s="18"/>
      <c r="K3133" s="18"/>
      <c r="L3133" s="12" t="s">
        <v>144</v>
      </c>
      <c r="M3133" s="18"/>
      <c r="N3133" s="18"/>
      <c r="O3133" s="18"/>
      <c r="P3133" s="18"/>
      <c r="Q3133" s="18"/>
    </row>
    <row r="3134" spans="1:17" ht="210" x14ac:dyDescent="0.25">
      <c r="A3134" s="12" t="s">
        <v>7317</v>
      </c>
      <c r="B3134" s="12" t="s">
        <v>7280</v>
      </c>
      <c r="C3134" s="12" t="s">
        <v>7191</v>
      </c>
      <c r="D3134" s="12" t="s">
        <v>7176</v>
      </c>
      <c r="E3134" s="12" t="s">
        <v>5980</v>
      </c>
      <c r="F3134" s="12" t="s">
        <v>5981</v>
      </c>
      <c r="G3134" s="13" t="s">
        <v>7124</v>
      </c>
      <c r="H3134" s="12" t="s">
        <v>6687</v>
      </c>
      <c r="I3134" s="12"/>
      <c r="J3134" s="12"/>
      <c r="K3134" s="12"/>
      <c r="L3134" s="12"/>
      <c r="M3134" s="12" t="s">
        <v>5982</v>
      </c>
      <c r="N3134" s="12"/>
      <c r="O3134" s="12" t="s">
        <v>5983</v>
      </c>
      <c r="P3134" s="12" t="str">
        <f>HYPERLINK("https://ceds.ed.gov/cedselementdetails.aspx?termid=9163")</f>
        <v>https://ceds.ed.gov/cedselementdetails.aspx?termid=9163</v>
      </c>
      <c r="Q3134" s="12" t="str">
        <f>HYPERLINK("https://ceds.ed.gov/elementComment.aspx?elementName=Student Identification System &amp;elementID=9163", "Click here to submit comment")</f>
        <v>Click here to submit comment</v>
      </c>
    </row>
    <row r="3135" spans="1:17" ht="45" x14ac:dyDescent="0.25">
      <c r="A3135" s="12" t="s">
        <v>7317</v>
      </c>
      <c r="B3135" s="12" t="s">
        <v>7280</v>
      </c>
      <c r="C3135" s="12" t="s">
        <v>7191</v>
      </c>
      <c r="D3135" s="12" t="s">
        <v>7176</v>
      </c>
      <c r="E3135" s="12" t="s">
        <v>2073</v>
      </c>
      <c r="F3135" s="12" t="s">
        <v>2074</v>
      </c>
      <c r="G3135" s="12" t="s">
        <v>12</v>
      </c>
      <c r="H3135" s="12" t="s">
        <v>25</v>
      </c>
      <c r="I3135" s="12"/>
      <c r="J3135" s="12" t="s">
        <v>22</v>
      </c>
      <c r="K3135" s="12"/>
      <c r="L3135" s="12"/>
      <c r="M3135" s="12" t="s">
        <v>2075</v>
      </c>
      <c r="N3135" s="12"/>
      <c r="O3135" s="12" t="s">
        <v>2076</v>
      </c>
      <c r="P3135" s="12" t="str">
        <f>HYPERLINK("https://ceds.ed.gov/cedselementdetails.aspx?termid=9063")</f>
        <v>https://ceds.ed.gov/cedselementdetails.aspx?termid=9063</v>
      </c>
      <c r="Q3135" s="12" t="str">
        <f>HYPERLINK("https://ceds.ed.gov/elementComment.aspx?elementName=Course Override School &amp;elementID=9063", "Click here to submit comment")</f>
        <v>Click here to submit comment</v>
      </c>
    </row>
    <row r="3136" spans="1:17" ht="45" x14ac:dyDescent="0.25">
      <c r="A3136" s="12" t="s">
        <v>7317</v>
      </c>
      <c r="B3136" s="12" t="s">
        <v>7280</v>
      </c>
      <c r="C3136" s="12" t="s">
        <v>7191</v>
      </c>
      <c r="D3136" s="12" t="s">
        <v>7176</v>
      </c>
      <c r="E3136" s="12" t="s">
        <v>2253</v>
      </c>
      <c r="F3136" s="12" t="s">
        <v>2254</v>
      </c>
      <c r="G3136" s="12" t="s">
        <v>6364</v>
      </c>
      <c r="H3136" s="12" t="s">
        <v>25</v>
      </c>
      <c r="I3136" s="12"/>
      <c r="J3136" s="12"/>
      <c r="K3136" s="12"/>
      <c r="L3136" s="12"/>
      <c r="M3136" s="12" t="s">
        <v>2255</v>
      </c>
      <c r="N3136" s="12"/>
      <c r="O3136" s="12" t="s">
        <v>2256</v>
      </c>
      <c r="P3136" s="12" t="str">
        <f>HYPERLINK("https://ceds.ed.gov/cedselementdetails.aspx?termid=9077")</f>
        <v>https://ceds.ed.gov/cedselementdetails.aspx?termid=9077</v>
      </c>
      <c r="Q3136" s="12" t="str">
        <f>HYPERLINK("https://ceds.ed.gov/elementComment.aspx?elementName=Degree Applicability &amp;elementID=9077", "Click here to submit comment")</f>
        <v>Click here to submit comment</v>
      </c>
    </row>
    <row r="3137" spans="1:17" ht="30" x14ac:dyDescent="0.25">
      <c r="A3137" s="12" t="s">
        <v>7317</v>
      </c>
      <c r="B3137" s="12" t="s">
        <v>7280</v>
      </c>
      <c r="C3137" s="12" t="s">
        <v>7191</v>
      </c>
      <c r="D3137" s="12" t="s">
        <v>7176</v>
      </c>
      <c r="E3137" s="12" t="s">
        <v>1948</v>
      </c>
      <c r="F3137" s="12" t="s">
        <v>1949</v>
      </c>
      <c r="G3137" s="12" t="s">
        <v>12</v>
      </c>
      <c r="H3137" s="12" t="s">
        <v>6446</v>
      </c>
      <c r="I3137" s="12"/>
      <c r="J3137" s="12" t="s">
        <v>1950</v>
      </c>
      <c r="K3137" s="12"/>
      <c r="L3137" s="12"/>
      <c r="M3137" s="12" t="s">
        <v>1951</v>
      </c>
      <c r="N3137" s="12"/>
      <c r="O3137" s="12" t="s">
        <v>1952</v>
      </c>
      <c r="P3137" s="12" t="str">
        <f>HYPERLINK("https://ceds.ed.gov/cedselementdetails.aspx?termid=9053")</f>
        <v>https://ceds.ed.gov/cedselementdetails.aspx?termid=9053</v>
      </c>
      <c r="Q3137" s="12" t="str">
        <f>HYPERLINK("https://ceds.ed.gov/elementComment.aspx?elementName=Course Academic Grade &amp;elementID=9053", "Click here to submit comment")</f>
        <v>Click here to submit comment</v>
      </c>
    </row>
    <row r="3138" spans="1:17" ht="120" x14ac:dyDescent="0.25">
      <c r="A3138" s="12" t="s">
        <v>7317</v>
      </c>
      <c r="B3138" s="12" t="s">
        <v>7280</v>
      </c>
      <c r="C3138" s="12" t="s">
        <v>7191</v>
      </c>
      <c r="D3138" s="12" t="s">
        <v>7176</v>
      </c>
      <c r="E3138" s="12" t="s">
        <v>4588</v>
      </c>
      <c r="F3138" s="12" t="s">
        <v>4589</v>
      </c>
      <c r="G3138" s="12" t="s">
        <v>12</v>
      </c>
      <c r="H3138" s="12" t="s">
        <v>6596</v>
      </c>
      <c r="I3138" s="12"/>
      <c r="J3138" s="12" t="s">
        <v>1554</v>
      </c>
      <c r="K3138" s="12"/>
      <c r="L3138" s="12"/>
      <c r="M3138" s="12" t="s">
        <v>4590</v>
      </c>
      <c r="N3138" s="12"/>
      <c r="O3138" s="12" t="s">
        <v>4591</v>
      </c>
      <c r="P3138" s="12" t="str">
        <f>HYPERLINK("https://ceds.ed.gov/cedselementdetails.aspx?termid=9200")</f>
        <v>https://ceds.ed.gov/cedselementdetails.aspx?termid=9200</v>
      </c>
      <c r="Q3138" s="12" t="str">
        <f>HYPERLINK("https://ceds.ed.gov/elementComment.aspx?elementName=Number of Credits Earned &amp;elementID=9200", "Click here to submit comment")</f>
        <v>Click here to submit comment</v>
      </c>
    </row>
    <row r="3139" spans="1:17" ht="60" x14ac:dyDescent="0.25">
      <c r="A3139" s="12" t="s">
        <v>7317</v>
      </c>
      <c r="B3139" s="12" t="s">
        <v>7280</v>
      </c>
      <c r="C3139" s="12" t="s">
        <v>7191</v>
      </c>
      <c r="D3139" s="12" t="s">
        <v>7176</v>
      </c>
      <c r="E3139" s="12" t="s">
        <v>2077</v>
      </c>
      <c r="F3139" s="12" t="s">
        <v>2078</v>
      </c>
      <c r="G3139" s="12" t="s">
        <v>12</v>
      </c>
      <c r="H3139" s="12" t="s">
        <v>25</v>
      </c>
      <c r="I3139" s="12"/>
      <c r="J3139" s="12" t="s">
        <v>1554</v>
      </c>
      <c r="K3139" s="12"/>
      <c r="L3139" s="12"/>
      <c r="M3139" s="12" t="s">
        <v>2079</v>
      </c>
      <c r="N3139" s="12"/>
      <c r="O3139" s="12" t="s">
        <v>2080</v>
      </c>
      <c r="P3139" s="12" t="str">
        <f>HYPERLINK("https://ceds.ed.gov/cedselementdetails.aspx?termid=9064")</f>
        <v>https://ceds.ed.gov/cedselementdetails.aspx?termid=9064</v>
      </c>
      <c r="Q3139" s="12" t="str">
        <f>HYPERLINK("https://ceds.ed.gov/elementComment.aspx?elementName=Course Quality Points Earned &amp;elementID=9064", "Click here to submit comment")</f>
        <v>Click here to submit comment</v>
      </c>
    </row>
    <row r="3140" spans="1:17" ht="30" x14ac:dyDescent="0.25">
      <c r="A3140" s="12" t="s">
        <v>7317</v>
      </c>
      <c r="B3140" s="12" t="s">
        <v>7280</v>
      </c>
      <c r="C3140" s="12" t="s">
        <v>7191</v>
      </c>
      <c r="D3140" s="12" t="s">
        <v>7176</v>
      </c>
      <c r="E3140" s="12" t="s">
        <v>1963</v>
      </c>
      <c r="F3140" s="12" t="s">
        <v>1964</v>
      </c>
      <c r="G3140" s="12" t="s">
        <v>12</v>
      </c>
      <c r="H3140" s="12"/>
      <c r="I3140" s="12"/>
      <c r="J3140" s="12" t="s">
        <v>73</v>
      </c>
      <c r="K3140" s="12"/>
      <c r="L3140" s="12"/>
      <c r="M3140" s="12" t="s">
        <v>1965</v>
      </c>
      <c r="N3140" s="12"/>
      <c r="O3140" s="12" t="s">
        <v>1966</v>
      </c>
      <c r="P3140" s="12" t="str">
        <f>HYPERLINK("https://ceds.ed.gov/cedselementdetails.aspx?termid=10266")</f>
        <v>https://ceds.ed.gov/cedselementdetails.aspx?termid=10266</v>
      </c>
      <c r="Q3140" s="12" t="str">
        <f>HYPERLINK("https://ceds.ed.gov/elementComment.aspx?elementName=Course Add Date &amp;elementID=10266", "Click here to submit comment")</f>
        <v>Click here to submit comment</v>
      </c>
    </row>
    <row r="3141" spans="1:17" ht="30" x14ac:dyDescent="0.25">
      <c r="A3141" s="12" t="s">
        <v>7317</v>
      </c>
      <c r="B3141" s="12" t="s">
        <v>7280</v>
      </c>
      <c r="C3141" s="12" t="s">
        <v>7191</v>
      </c>
      <c r="D3141" s="12" t="s">
        <v>7176</v>
      </c>
      <c r="E3141" s="12" t="s">
        <v>2013</v>
      </c>
      <c r="F3141" s="12" t="s">
        <v>2014</v>
      </c>
      <c r="G3141" s="12" t="s">
        <v>12</v>
      </c>
      <c r="H3141" s="12" t="s">
        <v>2017</v>
      </c>
      <c r="I3141" s="12"/>
      <c r="J3141" s="12" t="s">
        <v>73</v>
      </c>
      <c r="K3141" s="12"/>
      <c r="L3141" s="12"/>
      <c r="M3141" s="12" t="s">
        <v>2015</v>
      </c>
      <c r="N3141" s="12"/>
      <c r="O3141" s="12" t="s">
        <v>2016</v>
      </c>
      <c r="P3141" s="12" t="str">
        <f>HYPERLINK("https://ceds.ed.gov/cedselementdetails.aspx?termid=10271")</f>
        <v>https://ceds.ed.gov/cedselementdetails.aspx?termid=10271</v>
      </c>
      <c r="Q3141" s="12" t="str">
        <f>HYPERLINK("https://ceds.ed.gov/elementComment.aspx?elementName=Course Drop Date &amp;elementID=10271", "Click here to submit comment")</f>
        <v>Click here to submit comment</v>
      </c>
    </row>
    <row r="3142" spans="1:17" ht="90" x14ac:dyDescent="0.25">
      <c r="A3142" s="12" t="s">
        <v>7317</v>
      </c>
      <c r="B3142" s="12" t="s">
        <v>7280</v>
      </c>
      <c r="C3142" s="12" t="s">
        <v>7191</v>
      </c>
      <c r="D3142" s="12" t="s">
        <v>7176</v>
      </c>
      <c r="E3142" s="12" t="s">
        <v>5968</v>
      </c>
      <c r="F3142" s="12" t="s">
        <v>5969</v>
      </c>
      <c r="G3142" s="12" t="s">
        <v>12</v>
      </c>
      <c r="H3142" s="12" t="s">
        <v>6369</v>
      </c>
      <c r="I3142" s="12"/>
      <c r="J3142" s="12" t="s">
        <v>1950</v>
      </c>
      <c r="K3142" s="12"/>
      <c r="L3142" s="12"/>
      <c r="M3142" s="12" t="s">
        <v>5970</v>
      </c>
      <c r="N3142" s="12"/>
      <c r="O3142" s="12" t="s">
        <v>5971</v>
      </c>
      <c r="P3142" s="12" t="str">
        <f>HYPERLINK("https://ceds.ed.gov/cedselementdetails.aspx?termid=9124")</f>
        <v>https://ceds.ed.gov/cedselementdetails.aspx?termid=9124</v>
      </c>
      <c r="Q3142" s="12" t="str">
        <f>HYPERLINK("https://ceds.ed.gov/elementComment.aspx?elementName=Student Course Section Grade Earned &amp;elementID=9124", "Click here to submit comment")</f>
        <v>Click here to submit comment</v>
      </c>
    </row>
    <row r="3143" spans="1:17" ht="45" x14ac:dyDescent="0.25">
      <c r="A3143" s="12" t="s">
        <v>7317</v>
      </c>
      <c r="B3143" s="12" t="s">
        <v>7280</v>
      </c>
      <c r="C3143" s="12" t="s">
        <v>7191</v>
      </c>
      <c r="D3143" s="12" t="s">
        <v>7176</v>
      </c>
      <c r="E3143" s="12" t="s">
        <v>5972</v>
      </c>
      <c r="F3143" s="12" t="s">
        <v>5973</v>
      </c>
      <c r="G3143" s="12" t="s">
        <v>12</v>
      </c>
      <c r="H3143" s="12"/>
      <c r="I3143" s="12"/>
      <c r="J3143" s="12" t="s">
        <v>68</v>
      </c>
      <c r="K3143" s="12"/>
      <c r="L3143" s="12"/>
      <c r="M3143" s="12" t="s">
        <v>5974</v>
      </c>
      <c r="N3143" s="12"/>
      <c r="O3143" s="12" t="s">
        <v>5975</v>
      </c>
      <c r="P3143" s="12" t="str">
        <f>HYPERLINK("https://ceds.ed.gov/cedselementdetails.aspx?termid=10552")</f>
        <v>https://ceds.ed.gov/cedselementdetails.aspx?termid=10552</v>
      </c>
      <c r="Q3143" s="12" t="str">
        <f>HYPERLINK("https://ceds.ed.gov/elementComment.aspx?elementName=Student Course Section Grade Narrative &amp;elementID=10552", "Click here to submit comment")</f>
        <v>Click here to submit comment</v>
      </c>
    </row>
    <row r="3144" spans="1:17" ht="90" x14ac:dyDescent="0.25">
      <c r="A3144" s="12" t="s">
        <v>7317</v>
      </c>
      <c r="B3144" s="12" t="s">
        <v>7280</v>
      </c>
      <c r="C3144" s="12" t="s">
        <v>7282</v>
      </c>
      <c r="D3144" s="12" t="s">
        <v>7176</v>
      </c>
      <c r="E3144" s="12" t="s">
        <v>4372</v>
      </c>
      <c r="F3144" s="12" t="s">
        <v>4373</v>
      </c>
      <c r="G3144" s="12" t="s">
        <v>12</v>
      </c>
      <c r="H3144" s="12" t="s">
        <v>6369</v>
      </c>
      <c r="I3144" s="12"/>
      <c r="J3144" s="12" t="s">
        <v>92</v>
      </c>
      <c r="K3144" s="12"/>
      <c r="L3144" s="12"/>
      <c r="M3144" s="12" t="s">
        <v>4374</v>
      </c>
      <c r="N3144" s="12"/>
      <c r="O3144" s="12" t="s">
        <v>4375</v>
      </c>
      <c r="P3144" s="12" t="str">
        <f>HYPERLINK("https://ceds.ed.gov/cedselementdetails.aspx?termid=9182")</f>
        <v>https://ceds.ed.gov/cedselementdetails.aspx?termid=9182</v>
      </c>
      <c r="Q3144" s="12" t="str">
        <f>HYPERLINK("https://ceds.ed.gov/elementComment.aspx?elementName=Marking Period Name &amp;elementID=9182", "Click here to submit comment")</f>
        <v>Click here to submit comment</v>
      </c>
    </row>
    <row r="3145" spans="1:17" ht="45" x14ac:dyDescent="0.25">
      <c r="A3145" s="12" t="s">
        <v>7317</v>
      </c>
      <c r="B3145" s="12" t="s">
        <v>7280</v>
      </c>
      <c r="C3145" s="12" t="s">
        <v>7282</v>
      </c>
      <c r="D3145" s="12" t="s">
        <v>7176</v>
      </c>
      <c r="E3145" s="12" t="s">
        <v>5976</v>
      </c>
      <c r="F3145" s="12" t="s">
        <v>5977</v>
      </c>
      <c r="G3145" s="12" t="s">
        <v>6364</v>
      </c>
      <c r="H3145" s="12"/>
      <c r="I3145" s="12"/>
      <c r="J3145" s="12"/>
      <c r="K3145" s="12"/>
      <c r="L3145" s="12"/>
      <c r="M3145" s="12" t="s">
        <v>5978</v>
      </c>
      <c r="N3145" s="12"/>
      <c r="O3145" s="12" t="s">
        <v>5979</v>
      </c>
      <c r="P3145" s="12" t="str">
        <f>HYPERLINK("https://ceds.ed.gov/cedselementdetails.aspx?termid=10191")</f>
        <v>https://ceds.ed.gov/cedselementdetails.aspx?termid=10191</v>
      </c>
      <c r="Q3145" s="12" t="str">
        <f>HYPERLINK("https://ceds.ed.gov/elementComment.aspx?elementName=Student Course Section Mark Final Indicator &amp;elementID=10191", "Click here to submit comment")</f>
        <v>Click here to submit comment</v>
      </c>
    </row>
    <row r="3146" spans="1:17" ht="90" x14ac:dyDescent="0.25">
      <c r="A3146" s="12" t="s">
        <v>7317</v>
      </c>
      <c r="B3146" s="12" t="s">
        <v>7280</v>
      </c>
      <c r="C3146" s="12" t="s">
        <v>7282</v>
      </c>
      <c r="D3146" s="12" t="s">
        <v>7176</v>
      </c>
      <c r="E3146" s="12" t="s">
        <v>4401</v>
      </c>
      <c r="F3146" s="12" t="s">
        <v>4402</v>
      </c>
      <c r="G3146" s="12" t="s">
        <v>12</v>
      </c>
      <c r="H3146" s="12" t="s">
        <v>6369</v>
      </c>
      <c r="I3146" s="12"/>
      <c r="J3146" s="12" t="s">
        <v>1950</v>
      </c>
      <c r="K3146" s="12"/>
      <c r="L3146" s="12"/>
      <c r="M3146" s="12" t="s">
        <v>4403</v>
      </c>
      <c r="N3146" s="12"/>
      <c r="O3146" s="12" t="s">
        <v>4404</v>
      </c>
      <c r="P3146" s="12" t="str">
        <f>HYPERLINK("https://ceds.ed.gov/cedselementdetails.aspx?termid=9183")</f>
        <v>https://ceds.ed.gov/cedselementdetails.aspx?termid=9183</v>
      </c>
      <c r="Q3146" s="12" t="str">
        <f>HYPERLINK("https://ceds.ed.gov/elementComment.aspx?elementName=Mid Term Mark &amp;elementID=9183", "Click here to submit comment")</f>
        <v>Click here to submit comment</v>
      </c>
    </row>
    <row r="3147" spans="1:17" ht="90" x14ac:dyDescent="0.25">
      <c r="A3147" s="12" t="s">
        <v>7317</v>
      </c>
      <c r="B3147" s="12" t="s">
        <v>7280</v>
      </c>
      <c r="C3147" s="12" t="s">
        <v>7282</v>
      </c>
      <c r="D3147" s="12" t="s">
        <v>7176</v>
      </c>
      <c r="E3147" s="12" t="s">
        <v>5968</v>
      </c>
      <c r="F3147" s="12" t="s">
        <v>5969</v>
      </c>
      <c r="G3147" s="12" t="s">
        <v>12</v>
      </c>
      <c r="H3147" s="12" t="s">
        <v>6369</v>
      </c>
      <c r="I3147" s="12"/>
      <c r="J3147" s="12" t="s">
        <v>1950</v>
      </c>
      <c r="K3147" s="12"/>
      <c r="L3147" s="12"/>
      <c r="M3147" s="12" t="s">
        <v>5970</v>
      </c>
      <c r="N3147" s="12"/>
      <c r="O3147" s="12" t="s">
        <v>5971</v>
      </c>
      <c r="P3147" s="12" t="str">
        <f>HYPERLINK("https://ceds.ed.gov/cedselementdetails.aspx?termid=9124")</f>
        <v>https://ceds.ed.gov/cedselementdetails.aspx?termid=9124</v>
      </c>
      <c r="Q3147" s="12" t="str">
        <f>HYPERLINK("https://ceds.ed.gov/elementComment.aspx?elementName=Student Course Section Grade Earned &amp;elementID=9124", "Click here to submit comment")</f>
        <v>Click here to submit comment</v>
      </c>
    </row>
    <row r="3148" spans="1:17" ht="135" x14ac:dyDescent="0.25">
      <c r="A3148" s="12" t="s">
        <v>7317</v>
      </c>
      <c r="B3148" s="12" t="s">
        <v>7280</v>
      </c>
      <c r="C3148" s="12" t="s">
        <v>7282</v>
      </c>
      <c r="D3148" s="12" t="s">
        <v>7176</v>
      </c>
      <c r="E3148" s="12" t="s">
        <v>3129</v>
      </c>
      <c r="F3148" s="12" t="s">
        <v>3130</v>
      </c>
      <c r="G3148" s="12" t="s">
        <v>12</v>
      </c>
      <c r="H3148" s="12"/>
      <c r="I3148" s="12"/>
      <c r="J3148" s="12" t="s">
        <v>794</v>
      </c>
      <c r="K3148" s="12"/>
      <c r="L3148" s="12" t="s">
        <v>3131</v>
      </c>
      <c r="M3148" s="12" t="s">
        <v>3132</v>
      </c>
      <c r="N3148" s="12"/>
      <c r="O3148" s="12" t="s">
        <v>3133</v>
      </c>
      <c r="P3148" s="12" t="str">
        <f>HYPERLINK("https://ceds.ed.gov/cedselementdetails.aspx?termid=9609")</f>
        <v>https://ceds.ed.gov/cedselementdetails.aspx?termid=9609</v>
      </c>
      <c r="Q3148" s="12" t="str">
        <f>HYPERLINK("https://ceds.ed.gov/elementComment.aspx?elementName=Grade Value Qualifier &amp;elementID=9609", "Click here to submit comment")</f>
        <v>Click here to submit comment</v>
      </c>
    </row>
    <row r="3149" spans="1:17" ht="285" x14ac:dyDescent="0.25">
      <c r="A3149" s="12" t="s">
        <v>7317</v>
      </c>
      <c r="B3149" s="12" t="s">
        <v>7280</v>
      </c>
      <c r="C3149" s="12" t="s">
        <v>7282</v>
      </c>
      <c r="D3149" s="12" t="s">
        <v>7176</v>
      </c>
      <c r="E3149" s="12" t="s">
        <v>1959</v>
      </c>
      <c r="F3149" s="12" t="s">
        <v>1960</v>
      </c>
      <c r="G3149" s="13" t="s">
        <v>6830</v>
      </c>
      <c r="H3149" s="12"/>
      <c r="I3149" s="12"/>
      <c r="J3149" s="12"/>
      <c r="K3149" s="12"/>
      <c r="L3149" s="12"/>
      <c r="M3149" s="12" t="s">
        <v>1961</v>
      </c>
      <c r="N3149" s="12"/>
      <c r="O3149" s="12" t="s">
        <v>1962</v>
      </c>
      <c r="P3149" s="12" t="str">
        <f>HYPERLINK("https://ceds.ed.gov/cedselementdetails.aspx?termid=10265")</f>
        <v>https://ceds.ed.gov/cedselementdetails.aspx?termid=10265</v>
      </c>
      <c r="Q3149" s="12" t="str">
        <f>HYPERLINK("https://ceds.ed.gov/elementComment.aspx?elementName=Course Academic Grade Status Code &amp;elementID=10265", "Click here to submit comment")</f>
        <v>Click here to submit comment</v>
      </c>
    </row>
    <row r="3150" spans="1:17" ht="345" x14ac:dyDescent="0.25">
      <c r="A3150" s="12" t="s">
        <v>7317</v>
      </c>
      <c r="B3150" s="12" t="s">
        <v>7280</v>
      </c>
      <c r="C3150" s="12" t="s">
        <v>7283</v>
      </c>
      <c r="D3150" s="12" t="s">
        <v>7176</v>
      </c>
      <c r="E3150" s="12" t="s">
        <v>5868</v>
      </c>
      <c r="F3150" s="12" t="s">
        <v>5869</v>
      </c>
      <c r="G3150" s="13" t="s">
        <v>7118</v>
      </c>
      <c r="H3150" s="12" t="s">
        <v>6675</v>
      </c>
      <c r="I3150" s="12"/>
      <c r="J3150" s="12"/>
      <c r="K3150" s="12"/>
      <c r="L3150" s="12"/>
      <c r="M3150" s="12" t="s">
        <v>5870</v>
      </c>
      <c r="N3150" s="12"/>
      <c r="O3150" s="12" t="s">
        <v>5871</v>
      </c>
      <c r="P3150" s="12" t="str">
        <f>HYPERLINK("https://ceds.ed.gov/cedselementdetails.aspx?termid=9162")</f>
        <v>https://ceds.ed.gov/cedselementdetails.aspx?termid=9162</v>
      </c>
      <c r="Q3150" s="12" t="str">
        <f>HYPERLINK("https://ceds.ed.gov/elementComment.aspx?elementName=Staff Member Identification System &amp;elementID=9162", "Click here to submit comment")</f>
        <v>Click here to submit comment</v>
      </c>
    </row>
    <row r="3151" spans="1:17" ht="105" x14ac:dyDescent="0.25">
      <c r="A3151" s="18" t="s">
        <v>7317</v>
      </c>
      <c r="B3151" s="18" t="s">
        <v>7280</v>
      </c>
      <c r="C3151" s="18" t="s">
        <v>7283</v>
      </c>
      <c r="D3151" s="18" t="s">
        <v>7176</v>
      </c>
      <c r="E3151" s="18" t="s">
        <v>5872</v>
      </c>
      <c r="F3151" s="18" t="s">
        <v>5873</v>
      </c>
      <c r="G3151" s="18" t="s">
        <v>12</v>
      </c>
      <c r="H3151" s="18" t="s">
        <v>6676</v>
      </c>
      <c r="I3151" s="18"/>
      <c r="J3151" s="18" t="s">
        <v>142</v>
      </c>
      <c r="K3151" s="18"/>
      <c r="L3151" s="12" t="s">
        <v>143</v>
      </c>
      <c r="M3151" s="18" t="s">
        <v>5874</v>
      </c>
      <c r="N3151" s="18"/>
      <c r="O3151" s="18" t="s">
        <v>5875</v>
      </c>
      <c r="P3151" s="18" t="str">
        <f>HYPERLINK("https://ceds.ed.gov/cedselementdetails.aspx?termid=9156")</f>
        <v>https://ceds.ed.gov/cedselementdetails.aspx?termid=9156</v>
      </c>
      <c r="Q3151" s="18" t="str">
        <f>HYPERLINK("https://ceds.ed.gov/elementComment.aspx?elementName=Staff Member Identifier &amp;elementID=9156", "Click here to submit comment")</f>
        <v>Click here to submit comment</v>
      </c>
    </row>
    <row r="3152" spans="1:17" x14ac:dyDescent="0.25">
      <c r="A3152" s="18"/>
      <c r="B3152" s="18"/>
      <c r="C3152" s="18"/>
      <c r="D3152" s="18"/>
      <c r="E3152" s="18"/>
      <c r="F3152" s="18"/>
      <c r="G3152" s="18"/>
      <c r="H3152" s="18"/>
      <c r="I3152" s="18"/>
      <c r="J3152" s="18"/>
      <c r="K3152" s="18"/>
      <c r="L3152" s="12"/>
      <c r="M3152" s="18"/>
      <c r="N3152" s="18"/>
      <c r="O3152" s="18"/>
      <c r="P3152" s="18"/>
      <c r="Q3152" s="18"/>
    </row>
    <row r="3153" spans="1:17" ht="90" x14ac:dyDescent="0.25">
      <c r="A3153" s="18"/>
      <c r="B3153" s="18"/>
      <c r="C3153" s="18"/>
      <c r="D3153" s="18"/>
      <c r="E3153" s="18"/>
      <c r="F3153" s="18"/>
      <c r="G3153" s="18"/>
      <c r="H3153" s="18"/>
      <c r="I3153" s="18"/>
      <c r="J3153" s="18"/>
      <c r="K3153" s="18"/>
      <c r="L3153" s="12" t="s">
        <v>144</v>
      </c>
      <c r="M3153" s="18"/>
      <c r="N3153" s="18"/>
      <c r="O3153" s="18"/>
      <c r="P3153" s="18"/>
      <c r="Q3153" s="18"/>
    </row>
    <row r="3154" spans="1:17" ht="30" x14ac:dyDescent="0.25">
      <c r="A3154" s="12" t="s">
        <v>7317</v>
      </c>
      <c r="B3154" s="12" t="s">
        <v>7280</v>
      </c>
      <c r="C3154" s="12" t="s">
        <v>7283</v>
      </c>
      <c r="D3154" s="12" t="s">
        <v>7176</v>
      </c>
      <c r="E3154" s="12" t="s">
        <v>1492</v>
      </c>
      <c r="F3154" s="12" t="s">
        <v>1493</v>
      </c>
      <c r="G3154" s="12" t="s">
        <v>12</v>
      </c>
      <c r="H3154" s="12"/>
      <c r="I3154" s="12"/>
      <c r="J3154" s="12" t="s">
        <v>73</v>
      </c>
      <c r="K3154" s="12"/>
      <c r="L3154" s="12"/>
      <c r="M3154" s="12" t="s">
        <v>1494</v>
      </c>
      <c r="N3154" s="12"/>
      <c r="O3154" s="12" t="s">
        <v>1495</v>
      </c>
      <c r="P3154" s="12" t="str">
        <f>HYPERLINK("https://ceds.ed.gov/cedselementdetails.aspx?termid=9517")</f>
        <v>https://ceds.ed.gov/cedselementdetails.aspx?termid=9517</v>
      </c>
      <c r="Q3154" s="12" t="str">
        <f>HYPERLINK("https://ceds.ed.gov/elementComment.aspx?elementName=Assignment Start Date &amp;elementID=9517", "Click here to submit comment")</f>
        <v>Click here to submit comment</v>
      </c>
    </row>
    <row r="3155" spans="1:17" ht="30" x14ac:dyDescent="0.25">
      <c r="A3155" s="12" t="s">
        <v>7317</v>
      </c>
      <c r="B3155" s="12" t="s">
        <v>7280</v>
      </c>
      <c r="C3155" s="12" t="s">
        <v>7283</v>
      </c>
      <c r="D3155" s="12" t="s">
        <v>7176</v>
      </c>
      <c r="E3155" s="12" t="s">
        <v>1488</v>
      </c>
      <c r="F3155" s="12" t="s">
        <v>1489</v>
      </c>
      <c r="G3155" s="12" t="s">
        <v>12</v>
      </c>
      <c r="H3155" s="12"/>
      <c r="I3155" s="12"/>
      <c r="J3155" s="12" t="s">
        <v>73</v>
      </c>
      <c r="K3155" s="12"/>
      <c r="L3155" s="12"/>
      <c r="M3155" s="12" t="s">
        <v>1490</v>
      </c>
      <c r="N3155" s="12"/>
      <c r="O3155" s="12" t="s">
        <v>1491</v>
      </c>
      <c r="P3155" s="12" t="str">
        <f>HYPERLINK("https://ceds.ed.gov/cedselementdetails.aspx?termid=9518")</f>
        <v>https://ceds.ed.gov/cedselementdetails.aspx?termid=9518</v>
      </c>
      <c r="Q3155" s="12" t="str">
        <f>HYPERLINK("https://ceds.ed.gov/elementComment.aspx?elementName=Assignment End Date &amp;elementID=9518", "Click here to submit comment")</f>
        <v>Click here to submit comment</v>
      </c>
    </row>
    <row r="3156" spans="1:17" ht="60" x14ac:dyDescent="0.25">
      <c r="A3156" s="12" t="s">
        <v>7317</v>
      </c>
      <c r="B3156" s="12" t="s">
        <v>7280</v>
      </c>
      <c r="C3156" s="12" t="s">
        <v>7283</v>
      </c>
      <c r="D3156" s="12" t="s">
        <v>7176</v>
      </c>
      <c r="E3156" s="12" t="s">
        <v>6038</v>
      </c>
      <c r="F3156" s="12" t="s">
        <v>6039</v>
      </c>
      <c r="G3156" s="12" t="s">
        <v>6364</v>
      </c>
      <c r="H3156" s="12" t="s">
        <v>6043</v>
      </c>
      <c r="I3156" s="12"/>
      <c r="J3156" s="12"/>
      <c r="K3156" s="12"/>
      <c r="L3156" s="12" t="s">
        <v>6040</v>
      </c>
      <c r="M3156" s="12" t="s">
        <v>6041</v>
      </c>
      <c r="N3156" s="12"/>
      <c r="O3156" s="12" t="s">
        <v>6042</v>
      </c>
      <c r="P3156" s="12" t="str">
        <f>HYPERLINK("https://ceds.ed.gov/cedselementdetails.aspx?termid=9649")</f>
        <v>https://ceds.ed.gov/cedselementdetails.aspx?termid=9649</v>
      </c>
      <c r="Q3156" s="12" t="str">
        <f>HYPERLINK("https://ceds.ed.gov/elementComment.aspx?elementName=Teacher of Record &amp;elementID=9649", "Click here to submit comment")</f>
        <v>Click here to submit comment</v>
      </c>
    </row>
    <row r="3157" spans="1:17" ht="90" x14ac:dyDescent="0.25">
      <c r="A3157" s="12" t="s">
        <v>7317</v>
      </c>
      <c r="B3157" s="12" t="s">
        <v>7280</v>
      </c>
      <c r="C3157" s="12" t="s">
        <v>7283</v>
      </c>
      <c r="D3157" s="12" t="s">
        <v>7176</v>
      </c>
      <c r="E3157" s="12" t="s">
        <v>6066</v>
      </c>
      <c r="F3157" s="12" t="s">
        <v>6067</v>
      </c>
      <c r="G3157" s="13" t="s">
        <v>7130</v>
      </c>
      <c r="H3157" s="12" t="s">
        <v>6043</v>
      </c>
      <c r="I3157" s="12"/>
      <c r="J3157" s="12"/>
      <c r="K3157" s="12"/>
      <c r="L3157" s="12"/>
      <c r="M3157" s="12" t="s">
        <v>6068</v>
      </c>
      <c r="N3157" s="12"/>
      <c r="O3157" s="12" t="s">
        <v>6069</v>
      </c>
      <c r="P3157" s="12" t="str">
        <f>HYPERLINK("https://ceds.ed.gov/cedselementdetails.aspx?termid=9650")</f>
        <v>https://ceds.ed.gov/cedselementdetails.aspx?termid=9650</v>
      </c>
      <c r="Q3157" s="12" t="str">
        <f>HYPERLINK("https://ceds.ed.gov/elementComment.aspx?elementName=Teaching Assignment Role &amp;elementID=9650", "Click here to submit comment")</f>
        <v>Click here to submit comment</v>
      </c>
    </row>
    <row r="3158" spans="1:17" ht="90" x14ac:dyDescent="0.25">
      <c r="A3158" s="12" t="s">
        <v>7317</v>
      </c>
      <c r="B3158" s="12" t="s">
        <v>7280</v>
      </c>
      <c r="C3158" s="12" t="s">
        <v>7283</v>
      </c>
      <c r="D3158" s="12" t="s">
        <v>7176</v>
      </c>
      <c r="E3158" s="12" t="s">
        <v>6058</v>
      </c>
      <c r="F3158" s="12" t="s">
        <v>6059</v>
      </c>
      <c r="G3158" s="12" t="s">
        <v>12</v>
      </c>
      <c r="H3158" s="12" t="s">
        <v>6043</v>
      </c>
      <c r="I3158" s="12"/>
      <c r="J3158" s="12" t="s">
        <v>789</v>
      </c>
      <c r="K3158" s="12"/>
      <c r="L3158" s="12"/>
      <c r="M3158" s="12" t="s">
        <v>6060</v>
      </c>
      <c r="N3158" s="12"/>
      <c r="O3158" s="12" t="s">
        <v>6061</v>
      </c>
      <c r="P3158" s="12" t="str">
        <f>HYPERLINK("https://ceds.ed.gov/cedselementdetails.aspx?termid=9651")</f>
        <v>https://ceds.ed.gov/cedselementdetails.aspx?termid=9651</v>
      </c>
      <c r="Q3158" s="12" t="str">
        <f>HYPERLINK("https://ceds.ed.gov/elementComment.aspx?elementName=Teaching Assignment Contribution Percentage &amp;elementID=9651", "Click here to submit comment")</f>
        <v>Click here to submit comment</v>
      </c>
    </row>
    <row r="3159" spans="1:17" ht="270" x14ac:dyDescent="0.25">
      <c r="A3159" s="12" t="s">
        <v>7317</v>
      </c>
      <c r="B3159" s="12" t="s">
        <v>7280</v>
      </c>
      <c r="C3159" s="12" t="s">
        <v>7283</v>
      </c>
      <c r="D3159" s="12" t="s">
        <v>7176</v>
      </c>
      <c r="E3159" s="12" t="s">
        <v>1846</v>
      </c>
      <c r="F3159" s="12" t="s">
        <v>1847</v>
      </c>
      <c r="G3159" s="13" t="s">
        <v>6820</v>
      </c>
      <c r="H3159" s="12"/>
      <c r="I3159" s="12"/>
      <c r="J3159" s="12"/>
      <c r="K3159" s="12"/>
      <c r="L3159" s="12"/>
      <c r="M3159" s="12" t="s">
        <v>1848</v>
      </c>
      <c r="N3159" s="12"/>
      <c r="O3159" s="12" t="s">
        <v>1849</v>
      </c>
      <c r="P3159" s="12" t="str">
        <f>HYPERLINK("https://ceds.ed.gov/cedselementdetails.aspx?termid=9615")</f>
        <v>https://ceds.ed.gov/cedselementdetails.aspx?termid=9615</v>
      </c>
      <c r="Q3159" s="12" t="str">
        <f>HYPERLINK("https://ceds.ed.gov/elementComment.aspx?elementName=Classroom Position Type &amp;elementID=9615", "Click here to submit comment")</f>
        <v>Click here to submit comment</v>
      </c>
    </row>
    <row r="3160" spans="1:17" ht="30" x14ac:dyDescent="0.25">
      <c r="A3160" s="12" t="s">
        <v>7317</v>
      </c>
      <c r="B3160" s="12" t="s">
        <v>7280</v>
      </c>
      <c r="C3160" s="12" t="s">
        <v>7262</v>
      </c>
      <c r="D3160" s="12" t="s">
        <v>7176</v>
      </c>
      <c r="E3160" s="12" t="s">
        <v>1496</v>
      </c>
      <c r="F3160" s="12" t="s">
        <v>1497</v>
      </c>
      <c r="G3160" s="12" t="s">
        <v>12</v>
      </c>
      <c r="H3160" s="12"/>
      <c r="I3160" s="12" t="s">
        <v>1498</v>
      </c>
      <c r="J3160" s="12" t="s">
        <v>73</v>
      </c>
      <c r="K3160" s="12"/>
      <c r="L3160" s="12"/>
      <c r="M3160" s="12" t="s">
        <v>1499</v>
      </c>
      <c r="N3160" s="12"/>
      <c r="O3160" s="12" t="s">
        <v>1500</v>
      </c>
      <c r="P3160" s="12" t="str">
        <f>HYPERLINK("https://ceds.ed.gov/cedselementdetails.aspx?termid=10630")</f>
        <v>https://ceds.ed.gov/cedselementdetails.aspx?termid=10630</v>
      </c>
      <c r="Q3160" s="12" t="str">
        <f>HYPERLINK("https://ceds.ed.gov/elementComment.aspx?elementName=Attendance Event Date &amp;elementID=10630", "Click here to submit comment")</f>
        <v>Click here to submit comment</v>
      </c>
    </row>
    <row r="3161" spans="1:17" ht="120" x14ac:dyDescent="0.25">
      <c r="A3161" s="12" t="s">
        <v>7317</v>
      </c>
      <c r="B3161" s="12" t="s">
        <v>7280</v>
      </c>
      <c r="C3161" s="12" t="s">
        <v>7262</v>
      </c>
      <c r="D3161" s="12" t="s">
        <v>7176</v>
      </c>
      <c r="E3161" s="12" t="s">
        <v>1501</v>
      </c>
      <c r="F3161" s="12" t="s">
        <v>1502</v>
      </c>
      <c r="G3161" s="13" t="s">
        <v>6798</v>
      </c>
      <c r="H3161" s="12"/>
      <c r="I3161" s="12"/>
      <c r="J3161" s="12"/>
      <c r="K3161" s="12"/>
      <c r="L3161" s="12"/>
      <c r="M3161" s="12" t="s">
        <v>1503</v>
      </c>
      <c r="N3161" s="12"/>
      <c r="O3161" s="12" t="s">
        <v>1504</v>
      </c>
      <c r="P3161" s="12" t="str">
        <f>HYPERLINK("https://ceds.ed.gov/cedselementdetails.aspx?termid=9594")</f>
        <v>https://ceds.ed.gov/cedselementdetails.aspx?termid=9594</v>
      </c>
      <c r="Q3161" s="12" t="str">
        <f>HYPERLINK("https://ceds.ed.gov/elementComment.aspx?elementName=Attendance Event Type &amp;elementID=9594", "Click here to submit comment")</f>
        <v>Click here to submit comment</v>
      </c>
    </row>
    <row r="3162" spans="1:17" ht="105" x14ac:dyDescent="0.25">
      <c r="A3162" s="12" t="s">
        <v>7317</v>
      </c>
      <c r="B3162" s="12" t="s">
        <v>7280</v>
      </c>
      <c r="C3162" s="12" t="s">
        <v>7262</v>
      </c>
      <c r="D3162" s="12" t="s">
        <v>7176</v>
      </c>
      <c r="E3162" s="12" t="s">
        <v>1505</v>
      </c>
      <c r="F3162" s="12" t="s">
        <v>1506</v>
      </c>
      <c r="G3162" s="13" t="s">
        <v>6799</v>
      </c>
      <c r="H3162" s="12"/>
      <c r="I3162" s="12" t="s">
        <v>98</v>
      </c>
      <c r="J3162" s="12"/>
      <c r="K3162" s="12"/>
      <c r="L3162" s="12"/>
      <c r="M3162" s="12" t="s">
        <v>1507</v>
      </c>
      <c r="N3162" s="12"/>
      <c r="O3162" s="12" t="s">
        <v>1508</v>
      </c>
      <c r="P3162" s="12" t="str">
        <f>HYPERLINK("https://ceds.ed.gov/cedselementdetails.aspx?termid=9076")</f>
        <v>https://ceds.ed.gov/cedselementdetails.aspx?termid=9076</v>
      </c>
      <c r="Q3162" s="12" t="str">
        <f>HYPERLINK("https://ceds.ed.gov/elementComment.aspx?elementName=Attendance Status &amp;elementID=9076", "Click here to submit comment")</f>
        <v>Click here to submit comment</v>
      </c>
    </row>
    <row r="3163" spans="1:17" ht="195" x14ac:dyDescent="0.25">
      <c r="A3163" s="12" t="s">
        <v>7317</v>
      </c>
      <c r="B3163" s="12" t="s">
        <v>7318</v>
      </c>
      <c r="C3163" s="12" t="s">
        <v>7171</v>
      </c>
      <c r="D3163" s="12" t="s">
        <v>7172</v>
      </c>
      <c r="E3163" s="12" t="s">
        <v>3017</v>
      </c>
      <c r="F3163" s="12" t="s">
        <v>3018</v>
      </c>
      <c r="G3163" s="12" t="s">
        <v>12</v>
      </c>
      <c r="H3163" s="12" t="s">
        <v>6540</v>
      </c>
      <c r="I3163" s="12"/>
      <c r="J3163" s="12" t="s">
        <v>1349</v>
      </c>
      <c r="K3163" s="12"/>
      <c r="L3163" s="12" t="s">
        <v>3019</v>
      </c>
      <c r="M3163" s="12" t="s">
        <v>3020</v>
      </c>
      <c r="N3163" s="12"/>
      <c r="O3163" s="12" t="s">
        <v>3021</v>
      </c>
      <c r="P3163" s="12" t="str">
        <f>HYPERLINK("https://ceds.ed.gov/cedselementdetails.aspx?termid=9115")</f>
        <v>https://ceds.ed.gov/cedselementdetails.aspx?termid=9115</v>
      </c>
      <c r="Q3163" s="12" t="str">
        <f>HYPERLINK("https://ceds.ed.gov/elementComment.aspx?elementName=First Name &amp;elementID=9115", "Click here to submit comment")</f>
        <v>Click here to submit comment</v>
      </c>
    </row>
    <row r="3164" spans="1:17" x14ac:dyDescent="0.25">
      <c r="A3164" s="18" t="s">
        <v>7317</v>
      </c>
      <c r="B3164" s="18" t="s">
        <v>7318</v>
      </c>
      <c r="C3164" s="18" t="s">
        <v>7171</v>
      </c>
      <c r="D3164" s="18" t="s">
        <v>7172</v>
      </c>
      <c r="E3164" s="18" t="s">
        <v>4405</v>
      </c>
      <c r="F3164" s="18" t="s">
        <v>4406</v>
      </c>
      <c r="G3164" s="18" t="s">
        <v>12</v>
      </c>
      <c r="H3164" s="18" t="s">
        <v>6540</v>
      </c>
      <c r="I3164" s="18"/>
      <c r="J3164" s="18" t="s">
        <v>1349</v>
      </c>
      <c r="K3164" s="18"/>
      <c r="L3164" s="12" t="s">
        <v>3078</v>
      </c>
      <c r="M3164" s="18" t="s">
        <v>4407</v>
      </c>
      <c r="N3164" s="18"/>
      <c r="O3164" s="18" t="s">
        <v>4408</v>
      </c>
      <c r="P3164" s="18" t="str">
        <f>HYPERLINK("https://ceds.ed.gov/cedselementdetails.aspx?termid=9184")</f>
        <v>https://ceds.ed.gov/cedselementdetails.aspx?termid=9184</v>
      </c>
      <c r="Q3164" s="18" t="str">
        <f>HYPERLINK("https://ceds.ed.gov/elementComment.aspx?elementName=Middle Name &amp;elementID=9184", "Click here to submit comment")</f>
        <v>Click here to submit comment</v>
      </c>
    </row>
    <row r="3165" spans="1:17" ht="90" x14ac:dyDescent="0.25">
      <c r="A3165" s="18"/>
      <c r="B3165" s="18"/>
      <c r="C3165" s="18"/>
      <c r="D3165" s="18"/>
      <c r="E3165" s="18"/>
      <c r="F3165" s="18"/>
      <c r="G3165" s="18"/>
      <c r="H3165" s="18"/>
      <c r="I3165" s="18"/>
      <c r="J3165" s="18"/>
      <c r="K3165" s="18"/>
      <c r="L3165" s="12" t="s">
        <v>3079</v>
      </c>
      <c r="M3165" s="18"/>
      <c r="N3165" s="18"/>
      <c r="O3165" s="18"/>
      <c r="P3165" s="18"/>
      <c r="Q3165" s="18"/>
    </row>
    <row r="3166" spans="1:17" x14ac:dyDescent="0.25">
      <c r="A3166" s="18" t="s">
        <v>7317</v>
      </c>
      <c r="B3166" s="18" t="s">
        <v>7318</v>
      </c>
      <c r="C3166" s="18" t="s">
        <v>7171</v>
      </c>
      <c r="D3166" s="18" t="s">
        <v>7172</v>
      </c>
      <c r="E3166" s="18" t="s">
        <v>3684</v>
      </c>
      <c r="F3166" s="18" t="s">
        <v>3685</v>
      </c>
      <c r="G3166" s="18" t="s">
        <v>12</v>
      </c>
      <c r="H3166" s="18" t="s">
        <v>6540</v>
      </c>
      <c r="I3166" s="18"/>
      <c r="J3166" s="18" t="s">
        <v>1349</v>
      </c>
      <c r="K3166" s="18"/>
      <c r="L3166" s="12" t="s">
        <v>3078</v>
      </c>
      <c r="M3166" s="18" t="s">
        <v>3686</v>
      </c>
      <c r="N3166" s="18" t="s">
        <v>3687</v>
      </c>
      <c r="O3166" s="18" t="s">
        <v>3688</v>
      </c>
      <c r="P3166" s="18" t="str">
        <f>HYPERLINK("https://ceds.ed.gov/cedselementdetails.aspx?termid=9172")</f>
        <v>https://ceds.ed.gov/cedselementdetails.aspx?termid=9172</v>
      </c>
      <c r="Q3166" s="18" t="str">
        <f>HYPERLINK("https://ceds.ed.gov/elementComment.aspx?elementName=Last or Surname &amp;elementID=9172", "Click here to submit comment")</f>
        <v>Click here to submit comment</v>
      </c>
    </row>
    <row r="3167" spans="1:17" ht="90" x14ac:dyDescent="0.25">
      <c r="A3167" s="18"/>
      <c r="B3167" s="18"/>
      <c r="C3167" s="18"/>
      <c r="D3167" s="18"/>
      <c r="E3167" s="18"/>
      <c r="F3167" s="18"/>
      <c r="G3167" s="18"/>
      <c r="H3167" s="18"/>
      <c r="I3167" s="18"/>
      <c r="J3167" s="18"/>
      <c r="K3167" s="18"/>
      <c r="L3167" s="12" t="s">
        <v>3079</v>
      </c>
      <c r="M3167" s="18"/>
      <c r="N3167" s="18"/>
      <c r="O3167" s="18"/>
      <c r="P3167" s="18"/>
      <c r="Q3167" s="18"/>
    </row>
    <row r="3168" spans="1:17" x14ac:dyDescent="0.25">
      <c r="A3168" s="18" t="s">
        <v>7317</v>
      </c>
      <c r="B3168" s="18" t="s">
        <v>7318</v>
      </c>
      <c r="C3168" s="18" t="s">
        <v>7171</v>
      </c>
      <c r="D3168" s="18" t="s">
        <v>7172</v>
      </c>
      <c r="E3168" s="18" t="s">
        <v>3076</v>
      </c>
      <c r="F3168" s="18" t="s">
        <v>3077</v>
      </c>
      <c r="G3168" s="18" t="s">
        <v>12</v>
      </c>
      <c r="H3168" s="18" t="s">
        <v>6543</v>
      </c>
      <c r="I3168" s="18"/>
      <c r="J3168" s="18" t="s">
        <v>2143</v>
      </c>
      <c r="K3168" s="18"/>
      <c r="L3168" s="12" t="s">
        <v>3078</v>
      </c>
      <c r="M3168" s="18" t="s">
        <v>3080</v>
      </c>
      <c r="N3168" s="18"/>
      <c r="O3168" s="18" t="s">
        <v>3081</v>
      </c>
      <c r="P3168" s="18" t="str">
        <f>HYPERLINK("https://ceds.ed.gov/cedselementdetails.aspx?termid=9121")</f>
        <v>https://ceds.ed.gov/cedselementdetails.aspx?termid=9121</v>
      </c>
      <c r="Q3168" s="18" t="str">
        <f>HYPERLINK("https://ceds.ed.gov/elementComment.aspx?elementName=Generation Code or Suffix &amp;elementID=9121", "Click here to submit comment")</f>
        <v>Click here to submit comment</v>
      </c>
    </row>
    <row r="3169" spans="1:17" ht="90" x14ac:dyDescent="0.25">
      <c r="A3169" s="18"/>
      <c r="B3169" s="18"/>
      <c r="C3169" s="18"/>
      <c r="D3169" s="18"/>
      <c r="E3169" s="18"/>
      <c r="F3169" s="18"/>
      <c r="G3169" s="18"/>
      <c r="H3169" s="18"/>
      <c r="I3169" s="18"/>
      <c r="J3169" s="18"/>
      <c r="K3169" s="18"/>
      <c r="L3169" s="12" t="s">
        <v>3079</v>
      </c>
      <c r="M3169" s="18"/>
      <c r="N3169" s="18"/>
      <c r="O3169" s="18"/>
      <c r="P3169" s="18"/>
      <c r="Q3169" s="18"/>
    </row>
    <row r="3170" spans="1:17" ht="105" x14ac:dyDescent="0.25">
      <c r="A3170" s="12" t="s">
        <v>7317</v>
      </c>
      <c r="B3170" s="12" t="s">
        <v>7318</v>
      </c>
      <c r="C3170" s="12" t="s">
        <v>7171</v>
      </c>
      <c r="D3170" s="12" t="s">
        <v>7172</v>
      </c>
      <c r="E3170" s="12" t="s">
        <v>4835</v>
      </c>
      <c r="F3170" s="12" t="s">
        <v>4836</v>
      </c>
      <c r="G3170" s="12" t="s">
        <v>12</v>
      </c>
      <c r="H3170" s="12" t="s">
        <v>6627</v>
      </c>
      <c r="I3170" s="12"/>
      <c r="J3170" s="12" t="s">
        <v>92</v>
      </c>
      <c r="K3170" s="12"/>
      <c r="L3170" s="12"/>
      <c r="M3170" s="12" t="s">
        <v>4837</v>
      </c>
      <c r="N3170" s="12" t="s">
        <v>4838</v>
      </c>
      <c r="O3170" s="12" t="s">
        <v>4839</v>
      </c>
      <c r="P3170" s="12" t="str">
        <f>HYPERLINK("https://ceds.ed.gov/cedselementdetails.aspx?termid=9212")</f>
        <v>https://ceds.ed.gov/cedselementdetails.aspx?termid=9212</v>
      </c>
      <c r="Q3170" s="12" t="str">
        <f>HYPERLINK("https://ceds.ed.gov/elementComment.aspx?elementName=Personal Title or Prefix &amp;elementID=9212", "Click here to submit comment")</f>
        <v>Click here to submit comment</v>
      </c>
    </row>
    <row r="3171" spans="1:17" ht="30" x14ac:dyDescent="0.25">
      <c r="A3171" s="12" t="s">
        <v>7317</v>
      </c>
      <c r="B3171" s="12" t="s">
        <v>7318</v>
      </c>
      <c r="C3171" s="12" t="s">
        <v>7173</v>
      </c>
      <c r="D3171" s="12" t="s">
        <v>7172</v>
      </c>
      <c r="E3171" s="12" t="s">
        <v>4705</v>
      </c>
      <c r="F3171" s="12" t="s">
        <v>4706</v>
      </c>
      <c r="G3171" s="12" t="s">
        <v>12</v>
      </c>
      <c r="H3171" s="12"/>
      <c r="I3171" s="12"/>
      <c r="J3171" s="12" t="s">
        <v>1349</v>
      </c>
      <c r="K3171" s="12"/>
      <c r="L3171" s="12" t="s">
        <v>4707</v>
      </c>
      <c r="M3171" s="12" t="s">
        <v>4708</v>
      </c>
      <c r="N3171" s="12"/>
      <c r="O3171" s="12" t="s">
        <v>4709</v>
      </c>
      <c r="P3171" s="12" t="str">
        <f>HYPERLINK("https://ceds.ed.gov/cedselementdetails.aspx?termid=10486")</f>
        <v>https://ceds.ed.gov/cedselementdetails.aspx?termid=10486</v>
      </c>
      <c r="Q3171" s="12" t="str">
        <f>HYPERLINK("https://ceds.ed.gov/elementComment.aspx?elementName=Other First Name &amp;elementID=10486", "Click here to submit comment")</f>
        <v>Click here to submit comment</v>
      </c>
    </row>
    <row r="3172" spans="1:17" ht="30" x14ac:dyDescent="0.25">
      <c r="A3172" s="12" t="s">
        <v>7317</v>
      </c>
      <c r="B3172" s="12" t="s">
        <v>7318</v>
      </c>
      <c r="C3172" s="12" t="s">
        <v>7173</v>
      </c>
      <c r="D3172" s="12" t="s">
        <v>7172</v>
      </c>
      <c r="E3172" s="12" t="s">
        <v>4710</v>
      </c>
      <c r="F3172" s="12" t="s">
        <v>4711</v>
      </c>
      <c r="G3172" s="12" t="s">
        <v>12</v>
      </c>
      <c r="H3172" s="12"/>
      <c r="I3172" s="12"/>
      <c r="J3172" s="12" t="s">
        <v>1349</v>
      </c>
      <c r="K3172" s="12"/>
      <c r="L3172" s="12" t="s">
        <v>4712</v>
      </c>
      <c r="M3172" s="12" t="s">
        <v>4713</v>
      </c>
      <c r="N3172" s="12"/>
      <c r="O3172" s="12" t="s">
        <v>4714</v>
      </c>
      <c r="P3172" s="12" t="str">
        <f>HYPERLINK("https://ceds.ed.gov/cedselementdetails.aspx?termid=10485")</f>
        <v>https://ceds.ed.gov/cedselementdetails.aspx?termid=10485</v>
      </c>
      <c r="Q3172" s="12" t="str">
        <f>HYPERLINK("https://ceds.ed.gov/elementComment.aspx?elementName=Other Last Name &amp;elementID=10485", "Click here to submit comment")</f>
        <v>Click here to submit comment</v>
      </c>
    </row>
    <row r="3173" spans="1:17" ht="30" x14ac:dyDescent="0.25">
      <c r="A3173" s="12" t="s">
        <v>7317</v>
      </c>
      <c r="B3173" s="12" t="s">
        <v>7318</v>
      </c>
      <c r="C3173" s="12" t="s">
        <v>7173</v>
      </c>
      <c r="D3173" s="12" t="s">
        <v>7172</v>
      </c>
      <c r="E3173" s="12" t="s">
        <v>4715</v>
      </c>
      <c r="F3173" s="12" t="s">
        <v>4716</v>
      </c>
      <c r="G3173" s="12" t="s">
        <v>12</v>
      </c>
      <c r="H3173" s="12"/>
      <c r="I3173" s="12"/>
      <c r="J3173" s="12" t="s">
        <v>1349</v>
      </c>
      <c r="K3173" s="12"/>
      <c r="L3173" s="12" t="s">
        <v>4717</v>
      </c>
      <c r="M3173" s="12" t="s">
        <v>4718</v>
      </c>
      <c r="N3173" s="12"/>
      <c r="O3173" s="12" t="s">
        <v>4719</v>
      </c>
      <c r="P3173" s="12" t="str">
        <f>HYPERLINK("https://ceds.ed.gov/cedselementdetails.aspx?termid=10487")</f>
        <v>https://ceds.ed.gov/cedselementdetails.aspx?termid=10487</v>
      </c>
      <c r="Q3173" s="12" t="str">
        <f>HYPERLINK("https://ceds.ed.gov/elementComment.aspx?elementName=Other Middle Name &amp;elementID=10487", "Click here to submit comment")</f>
        <v>Click here to submit comment</v>
      </c>
    </row>
    <row r="3174" spans="1:17" ht="150" x14ac:dyDescent="0.25">
      <c r="A3174" s="12" t="s">
        <v>7317</v>
      </c>
      <c r="B3174" s="12" t="s">
        <v>7318</v>
      </c>
      <c r="C3174" s="12" t="s">
        <v>7173</v>
      </c>
      <c r="D3174" s="12" t="s">
        <v>7172</v>
      </c>
      <c r="E3174" s="12" t="s">
        <v>4720</v>
      </c>
      <c r="F3174" s="12" t="s">
        <v>4721</v>
      </c>
      <c r="G3174" s="12" t="s">
        <v>12</v>
      </c>
      <c r="H3174" s="12" t="s">
        <v>6543</v>
      </c>
      <c r="I3174" s="12"/>
      <c r="J3174" s="12" t="s">
        <v>142</v>
      </c>
      <c r="K3174" s="12"/>
      <c r="L3174" s="12"/>
      <c r="M3174" s="12" t="s">
        <v>4722</v>
      </c>
      <c r="N3174" s="12"/>
      <c r="O3174" s="12" t="s">
        <v>4723</v>
      </c>
      <c r="P3174" s="12" t="str">
        <f>HYPERLINK("https://ceds.ed.gov/cedselementdetails.aspx?termid=9206")</f>
        <v>https://ceds.ed.gov/cedselementdetails.aspx?termid=9206</v>
      </c>
      <c r="Q3174" s="12" t="str">
        <f>HYPERLINK("https://ceds.ed.gov/elementComment.aspx?elementName=Other Name &amp;elementID=9206", "Click here to submit comment")</f>
        <v>Click here to submit comment</v>
      </c>
    </row>
    <row r="3175" spans="1:17" ht="165" x14ac:dyDescent="0.25">
      <c r="A3175" s="12" t="s">
        <v>7317</v>
      </c>
      <c r="B3175" s="12" t="s">
        <v>7318</v>
      </c>
      <c r="C3175" s="12" t="s">
        <v>7173</v>
      </c>
      <c r="D3175" s="12" t="s">
        <v>7172</v>
      </c>
      <c r="E3175" s="12" t="s">
        <v>4724</v>
      </c>
      <c r="F3175" s="12" t="s">
        <v>4725</v>
      </c>
      <c r="G3175" s="13" t="s">
        <v>7046</v>
      </c>
      <c r="H3175" s="12" t="s">
        <v>6619</v>
      </c>
      <c r="I3175" s="12"/>
      <c r="J3175" s="12" t="s">
        <v>92</v>
      </c>
      <c r="K3175" s="12"/>
      <c r="L3175" s="12"/>
      <c r="M3175" s="12" t="s">
        <v>4726</v>
      </c>
      <c r="N3175" s="12"/>
      <c r="O3175" s="12" t="s">
        <v>4727</v>
      </c>
      <c r="P3175" s="12" t="str">
        <f>HYPERLINK("https://ceds.ed.gov/cedselementdetails.aspx?termid=9627")</f>
        <v>https://ceds.ed.gov/cedselementdetails.aspx?termid=9627</v>
      </c>
      <c r="Q3175" s="12" t="str">
        <f>HYPERLINK("https://ceds.ed.gov/elementComment.aspx?elementName=Other Name Type &amp;elementID=9627", "Click here to submit comment")</f>
        <v>Click here to submit comment</v>
      </c>
    </row>
    <row r="3176" spans="1:17" ht="105" x14ac:dyDescent="0.25">
      <c r="A3176" s="18" t="s">
        <v>7317</v>
      </c>
      <c r="B3176" s="18" t="s">
        <v>7318</v>
      </c>
      <c r="C3176" s="18" t="s">
        <v>7174</v>
      </c>
      <c r="D3176" s="18" t="s">
        <v>7172</v>
      </c>
      <c r="E3176" s="18" t="s">
        <v>5984</v>
      </c>
      <c r="F3176" s="18" t="s">
        <v>5985</v>
      </c>
      <c r="G3176" s="18" t="s">
        <v>12</v>
      </c>
      <c r="H3176" s="18" t="s">
        <v>6687</v>
      </c>
      <c r="I3176" s="18"/>
      <c r="J3176" s="18" t="s">
        <v>142</v>
      </c>
      <c r="K3176" s="18"/>
      <c r="L3176" s="12" t="s">
        <v>143</v>
      </c>
      <c r="M3176" s="18" t="s">
        <v>5986</v>
      </c>
      <c r="N3176" s="18"/>
      <c r="O3176" s="18" t="s">
        <v>5987</v>
      </c>
      <c r="P3176" s="18" t="str">
        <f>HYPERLINK("https://ceds.ed.gov/cedselementdetails.aspx?termid=9157")</f>
        <v>https://ceds.ed.gov/cedselementdetails.aspx?termid=9157</v>
      </c>
      <c r="Q3176" s="18" t="str">
        <f>HYPERLINK("https://ceds.ed.gov/elementComment.aspx?elementName=Student Identifier &amp;elementID=9157", "Click here to submit comment")</f>
        <v>Click here to submit comment</v>
      </c>
    </row>
    <row r="3177" spans="1:17" x14ac:dyDescent="0.25">
      <c r="A3177" s="18"/>
      <c r="B3177" s="18"/>
      <c r="C3177" s="18"/>
      <c r="D3177" s="18"/>
      <c r="E3177" s="18"/>
      <c r="F3177" s="18"/>
      <c r="G3177" s="18"/>
      <c r="H3177" s="18"/>
      <c r="I3177" s="18"/>
      <c r="J3177" s="18"/>
      <c r="K3177" s="18"/>
      <c r="L3177" s="12"/>
      <c r="M3177" s="18"/>
      <c r="N3177" s="18"/>
      <c r="O3177" s="18"/>
      <c r="P3177" s="18"/>
      <c r="Q3177" s="18"/>
    </row>
    <row r="3178" spans="1:17" ht="90" x14ac:dyDescent="0.25">
      <c r="A3178" s="18"/>
      <c r="B3178" s="18"/>
      <c r="C3178" s="18"/>
      <c r="D3178" s="18"/>
      <c r="E3178" s="18"/>
      <c r="F3178" s="18"/>
      <c r="G3178" s="18"/>
      <c r="H3178" s="18"/>
      <c r="I3178" s="18"/>
      <c r="J3178" s="18"/>
      <c r="K3178" s="18"/>
      <c r="L3178" s="12" t="s">
        <v>144</v>
      </c>
      <c r="M3178" s="18"/>
      <c r="N3178" s="18"/>
      <c r="O3178" s="18"/>
      <c r="P3178" s="18"/>
      <c r="Q3178" s="18"/>
    </row>
    <row r="3179" spans="1:17" ht="210" x14ac:dyDescent="0.25">
      <c r="A3179" s="12" t="s">
        <v>7317</v>
      </c>
      <c r="B3179" s="12" t="s">
        <v>7318</v>
      </c>
      <c r="C3179" s="12" t="s">
        <v>7174</v>
      </c>
      <c r="D3179" s="12" t="s">
        <v>7172</v>
      </c>
      <c r="E3179" s="12" t="s">
        <v>5980</v>
      </c>
      <c r="F3179" s="12" t="s">
        <v>5981</v>
      </c>
      <c r="G3179" s="13" t="s">
        <v>7124</v>
      </c>
      <c r="H3179" s="12" t="s">
        <v>6687</v>
      </c>
      <c r="I3179" s="12"/>
      <c r="J3179" s="12"/>
      <c r="K3179" s="12"/>
      <c r="L3179" s="12"/>
      <c r="M3179" s="12" t="s">
        <v>5982</v>
      </c>
      <c r="N3179" s="12"/>
      <c r="O3179" s="12" t="s">
        <v>5983</v>
      </c>
      <c r="P3179" s="12" t="str">
        <f>HYPERLINK("https://ceds.ed.gov/cedselementdetails.aspx?termid=9163")</f>
        <v>https://ceds.ed.gov/cedselementdetails.aspx?termid=9163</v>
      </c>
      <c r="Q3179" s="12" t="str">
        <f>HYPERLINK("https://ceds.ed.gov/elementComment.aspx?elementName=Student Identification System &amp;elementID=9163", "Click here to submit comment")</f>
        <v>Click here to submit comment</v>
      </c>
    </row>
    <row r="3180" spans="1:17" ht="225" x14ac:dyDescent="0.25">
      <c r="A3180" s="18" t="s">
        <v>7317</v>
      </c>
      <c r="B3180" s="18" t="s">
        <v>7318</v>
      </c>
      <c r="C3180" s="18" t="s">
        <v>7174</v>
      </c>
      <c r="D3180" s="18" t="s">
        <v>7172</v>
      </c>
      <c r="E3180" s="18" t="s">
        <v>5745</v>
      </c>
      <c r="F3180" s="18" t="s">
        <v>5746</v>
      </c>
      <c r="G3180" s="18" t="s">
        <v>12</v>
      </c>
      <c r="H3180" s="18" t="s">
        <v>6670</v>
      </c>
      <c r="I3180" s="18"/>
      <c r="J3180" s="18" t="s">
        <v>5747</v>
      </c>
      <c r="K3180" s="18"/>
      <c r="L3180" s="12" t="s">
        <v>5748</v>
      </c>
      <c r="M3180" s="18" t="s">
        <v>5750</v>
      </c>
      <c r="N3180" s="18" t="s">
        <v>5751</v>
      </c>
      <c r="O3180" s="18" t="s">
        <v>5752</v>
      </c>
      <c r="P3180" s="18" t="str">
        <f>HYPERLINK("https://ceds.ed.gov/cedselementdetails.aspx?termid=9259")</f>
        <v>https://ceds.ed.gov/cedselementdetails.aspx?termid=9259</v>
      </c>
      <c r="Q3180" s="18" t="str">
        <f>HYPERLINK("https://ceds.ed.gov/elementComment.aspx?elementName=Social Security Number &amp;elementID=9259", "Click here to submit comment")</f>
        <v>Click here to submit comment</v>
      </c>
    </row>
    <row r="3181" spans="1:17" x14ac:dyDescent="0.25">
      <c r="A3181" s="18"/>
      <c r="B3181" s="18"/>
      <c r="C3181" s="18"/>
      <c r="D3181" s="18"/>
      <c r="E3181" s="18"/>
      <c r="F3181" s="18"/>
      <c r="G3181" s="18"/>
      <c r="H3181" s="18"/>
      <c r="I3181" s="18"/>
      <c r="J3181" s="18"/>
      <c r="K3181" s="18"/>
      <c r="L3181" s="12"/>
      <c r="M3181" s="18"/>
      <c r="N3181" s="18"/>
      <c r="O3181" s="18"/>
      <c r="P3181" s="18"/>
      <c r="Q3181" s="18"/>
    </row>
    <row r="3182" spans="1:17" ht="180" x14ac:dyDescent="0.25">
      <c r="A3182" s="18"/>
      <c r="B3182" s="18"/>
      <c r="C3182" s="18"/>
      <c r="D3182" s="18"/>
      <c r="E3182" s="18"/>
      <c r="F3182" s="18"/>
      <c r="G3182" s="18"/>
      <c r="H3182" s="18"/>
      <c r="I3182" s="18"/>
      <c r="J3182" s="18"/>
      <c r="K3182" s="18"/>
      <c r="L3182" s="12" t="s">
        <v>5749</v>
      </c>
      <c r="M3182" s="18"/>
      <c r="N3182" s="18"/>
      <c r="O3182" s="18"/>
      <c r="P3182" s="18"/>
      <c r="Q3182" s="18"/>
    </row>
    <row r="3183" spans="1:17" ht="255" x14ac:dyDescent="0.25">
      <c r="A3183" s="12" t="s">
        <v>7317</v>
      </c>
      <c r="B3183" s="12" t="s">
        <v>7318</v>
      </c>
      <c r="C3183" s="12" t="s">
        <v>7174</v>
      </c>
      <c r="D3183" s="12" t="s">
        <v>7172</v>
      </c>
      <c r="E3183" s="12" t="s">
        <v>4831</v>
      </c>
      <c r="F3183" s="12" t="s">
        <v>4832</v>
      </c>
      <c r="G3183" s="13" t="s">
        <v>7053</v>
      </c>
      <c r="H3183" s="12"/>
      <c r="I3183" s="12"/>
      <c r="J3183" s="12"/>
      <c r="K3183" s="12"/>
      <c r="L3183" s="12"/>
      <c r="M3183" s="12" t="s">
        <v>4833</v>
      </c>
      <c r="N3183" s="12"/>
      <c r="O3183" s="12" t="s">
        <v>4834</v>
      </c>
      <c r="P3183" s="12" t="str">
        <f>HYPERLINK("https://ceds.ed.gov/cedselementdetails.aspx?termid=9611")</f>
        <v>https://ceds.ed.gov/cedselementdetails.aspx?termid=9611</v>
      </c>
      <c r="Q3183" s="12" t="str">
        <f>HYPERLINK("https://ceds.ed.gov/elementComment.aspx?elementName=Personal Information Verification &amp;elementID=9611", "Click here to submit comment")</f>
        <v>Click here to submit comment</v>
      </c>
    </row>
    <row r="3184" spans="1:17" ht="210" x14ac:dyDescent="0.25">
      <c r="A3184" s="12" t="s">
        <v>7317</v>
      </c>
      <c r="B3184" s="12" t="s">
        <v>7318</v>
      </c>
      <c r="C3184" s="12" t="s">
        <v>7175</v>
      </c>
      <c r="D3184" s="12" t="s">
        <v>7172</v>
      </c>
      <c r="E3184" s="12" t="s">
        <v>193</v>
      </c>
      <c r="F3184" s="12" t="s">
        <v>194</v>
      </c>
      <c r="G3184" s="13" t="s">
        <v>6726</v>
      </c>
      <c r="H3184" s="12" t="s">
        <v>6380</v>
      </c>
      <c r="I3184" s="12"/>
      <c r="J3184" s="12" t="s">
        <v>92</v>
      </c>
      <c r="K3184" s="12"/>
      <c r="L3184" s="12"/>
      <c r="M3184" s="12" t="s">
        <v>195</v>
      </c>
      <c r="N3184" s="12"/>
      <c r="O3184" s="12" t="s">
        <v>196</v>
      </c>
      <c r="P3184" s="12" t="str">
        <f>HYPERLINK("https://ceds.ed.gov/cedselementdetails.aspx?termid=9358")</f>
        <v>https://ceds.ed.gov/cedselementdetails.aspx?termid=9358</v>
      </c>
      <c r="Q3184" s="12" t="str">
        <f>HYPERLINK("https://ceds.ed.gov/elementComment.aspx?elementName=Address Type for Learner or Family &amp;elementID=9358", "Click here to submit comment")</f>
        <v>Click here to submit comment</v>
      </c>
    </row>
    <row r="3185" spans="1:17" ht="225" x14ac:dyDescent="0.25">
      <c r="A3185" s="12" t="s">
        <v>7317</v>
      </c>
      <c r="B3185" s="12" t="s">
        <v>7318</v>
      </c>
      <c r="C3185" s="12" t="s">
        <v>7175</v>
      </c>
      <c r="D3185" s="12" t="s">
        <v>7172</v>
      </c>
      <c r="E3185" s="12" t="s">
        <v>189</v>
      </c>
      <c r="F3185" s="12" t="s">
        <v>190</v>
      </c>
      <c r="G3185" s="12" t="s">
        <v>12</v>
      </c>
      <c r="H3185" s="12" t="s">
        <v>6377</v>
      </c>
      <c r="I3185" s="12"/>
      <c r="J3185" s="12" t="s">
        <v>142</v>
      </c>
      <c r="K3185" s="12"/>
      <c r="L3185" s="12"/>
      <c r="M3185" s="12" t="s">
        <v>191</v>
      </c>
      <c r="N3185" s="12"/>
      <c r="O3185" s="12" t="s">
        <v>192</v>
      </c>
      <c r="P3185" s="12" t="str">
        <f>HYPERLINK("https://ceds.ed.gov/cedselementdetails.aspx?termid=9269")</f>
        <v>https://ceds.ed.gov/cedselementdetails.aspx?termid=9269</v>
      </c>
      <c r="Q3185" s="12" t="str">
        <f>HYPERLINK("https://ceds.ed.gov/elementComment.aspx?elementName=Address Street Number and Name &amp;elementID=9269", "Click here to submit comment")</f>
        <v>Click here to submit comment</v>
      </c>
    </row>
    <row r="3186" spans="1:17" ht="225" x14ac:dyDescent="0.25">
      <c r="A3186" s="12" t="s">
        <v>7317</v>
      </c>
      <c r="B3186" s="12" t="s">
        <v>7318</v>
      </c>
      <c r="C3186" s="12" t="s">
        <v>7175</v>
      </c>
      <c r="D3186" s="12" t="s">
        <v>7172</v>
      </c>
      <c r="E3186" s="12" t="s">
        <v>172</v>
      </c>
      <c r="F3186" s="12" t="s">
        <v>173</v>
      </c>
      <c r="G3186" s="12" t="s">
        <v>12</v>
      </c>
      <c r="H3186" s="12" t="s">
        <v>6377</v>
      </c>
      <c r="I3186" s="12"/>
      <c r="J3186" s="12" t="s">
        <v>92</v>
      </c>
      <c r="K3186" s="12"/>
      <c r="L3186" s="12"/>
      <c r="M3186" s="12" t="s">
        <v>174</v>
      </c>
      <c r="N3186" s="12"/>
      <c r="O3186" s="12" t="s">
        <v>175</v>
      </c>
      <c r="P3186" s="12" t="str">
        <f>HYPERLINK("https://ceds.ed.gov/cedselementdetails.aspx?termid=9019")</f>
        <v>https://ceds.ed.gov/cedselementdetails.aspx?termid=9019</v>
      </c>
      <c r="Q3186" s="12" t="str">
        <f>HYPERLINK("https://ceds.ed.gov/elementComment.aspx?elementName=Address Apartment Room or Suite Number &amp;elementID=9019", "Click here to submit comment")</f>
        <v>Click here to submit comment</v>
      </c>
    </row>
    <row r="3187" spans="1:17" ht="225" x14ac:dyDescent="0.25">
      <c r="A3187" s="12" t="s">
        <v>7317</v>
      </c>
      <c r="B3187" s="12" t="s">
        <v>7318</v>
      </c>
      <c r="C3187" s="12" t="s">
        <v>7175</v>
      </c>
      <c r="D3187" s="12" t="s">
        <v>7172</v>
      </c>
      <c r="E3187" s="12" t="s">
        <v>176</v>
      </c>
      <c r="F3187" s="12" t="s">
        <v>177</v>
      </c>
      <c r="G3187" s="12" t="s">
        <v>12</v>
      </c>
      <c r="H3187" s="12" t="s">
        <v>6377</v>
      </c>
      <c r="I3187" s="12"/>
      <c r="J3187" s="12" t="s">
        <v>92</v>
      </c>
      <c r="K3187" s="12"/>
      <c r="L3187" s="12"/>
      <c r="M3187" s="12" t="s">
        <v>178</v>
      </c>
      <c r="N3187" s="12"/>
      <c r="O3187" s="12" t="s">
        <v>179</v>
      </c>
      <c r="P3187" s="12" t="str">
        <f>HYPERLINK("https://ceds.ed.gov/cedselementdetails.aspx?termid=9040")</f>
        <v>https://ceds.ed.gov/cedselementdetails.aspx?termid=9040</v>
      </c>
      <c r="Q3187" s="12" t="str">
        <f>HYPERLINK("https://ceds.ed.gov/elementComment.aspx?elementName=Address City &amp;elementID=9040", "Click here to submit comment")</f>
        <v>Click here to submit comment</v>
      </c>
    </row>
    <row r="3188" spans="1:17" ht="409.5" x14ac:dyDescent="0.25">
      <c r="A3188" s="12" t="s">
        <v>7317</v>
      </c>
      <c r="B3188" s="12" t="s">
        <v>7318</v>
      </c>
      <c r="C3188" s="12" t="s">
        <v>7175</v>
      </c>
      <c r="D3188" s="12" t="s">
        <v>7172</v>
      </c>
      <c r="E3188" s="12" t="s">
        <v>5898</v>
      </c>
      <c r="F3188" s="12" t="s">
        <v>5899</v>
      </c>
      <c r="G3188" s="13" t="s">
        <v>7120</v>
      </c>
      <c r="H3188" s="12" t="s">
        <v>6678</v>
      </c>
      <c r="I3188" s="12"/>
      <c r="J3188" s="12"/>
      <c r="K3188" s="12"/>
      <c r="L3188" s="12"/>
      <c r="M3188" s="12" t="s">
        <v>5900</v>
      </c>
      <c r="N3188" s="12"/>
      <c r="O3188" s="12" t="s">
        <v>5901</v>
      </c>
      <c r="P3188" s="12" t="str">
        <f>HYPERLINK("https://ceds.ed.gov/cedselementdetails.aspx?termid=9267")</f>
        <v>https://ceds.ed.gov/cedselementdetails.aspx?termid=9267</v>
      </c>
      <c r="Q3188" s="12" t="str">
        <f>HYPERLINK("https://ceds.ed.gov/elementComment.aspx?elementName=State Abbreviation &amp;elementID=9267", "Click here to submit comment")</f>
        <v>Click here to submit comment</v>
      </c>
    </row>
    <row r="3189" spans="1:17" ht="225" x14ac:dyDescent="0.25">
      <c r="A3189" s="12" t="s">
        <v>7317</v>
      </c>
      <c r="B3189" s="12" t="s">
        <v>7318</v>
      </c>
      <c r="C3189" s="12" t="s">
        <v>7175</v>
      </c>
      <c r="D3189" s="12" t="s">
        <v>7172</v>
      </c>
      <c r="E3189" s="12" t="s">
        <v>184</v>
      </c>
      <c r="F3189" s="12" t="s">
        <v>185</v>
      </c>
      <c r="G3189" s="12" t="s">
        <v>12</v>
      </c>
      <c r="H3189" s="12" t="s">
        <v>6377</v>
      </c>
      <c r="I3189" s="12"/>
      <c r="J3189" s="12" t="s">
        <v>186</v>
      </c>
      <c r="K3189" s="12"/>
      <c r="L3189" s="12"/>
      <c r="M3189" s="12" t="s">
        <v>187</v>
      </c>
      <c r="N3189" s="12"/>
      <c r="O3189" s="12" t="s">
        <v>188</v>
      </c>
      <c r="P3189" s="12" t="str">
        <f>HYPERLINK("https://ceds.ed.gov/cedselementdetails.aspx?termid=9214")</f>
        <v>https://ceds.ed.gov/cedselementdetails.aspx?termid=9214</v>
      </c>
      <c r="Q3189" s="12" t="str">
        <f>HYPERLINK("https://ceds.ed.gov/elementComment.aspx?elementName=Address Postal Code &amp;elementID=9214", "Click here to submit comment")</f>
        <v>Click here to submit comment</v>
      </c>
    </row>
    <row r="3190" spans="1:17" ht="225" x14ac:dyDescent="0.25">
      <c r="A3190" s="12" t="s">
        <v>7317</v>
      </c>
      <c r="B3190" s="12" t="s">
        <v>7318</v>
      </c>
      <c r="C3190" s="12" t="s">
        <v>7175</v>
      </c>
      <c r="D3190" s="12" t="s">
        <v>7172</v>
      </c>
      <c r="E3190" s="12" t="s">
        <v>180</v>
      </c>
      <c r="F3190" s="12" t="s">
        <v>181</v>
      </c>
      <c r="G3190" s="12" t="s">
        <v>12</v>
      </c>
      <c r="H3190" s="12" t="s">
        <v>6377</v>
      </c>
      <c r="I3190" s="12"/>
      <c r="J3190" s="12" t="s">
        <v>92</v>
      </c>
      <c r="K3190" s="12"/>
      <c r="L3190" s="12"/>
      <c r="M3190" s="12" t="s">
        <v>182</v>
      </c>
      <c r="N3190" s="12"/>
      <c r="O3190" s="12" t="s">
        <v>183</v>
      </c>
      <c r="P3190" s="12" t="str">
        <f>HYPERLINK("https://ceds.ed.gov/cedselementdetails.aspx?termid=9190")</f>
        <v>https://ceds.ed.gov/cedselementdetails.aspx?termid=9190</v>
      </c>
      <c r="Q3190" s="12" t="str">
        <f>HYPERLINK("https://ceds.ed.gov/elementComment.aspx?elementName=Address County Name &amp;elementID=9190", "Click here to submit comment")</f>
        <v>Click here to submit comment</v>
      </c>
    </row>
    <row r="3191" spans="1:17" ht="409.5" x14ac:dyDescent="0.25">
      <c r="A3191" s="12" t="s">
        <v>7317</v>
      </c>
      <c r="B3191" s="12" t="s">
        <v>7318</v>
      </c>
      <c r="C3191" s="12" t="s">
        <v>7175</v>
      </c>
      <c r="D3191" s="12" t="s">
        <v>7172</v>
      </c>
      <c r="E3191" s="12" t="s">
        <v>1934</v>
      </c>
      <c r="F3191" s="12" t="s">
        <v>1935</v>
      </c>
      <c r="G3191" s="13" t="s">
        <v>6829</v>
      </c>
      <c r="H3191" s="12" t="s">
        <v>6467</v>
      </c>
      <c r="I3191" s="12" t="s">
        <v>98</v>
      </c>
      <c r="J3191" s="12"/>
      <c r="K3191" s="12"/>
      <c r="L3191" s="14" t="s">
        <v>1936</v>
      </c>
      <c r="M3191" s="12" t="s">
        <v>1937</v>
      </c>
      <c r="N3191" s="12"/>
      <c r="O3191" s="12" t="s">
        <v>1938</v>
      </c>
      <c r="P3191" s="12" t="str">
        <f>HYPERLINK("https://ceds.ed.gov/cedselementdetails.aspx?termid=9050")</f>
        <v>https://ceds.ed.gov/cedselementdetails.aspx?termid=9050</v>
      </c>
      <c r="Q3191" s="12" t="str">
        <f>HYPERLINK("https://ceds.ed.gov/elementComment.aspx?elementName=Country Code &amp;elementID=9050", "Click here to submit comment")</f>
        <v>Click here to submit comment</v>
      </c>
    </row>
    <row r="3192" spans="1:17" ht="75" x14ac:dyDescent="0.25">
      <c r="A3192" s="12" t="s">
        <v>7317</v>
      </c>
      <c r="B3192" s="12" t="s">
        <v>7318</v>
      </c>
      <c r="C3192" s="12" t="s">
        <v>7175</v>
      </c>
      <c r="D3192" s="12" t="s">
        <v>7176</v>
      </c>
      <c r="E3192" s="12" t="s">
        <v>3693</v>
      </c>
      <c r="F3192" s="12" t="s">
        <v>3694</v>
      </c>
      <c r="G3192" s="12" t="s">
        <v>12</v>
      </c>
      <c r="H3192" s="12"/>
      <c r="I3192" s="12"/>
      <c r="J3192" s="12" t="s">
        <v>1201</v>
      </c>
      <c r="K3192" s="12"/>
      <c r="L3192" s="12"/>
      <c r="M3192" s="12" t="s">
        <v>3695</v>
      </c>
      <c r="N3192" s="12"/>
      <c r="O3192" s="12" t="s">
        <v>3693</v>
      </c>
      <c r="P3192" s="12" t="str">
        <f>HYPERLINK("https://ceds.ed.gov/cedselementdetails.aspx?termid=9599")</f>
        <v>https://ceds.ed.gov/cedselementdetails.aspx?termid=9599</v>
      </c>
      <c r="Q3192" s="12" t="str">
        <f>HYPERLINK("https://ceds.ed.gov/elementComment.aspx?elementName=Latitude &amp;elementID=9599", "Click here to submit comment")</f>
        <v>Click here to submit comment</v>
      </c>
    </row>
    <row r="3193" spans="1:17" ht="75" x14ac:dyDescent="0.25">
      <c r="A3193" s="12" t="s">
        <v>7317</v>
      </c>
      <c r="B3193" s="12" t="s">
        <v>7318</v>
      </c>
      <c r="C3193" s="12" t="s">
        <v>7175</v>
      </c>
      <c r="D3193" s="12" t="s">
        <v>7176</v>
      </c>
      <c r="E3193" s="12" t="s">
        <v>4361</v>
      </c>
      <c r="F3193" s="12" t="s">
        <v>4362</v>
      </c>
      <c r="G3193" s="12" t="s">
        <v>12</v>
      </c>
      <c r="H3193" s="12"/>
      <c r="I3193" s="12"/>
      <c r="J3193" s="12" t="s">
        <v>1201</v>
      </c>
      <c r="K3193" s="12"/>
      <c r="L3193" s="12"/>
      <c r="M3193" s="12" t="s">
        <v>4363</v>
      </c>
      <c r="N3193" s="12"/>
      <c r="O3193" s="12" t="s">
        <v>4361</v>
      </c>
      <c r="P3193" s="12" t="str">
        <f>HYPERLINK("https://ceds.ed.gov/cedselementdetails.aspx?termid=9600")</f>
        <v>https://ceds.ed.gov/cedselementdetails.aspx?termid=9600</v>
      </c>
      <c r="Q3193" s="12" t="str">
        <f>HYPERLINK("https://ceds.ed.gov/elementComment.aspx?elementName=Longitude &amp;elementID=9600", "Click here to submit comment")</f>
        <v>Click here to submit comment</v>
      </c>
    </row>
    <row r="3194" spans="1:17" ht="90" x14ac:dyDescent="0.25">
      <c r="A3194" s="12" t="s">
        <v>7317</v>
      </c>
      <c r="B3194" s="12" t="s">
        <v>7318</v>
      </c>
      <c r="C3194" s="12" t="s">
        <v>7177</v>
      </c>
      <c r="D3194" s="12" t="s">
        <v>7172</v>
      </c>
      <c r="E3194" s="12" t="s">
        <v>6107</v>
      </c>
      <c r="F3194" s="12" t="s">
        <v>6108</v>
      </c>
      <c r="G3194" s="13" t="s">
        <v>7135</v>
      </c>
      <c r="H3194" s="12" t="s">
        <v>6369</v>
      </c>
      <c r="I3194" s="12"/>
      <c r="J3194" s="12" t="s">
        <v>1950</v>
      </c>
      <c r="K3194" s="12"/>
      <c r="L3194" s="12"/>
      <c r="M3194" s="12" t="s">
        <v>6109</v>
      </c>
      <c r="N3194" s="12"/>
      <c r="O3194" s="12" t="s">
        <v>6110</v>
      </c>
      <c r="P3194" s="12" t="str">
        <f>HYPERLINK("https://ceds.ed.gov/cedselementdetails.aspx?termid=9280")</f>
        <v>https://ceds.ed.gov/cedselementdetails.aspx?termid=9280</v>
      </c>
      <c r="Q3194" s="12" t="str">
        <f>HYPERLINK("https://ceds.ed.gov/elementComment.aspx?elementName=Telephone Number Type &amp;elementID=9280", "Click here to submit comment")</f>
        <v>Click here to submit comment</v>
      </c>
    </row>
    <row r="3195" spans="1:17" ht="90" x14ac:dyDescent="0.25">
      <c r="A3195" s="12" t="s">
        <v>7317</v>
      </c>
      <c r="B3195" s="12" t="s">
        <v>7318</v>
      </c>
      <c r="C3195" s="12" t="s">
        <v>7177</v>
      </c>
      <c r="D3195" s="12" t="s">
        <v>7172</v>
      </c>
      <c r="E3195" s="12" t="s">
        <v>4934</v>
      </c>
      <c r="F3195" s="12" t="s">
        <v>4935</v>
      </c>
      <c r="G3195" s="12" t="s">
        <v>6364</v>
      </c>
      <c r="H3195" s="12" t="s">
        <v>6369</v>
      </c>
      <c r="I3195" s="12"/>
      <c r="J3195" s="12"/>
      <c r="K3195" s="12"/>
      <c r="L3195" s="12"/>
      <c r="M3195" s="12" t="s">
        <v>4936</v>
      </c>
      <c r="N3195" s="12"/>
      <c r="O3195" s="12" t="s">
        <v>4937</v>
      </c>
      <c r="P3195" s="12" t="str">
        <f>HYPERLINK("https://ceds.ed.gov/cedselementdetails.aspx?termid=9219")</f>
        <v>https://ceds.ed.gov/cedselementdetails.aspx?termid=9219</v>
      </c>
      <c r="Q3195" s="12" t="str">
        <f>HYPERLINK("https://ceds.ed.gov/elementComment.aspx?elementName=Primary Telephone Number Indicator &amp;elementID=9219", "Click here to submit comment")</f>
        <v>Click here to submit comment</v>
      </c>
    </row>
    <row r="3196" spans="1:17" ht="90" x14ac:dyDescent="0.25">
      <c r="A3196" s="12" t="s">
        <v>7317</v>
      </c>
      <c r="B3196" s="12" t="s">
        <v>7318</v>
      </c>
      <c r="C3196" s="12" t="s">
        <v>7177</v>
      </c>
      <c r="D3196" s="12" t="s">
        <v>7172</v>
      </c>
      <c r="E3196" s="12" t="s">
        <v>6102</v>
      </c>
      <c r="F3196" s="12" t="s">
        <v>6103</v>
      </c>
      <c r="G3196" s="12" t="s">
        <v>12</v>
      </c>
      <c r="H3196" s="12" t="s">
        <v>6369</v>
      </c>
      <c r="I3196" s="12"/>
      <c r="J3196" s="12" t="s">
        <v>6104</v>
      </c>
      <c r="K3196" s="12"/>
      <c r="L3196" s="12"/>
      <c r="M3196" s="12" t="s">
        <v>6105</v>
      </c>
      <c r="N3196" s="12"/>
      <c r="O3196" s="12" t="s">
        <v>6106</v>
      </c>
      <c r="P3196" s="12" t="str">
        <f>HYPERLINK("https://ceds.ed.gov/cedselementdetails.aspx?termid=9279")</f>
        <v>https://ceds.ed.gov/cedselementdetails.aspx?termid=9279</v>
      </c>
      <c r="Q3196" s="12" t="str">
        <f>HYPERLINK("https://ceds.ed.gov/elementComment.aspx?elementName=Telephone Number &amp;elementID=9279", "Click here to submit comment")</f>
        <v>Click here to submit comment</v>
      </c>
    </row>
    <row r="3197" spans="1:17" ht="90" x14ac:dyDescent="0.25">
      <c r="A3197" s="12" t="s">
        <v>7317</v>
      </c>
      <c r="B3197" s="12" t="s">
        <v>7318</v>
      </c>
      <c r="C3197" s="12" t="s">
        <v>7204</v>
      </c>
      <c r="D3197" s="12" t="s">
        <v>7172</v>
      </c>
      <c r="E3197" s="12" t="s">
        <v>2653</v>
      </c>
      <c r="F3197" s="12" t="s">
        <v>2654</v>
      </c>
      <c r="G3197" s="13" t="s">
        <v>6898</v>
      </c>
      <c r="H3197" s="12" t="s">
        <v>6369</v>
      </c>
      <c r="I3197" s="12"/>
      <c r="J3197" s="12"/>
      <c r="K3197" s="12"/>
      <c r="L3197" s="12"/>
      <c r="M3197" s="12" t="s">
        <v>2655</v>
      </c>
      <c r="N3197" s="12" t="s">
        <v>2656</v>
      </c>
      <c r="O3197" s="12" t="s">
        <v>2657</v>
      </c>
      <c r="P3197" s="12" t="str">
        <f>HYPERLINK("https://ceds.ed.gov/cedselementdetails.aspx?termid=9089")</f>
        <v>https://ceds.ed.gov/cedselementdetails.aspx?termid=9089</v>
      </c>
      <c r="Q3197" s="12" t="str">
        <f>HYPERLINK("https://ceds.ed.gov/elementComment.aspx?elementName=Electronic Mail Address Type &amp;elementID=9089", "Click here to submit comment")</f>
        <v>Click here to submit comment</v>
      </c>
    </row>
    <row r="3198" spans="1:17" ht="90" x14ac:dyDescent="0.25">
      <c r="A3198" s="12" t="s">
        <v>7317</v>
      </c>
      <c r="B3198" s="12" t="s">
        <v>7318</v>
      </c>
      <c r="C3198" s="12" t="s">
        <v>7204</v>
      </c>
      <c r="D3198" s="12" t="s">
        <v>7172</v>
      </c>
      <c r="E3198" s="12" t="s">
        <v>2647</v>
      </c>
      <c r="F3198" s="12" t="s">
        <v>2648</v>
      </c>
      <c r="G3198" s="12" t="s">
        <v>12</v>
      </c>
      <c r="H3198" s="12" t="s">
        <v>6369</v>
      </c>
      <c r="I3198" s="12"/>
      <c r="J3198" s="12" t="s">
        <v>2649</v>
      </c>
      <c r="K3198" s="12"/>
      <c r="L3198" s="12"/>
      <c r="M3198" s="12" t="s">
        <v>2650</v>
      </c>
      <c r="N3198" s="12" t="s">
        <v>2651</v>
      </c>
      <c r="O3198" s="12" t="s">
        <v>2652</v>
      </c>
      <c r="P3198" s="12" t="str">
        <f>HYPERLINK("https://ceds.ed.gov/cedselementdetails.aspx?termid=9088")</f>
        <v>https://ceds.ed.gov/cedselementdetails.aspx?termid=9088</v>
      </c>
      <c r="Q3198" s="12" t="str">
        <f>HYPERLINK("https://ceds.ed.gov/elementComment.aspx?elementName=Electronic Mail Address &amp;elementID=9088", "Click here to submit comment")</f>
        <v>Click here to submit comment</v>
      </c>
    </row>
    <row r="3199" spans="1:17" ht="240" x14ac:dyDescent="0.25">
      <c r="A3199" s="12" t="s">
        <v>7317</v>
      </c>
      <c r="B3199" s="12" t="s">
        <v>7318</v>
      </c>
      <c r="C3199" s="12" t="s">
        <v>7178</v>
      </c>
      <c r="D3199" s="12" t="s">
        <v>7172</v>
      </c>
      <c r="E3199" s="12" t="s">
        <v>1571</v>
      </c>
      <c r="F3199" s="12" t="s">
        <v>1572</v>
      </c>
      <c r="G3199" s="12" t="s">
        <v>12</v>
      </c>
      <c r="H3199" s="12" t="s">
        <v>6432</v>
      </c>
      <c r="I3199" s="12"/>
      <c r="J3199" s="12" t="s">
        <v>73</v>
      </c>
      <c r="K3199" s="12"/>
      <c r="L3199" s="12"/>
      <c r="M3199" s="12" t="s">
        <v>1573</v>
      </c>
      <c r="N3199" s="12"/>
      <c r="O3199" s="12" t="s">
        <v>1571</v>
      </c>
      <c r="P3199" s="12" t="str">
        <f>HYPERLINK("https://ceds.ed.gov/cedselementdetails.aspx?termid=9033")</f>
        <v>https://ceds.ed.gov/cedselementdetails.aspx?termid=9033</v>
      </c>
      <c r="Q3199" s="12" t="str">
        <f>HYPERLINK("https://ceds.ed.gov/elementComment.aspx?elementName=Birthdate &amp;elementID=9033", "Click here to submit comment")</f>
        <v>Click here to submit comment</v>
      </c>
    </row>
    <row r="3200" spans="1:17" ht="255" x14ac:dyDescent="0.25">
      <c r="A3200" s="12" t="s">
        <v>7317</v>
      </c>
      <c r="B3200" s="12" t="s">
        <v>7318</v>
      </c>
      <c r="C3200" s="12" t="s">
        <v>7178</v>
      </c>
      <c r="D3200" s="12" t="s">
        <v>7172</v>
      </c>
      <c r="E3200" s="12" t="s">
        <v>5711</v>
      </c>
      <c r="F3200" s="12" t="s">
        <v>5712</v>
      </c>
      <c r="G3200" s="13" t="s">
        <v>7112</v>
      </c>
      <c r="H3200" s="12" t="s">
        <v>6666</v>
      </c>
      <c r="I3200" s="12"/>
      <c r="J3200" s="12"/>
      <c r="K3200" s="12"/>
      <c r="L3200" s="12" t="s">
        <v>5713</v>
      </c>
      <c r="M3200" s="12" t="s">
        <v>5714</v>
      </c>
      <c r="N3200" s="12"/>
      <c r="O3200" s="12" t="s">
        <v>5711</v>
      </c>
      <c r="P3200" s="12" t="str">
        <f>HYPERLINK("https://ceds.ed.gov/cedselementdetails.aspx?termid=9255")</f>
        <v>https://ceds.ed.gov/cedselementdetails.aspx?termid=9255</v>
      </c>
      <c r="Q3200" s="12" t="str">
        <f>HYPERLINK("https://ceds.ed.gov/elementComment.aspx?elementName=Sex &amp;elementID=9255", "Click here to submit comment")</f>
        <v>Click here to submit comment</v>
      </c>
    </row>
    <row r="3201" spans="1:17" ht="30" x14ac:dyDescent="0.25">
      <c r="A3201" s="18" t="s">
        <v>7317</v>
      </c>
      <c r="B3201" s="18" t="s">
        <v>7318</v>
      </c>
      <c r="C3201" s="18" t="s">
        <v>7178</v>
      </c>
      <c r="D3201" s="18" t="s">
        <v>7172</v>
      </c>
      <c r="E3201" s="18" t="s">
        <v>359</v>
      </c>
      <c r="F3201" s="18" t="s">
        <v>360</v>
      </c>
      <c r="G3201" s="20" t="s">
        <v>6749</v>
      </c>
      <c r="H3201" s="18" t="s">
        <v>6390</v>
      </c>
      <c r="I3201" s="18"/>
      <c r="J3201" s="18"/>
      <c r="K3201" s="18"/>
      <c r="L3201" s="12" t="s">
        <v>361</v>
      </c>
      <c r="M3201" s="18" t="s">
        <v>365</v>
      </c>
      <c r="N3201" s="18"/>
      <c r="O3201" s="18" t="s">
        <v>366</v>
      </c>
      <c r="P3201" s="18" t="str">
        <f>HYPERLINK("https://ceds.ed.gov/cedselementdetails.aspx?termid=9655")</f>
        <v>https://ceds.ed.gov/cedselementdetails.aspx?termid=9655</v>
      </c>
      <c r="Q3201" s="18" t="str">
        <f>HYPERLINK("https://ceds.ed.gov/elementComment.aspx?elementName=American Indian or Alaska Native &amp;elementID=9655", "Click here to submit comment")</f>
        <v>Click here to submit comment</v>
      </c>
    </row>
    <row r="3202" spans="1:17" x14ac:dyDescent="0.25">
      <c r="A3202" s="18"/>
      <c r="B3202" s="18"/>
      <c r="C3202" s="18"/>
      <c r="D3202" s="18"/>
      <c r="E3202" s="18"/>
      <c r="F3202" s="18"/>
      <c r="G3202" s="18"/>
      <c r="H3202" s="18"/>
      <c r="I3202" s="18"/>
      <c r="J3202" s="18"/>
      <c r="K3202" s="18"/>
      <c r="L3202" s="12"/>
      <c r="M3202" s="18"/>
      <c r="N3202" s="18"/>
      <c r="O3202" s="18"/>
      <c r="P3202" s="18"/>
      <c r="Q3202" s="18"/>
    </row>
    <row r="3203" spans="1:17" x14ac:dyDescent="0.25">
      <c r="A3203" s="18"/>
      <c r="B3203" s="18"/>
      <c r="C3203" s="18"/>
      <c r="D3203" s="18"/>
      <c r="E3203" s="18"/>
      <c r="F3203" s="18"/>
      <c r="G3203" s="18"/>
      <c r="H3203" s="18"/>
      <c r="I3203" s="18"/>
      <c r="J3203" s="18"/>
      <c r="K3203" s="18"/>
      <c r="L3203" s="12" t="s">
        <v>362</v>
      </c>
      <c r="M3203" s="18"/>
      <c r="N3203" s="18"/>
      <c r="O3203" s="18"/>
      <c r="P3203" s="18"/>
      <c r="Q3203" s="18"/>
    </row>
    <row r="3204" spans="1:17" ht="30" x14ac:dyDescent="0.25">
      <c r="A3204" s="18"/>
      <c r="B3204" s="18"/>
      <c r="C3204" s="18"/>
      <c r="D3204" s="18"/>
      <c r="E3204" s="18"/>
      <c r="F3204" s="18"/>
      <c r="G3204" s="18"/>
      <c r="H3204" s="18"/>
      <c r="I3204" s="18"/>
      <c r="J3204" s="18"/>
      <c r="K3204" s="18"/>
      <c r="L3204" s="12" t="s">
        <v>363</v>
      </c>
      <c r="M3204" s="18"/>
      <c r="N3204" s="18"/>
      <c r="O3204" s="18"/>
      <c r="P3204" s="18"/>
      <c r="Q3204" s="18"/>
    </row>
    <row r="3205" spans="1:17" x14ac:dyDescent="0.25">
      <c r="A3205" s="18"/>
      <c r="B3205" s="18"/>
      <c r="C3205" s="18"/>
      <c r="D3205" s="18"/>
      <c r="E3205" s="18"/>
      <c r="F3205" s="18"/>
      <c r="G3205" s="18"/>
      <c r="H3205" s="18"/>
      <c r="I3205" s="18"/>
      <c r="J3205" s="18"/>
      <c r="K3205" s="18"/>
      <c r="L3205" s="12" t="s">
        <v>364</v>
      </c>
      <c r="M3205" s="18"/>
      <c r="N3205" s="18"/>
      <c r="O3205" s="18"/>
      <c r="P3205" s="18"/>
      <c r="Q3205" s="18"/>
    </row>
    <row r="3206" spans="1:17" ht="30" x14ac:dyDescent="0.25">
      <c r="A3206" s="18" t="s">
        <v>7317</v>
      </c>
      <c r="B3206" s="18" t="s">
        <v>7318</v>
      </c>
      <c r="C3206" s="18" t="s">
        <v>7178</v>
      </c>
      <c r="D3206" s="18" t="s">
        <v>7172</v>
      </c>
      <c r="E3206" s="18" t="s">
        <v>401</v>
      </c>
      <c r="F3206" s="18" t="s">
        <v>402</v>
      </c>
      <c r="G3206" s="20" t="s">
        <v>6749</v>
      </c>
      <c r="H3206" s="18" t="s">
        <v>6390</v>
      </c>
      <c r="I3206" s="18"/>
      <c r="J3206" s="18"/>
      <c r="K3206" s="18"/>
      <c r="L3206" s="12" t="s">
        <v>361</v>
      </c>
      <c r="M3206" s="18" t="s">
        <v>403</v>
      </c>
      <c r="N3206" s="18"/>
      <c r="O3206" s="18" t="s">
        <v>401</v>
      </c>
      <c r="P3206" s="18" t="str">
        <f>HYPERLINK("https://ceds.ed.gov/cedselementdetails.aspx?termid=9656")</f>
        <v>https://ceds.ed.gov/cedselementdetails.aspx?termid=9656</v>
      </c>
      <c r="Q3206" s="18" t="str">
        <f>HYPERLINK("https://ceds.ed.gov/elementComment.aspx?elementName=Asian &amp;elementID=9656", "Click here to submit comment")</f>
        <v>Click here to submit comment</v>
      </c>
    </row>
    <row r="3207" spans="1:17" x14ac:dyDescent="0.25">
      <c r="A3207" s="18"/>
      <c r="B3207" s="18"/>
      <c r="C3207" s="18"/>
      <c r="D3207" s="18"/>
      <c r="E3207" s="18"/>
      <c r="F3207" s="18"/>
      <c r="G3207" s="18"/>
      <c r="H3207" s="18"/>
      <c r="I3207" s="18"/>
      <c r="J3207" s="18"/>
      <c r="K3207" s="18"/>
      <c r="L3207" s="12"/>
      <c r="M3207" s="18"/>
      <c r="N3207" s="18"/>
      <c r="O3207" s="18"/>
      <c r="P3207" s="18"/>
      <c r="Q3207" s="18"/>
    </row>
    <row r="3208" spans="1:17" x14ac:dyDescent="0.25">
      <c r="A3208" s="18"/>
      <c r="B3208" s="18"/>
      <c r="C3208" s="18"/>
      <c r="D3208" s="18"/>
      <c r="E3208" s="18"/>
      <c r="F3208" s="18"/>
      <c r="G3208" s="18"/>
      <c r="H3208" s="18"/>
      <c r="I3208" s="18"/>
      <c r="J3208" s="18"/>
      <c r="K3208" s="18"/>
      <c r="L3208" s="12" t="s">
        <v>362</v>
      </c>
      <c r="M3208" s="18"/>
      <c r="N3208" s="18"/>
      <c r="O3208" s="18"/>
      <c r="P3208" s="18"/>
      <c r="Q3208" s="18"/>
    </row>
    <row r="3209" spans="1:17" ht="30" x14ac:dyDescent="0.25">
      <c r="A3209" s="18"/>
      <c r="B3209" s="18"/>
      <c r="C3209" s="18"/>
      <c r="D3209" s="18"/>
      <c r="E3209" s="18"/>
      <c r="F3209" s="18"/>
      <c r="G3209" s="18"/>
      <c r="H3209" s="18"/>
      <c r="I3209" s="18"/>
      <c r="J3209" s="18"/>
      <c r="K3209" s="18"/>
      <c r="L3209" s="12" t="s">
        <v>363</v>
      </c>
      <c r="M3209" s="18"/>
      <c r="N3209" s="18"/>
      <c r="O3209" s="18"/>
      <c r="P3209" s="18"/>
      <c r="Q3209" s="18"/>
    </row>
    <row r="3210" spans="1:17" x14ac:dyDescent="0.25">
      <c r="A3210" s="18"/>
      <c r="B3210" s="18"/>
      <c r="C3210" s="18"/>
      <c r="D3210" s="18"/>
      <c r="E3210" s="18"/>
      <c r="F3210" s="18"/>
      <c r="G3210" s="18"/>
      <c r="H3210" s="18"/>
      <c r="I3210" s="18"/>
      <c r="J3210" s="18"/>
      <c r="K3210" s="18"/>
      <c r="L3210" s="12" t="s">
        <v>364</v>
      </c>
      <c r="M3210" s="18"/>
      <c r="N3210" s="18"/>
      <c r="O3210" s="18"/>
      <c r="P3210" s="18"/>
      <c r="Q3210" s="18"/>
    </row>
    <row r="3211" spans="1:17" ht="30" x14ac:dyDescent="0.25">
      <c r="A3211" s="18" t="s">
        <v>7317</v>
      </c>
      <c r="B3211" s="18" t="s">
        <v>7318</v>
      </c>
      <c r="C3211" s="18" t="s">
        <v>7178</v>
      </c>
      <c r="D3211" s="18" t="s">
        <v>7172</v>
      </c>
      <c r="E3211" s="18" t="s">
        <v>1579</v>
      </c>
      <c r="F3211" s="18" t="s">
        <v>1580</v>
      </c>
      <c r="G3211" s="20" t="s">
        <v>6749</v>
      </c>
      <c r="H3211" s="18" t="s">
        <v>6390</v>
      </c>
      <c r="I3211" s="18"/>
      <c r="J3211" s="18"/>
      <c r="K3211" s="18"/>
      <c r="L3211" s="12" t="s">
        <v>361</v>
      </c>
      <c r="M3211" s="18" t="s">
        <v>1581</v>
      </c>
      <c r="N3211" s="18"/>
      <c r="O3211" s="18" t="s">
        <v>1582</v>
      </c>
      <c r="P3211" s="18" t="str">
        <f>HYPERLINK("https://ceds.ed.gov/cedselementdetails.aspx?termid=9657")</f>
        <v>https://ceds.ed.gov/cedselementdetails.aspx?termid=9657</v>
      </c>
      <c r="Q3211" s="18" t="str">
        <f>HYPERLINK("https://ceds.ed.gov/elementComment.aspx?elementName=Black or African American &amp;elementID=9657", "Click here to submit comment")</f>
        <v>Click here to submit comment</v>
      </c>
    </row>
    <row r="3212" spans="1:17" x14ac:dyDescent="0.25">
      <c r="A3212" s="18"/>
      <c r="B3212" s="18"/>
      <c r="C3212" s="18"/>
      <c r="D3212" s="18"/>
      <c r="E3212" s="18"/>
      <c r="F3212" s="18"/>
      <c r="G3212" s="18"/>
      <c r="H3212" s="18"/>
      <c r="I3212" s="18"/>
      <c r="J3212" s="18"/>
      <c r="K3212" s="18"/>
      <c r="L3212" s="12"/>
      <c r="M3212" s="18"/>
      <c r="N3212" s="18"/>
      <c r="O3212" s="18"/>
      <c r="P3212" s="18"/>
      <c r="Q3212" s="18"/>
    </row>
    <row r="3213" spans="1:17" x14ac:dyDescent="0.25">
      <c r="A3213" s="18"/>
      <c r="B3213" s="18"/>
      <c r="C3213" s="18"/>
      <c r="D3213" s="18"/>
      <c r="E3213" s="18"/>
      <c r="F3213" s="18"/>
      <c r="G3213" s="18"/>
      <c r="H3213" s="18"/>
      <c r="I3213" s="18"/>
      <c r="J3213" s="18"/>
      <c r="K3213" s="18"/>
      <c r="L3213" s="12" t="s">
        <v>362</v>
      </c>
      <c r="M3213" s="18"/>
      <c r="N3213" s="18"/>
      <c r="O3213" s="18"/>
      <c r="P3213" s="18"/>
      <c r="Q3213" s="18"/>
    </row>
    <row r="3214" spans="1:17" ht="30" x14ac:dyDescent="0.25">
      <c r="A3214" s="18"/>
      <c r="B3214" s="18"/>
      <c r="C3214" s="18"/>
      <c r="D3214" s="18"/>
      <c r="E3214" s="18"/>
      <c r="F3214" s="18"/>
      <c r="G3214" s="18"/>
      <c r="H3214" s="18"/>
      <c r="I3214" s="18"/>
      <c r="J3214" s="18"/>
      <c r="K3214" s="18"/>
      <c r="L3214" s="12" t="s">
        <v>363</v>
      </c>
      <c r="M3214" s="18"/>
      <c r="N3214" s="18"/>
      <c r="O3214" s="18"/>
      <c r="P3214" s="18"/>
      <c r="Q3214" s="18"/>
    </row>
    <row r="3215" spans="1:17" x14ac:dyDescent="0.25">
      <c r="A3215" s="18"/>
      <c r="B3215" s="18"/>
      <c r="C3215" s="18"/>
      <c r="D3215" s="18"/>
      <c r="E3215" s="18"/>
      <c r="F3215" s="18"/>
      <c r="G3215" s="18"/>
      <c r="H3215" s="18"/>
      <c r="I3215" s="18"/>
      <c r="J3215" s="18"/>
      <c r="K3215" s="18"/>
      <c r="L3215" s="12" t="s">
        <v>364</v>
      </c>
      <c r="M3215" s="18"/>
      <c r="N3215" s="18"/>
      <c r="O3215" s="18"/>
      <c r="P3215" s="18"/>
      <c r="Q3215" s="18"/>
    </row>
    <row r="3216" spans="1:17" ht="30" x14ac:dyDescent="0.25">
      <c r="A3216" s="18" t="s">
        <v>7317</v>
      </c>
      <c r="B3216" s="18" t="s">
        <v>7318</v>
      </c>
      <c r="C3216" s="18" t="s">
        <v>7178</v>
      </c>
      <c r="D3216" s="18" t="s">
        <v>7172</v>
      </c>
      <c r="E3216" s="18" t="s">
        <v>4536</v>
      </c>
      <c r="F3216" s="18" t="s">
        <v>4537</v>
      </c>
      <c r="G3216" s="20" t="s">
        <v>6749</v>
      </c>
      <c r="H3216" s="18" t="s">
        <v>6390</v>
      </c>
      <c r="I3216" s="18"/>
      <c r="J3216" s="18"/>
      <c r="K3216" s="18"/>
      <c r="L3216" s="12" t="s">
        <v>361</v>
      </c>
      <c r="M3216" s="18" t="s">
        <v>4538</v>
      </c>
      <c r="N3216" s="18"/>
      <c r="O3216" s="18" t="s">
        <v>4539</v>
      </c>
      <c r="P3216" s="18" t="str">
        <f>HYPERLINK("https://ceds.ed.gov/cedselementdetails.aspx?termid=9658")</f>
        <v>https://ceds.ed.gov/cedselementdetails.aspx?termid=9658</v>
      </c>
      <c r="Q3216" s="18" t="str">
        <f>HYPERLINK("https://ceds.ed.gov/elementComment.aspx?elementName=Native Hawaiian or Other Pacific Islander &amp;elementID=9658", "Click here to submit comment")</f>
        <v>Click here to submit comment</v>
      </c>
    </row>
    <row r="3217" spans="1:17" x14ac:dyDescent="0.25">
      <c r="A3217" s="18"/>
      <c r="B3217" s="18"/>
      <c r="C3217" s="18"/>
      <c r="D3217" s="18"/>
      <c r="E3217" s="18"/>
      <c r="F3217" s="18"/>
      <c r="G3217" s="18"/>
      <c r="H3217" s="18"/>
      <c r="I3217" s="18"/>
      <c r="J3217" s="18"/>
      <c r="K3217" s="18"/>
      <c r="L3217" s="12"/>
      <c r="M3217" s="18"/>
      <c r="N3217" s="18"/>
      <c r="O3217" s="18"/>
      <c r="P3217" s="18"/>
      <c r="Q3217" s="18"/>
    </row>
    <row r="3218" spans="1:17" x14ac:dyDescent="0.25">
      <c r="A3218" s="18"/>
      <c r="B3218" s="18"/>
      <c r="C3218" s="18"/>
      <c r="D3218" s="18"/>
      <c r="E3218" s="18"/>
      <c r="F3218" s="18"/>
      <c r="G3218" s="18"/>
      <c r="H3218" s="18"/>
      <c r="I3218" s="18"/>
      <c r="J3218" s="18"/>
      <c r="K3218" s="18"/>
      <c r="L3218" s="12" t="s">
        <v>362</v>
      </c>
      <c r="M3218" s="18"/>
      <c r="N3218" s="18"/>
      <c r="O3218" s="18"/>
      <c r="P3218" s="18"/>
      <c r="Q3218" s="18"/>
    </row>
    <row r="3219" spans="1:17" ht="30" x14ac:dyDescent="0.25">
      <c r="A3219" s="18"/>
      <c r="B3219" s="18"/>
      <c r="C3219" s="18"/>
      <c r="D3219" s="18"/>
      <c r="E3219" s="18"/>
      <c r="F3219" s="18"/>
      <c r="G3219" s="18"/>
      <c r="H3219" s="18"/>
      <c r="I3219" s="18"/>
      <c r="J3219" s="18"/>
      <c r="K3219" s="18"/>
      <c r="L3219" s="12" t="s">
        <v>363</v>
      </c>
      <c r="M3219" s="18"/>
      <c r="N3219" s="18"/>
      <c r="O3219" s="18"/>
      <c r="P3219" s="18"/>
      <c r="Q3219" s="18"/>
    </row>
    <row r="3220" spans="1:17" x14ac:dyDescent="0.25">
      <c r="A3220" s="18"/>
      <c r="B3220" s="18"/>
      <c r="C3220" s="18"/>
      <c r="D3220" s="18"/>
      <c r="E3220" s="18"/>
      <c r="F3220" s="18"/>
      <c r="G3220" s="18"/>
      <c r="H3220" s="18"/>
      <c r="I3220" s="18"/>
      <c r="J3220" s="18"/>
      <c r="K3220" s="18"/>
      <c r="L3220" s="12" t="s">
        <v>364</v>
      </c>
      <c r="M3220" s="18"/>
      <c r="N3220" s="18"/>
      <c r="O3220" s="18"/>
      <c r="P3220" s="18"/>
      <c r="Q3220" s="18"/>
    </row>
    <row r="3221" spans="1:17" ht="30" x14ac:dyDescent="0.25">
      <c r="A3221" s="18" t="s">
        <v>7317</v>
      </c>
      <c r="B3221" s="18" t="s">
        <v>7318</v>
      </c>
      <c r="C3221" s="18" t="s">
        <v>7178</v>
      </c>
      <c r="D3221" s="18" t="s">
        <v>7172</v>
      </c>
      <c r="E3221" s="18" t="s">
        <v>6333</v>
      </c>
      <c r="F3221" s="18" t="s">
        <v>6334</v>
      </c>
      <c r="G3221" s="20" t="s">
        <v>6749</v>
      </c>
      <c r="H3221" s="18" t="s">
        <v>6390</v>
      </c>
      <c r="I3221" s="18"/>
      <c r="J3221" s="18"/>
      <c r="K3221" s="18"/>
      <c r="L3221" s="12" t="s">
        <v>361</v>
      </c>
      <c r="M3221" s="18" t="s">
        <v>6335</v>
      </c>
      <c r="N3221" s="18"/>
      <c r="O3221" s="18" t="s">
        <v>6333</v>
      </c>
      <c r="P3221" s="18" t="str">
        <f>HYPERLINK("https://ceds.ed.gov/cedselementdetails.aspx?termid=9659")</f>
        <v>https://ceds.ed.gov/cedselementdetails.aspx?termid=9659</v>
      </c>
      <c r="Q3221" s="18" t="str">
        <f>HYPERLINK("https://ceds.ed.gov/elementComment.aspx?elementName=White &amp;elementID=9659", "Click here to submit comment")</f>
        <v>Click here to submit comment</v>
      </c>
    </row>
    <row r="3222" spans="1:17" x14ac:dyDescent="0.25">
      <c r="A3222" s="18"/>
      <c r="B3222" s="18"/>
      <c r="C3222" s="18"/>
      <c r="D3222" s="18"/>
      <c r="E3222" s="18"/>
      <c r="F3222" s="18"/>
      <c r="G3222" s="18"/>
      <c r="H3222" s="18"/>
      <c r="I3222" s="18"/>
      <c r="J3222" s="18"/>
      <c r="K3222" s="18"/>
      <c r="L3222" s="12"/>
      <c r="M3222" s="18"/>
      <c r="N3222" s="18"/>
      <c r="O3222" s="18"/>
      <c r="P3222" s="18"/>
      <c r="Q3222" s="18"/>
    </row>
    <row r="3223" spans="1:17" x14ac:dyDescent="0.25">
      <c r="A3223" s="18"/>
      <c r="B3223" s="18"/>
      <c r="C3223" s="18"/>
      <c r="D3223" s="18"/>
      <c r="E3223" s="18"/>
      <c r="F3223" s="18"/>
      <c r="G3223" s="18"/>
      <c r="H3223" s="18"/>
      <c r="I3223" s="18"/>
      <c r="J3223" s="18"/>
      <c r="K3223" s="18"/>
      <c r="L3223" s="12" t="s">
        <v>362</v>
      </c>
      <c r="M3223" s="18"/>
      <c r="N3223" s="18"/>
      <c r="O3223" s="18"/>
      <c r="P3223" s="18"/>
      <c r="Q3223" s="18"/>
    </row>
    <row r="3224" spans="1:17" ht="30" x14ac:dyDescent="0.25">
      <c r="A3224" s="18"/>
      <c r="B3224" s="18"/>
      <c r="C3224" s="18"/>
      <c r="D3224" s="18"/>
      <c r="E3224" s="18"/>
      <c r="F3224" s="18"/>
      <c r="G3224" s="18"/>
      <c r="H3224" s="18"/>
      <c r="I3224" s="18"/>
      <c r="J3224" s="18"/>
      <c r="K3224" s="18"/>
      <c r="L3224" s="12" t="s">
        <v>363</v>
      </c>
      <c r="M3224" s="18"/>
      <c r="N3224" s="18"/>
      <c r="O3224" s="18"/>
      <c r="P3224" s="18"/>
      <c r="Q3224" s="18"/>
    </row>
    <row r="3225" spans="1:17" x14ac:dyDescent="0.25">
      <c r="A3225" s="18"/>
      <c r="B3225" s="18"/>
      <c r="C3225" s="18"/>
      <c r="D3225" s="18"/>
      <c r="E3225" s="18"/>
      <c r="F3225" s="18"/>
      <c r="G3225" s="18"/>
      <c r="H3225" s="18"/>
      <c r="I3225" s="18"/>
      <c r="J3225" s="18"/>
      <c r="K3225" s="18"/>
      <c r="L3225" s="12" t="s">
        <v>364</v>
      </c>
      <c r="M3225" s="18"/>
      <c r="N3225" s="18"/>
      <c r="O3225" s="18"/>
      <c r="P3225" s="18"/>
      <c r="Q3225" s="18"/>
    </row>
    <row r="3226" spans="1:17" ht="30" x14ac:dyDescent="0.25">
      <c r="A3226" s="18" t="s">
        <v>7317</v>
      </c>
      <c r="B3226" s="18" t="s">
        <v>7318</v>
      </c>
      <c r="C3226" s="18" t="s">
        <v>7178</v>
      </c>
      <c r="D3226" s="18" t="s">
        <v>7172</v>
      </c>
      <c r="E3226" s="18" t="s">
        <v>3227</v>
      </c>
      <c r="F3226" s="18" t="s">
        <v>3228</v>
      </c>
      <c r="G3226" s="20" t="s">
        <v>6749</v>
      </c>
      <c r="H3226" s="18" t="s">
        <v>6390</v>
      </c>
      <c r="I3226" s="18"/>
      <c r="J3226" s="18"/>
      <c r="K3226" s="18"/>
      <c r="L3226" s="12" t="s">
        <v>361</v>
      </c>
      <c r="M3226" s="18" t="s">
        <v>3229</v>
      </c>
      <c r="N3226" s="18"/>
      <c r="O3226" s="18" t="s">
        <v>3230</v>
      </c>
      <c r="P3226" s="18" t="str">
        <f>HYPERLINK("https://ceds.ed.gov/cedselementdetails.aspx?termid=9144")</f>
        <v>https://ceds.ed.gov/cedselementdetails.aspx?termid=9144</v>
      </c>
      <c r="Q3226" s="18" t="str">
        <f>HYPERLINK("https://ceds.ed.gov/elementComment.aspx?elementName=Hispanic or Latino Ethnicity &amp;elementID=9144", "Click here to submit comment")</f>
        <v>Click here to submit comment</v>
      </c>
    </row>
    <row r="3227" spans="1:17" x14ac:dyDescent="0.25">
      <c r="A3227" s="18"/>
      <c r="B3227" s="18"/>
      <c r="C3227" s="18"/>
      <c r="D3227" s="18"/>
      <c r="E3227" s="18"/>
      <c r="F3227" s="18"/>
      <c r="G3227" s="18"/>
      <c r="H3227" s="18"/>
      <c r="I3227" s="18"/>
      <c r="J3227" s="18"/>
      <c r="K3227" s="18"/>
      <c r="L3227" s="12"/>
      <c r="M3227" s="18"/>
      <c r="N3227" s="18"/>
      <c r="O3227" s="18"/>
      <c r="P3227" s="18"/>
      <c r="Q3227" s="18"/>
    </row>
    <row r="3228" spans="1:17" x14ac:dyDescent="0.25">
      <c r="A3228" s="18"/>
      <c r="B3228" s="18"/>
      <c r="C3228" s="18"/>
      <c r="D3228" s="18"/>
      <c r="E3228" s="18"/>
      <c r="F3228" s="18"/>
      <c r="G3228" s="18"/>
      <c r="H3228" s="18"/>
      <c r="I3228" s="18"/>
      <c r="J3228" s="18"/>
      <c r="K3228" s="18"/>
      <c r="L3228" s="12" t="s">
        <v>362</v>
      </c>
      <c r="M3228" s="18"/>
      <c r="N3228" s="18"/>
      <c r="O3228" s="18"/>
      <c r="P3228" s="18"/>
      <c r="Q3228" s="18"/>
    </row>
    <row r="3229" spans="1:17" ht="30" x14ac:dyDescent="0.25">
      <c r="A3229" s="18"/>
      <c r="B3229" s="18"/>
      <c r="C3229" s="18"/>
      <c r="D3229" s="18"/>
      <c r="E3229" s="18"/>
      <c r="F3229" s="18"/>
      <c r="G3229" s="18"/>
      <c r="H3229" s="18"/>
      <c r="I3229" s="18"/>
      <c r="J3229" s="18"/>
      <c r="K3229" s="18"/>
      <c r="L3229" s="12" t="s">
        <v>363</v>
      </c>
      <c r="M3229" s="18"/>
      <c r="N3229" s="18"/>
      <c r="O3229" s="18"/>
      <c r="P3229" s="18"/>
      <c r="Q3229" s="18"/>
    </row>
    <row r="3230" spans="1:17" x14ac:dyDescent="0.25">
      <c r="A3230" s="18"/>
      <c r="B3230" s="18"/>
      <c r="C3230" s="18"/>
      <c r="D3230" s="18"/>
      <c r="E3230" s="18"/>
      <c r="F3230" s="18"/>
      <c r="G3230" s="18"/>
      <c r="H3230" s="18"/>
      <c r="I3230" s="18"/>
      <c r="J3230" s="18"/>
      <c r="K3230" s="18"/>
      <c r="L3230" s="12" t="s">
        <v>364</v>
      </c>
      <c r="M3230" s="18"/>
      <c r="N3230" s="18"/>
      <c r="O3230" s="18"/>
      <c r="P3230" s="18"/>
      <c r="Q3230" s="18"/>
    </row>
    <row r="3231" spans="1:17" ht="75" x14ac:dyDescent="0.25">
      <c r="A3231" s="12" t="s">
        <v>7317</v>
      </c>
      <c r="B3231" s="12" t="s">
        <v>7318</v>
      </c>
      <c r="C3231" s="12" t="s">
        <v>7178</v>
      </c>
      <c r="D3231" s="12" t="s">
        <v>7172</v>
      </c>
      <c r="E3231" s="12" t="s">
        <v>4472</v>
      </c>
      <c r="F3231" s="12" t="s">
        <v>4473</v>
      </c>
      <c r="G3231" s="13" t="s">
        <v>7034</v>
      </c>
      <c r="H3231" s="12"/>
      <c r="I3231" s="12"/>
      <c r="J3231" s="12"/>
      <c r="K3231" s="12"/>
      <c r="L3231" s="12"/>
      <c r="M3231" s="12" t="s">
        <v>4474</v>
      </c>
      <c r="N3231" s="12"/>
      <c r="O3231" s="12" t="s">
        <v>4475</v>
      </c>
      <c r="P3231" s="12" t="str">
        <f>HYPERLINK("https://ceds.ed.gov/cedselementdetails.aspx?termid=10556")</f>
        <v>https://ceds.ed.gov/cedselementdetails.aspx?termid=10556</v>
      </c>
      <c r="Q3231" s="12" t="str">
        <f>HYPERLINK("https://ceds.ed.gov/elementComment.aspx?elementName=Military Active Student Indicator &amp;elementID=10556", "Click here to submit comment")</f>
        <v>Click here to submit comment</v>
      </c>
    </row>
    <row r="3232" spans="1:17" ht="105" x14ac:dyDescent="0.25">
      <c r="A3232" s="12" t="s">
        <v>7317</v>
      </c>
      <c r="B3232" s="12" t="s">
        <v>7318</v>
      </c>
      <c r="C3232" s="12" t="s">
        <v>7178</v>
      </c>
      <c r="D3232" s="12" t="s">
        <v>7172</v>
      </c>
      <c r="E3232" s="12" t="s">
        <v>4476</v>
      </c>
      <c r="F3232" s="12" t="s">
        <v>4477</v>
      </c>
      <c r="G3232" s="13" t="s">
        <v>7035</v>
      </c>
      <c r="H3232" s="12"/>
      <c r="I3232" s="12" t="s">
        <v>1498</v>
      </c>
      <c r="J3232" s="12"/>
      <c r="K3232" s="12"/>
      <c r="L3232" s="12"/>
      <c r="M3232" s="12" t="s">
        <v>4478</v>
      </c>
      <c r="N3232" s="12"/>
      <c r="O3232" s="12" t="s">
        <v>4479</v>
      </c>
      <c r="P3232" s="12" t="str">
        <f>HYPERLINK("https://ceds.ed.gov/cedselementdetails.aspx?termid=10621")</f>
        <v>https://ceds.ed.gov/cedselementdetails.aspx?termid=10621</v>
      </c>
      <c r="Q3232" s="12" t="str">
        <f>HYPERLINK("https://ceds.ed.gov/elementComment.aspx?elementName=Military Branch &amp;elementID=10621", "Click here to submit comment")</f>
        <v>Click here to submit comment</v>
      </c>
    </row>
    <row r="3233" spans="1:17" ht="75" x14ac:dyDescent="0.25">
      <c r="A3233" s="12" t="s">
        <v>7317</v>
      </c>
      <c r="B3233" s="12" t="s">
        <v>7318</v>
      </c>
      <c r="C3233" s="12" t="s">
        <v>7178</v>
      </c>
      <c r="D3233" s="12" t="s">
        <v>7172</v>
      </c>
      <c r="E3233" s="12" t="s">
        <v>4489</v>
      </c>
      <c r="F3233" s="12" t="s">
        <v>4490</v>
      </c>
      <c r="G3233" s="13" t="s">
        <v>7037</v>
      </c>
      <c r="H3233" s="12"/>
      <c r="I3233" s="12"/>
      <c r="J3233" s="12"/>
      <c r="K3233" s="12"/>
      <c r="L3233" s="12"/>
      <c r="M3233" s="12" t="s">
        <v>4491</v>
      </c>
      <c r="N3233" s="12"/>
      <c r="O3233" s="12" t="s">
        <v>4492</v>
      </c>
      <c r="P3233" s="12" t="str">
        <f>HYPERLINK("https://ceds.ed.gov/cedselementdetails.aspx?termid=10557")</f>
        <v>https://ceds.ed.gov/cedselementdetails.aspx?termid=10557</v>
      </c>
      <c r="Q3233" s="12" t="str">
        <f>HYPERLINK("https://ceds.ed.gov/elementComment.aspx?elementName=Military Veteran Student Indicator &amp;elementID=10557", "Click here to submit comment")</f>
        <v>Click here to submit comment</v>
      </c>
    </row>
    <row r="3234" spans="1:17" ht="270" x14ac:dyDescent="0.25">
      <c r="A3234" s="12" t="s">
        <v>7317</v>
      </c>
      <c r="B3234" s="12" t="s">
        <v>7318</v>
      </c>
      <c r="C3234" s="12" t="s">
        <v>6707</v>
      </c>
      <c r="D3234" s="12" t="s">
        <v>7172</v>
      </c>
      <c r="E3234" s="12" t="s">
        <v>1701</v>
      </c>
      <c r="F3234" s="12" t="s">
        <v>1702</v>
      </c>
      <c r="G3234" s="12" t="s">
        <v>6364</v>
      </c>
      <c r="H3234" s="12" t="s">
        <v>222</v>
      </c>
      <c r="I3234" s="12"/>
      <c r="J3234" s="12"/>
      <c r="K3234" s="12"/>
      <c r="L3234" s="12"/>
      <c r="M3234" s="12" t="s">
        <v>1703</v>
      </c>
      <c r="N3234" s="12" t="s">
        <v>1704</v>
      </c>
      <c r="O3234" s="12" t="s">
        <v>1705</v>
      </c>
      <c r="P3234" s="12" t="str">
        <f>HYPERLINK("https://ceds.ed.gov/cedselementdetails.aspx?termid=9084")</f>
        <v>https://ceds.ed.gov/cedselementdetails.aspx?termid=9084</v>
      </c>
      <c r="Q3234" s="12" t="str">
        <f>HYPERLINK("https://ceds.ed.gov/elementComment.aspx?elementName=Career-Technical-Adult Education Displaced Homemaker Indicator &amp;elementID=9084", "Click here to submit comment")</f>
        <v>Click here to submit comment</v>
      </c>
    </row>
    <row r="3235" spans="1:17" ht="135" x14ac:dyDescent="0.25">
      <c r="A3235" s="12" t="s">
        <v>7317</v>
      </c>
      <c r="B3235" s="12" t="s">
        <v>7318</v>
      </c>
      <c r="C3235" s="12" t="s">
        <v>6707</v>
      </c>
      <c r="D3235" s="12" t="s">
        <v>7172</v>
      </c>
      <c r="E3235" s="12" t="s">
        <v>2387</v>
      </c>
      <c r="F3235" s="12" t="s">
        <v>2388</v>
      </c>
      <c r="G3235" s="12" t="s">
        <v>6364</v>
      </c>
      <c r="H3235" s="12"/>
      <c r="I3235" s="12"/>
      <c r="J3235" s="12"/>
      <c r="K3235" s="12"/>
      <c r="L3235" s="12"/>
      <c r="M3235" s="12" t="s">
        <v>2390</v>
      </c>
      <c r="N3235" s="12"/>
      <c r="O3235" s="12" t="s">
        <v>2391</v>
      </c>
      <c r="P3235" s="12" t="str">
        <f>HYPERLINK("https://ceds.ed.gov/cedselementdetails.aspx?termid=9759")</f>
        <v>https://ceds.ed.gov/cedselementdetails.aspx?termid=9759</v>
      </c>
      <c r="Q3235" s="12" t="str">
        <f>HYPERLINK("https://ceds.ed.gov/elementComment.aspx?elementName=Dislocated Worker Status &amp;elementID=9759", "Click here to submit comment")</f>
        <v>Click here to submit comment</v>
      </c>
    </row>
    <row r="3236" spans="1:17" ht="180" x14ac:dyDescent="0.25">
      <c r="A3236" s="12" t="s">
        <v>7317</v>
      </c>
      <c r="B3236" s="12" t="s">
        <v>7318</v>
      </c>
      <c r="C3236" s="12" t="s">
        <v>6707</v>
      </c>
      <c r="D3236" s="12" t="s">
        <v>7172</v>
      </c>
      <c r="E3236" s="12" t="s">
        <v>4364</v>
      </c>
      <c r="F3236" s="12" t="s">
        <v>4365</v>
      </c>
      <c r="G3236" s="12" t="s">
        <v>6364</v>
      </c>
      <c r="H3236" s="12"/>
      <c r="I3236" s="12"/>
      <c r="J3236" s="12"/>
      <c r="K3236" s="12"/>
      <c r="L3236" s="12"/>
      <c r="M3236" s="12" t="s">
        <v>4366</v>
      </c>
      <c r="N3236" s="12"/>
      <c r="O3236" s="12" t="s">
        <v>4367</v>
      </c>
      <c r="P3236" s="12" t="str">
        <f>HYPERLINK("https://ceds.ed.gov/cedselementdetails.aspx?termid=9758")</f>
        <v>https://ceds.ed.gov/cedselementdetails.aspx?termid=9758</v>
      </c>
      <c r="Q3236" s="12" t="str">
        <f>HYPERLINK("https://ceds.ed.gov/elementComment.aspx?elementName=Low-income Status &amp;elementID=9758", "Click here to submit comment")</f>
        <v>Click here to submit comment</v>
      </c>
    </row>
    <row r="3237" spans="1:17" ht="75" x14ac:dyDescent="0.25">
      <c r="A3237" s="12" t="s">
        <v>7317</v>
      </c>
      <c r="B3237" s="12" t="s">
        <v>7318</v>
      </c>
      <c r="C3237" s="12" t="s">
        <v>6707</v>
      </c>
      <c r="D3237" s="12" t="s">
        <v>7172</v>
      </c>
      <c r="E3237" s="12" t="s">
        <v>5222</v>
      </c>
      <c r="F3237" s="12" t="s">
        <v>5223</v>
      </c>
      <c r="G3237" s="12" t="s">
        <v>6364</v>
      </c>
      <c r="H3237" s="12"/>
      <c r="I3237" s="12"/>
      <c r="J3237" s="12"/>
      <c r="K3237" s="12"/>
      <c r="L3237" s="12"/>
      <c r="M3237" s="12" t="s">
        <v>5224</v>
      </c>
      <c r="N3237" s="12"/>
      <c r="O3237" s="12" t="s">
        <v>5225</v>
      </c>
      <c r="P3237" s="12" t="str">
        <f>HYPERLINK("https://ceds.ed.gov/cedselementdetails.aspx?termid=9760")</f>
        <v>https://ceds.ed.gov/cedselementdetails.aspx?termid=9760</v>
      </c>
      <c r="Q3237" s="12" t="str">
        <f>HYPERLINK("https://ceds.ed.gov/elementComment.aspx?elementName=Public Assistance Status &amp;elementID=9760", "Click here to submit comment")</f>
        <v>Click here to submit comment</v>
      </c>
    </row>
    <row r="3238" spans="1:17" ht="90" x14ac:dyDescent="0.25">
      <c r="A3238" s="12" t="s">
        <v>7317</v>
      </c>
      <c r="B3238" s="12" t="s">
        <v>7318</v>
      </c>
      <c r="C3238" s="12" t="s">
        <v>6707</v>
      </c>
      <c r="D3238" s="12" t="s">
        <v>7172</v>
      </c>
      <c r="E3238" s="12" t="s">
        <v>5486</v>
      </c>
      <c r="F3238" s="12" t="s">
        <v>5487</v>
      </c>
      <c r="G3238" s="12" t="s">
        <v>6364</v>
      </c>
      <c r="H3238" s="12"/>
      <c r="I3238" s="12"/>
      <c r="J3238" s="12"/>
      <c r="K3238" s="12"/>
      <c r="L3238" s="12"/>
      <c r="M3238" s="12" t="s">
        <v>5488</v>
      </c>
      <c r="N3238" s="12"/>
      <c r="O3238" s="12" t="s">
        <v>5489</v>
      </c>
      <c r="P3238" s="12" t="str">
        <f>HYPERLINK("https://ceds.ed.gov/cedselementdetails.aspx?termid=9761")</f>
        <v>https://ceds.ed.gov/cedselementdetails.aspx?termid=9761</v>
      </c>
      <c r="Q3238" s="12" t="str">
        <f>HYPERLINK("https://ceds.ed.gov/elementComment.aspx?elementName=Rural Residency Status &amp;elementID=9761", "Click here to submit comment")</f>
        <v>Click here to submit comment</v>
      </c>
    </row>
    <row r="3239" spans="1:17" ht="105" x14ac:dyDescent="0.25">
      <c r="A3239" s="12" t="s">
        <v>7317</v>
      </c>
      <c r="B3239" s="12" t="s">
        <v>7318</v>
      </c>
      <c r="C3239" s="12" t="s">
        <v>6707</v>
      </c>
      <c r="D3239" s="12" t="s">
        <v>7172</v>
      </c>
      <c r="E3239" s="12" t="s">
        <v>5728</v>
      </c>
      <c r="F3239" s="12" t="s">
        <v>5729</v>
      </c>
      <c r="G3239" s="12" t="s">
        <v>6364</v>
      </c>
      <c r="H3239" s="12" t="s">
        <v>6460</v>
      </c>
      <c r="I3239" s="12"/>
      <c r="J3239" s="12"/>
      <c r="K3239" s="12"/>
      <c r="L3239" s="12"/>
      <c r="M3239" s="12" t="s">
        <v>5730</v>
      </c>
      <c r="N3239" s="12"/>
      <c r="O3239" s="12" t="s">
        <v>5731</v>
      </c>
      <c r="P3239" s="12" t="str">
        <f>HYPERLINK("https://ceds.ed.gov/cedselementdetails.aspx?termid=9573")</f>
        <v>https://ceds.ed.gov/cedselementdetails.aspx?termid=9573</v>
      </c>
      <c r="Q3239" s="12" t="str">
        <f>HYPERLINK("https://ceds.ed.gov/elementComment.aspx?elementName=Single Parent Or Single Pregnant Woman Status &amp;elementID=9573", "Click here to submit comment")</f>
        <v>Click here to submit comment</v>
      </c>
    </row>
    <row r="3240" spans="1:17" ht="225" x14ac:dyDescent="0.25">
      <c r="A3240" s="12" t="s">
        <v>7317</v>
      </c>
      <c r="B3240" s="12" t="s">
        <v>7318</v>
      </c>
      <c r="C3240" s="12" t="s">
        <v>7234</v>
      </c>
      <c r="D3240" s="12" t="s">
        <v>7172</v>
      </c>
      <c r="E3240" s="12" t="s">
        <v>2686</v>
      </c>
      <c r="F3240" s="12" t="s">
        <v>2687</v>
      </c>
      <c r="G3240" s="12" t="s">
        <v>6519</v>
      </c>
      <c r="H3240" s="12" t="s">
        <v>2679</v>
      </c>
      <c r="I3240" s="12"/>
      <c r="J3240" s="12"/>
      <c r="K3240" s="12"/>
      <c r="L3240" s="12" t="s">
        <v>2688</v>
      </c>
      <c r="M3240" s="12" t="s">
        <v>2689</v>
      </c>
      <c r="N3240" s="12"/>
      <c r="O3240" s="12" t="s">
        <v>2690</v>
      </c>
      <c r="P3240" s="12" t="str">
        <f>HYPERLINK("https://ceds.ed.gov/cedselementdetails.aspx?termid=9989")</f>
        <v>https://ceds.ed.gov/cedselementdetails.aspx?termid=9989</v>
      </c>
      <c r="Q3240" s="12" t="str">
        <f>HYPERLINK("https://ceds.ed.gov/elementComment.aspx?elementName=Employed While Enrolled &amp;elementID=9989", "Click here to submit comment")</f>
        <v>Click here to submit comment</v>
      </c>
    </row>
    <row r="3241" spans="1:17" ht="60" x14ac:dyDescent="0.25">
      <c r="A3241" s="12" t="s">
        <v>7317</v>
      </c>
      <c r="B3241" s="12" t="s">
        <v>7318</v>
      </c>
      <c r="C3241" s="12" t="s">
        <v>7234</v>
      </c>
      <c r="D3241" s="12" t="s">
        <v>7172</v>
      </c>
      <c r="E3241" s="12" t="s">
        <v>2700</v>
      </c>
      <c r="F3241" s="12" t="s">
        <v>2701</v>
      </c>
      <c r="G3241" s="12" t="s">
        <v>2702</v>
      </c>
      <c r="H3241" s="12"/>
      <c r="I3241" s="12"/>
      <c r="J3241" s="12" t="s">
        <v>2703</v>
      </c>
      <c r="K3241" s="12"/>
      <c r="L3241" s="12"/>
      <c r="M3241" s="12" t="s">
        <v>2704</v>
      </c>
      <c r="N3241" s="12"/>
      <c r="O3241" s="12" t="s">
        <v>2705</v>
      </c>
      <c r="P3241" s="12" t="str">
        <f>HYPERLINK("https://ceds.ed.gov/cedselementdetails.aspx?termid=10070")</f>
        <v>https://ceds.ed.gov/cedselementdetails.aspx?termid=10070</v>
      </c>
      <c r="Q3241" s="12" t="str">
        <f>HYPERLINK("https://ceds.ed.gov/elementComment.aspx?elementName=Employment NAICS Code &amp;elementID=10070", "Click here to submit comment")</f>
        <v>Click here to submit comment</v>
      </c>
    </row>
    <row r="3242" spans="1:17" ht="270" x14ac:dyDescent="0.25">
      <c r="A3242" s="12" t="s">
        <v>7317</v>
      </c>
      <c r="B3242" s="12" t="s">
        <v>7318</v>
      </c>
      <c r="C3242" s="12" t="s">
        <v>7234</v>
      </c>
      <c r="D3242" s="12" t="s">
        <v>7172</v>
      </c>
      <c r="E3242" s="12" t="s">
        <v>2674</v>
      </c>
      <c r="F3242" s="12" t="s">
        <v>2675</v>
      </c>
      <c r="G3242" s="12" t="s">
        <v>6519</v>
      </c>
      <c r="H3242" s="12" t="s">
        <v>2679</v>
      </c>
      <c r="I3242" s="12"/>
      <c r="J3242" s="12"/>
      <c r="K3242" s="12"/>
      <c r="L3242" s="12" t="s">
        <v>2676</v>
      </c>
      <c r="M3242" s="12" t="s">
        <v>2677</v>
      </c>
      <c r="N3242" s="12"/>
      <c r="O3242" s="12" t="s">
        <v>2678</v>
      </c>
      <c r="P3242" s="12" t="str">
        <f>HYPERLINK("https://ceds.ed.gov/cedselementdetails.aspx?termid=9990")</f>
        <v>https://ceds.ed.gov/cedselementdetails.aspx?termid=9990</v>
      </c>
      <c r="Q3242" s="12" t="str">
        <f>HYPERLINK("https://ceds.ed.gov/elementComment.aspx?elementName=Employed After Exit &amp;elementID=9990", "Click here to submit comment")</f>
        <v>Click here to submit comment</v>
      </c>
    </row>
    <row r="3243" spans="1:17" ht="60" x14ac:dyDescent="0.25">
      <c r="A3243" s="12" t="s">
        <v>7317</v>
      </c>
      <c r="B3243" s="12" t="s">
        <v>7318</v>
      </c>
      <c r="C3243" s="12" t="s">
        <v>7234</v>
      </c>
      <c r="D3243" s="12" t="s">
        <v>7172</v>
      </c>
      <c r="E3243" s="12" t="s">
        <v>2691</v>
      </c>
      <c r="F3243" s="12" t="s">
        <v>2692</v>
      </c>
      <c r="G3243" s="12" t="s">
        <v>12</v>
      </c>
      <c r="H3243" s="12" t="s">
        <v>205</v>
      </c>
      <c r="I3243" s="12"/>
      <c r="J3243" s="12" t="s">
        <v>73</v>
      </c>
      <c r="K3243" s="12"/>
      <c r="L3243" s="12"/>
      <c r="M3243" s="12" t="s">
        <v>2693</v>
      </c>
      <c r="N3243" s="12"/>
      <c r="O3243" s="12" t="s">
        <v>2694</v>
      </c>
      <c r="P3243" s="12" t="str">
        <f>HYPERLINK("https://ceds.ed.gov/cedselementdetails.aspx?termid=9794")</f>
        <v>https://ceds.ed.gov/cedselementdetails.aspx?termid=9794</v>
      </c>
      <c r="Q3243" s="12" t="str">
        <f>HYPERLINK("https://ceds.ed.gov/elementComment.aspx?elementName=Employment End Date &amp;elementID=9794", "Click here to submit comment")</f>
        <v>Click here to submit comment</v>
      </c>
    </row>
    <row r="3244" spans="1:17" ht="60" x14ac:dyDescent="0.25">
      <c r="A3244" s="12" t="s">
        <v>7317</v>
      </c>
      <c r="B3244" s="12" t="s">
        <v>7318</v>
      </c>
      <c r="C3244" s="12" t="s">
        <v>7234</v>
      </c>
      <c r="D3244" s="12" t="s">
        <v>7172</v>
      </c>
      <c r="E3244" s="12" t="s">
        <v>2727</v>
      </c>
      <c r="F3244" s="12" t="s">
        <v>2728</v>
      </c>
      <c r="G3244" s="12" t="s">
        <v>12</v>
      </c>
      <c r="H3244" s="12" t="s">
        <v>6523</v>
      </c>
      <c r="I3244" s="12"/>
      <c r="J3244" s="12" t="s">
        <v>73</v>
      </c>
      <c r="K3244" s="12"/>
      <c r="L3244" s="12"/>
      <c r="M3244" s="12" t="s">
        <v>2729</v>
      </c>
      <c r="N3244" s="12"/>
      <c r="O3244" s="12" t="s">
        <v>2730</v>
      </c>
      <c r="P3244" s="12" t="str">
        <f>HYPERLINK("https://ceds.ed.gov/cedselementdetails.aspx?termid=9345")</f>
        <v>https://ceds.ed.gov/cedselementdetails.aspx?termid=9345</v>
      </c>
      <c r="Q3244" s="12" t="str">
        <f>HYPERLINK("https://ceds.ed.gov/elementComment.aspx?elementName=Employment Start Date &amp;elementID=9345", "Click here to submit comment")</f>
        <v>Click here to submit comment</v>
      </c>
    </row>
    <row r="3245" spans="1:17" ht="75" x14ac:dyDescent="0.25">
      <c r="A3245" s="12" t="s">
        <v>7317</v>
      </c>
      <c r="B3245" s="12" t="s">
        <v>7318</v>
      </c>
      <c r="C3245" s="12" t="s">
        <v>7310</v>
      </c>
      <c r="D3245" s="12" t="s">
        <v>7172</v>
      </c>
      <c r="E3245" s="12" t="s">
        <v>256</v>
      </c>
      <c r="F3245" s="12" t="s">
        <v>257</v>
      </c>
      <c r="G3245" s="13" t="s">
        <v>6736</v>
      </c>
      <c r="H3245" s="12"/>
      <c r="I3245" s="12"/>
      <c r="J3245" s="12"/>
      <c r="K3245" s="12"/>
      <c r="L3245" s="12"/>
      <c r="M3245" s="12" t="s">
        <v>259</v>
      </c>
      <c r="N3245" s="12"/>
      <c r="O3245" s="12" t="s">
        <v>260</v>
      </c>
      <c r="P3245" s="12" t="str">
        <f>HYPERLINK("https://ceds.ed.gov/cedselementdetails.aspx?termid=9765")</f>
        <v>https://ceds.ed.gov/cedselementdetails.aspx?termid=9765</v>
      </c>
      <c r="Q3245" s="12" t="str">
        <f>HYPERLINK("https://ceds.ed.gov/elementComment.aspx?elementName=Adult Education Instructional Program Type &amp;elementID=9765", "Click here to submit comment")</f>
        <v>Click here to submit comment</v>
      </c>
    </row>
    <row r="3246" spans="1:17" ht="45" x14ac:dyDescent="0.25">
      <c r="A3246" s="12" t="s">
        <v>7317</v>
      </c>
      <c r="B3246" s="12" t="s">
        <v>7318</v>
      </c>
      <c r="C3246" s="12" t="s">
        <v>7310</v>
      </c>
      <c r="D3246" s="12" t="s">
        <v>7172</v>
      </c>
      <c r="E3246" s="12" t="s">
        <v>2743</v>
      </c>
      <c r="F3246" s="12" t="s">
        <v>2744</v>
      </c>
      <c r="G3246" s="12" t="s">
        <v>12</v>
      </c>
      <c r="H3246" s="12" t="s">
        <v>6393</v>
      </c>
      <c r="I3246" s="12"/>
      <c r="J3246" s="12" t="s">
        <v>73</v>
      </c>
      <c r="K3246" s="12"/>
      <c r="L3246" s="12"/>
      <c r="M3246" s="12" t="s">
        <v>2745</v>
      </c>
      <c r="N3246" s="12"/>
      <c r="O3246" s="12" t="s">
        <v>2746</v>
      </c>
      <c r="P3246" s="12" t="str">
        <f>HYPERLINK("https://ceds.ed.gov/cedselementdetails.aspx?termid=9324")</f>
        <v>https://ceds.ed.gov/cedselementdetails.aspx?termid=9324</v>
      </c>
      <c r="Q3246" s="12" t="str">
        <f>HYPERLINK("https://ceds.ed.gov/elementComment.aspx?elementName=Enrollment Date &amp;elementID=9324", "Click here to submit comment")</f>
        <v>Click here to submit comment</v>
      </c>
    </row>
    <row r="3247" spans="1:17" ht="60" x14ac:dyDescent="0.25">
      <c r="A3247" s="12" t="s">
        <v>7317</v>
      </c>
      <c r="B3247" s="12" t="s">
        <v>7318</v>
      </c>
      <c r="C3247" s="12" t="s">
        <v>7310</v>
      </c>
      <c r="D3247" s="12" t="s">
        <v>7172</v>
      </c>
      <c r="E3247" s="12" t="s">
        <v>2751</v>
      </c>
      <c r="F3247" s="12" t="s">
        <v>2752</v>
      </c>
      <c r="G3247" s="12" t="s">
        <v>12</v>
      </c>
      <c r="H3247" s="12" t="s">
        <v>25</v>
      </c>
      <c r="I3247" s="12"/>
      <c r="J3247" s="12" t="s">
        <v>73</v>
      </c>
      <c r="K3247" s="12"/>
      <c r="L3247" s="12"/>
      <c r="M3247" s="12" t="s">
        <v>2753</v>
      </c>
      <c r="N3247" s="12"/>
      <c r="O3247" s="12" t="s">
        <v>2754</v>
      </c>
      <c r="P3247" s="12" t="str">
        <f>HYPERLINK("https://ceds.ed.gov/cedselementdetails.aspx?termid=9107")</f>
        <v>https://ceds.ed.gov/cedselementdetails.aspx?termid=9107</v>
      </c>
      <c r="Q3247" s="12" t="str">
        <f>HYPERLINK("https://ceds.ed.gov/elementComment.aspx?elementName=Enrollment Exit Date &amp;elementID=9107", "Click here to submit comment")</f>
        <v>Click here to submit comment</v>
      </c>
    </row>
    <row r="3248" spans="1:17" ht="165" x14ac:dyDescent="0.25">
      <c r="A3248" s="12" t="s">
        <v>7317</v>
      </c>
      <c r="B3248" s="12" t="s">
        <v>7318</v>
      </c>
      <c r="C3248" s="12" t="s">
        <v>7310</v>
      </c>
      <c r="D3248" s="12" t="s">
        <v>7172</v>
      </c>
      <c r="E3248" s="12" t="s">
        <v>282</v>
      </c>
      <c r="F3248" s="12" t="s">
        <v>283</v>
      </c>
      <c r="G3248" s="13" t="s">
        <v>6740</v>
      </c>
      <c r="H3248" s="12"/>
      <c r="I3248" s="12"/>
      <c r="J3248" s="12"/>
      <c r="K3248" s="12"/>
      <c r="L3248" s="12" t="s">
        <v>284</v>
      </c>
      <c r="M3248" s="12" t="s">
        <v>285</v>
      </c>
      <c r="N3248" s="12"/>
      <c r="O3248" s="12" t="s">
        <v>286</v>
      </c>
      <c r="P3248" s="12" t="str">
        <f>HYPERLINK("https://ceds.ed.gov/cedselementdetails.aspx?termid=9766")</f>
        <v>https://ceds.ed.gov/cedselementdetails.aspx?termid=9766</v>
      </c>
      <c r="Q3248" s="12" t="str">
        <f>HYPERLINK("https://ceds.ed.gov/elementComment.aspx?elementName=Adult Education Special Program Type &amp;elementID=9766", "Click here to submit comment")</f>
        <v>Click here to submit comment</v>
      </c>
    </row>
    <row r="3249" spans="1:17" ht="270" x14ac:dyDescent="0.25">
      <c r="A3249" s="12" t="s">
        <v>7317</v>
      </c>
      <c r="B3249" s="12" t="s">
        <v>7318</v>
      </c>
      <c r="C3249" s="12" t="s">
        <v>7310</v>
      </c>
      <c r="D3249" s="12" t="s">
        <v>7172</v>
      </c>
      <c r="E3249" s="12" t="s">
        <v>296</v>
      </c>
      <c r="F3249" s="12" t="s">
        <v>297</v>
      </c>
      <c r="G3249" s="13" t="s">
        <v>6743</v>
      </c>
      <c r="H3249" s="12"/>
      <c r="I3249" s="12"/>
      <c r="J3249" s="12"/>
      <c r="K3249" s="12"/>
      <c r="L3249" s="12"/>
      <c r="M3249" s="12" t="s">
        <v>298</v>
      </c>
      <c r="N3249" s="12"/>
      <c r="O3249" s="12" t="s">
        <v>299</v>
      </c>
      <c r="P3249" s="12" t="str">
        <f>HYPERLINK("https://ceds.ed.gov/cedselementdetails.aspx?termid=9763")</f>
        <v>https://ceds.ed.gov/cedselementdetails.aspx?termid=9763</v>
      </c>
      <c r="Q3249" s="12" t="str">
        <f>HYPERLINK("https://ceds.ed.gov/elementComment.aspx?elementName=Adult Educational Functioning Level at Intake &amp;elementID=9763", "Click here to submit comment")</f>
        <v>Click here to submit comment</v>
      </c>
    </row>
    <row r="3250" spans="1:17" ht="270" x14ac:dyDescent="0.25">
      <c r="A3250" s="12" t="s">
        <v>7317</v>
      </c>
      <c r="B3250" s="12" t="s">
        <v>7318</v>
      </c>
      <c r="C3250" s="12" t="s">
        <v>7310</v>
      </c>
      <c r="D3250" s="12" t="s">
        <v>7172</v>
      </c>
      <c r="E3250" s="12" t="s">
        <v>300</v>
      </c>
      <c r="F3250" s="12" t="s">
        <v>301</v>
      </c>
      <c r="G3250" s="13" t="s">
        <v>6743</v>
      </c>
      <c r="H3250" s="12"/>
      <c r="I3250" s="12"/>
      <c r="J3250" s="12"/>
      <c r="K3250" s="12"/>
      <c r="L3250" s="12"/>
      <c r="M3250" s="12" t="s">
        <v>302</v>
      </c>
      <c r="N3250" s="12"/>
      <c r="O3250" s="12" t="s">
        <v>303</v>
      </c>
      <c r="P3250" s="12" t="str">
        <f>HYPERLINK("https://ceds.ed.gov/cedselementdetails.aspx?termid=9764")</f>
        <v>https://ceds.ed.gov/cedselementdetails.aspx?termid=9764</v>
      </c>
      <c r="Q3250" s="12" t="str">
        <f>HYPERLINK("https://ceds.ed.gov/elementComment.aspx?elementName=Adult Educational Functioning Level at Posttest &amp;elementID=9764", "Click here to submit comment")</f>
        <v>Click here to submit comment</v>
      </c>
    </row>
    <row r="3251" spans="1:17" ht="195" x14ac:dyDescent="0.25">
      <c r="A3251" s="12" t="s">
        <v>7317</v>
      </c>
      <c r="B3251" s="12" t="s">
        <v>7318</v>
      </c>
      <c r="C3251" s="12" t="s">
        <v>7310</v>
      </c>
      <c r="D3251" s="12" t="s">
        <v>7172</v>
      </c>
      <c r="E3251" s="12" t="s">
        <v>3086</v>
      </c>
      <c r="F3251" s="12" t="s">
        <v>3087</v>
      </c>
      <c r="G3251" s="13" t="s">
        <v>6936</v>
      </c>
      <c r="H3251" s="12"/>
      <c r="I3251" s="12"/>
      <c r="J3251" s="12"/>
      <c r="K3251" s="12"/>
      <c r="L3251" s="12"/>
      <c r="M3251" s="12" t="s">
        <v>3088</v>
      </c>
      <c r="N3251" s="12"/>
      <c r="O3251" s="12" t="s">
        <v>3089</v>
      </c>
      <c r="P3251" s="12" t="str">
        <f>HYPERLINK("https://ceds.ed.gov/cedselementdetails.aspx?termid=9767")</f>
        <v>https://ceds.ed.gov/cedselementdetails.aspx?termid=9767</v>
      </c>
      <c r="Q3251" s="12" t="str">
        <f>HYPERLINK("https://ceds.ed.gov/elementComment.aspx?elementName=Goals for Attending Adult Education &amp;elementID=9767", "Click here to submit comment")</f>
        <v>Click here to submit comment</v>
      </c>
    </row>
    <row r="3252" spans="1:17" ht="120" x14ac:dyDescent="0.25">
      <c r="A3252" s="12" t="s">
        <v>7317</v>
      </c>
      <c r="B3252" s="12" t="s">
        <v>7318</v>
      </c>
      <c r="C3252" s="12" t="s">
        <v>7310</v>
      </c>
      <c r="D3252" s="12" t="s">
        <v>7172</v>
      </c>
      <c r="E3252" s="12" t="s">
        <v>261</v>
      </c>
      <c r="F3252" s="12" t="s">
        <v>262</v>
      </c>
      <c r="G3252" s="13" t="s">
        <v>6737</v>
      </c>
      <c r="H3252" s="12"/>
      <c r="I3252" s="12"/>
      <c r="J3252" s="12"/>
      <c r="K3252" s="12"/>
      <c r="L3252" s="12"/>
      <c r="M3252" s="12" t="s">
        <v>263</v>
      </c>
      <c r="N3252" s="12"/>
      <c r="O3252" s="12" t="s">
        <v>264</v>
      </c>
      <c r="P3252" s="12" t="str">
        <f>HYPERLINK("https://ceds.ed.gov/cedselementdetails.aspx?termid=9768")</f>
        <v>https://ceds.ed.gov/cedselementdetails.aspx?termid=9768</v>
      </c>
      <c r="Q3252" s="12" t="str">
        <f>HYPERLINK("https://ceds.ed.gov/elementComment.aspx?elementName=Adult Education Postsecondary Transition Action &amp;elementID=9768", "Click here to submit comment")</f>
        <v>Click here to submit comment</v>
      </c>
    </row>
    <row r="3253" spans="1:17" ht="75" x14ac:dyDescent="0.25">
      <c r="A3253" s="12" t="s">
        <v>7317</v>
      </c>
      <c r="B3253" s="12" t="s">
        <v>7318</v>
      </c>
      <c r="C3253" s="12" t="s">
        <v>7310</v>
      </c>
      <c r="D3253" s="12" t="s">
        <v>7172</v>
      </c>
      <c r="E3253" s="12" t="s">
        <v>265</v>
      </c>
      <c r="F3253" s="12" t="s">
        <v>266</v>
      </c>
      <c r="G3253" s="12" t="s">
        <v>12</v>
      </c>
      <c r="H3253" s="12"/>
      <c r="I3253" s="12"/>
      <c r="J3253" s="12" t="s">
        <v>73</v>
      </c>
      <c r="K3253" s="12"/>
      <c r="L3253" s="12"/>
      <c r="M3253" s="12" t="s">
        <v>267</v>
      </c>
      <c r="N3253" s="12"/>
      <c r="O3253" s="12" t="s">
        <v>268</v>
      </c>
      <c r="P3253" s="12" t="str">
        <f>HYPERLINK("https://ceds.ed.gov/cedselementdetails.aspx?termid=9769")</f>
        <v>https://ceds.ed.gov/cedselementdetails.aspx?termid=9769</v>
      </c>
      <c r="Q3253" s="12" t="str">
        <f>HYPERLINK("https://ceds.ed.gov/elementComment.aspx?elementName=Adult Education Postsecondary Transition Date &amp;elementID=9769", "Click here to submit comment")</f>
        <v>Click here to submit comment</v>
      </c>
    </row>
    <row r="3254" spans="1:17" ht="45" x14ac:dyDescent="0.25">
      <c r="A3254" s="12" t="s">
        <v>7317</v>
      </c>
      <c r="B3254" s="12" t="s">
        <v>7318</v>
      </c>
      <c r="C3254" s="12" t="s">
        <v>7310</v>
      </c>
      <c r="D3254" s="12" t="s">
        <v>7172</v>
      </c>
      <c r="E3254" s="12" t="s">
        <v>5217</v>
      </c>
      <c r="F3254" s="12" t="s">
        <v>5218</v>
      </c>
      <c r="G3254" s="12" t="s">
        <v>12</v>
      </c>
      <c r="H3254" s="12"/>
      <c r="I3254" s="12"/>
      <c r="J3254" s="12" t="s">
        <v>5219</v>
      </c>
      <c r="K3254" s="12"/>
      <c r="L3254" s="12"/>
      <c r="M3254" s="12" t="s">
        <v>5220</v>
      </c>
      <c r="N3254" s="12"/>
      <c r="O3254" s="12" t="s">
        <v>5221</v>
      </c>
      <c r="P3254" s="12" t="str">
        <f>HYPERLINK("https://ceds.ed.gov/cedselementdetails.aspx?termid=9776")</f>
        <v>https://ceds.ed.gov/cedselementdetails.aspx?termid=9776</v>
      </c>
      <c r="Q3254" s="12" t="str">
        <f>HYPERLINK("https://ceds.ed.gov/elementComment.aspx?elementName=Proxy Contact Hours &amp;elementID=9776", "Click here to submit comment")</f>
        <v>Click here to submit comment</v>
      </c>
    </row>
    <row r="3255" spans="1:17" ht="360" x14ac:dyDescent="0.25">
      <c r="A3255" s="12" t="s">
        <v>7317</v>
      </c>
      <c r="B3255" s="12" t="s">
        <v>7318</v>
      </c>
      <c r="C3255" s="12" t="s">
        <v>7310</v>
      </c>
      <c r="D3255" s="12" t="s">
        <v>7172</v>
      </c>
      <c r="E3255" s="12" t="s">
        <v>1670</v>
      </c>
      <c r="F3255" s="12" t="s">
        <v>1671</v>
      </c>
      <c r="G3255" s="13" t="s">
        <v>6807</v>
      </c>
      <c r="H3255" s="12"/>
      <c r="I3255" s="12"/>
      <c r="J3255" s="12"/>
      <c r="K3255" s="12"/>
      <c r="L3255" s="12" t="s">
        <v>1672</v>
      </c>
      <c r="M3255" s="12" t="s">
        <v>1673</v>
      </c>
      <c r="N3255" s="12"/>
      <c r="O3255" s="12" t="s">
        <v>1674</v>
      </c>
      <c r="P3255" s="12" t="str">
        <f>HYPERLINK("https://ceds.ed.gov/cedselementdetails.aspx?termid=10254")</f>
        <v>https://ceds.ed.gov/cedselementdetails.aspx?termid=10254</v>
      </c>
      <c r="Q3255" s="12" t="str">
        <f>HYPERLINK("https://ceds.ed.gov/elementComment.aspx?elementName=Career Cluster &amp;elementID=10254", "Click here to submit comment")</f>
        <v>Click here to submit comment</v>
      </c>
    </row>
    <row r="3256" spans="1:17" ht="45" x14ac:dyDescent="0.25">
      <c r="A3256" s="12" t="s">
        <v>7317</v>
      </c>
      <c r="B3256" s="12" t="s">
        <v>7318</v>
      </c>
      <c r="C3256" s="12" t="s">
        <v>7310</v>
      </c>
      <c r="D3256" s="12" t="s">
        <v>7172</v>
      </c>
      <c r="E3256" s="12" t="s">
        <v>1683</v>
      </c>
      <c r="F3256" s="12" t="s">
        <v>1684</v>
      </c>
      <c r="G3256" s="12" t="s">
        <v>12</v>
      </c>
      <c r="H3256" s="12"/>
      <c r="I3256" s="12"/>
      <c r="J3256" s="12" t="s">
        <v>73</v>
      </c>
      <c r="K3256" s="12"/>
      <c r="L3256" s="12"/>
      <c r="M3256" s="12" t="s">
        <v>1685</v>
      </c>
      <c r="N3256" s="12"/>
      <c r="O3256" s="12" t="s">
        <v>1686</v>
      </c>
      <c r="P3256" s="12" t="str">
        <f>HYPERLINK("https://ceds.ed.gov/cedselementdetails.aspx?termid=10562")</f>
        <v>https://ceds.ed.gov/cedselementdetails.aspx?termid=10562</v>
      </c>
      <c r="Q3256" s="12" t="str">
        <f>HYPERLINK("https://ceds.ed.gov/elementComment.aspx?elementName=Career Pathways Program Participation Exit Date &amp;elementID=10562", "Click here to submit comment")</f>
        <v>Click here to submit comment</v>
      </c>
    </row>
    <row r="3257" spans="1:17" ht="75" x14ac:dyDescent="0.25">
      <c r="A3257" s="12" t="s">
        <v>7317</v>
      </c>
      <c r="B3257" s="12" t="s">
        <v>7318</v>
      </c>
      <c r="C3257" s="12" t="s">
        <v>7310</v>
      </c>
      <c r="D3257" s="12" t="s">
        <v>7172</v>
      </c>
      <c r="E3257" s="12" t="s">
        <v>1687</v>
      </c>
      <c r="F3257" s="12" t="s">
        <v>1688</v>
      </c>
      <c r="G3257" s="12" t="s">
        <v>6364</v>
      </c>
      <c r="H3257" s="12"/>
      <c r="I3257" s="12"/>
      <c r="J3257" s="12"/>
      <c r="K3257" s="12"/>
      <c r="L3257" s="12"/>
      <c r="M3257" s="12" t="s">
        <v>1689</v>
      </c>
      <c r="N3257" s="12"/>
      <c r="O3257" s="12" t="s">
        <v>1690</v>
      </c>
      <c r="P3257" s="12" t="str">
        <f>HYPERLINK("https://ceds.ed.gov/cedselementdetails.aspx?termid=10257")</f>
        <v>https://ceds.ed.gov/cedselementdetails.aspx?termid=10257</v>
      </c>
      <c r="Q3257" s="12" t="str">
        <f>HYPERLINK("https://ceds.ed.gov/elementComment.aspx?elementName=Career Pathways Program Participation Indicator &amp;elementID=10257", "Click here to submit comment")</f>
        <v>Click here to submit comment</v>
      </c>
    </row>
    <row r="3258" spans="1:17" ht="45" x14ac:dyDescent="0.25">
      <c r="A3258" s="12" t="s">
        <v>7317</v>
      </c>
      <c r="B3258" s="12" t="s">
        <v>7318</v>
      </c>
      <c r="C3258" s="12" t="s">
        <v>7310</v>
      </c>
      <c r="D3258" s="12" t="s">
        <v>7172</v>
      </c>
      <c r="E3258" s="12" t="s">
        <v>1691</v>
      </c>
      <c r="F3258" s="12" t="s">
        <v>1692</v>
      </c>
      <c r="G3258" s="12" t="s">
        <v>12</v>
      </c>
      <c r="H3258" s="12"/>
      <c r="I3258" s="12"/>
      <c r="J3258" s="12" t="s">
        <v>1693</v>
      </c>
      <c r="K3258" s="12"/>
      <c r="L3258" s="12"/>
      <c r="M3258" s="12" t="s">
        <v>1694</v>
      </c>
      <c r="N3258" s="12"/>
      <c r="O3258" s="12" t="s">
        <v>1695</v>
      </c>
      <c r="P3258" s="12" t="str">
        <f>HYPERLINK("https://ceds.ed.gov/cedselementdetails.aspx?termid=10563")</f>
        <v>https://ceds.ed.gov/cedselementdetails.aspx?termid=10563</v>
      </c>
      <c r="Q3258" s="12" t="str">
        <f>HYPERLINK("https://ceds.ed.gov/elementComment.aspx?elementName=Career Pathways Program Participation Start Date &amp;elementID=10563", "Click here to submit comment")</f>
        <v>Click here to submit comment</v>
      </c>
    </row>
    <row r="3259" spans="1:17" ht="120" x14ac:dyDescent="0.25">
      <c r="A3259" s="12" t="s">
        <v>7317</v>
      </c>
      <c r="B3259" s="12" t="s">
        <v>7318</v>
      </c>
      <c r="C3259" s="12" t="s">
        <v>7310</v>
      </c>
      <c r="D3259" s="12" t="s">
        <v>7172</v>
      </c>
      <c r="E3259" s="12" t="s">
        <v>1921</v>
      </c>
      <c r="F3259" s="12" t="s">
        <v>1922</v>
      </c>
      <c r="G3259" s="13" t="s">
        <v>6827</v>
      </c>
      <c r="H3259" s="12"/>
      <c r="I3259" s="12"/>
      <c r="J3259" s="12"/>
      <c r="K3259" s="12"/>
      <c r="L3259" s="12"/>
      <c r="M3259" s="12" t="s">
        <v>1923</v>
      </c>
      <c r="N3259" s="12"/>
      <c r="O3259" s="12" t="s">
        <v>1924</v>
      </c>
      <c r="P3259" s="12" t="str">
        <f>HYPERLINK("https://ceds.ed.gov/cedselementdetails.aspx?termid=10262")</f>
        <v>https://ceds.ed.gov/cedselementdetails.aspx?termid=10262</v>
      </c>
      <c r="Q3259" s="12" t="str">
        <f>HYPERLINK("https://ceds.ed.gov/elementComment.aspx?elementName=Correctional Education Facility Type &amp;elementID=10262", "Click here to submit comment")</f>
        <v>Click here to submit comment</v>
      </c>
    </row>
    <row r="3260" spans="1:17" ht="75" x14ac:dyDescent="0.25">
      <c r="A3260" s="12" t="s">
        <v>7317</v>
      </c>
      <c r="B3260" s="12" t="s">
        <v>7318</v>
      </c>
      <c r="C3260" s="12" t="s">
        <v>7310</v>
      </c>
      <c r="D3260" s="12" t="s">
        <v>7172</v>
      </c>
      <c r="E3260" s="12" t="s">
        <v>1925</v>
      </c>
      <c r="F3260" s="12" t="s">
        <v>1926</v>
      </c>
      <c r="G3260" s="12" t="s">
        <v>6364</v>
      </c>
      <c r="H3260" s="12"/>
      <c r="I3260" s="12"/>
      <c r="J3260" s="12"/>
      <c r="K3260" s="12"/>
      <c r="L3260" s="12"/>
      <c r="M3260" s="12" t="s">
        <v>1927</v>
      </c>
      <c r="N3260" s="12"/>
      <c r="O3260" s="12" t="s">
        <v>1928</v>
      </c>
      <c r="P3260" s="12" t="str">
        <f>HYPERLINK("https://ceds.ed.gov/cedselementdetails.aspx?termid=10263")</f>
        <v>https://ceds.ed.gov/cedselementdetails.aspx?termid=10263</v>
      </c>
      <c r="Q3260" s="12" t="str">
        <f>HYPERLINK("https://ceds.ed.gov/elementComment.aspx?elementName=Correctional Education Reentry Services Participation Indicator &amp;elementID=10263", "Click here to submit comment")</f>
        <v>Click here to submit comment</v>
      </c>
    </row>
    <row r="3261" spans="1:17" ht="330" x14ac:dyDescent="0.25">
      <c r="A3261" s="12" t="s">
        <v>7317</v>
      </c>
      <c r="B3261" s="12" t="s">
        <v>7318</v>
      </c>
      <c r="C3261" s="12" t="s">
        <v>7310</v>
      </c>
      <c r="D3261" s="12" t="s">
        <v>7172</v>
      </c>
      <c r="E3261" s="12" t="s">
        <v>2768</v>
      </c>
      <c r="F3261" s="12" t="s">
        <v>2769</v>
      </c>
      <c r="G3261" s="13" t="s">
        <v>6908</v>
      </c>
      <c r="H3261" s="12" t="s">
        <v>6438</v>
      </c>
      <c r="I3261" s="12"/>
      <c r="J3261" s="12"/>
      <c r="K3261" s="12"/>
      <c r="L3261" s="12"/>
      <c r="M3261" s="12" t="s">
        <v>2770</v>
      </c>
      <c r="N3261" s="12"/>
      <c r="O3261" s="12" t="s">
        <v>2771</v>
      </c>
      <c r="P3261" s="12" t="str">
        <f>HYPERLINK("https://ceds.ed.gov/cedselementdetails.aspx?termid=9100")</f>
        <v>https://ceds.ed.gov/cedselementdetails.aspx?termid=9100</v>
      </c>
      <c r="Q3261" s="12" t="str">
        <f>HYPERLINK("https://ceds.ed.gov/elementComment.aspx?elementName=Entry Grade Level &amp;elementID=9100", "Click here to submit comment")</f>
        <v>Click here to submit comment</v>
      </c>
    </row>
    <row r="3262" spans="1:17" ht="330" x14ac:dyDescent="0.25">
      <c r="A3262" s="12" t="s">
        <v>7317</v>
      </c>
      <c r="B3262" s="12" t="s">
        <v>7318</v>
      </c>
      <c r="C3262" s="12" t="s">
        <v>7310</v>
      </c>
      <c r="D3262" s="12" t="s">
        <v>7172</v>
      </c>
      <c r="E3262" s="12" t="s">
        <v>2776</v>
      </c>
      <c r="F3262" s="12" t="s">
        <v>2777</v>
      </c>
      <c r="G3262" s="13" t="s">
        <v>6908</v>
      </c>
      <c r="H3262" s="12"/>
      <c r="I3262" s="12"/>
      <c r="J3262" s="12"/>
      <c r="K3262" s="12"/>
      <c r="L3262" s="12"/>
      <c r="M3262" s="12" t="s">
        <v>2778</v>
      </c>
      <c r="N3262" s="12"/>
      <c r="O3262" s="12" t="s">
        <v>2779</v>
      </c>
      <c r="P3262" s="12" t="str">
        <f>HYPERLINK("https://ceds.ed.gov/cedselementdetails.aspx?termid=10177")</f>
        <v>https://ceds.ed.gov/cedselementdetails.aspx?termid=10177</v>
      </c>
      <c r="Q3262" s="12" t="str">
        <f>HYPERLINK("https://ceds.ed.gov/elementComment.aspx?elementName=Exit Grade Level &amp;elementID=10177", "Click here to submit comment")</f>
        <v>Click here to submit comment</v>
      </c>
    </row>
    <row r="3263" spans="1:17" ht="45" x14ac:dyDescent="0.25">
      <c r="A3263" s="12" t="s">
        <v>7317</v>
      </c>
      <c r="B3263" s="12" t="s">
        <v>7318</v>
      </c>
      <c r="C3263" s="12" t="s">
        <v>7310</v>
      </c>
      <c r="D3263" s="12" t="s">
        <v>7172</v>
      </c>
      <c r="E3263" s="12" t="s">
        <v>3552</v>
      </c>
      <c r="F3263" s="12" t="s">
        <v>3553</v>
      </c>
      <c r="G3263" s="12" t="s">
        <v>12</v>
      </c>
      <c r="H3263" s="12" t="s">
        <v>3556</v>
      </c>
      <c r="I3263" s="12"/>
      <c r="J3263" s="12" t="s">
        <v>1554</v>
      </c>
      <c r="K3263" s="12"/>
      <c r="L3263" s="12"/>
      <c r="M3263" s="12" t="s">
        <v>3554</v>
      </c>
      <c r="N3263" s="12"/>
      <c r="O3263" s="12" t="s">
        <v>3555</v>
      </c>
      <c r="P3263" s="12" t="str">
        <f>HYPERLINK("https://ceds.ed.gov/cedselementdetails.aspx?termid=9361")</f>
        <v>https://ceds.ed.gov/cedselementdetails.aspx?termid=9361</v>
      </c>
      <c r="Q3263" s="12" t="str">
        <f>HYPERLINK("https://ceds.ed.gov/elementComment.aspx?elementName=Instructional Activity Hours Completed &amp;elementID=9361", "Click here to submit comment")</f>
        <v>Click here to submit comment</v>
      </c>
    </row>
    <row r="3264" spans="1:17" ht="90" x14ac:dyDescent="0.25">
      <c r="A3264" s="12" t="s">
        <v>7317</v>
      </c>
      <c r="B3264" s="12" t="s">
        <v>7318</v>
      </c>
      <c r="C3264" s="12" t="s">
        <v>7281</v>
      </c>
      <c r="D3264" s="12" t="s">
        <v>7172</v>
      </c>
      <c r="E3264" s="12" t="s">
        <v>2069</v>
      </c>
      <c r="F3264" s="12" t="s">
        <v>2070</v>
      </c>
      <c r="G3264" s="12" t="s">
        <v>12</v>
      </c>
      <c r="H3264" s="12"/>
      <c r="I3264" s="12"/>
      <c r="J3264" s="12" t="s">
        <v>92</v>
      </c>
      <c r="K3264" s="12"/>
      <c r="L3264" s="12"/>
      <c r="M3264" s="12" t="s">
        <v>2071</v>
      </c>
      <c r="N3264" s="12"/>
      <c r="O3264" s="12" t="s">
        <v>2072</v>
      </c>
      <c r="P3264" s="12" t="str">
        <f>HYPERLINK("https://ceds.ed.gov/cedselementdetails.aspx?termid=10280")</f>
        <v>https://ceds.ed.gov/cedselementdetails.aspx?termid=10280</v>
      </c>
      <c r="Q3264" s="12" t="str">
        <f>HYPERLINK("https://ceds.ed.gov/elementComment.aspx?elementName=Course Number &amp;elementID=10280", "Click here to submit comment")</f>
        <v>Click here to submit comment</v>
      </c>
    </row>
    <row r="3265" spans="1:17" ht="409.5" x14ac:dyDescent="0.25">
      <c r="A3265" s="12" t="s">
        <v>7317</v>
      </c>
      <c r="B3265" s="12" t="s">
        <v>7318</v>
      </c>
      <c r="C3265" s="12" t="s">
        <v>7258</v>
      </c>
      <c r="D3265" s="12" t="s">
        <v>7172</v>
      </c>
      <c r="E3265" s="12" t="s">
        <v>3213</v>
      </c>
      <c r="F3265" s="12" t="s">
        <v>3214</v>
      </c>
      <c r="G3265" s="13" t="s">
        <v>6786</v>
      </c>
      <c r="H3265" s="12" t="s">
        <v>6561</v>
      </c>
      <c r="I3265" s="12"/>
      <c r="J3265" s="12"/>
      <c r="K3265" s="12"/>
      <c r="L3265" s="12"/>
      <c r="M3265" s="12" t="s">
        <v>3215</v>
      </c>
      <c r="N3265" s="12"/>
      <c r="O3265" s="12" t="s">
        <v>3216</v>
      </c>
      <c r="P3265" s="12" t="str">
        <f>HYPERLINK("https://ceds.ed.gov/cedselementdetails.aspx?termid=9141")</f>
        <v>https://ceds.ed.gov/cedselementdetails.aspx?termid=9141</v>
      </c>
      <c r="Q3265" s="12" t="str">
        <f>HYPERLINK("https://ceds.ed.gov/elementComment.aspx?elementName=Highest Level of Education Completed &amp;elementID=9141", "Click here to submit comment")</f>
        <v>Click here to submit comment</v>
      </c>
    </row>
    <row r="3266" spans="1:17" ht="120" x14ac:dyDescent="0.25">
      <c r="A3266" s="12" t="s">
        <v>7317</v>
      </c>
      <c r="B3266" s="12" t="s">
        <v>7318</v>
      </c>
      <c r="C3266" s="12" t="s">
        <v>7258</v>
      </c>
      <c r="D3266" s="12" t="s">
        <v>7172</v>
      </c>
      <c r="E3266" s="12" t="s">
        <v>4588</v>
      </c>
      <c r="F3266" s="12" t="s">
        <v>4589</v>
      </c>
      <c r="G3266" s="12" t="s">
        <v>12</v>
      </c>
      <c r="H3266" s="12" t="s">
        <v>6596</v>
      </c>
      <c r="I3266" s="12"/>
      <c r="J3266" s="12" t="s">
        <v>1554</v>
      </c>
      <c r="K3266" s="12"/>
      <c r="L3266" s="12"/>
      <c r="M3266" s="12" t="s">
        <v>4590</v>
      </c>
      <c r="N3266" s="12"/>
      <c r="O3266" s="12" t="s">
        <v>4591</v>
      </c>
      <c r="P3266" s="12" t="str">
        <f>HYPERLINK("https://ceds.ed.gov/cedselementdetails.aspx?termid=9200")</f>
        <v>https://ceds.ed.gov/cedselementdetails.aspx?termid=9200</v>
      </c>
      <c r="Q3266" s="12" t="str">
        <f>HYPERLINK("https://ceds.ed.gov/elementComment.aspx?elementName=Number of Credits Earned &amp;elementID=9200", "Click here to submit comment")</f>
        <v>Click here to submit comment</v>
      </c>
    </row>
    <row r="3267" spans="1:17" ht="285" x14ac:dyDescent="0.25">
      <c r="A3267" s="12" t="s">
        <v>7317</v>
      </c>
      <c r="B3267" s="12" t="s">
        <v>7318</v>
      </c>
      <c r="C3267" s="12" t="s">
        <v>7261</v>
      </c>
      <c r="D3267" s="12" t="s">
        <v>7172</v>
      </c>
      <c r="E3267" s="12" t="s">
        <v>3191</v>
      </c>
      <c r="F3267" s="12" t="s">
        <v>3192</v>
      </c>
      <c r="G3267" s="13" t="s">
        <v>6946</v>
      </c>
      <c r="H3267" s="12" t="s">
        <v>6557</v>
      </c>
      <c r="I3267" s="12"/>
      <c r="J3267" s="12"/>
      <c r="K3267" s="12"/>
      <c r="L3267" s="12"/>
      <c r="M3267" s="12" t="s">
        <v>3193</v>
      </c>
      <c r="N3267" s="12"/>
      <c r="O3267" s="12" t="s">
        <v>3194</v>
      </c>
      <c r="P3267" s="12" t="str">
        <f>HYPERLINK("https://ceds.ed.gov/cedselementdetails.aspx?termid=9138")</f>
        <v>https://ceds.ed.gov/cedselementdetails.aspx?termid=9138</v>
      </c>
      <c r="Q3267" s="12" t="str">
        <f>HYPERLINK("https://ceds.ed.gov/elementComment.aspx?elementName=High School Diploma Type &amp;elementID=9138", "Click here to submit comment")</f>
        <v>Click here to submit comment</v>
      </c>
    </row>
    <row r="3268" spans="1:17" ht="135" x14ac:dyDescent="0.25">
      <c r="A3268" s="12" t="s">
        <v>7317</v>
      </c>
      <c r="B3268" s="12" t="s">
        <v>7318</v>
      </c>
      <c r="C3268" s="12" t="s">
        <v>7261</v>
      </c>
      <c r="D3268" s="12" t="s">
        <v>7176</v>
      </c>
      <c r="E3268" s="12" t="s">
        <v>2326</v>
      </c>
      <c r="F3268" s="12" t="s">
        <v>2327</v>
      </c>
      <c r="G3268" s="12" t="s">
        <v>12</v>
      </c>
      <c r="H3268" s="12" t="s">
        <v>6502</v>
      </c>
      <c r="I3268" s="12"/>
      <c r="J3268" s="12" t="s">
        <v>2328</v>
      </c>
      <c r="K3268" s="12"/>
      <c r="L3268" s="12"/>
      <c r="M3268" s="12" t="s">
        <v>2329</v>
      </c>
      <c r="N3268" s="12"/>
      <c r="O3268" s="12" t="s">
        <v>2330</v>
      </c>
      <c r="P3268" s="12" t="str">
        <f>HYPERLINK("https://ceds.ed.gov/cedselementdetails.aspx?termid=9081")</f>
        <v>https://ceds.ed.gov/cedselementdetails.aspx?termid=9081</v>
      </c>
      <c r="Q3268" s="12" t="str">
        <f>HYPERLINK("https://ceds.ed.gov/elementComment.aspx?elementName=Diploma or Credential Award Date &amp;elementID=9081", "Click here to submit comment")</f>
        <v>Click here to submit comment</v>
      </c>
    </row>
    <row r="3269" spans="1:17" ht="285" x14ac:dyDescent="0.25">
      <c r="A3269" s="12" t="s">
        <v>7317</v>
      </c>
      <c r="B3269" s="12" t="s">
        <v>7318</v>
      </c>
      <c r="C3269" s="12" t="s">
        <v>7261</v>
      </c>
      <c r="D3269" s="12" t="s">
        <v>7176</v>
      </c>
      <c r="E3269" s="12" t="s">
        <v>16</v>
      </c>
      <c r="F3269" s="12" t="s">
        <v>17</v>
      </c>
      <c r="G3269" s="13" t="s">
        <v>6718</v>
      </c>
      <c r="H3269" s="12" t="s">
        <v>6368</v>
      </c>
      <c r="I3269" s="12"/>
      <c r="J3269" s="12"/>
      <c r="K3269" s="12"/>
      <c r="L3269" s="12"/>
      <c r="M3269" s="12" t="s">
        <v>18</v>
      </c>
      <c r="N3269" s="12"/>
      <c r="O3269" s="12" t="s">
        <v>19</v>
      </c>
      <c r="P3269" s="12" t="str">
        <f>HYPERLINK("https://ceds.ed.gov/cedselementdetails.aspx?termid=9002")</f>
        <v>https://ceds.ed.gov/cedselementdetails.aspx?termid=9002</v>
      </c>
      <c r="Q3269" s="12" t="str">
        <f>HYPERLINK("https://ceds.ed.gov/elementComment.aspx?elementName=Academic Award Level Conferred &amp;elementID=9002", "Click here to submit comment")</f>
        <v>Click here to submit comment</v>
      </c>
    </row>
    <row r="3270" spans="1:17" ht="60" x14ac:dyDescent="0.25">
      <c r="A3270" s="12" t="s">
        <v>7317</v>
      </c>
      <c r="B3270" s="12" t="s">
        <v>7318</v>
      </c>
      <c r="C3270" s="12" t="s">
        <v>7261</v>
      </c>
      <c r="D3270" s="12" t="s">
        <v>7176</v>
      </c>
      <c r="E3270" s="12" t="s">
        <v>10</v>
      </c>
      <c r="F3270" s="12" t="s">
        <v>11</v>
      </c>
      <c r="G3270" s="12" t="s">
        <v>12</v>
      </c>
      <c r="H3270" s="12" t="s">
        <v>6367</v>
      </c>
      <c r="I3270" s="12"/>
      <c r="J3270" s="12" t="s">
        <v>13</v>
      </c>
      <c r="K3270" s="12"/>
      <c r="L3270" s="12"/>
      <c r="M3270" s="12" t="s">
        <v>14</v>
      </c>
      <c r="N3270" s="12"/>
      <c r="O3270" s="12" t="s">
        <v>15</v>
      </c>
      <c r="P3270" s="12" t="str">
        <f>HYPERLINK("https://ceds.ed.gov/cedselementdetails.aspx?termid=9001")</f>
        <v>https://ceds.ed.gov/cedselementdetails.aspx?termid=9001</v>
      </c>
      <c r="Q3270" s="12" t="str">
        <f>HYPERLINK("https://ceds.ed.gov/elementComment.aspx?elementName=Academic Award Date &amp;elementID=9001", "Click here to submit comment")</f>
        <v>Click here to submit comment</v>
      </c>
    </row>
    <row r="3271" spans="1:17" ht="30" x14ac:dyDescent="0.25">
      <c r="A3271" s="12" t="s">
        <v>7317</v>
      </c>
      <c r="B3271" s="12" t="s">
        <v>7318</v>
      </c>
      <c r="C3271" s="12" t="s">
        <v>7261</v>
      </c>
      <c r="D3271" s="12" t="s">
        <v>7176</v>
      </c>
      <c r="E3271" s="12" t="s">
        <v>20</v>
      </c>
      <c r="F3271" s="12" t="s">
        <v>21</v>
      </c>
      <c r="G3271" s="12" t="s">
        <v>12</v>
      </c>
      <c r="H3271" s="12" t="s">
        <v>25</v>
      </c>
      <c r="I3271" s="12"/>
      <c r="J3271" s="12" t="s">
        <v>22</v>
      </c>
      <c r="K3271" s="12"/>
      <c r="L3271" s="12"/>
      <c r="M3271" s="12" t="s">
        <v>23</v>
      </c>
      <c r="N3271" s="12"/>
      <c r="O3271" s="12" t="s">
        <v>24</v>
      </c>
      <c r="P3271" s="12" t="str">
        <f>HYPERLINK("https://ceds.ed.gov/cedselementdetails.aspx?termid=9003")</f>
        <v>https://ceds.ed.gov/cedselementdetails.aspx?termid=9003</v>
      </c>
      <c r="Q3271" s="12" t="str">
        <f>HYPERLINK("https://ceds.ed.gov/elementComment.aspx?elementName=Academic Award Title &amp;elementID=9003", "Click here to submit comment")</f>
        <v>Click here to submit comment</v>
      </c>
    </row>
    <row r="3272" spans="1:17" ht="75" x14ac:dyDescent="0.25">
      <c r="A3272" s="12" t="s">
        <v>7317</v>
      </c>
      <c r="B3272" s="12" t="s">
        <v>7318</v>
      </c>
      <c r="C3272" s="12" t="s">
        <v>7261</v>
      </c>
      <c r="D3272" s="12" t="s">
        <v>7176</v>
      </c>
      <c r="E3272" s="12" t="s">
        <v>1826</v>
      </c>
      <c r="F3272" s="12" t="s">
        <v>1827</v>
      </c>
      <c r="G3272" s="14" t="s">
        <v>1828</v>
      </c>
      <c r="H3272" s="12" t="s">
        <v>6368</v>
      </c>
      <c r="I3272" s="12"/>
      <c r="J3272" s="12"/>
      <c r="K3272" s="12"/>
      <c r="L3272" s="12"/>
      <c r="M3272" s="12" t="s">
        <v>1829</v>
      </c>
      <c r="N3272" s="12" t="s">
        <v>1830</v>
      </c>
      <c r="O3272" s="12" t="s">
        <v>1831</v>
      </c>
      <c r="P3272" s="12" t="str">
        <f>HYPERLINK("https://ceds.ed.gov/cedselementdetails.aspx?termid=9043")</f>
        <v>https://ceds.ed.gov/cedselementdetails.aspx?termid=9043</v>
      </c>
      <c r="Q3272" s="12" t="str">
        <f>HYPERLINK("https://ceds.ed.gov/elementComment.aspx?elementName=Classification of Instructional Program Code &amp;elementID=9043", "Click here to submit comment")</f>
        <v>Click here to submit comment</v>
      </c>
    </row>
    <row r="3273" spans="1:17" ht="135" x14ac:dyDescent="0.25">
      <c r="A3273" s="12" t="s">
        <v>7317</v>
      </c>
      <c r="B3273" s="12" t="s">
        <v>7318</v>
      </c>
      <c r="C3273" s="12" t="s">
        <v>7261</v>
      </c>
      <c r="D3273" s="12" t="s">
        <v>7176</v>
      </c>
      <c r="E3273" s="12" t="s">
        <v>1832</v>
      </c>
      <c r="F3273" s="12" t="s">
        <v>1833</v>
      </c>
      <c r="G3273" s="13" t="s">
        <v>6818</v>
      </c>
      <c r="H3273" s="12" t="s">
        <v>6380</v>
      </c>
      <c r="I3273" s="12"/>
      <c r="J3273" s="12"/>
      <c r="K3273" s="12"/>
      <c r="L3273" s="12"/>
      <c r="M3273" s="12" t="s">
        <v>1834</v>
      </c>
      <c r="N3273" s="12" t="s">
        <v>1835</v>
      </c>
      <c r="O3273" s="12" t="s">
        <v>1836</v>
      </c>
      <c r="P3273" s="12" t="str">
        <f>HYPERLINK("https://ceds.ed.gov/cedselementdetails.aspx?termid=9044")</f>
        <v>https://ceds.ed.gov/cedselementdetails.aspx?termid=9044</v>
      </c>
      <c r="Q3273" s="12" t="str">
        <f>HYPERLINK("https://ceds.ed.gov/elementComment.aspx?elementName=Classification of Instructional Program Use &amp;elementID=9044", "Click here to submit comment")</f>
        <v>Click here to submit comment</v>
      </c>
    </row>
    <row r="3274" spans="1:17" ht="90" x14ac:dyDescent="0.25">
      <c r="A3274" s="12" t="s">
        <v>7317</v>
      </c>
      <c r="B3274" s="12" t="s">
        <v>7318</v>
      </c>
      <c r="C3274" s="12" t="s">
        <v>7261</v>
      </c>
      <c r="D3274" s="12" t="s">
        <v>7176</v>
      </c>
      <c r="E3274" s="12" t="s">
        <v>1837</v>
      </c>
      <c r="F3274" s="12" t="s">
        <v>1838</v>
      </c>
      <c r="G3274" s="13" t="s">
        <v>6819</v>
      </c>
      <c r="H3274" s="12" t="s">
        <v>6380</v>
      </c>
      <c r="I3274" s="12"/>
      <c r="J3274" s="12"/>
      <c r="K3274" s="12"/>
      <c r="L3274" s="12"/>
      <c r="M3274" s="12" t="s">
        <v>1839</v>
      </c>
      <c r="N3274" s="12" t="s">
        <v>1840</v>
      </c>
      <c r="O3274" s="12" t="s">
        <v>1841</v>
      </c>
      <c r="P3274" s="12" t="str">
        <f>HYPERLINK("https://ceds.ed.gov/cedselementdetails.aspx?termid=9045")</f>
        <v>https://ceds.ed.gov/cedselementdetails.aspx?termid=9045</v>
      </c>
      <c r="Q3274" s="12" t="str">
        <f>HYPERLINK("https://ceds.ed.gov/elementComment.aspx?elementName=Classification of Instructional Program Version &amp;elementID=9045", "Click here to submit comment")</f>
        <v>Click here to submit comment</v>
      </c>
    </row>
    <row r="3275" spans="1:17" ht="270" x14ac:dyDescent="0.25">
      <c r="A3275" s="12" t="s">
        <v>7317</v>
      </c>
      <c r="B3275" s="12" t="s">
        <v>7318</v>
      </c>
      <c r="C3275" s="12" t="s">
        <v>7261</v>
      </c>
      <c r="D3275" s="12" t="s">
        <v>7176</v>
      </c>
      <c r="E3275" s="12" t="s">
        <v>2170</v>
      </c>
      <c r="F3275" s="12" t="s">
        <v>2171</v>
      </c>
      <c r="G3275" s="13" t="s">
        <v>6850</v>
      </c>
      <c r="H3275" s="12"/>
      <c r="I3275" s="12"/>
      <c r="J3275" s="12"/>
      <c r="K3275" s="12"/>
      <c r="L3275" s="12"/>
      <c r="M3275" s="12" t="s">
        <v>2172</v>
      </c>
      <c r="N3275" s="12"/>
      <c r="O3275" s="12" t="s">
        <v>2173</v>
      </c>
      <c r="P3275" s="12" t="str">
        <f>HYPERLINK("https://ceds.ed.gov/cedselementdetails.aspx?termid=10283")</f>
        <v>https://ceds.ed.gov/cedselementdetails.aspx?termid=10283</v>
      </c>
      <c r="Q3275" s="12" t="str">
        <f>HYPERLINK("https://ceds.ed.gov/elementComment.aspx?elementName=Credit Hours Applied Other Program &amp;elementID=10283", "Click here to submit comment")</f>
        <v>Click here to submit comment</v>
      </c>
    </row>
    <row r="3276" spans="1:17" ht="150" x14ac:dyDescent="0.25">
      <c r="A3276" s="12" t="s">
        <v>7317</v>
      </c>
      <c r="B3276" s="12" t="s">
        <v>7318</v>
      </c>
      <c r="C3276" s="12" t="s">
        <v>7261</v>
      </c>
      <c r="D3276" s="12" t="s">
        <v>7176</v>
      </c>
      <c r="E3276" s="12" t="s">
        <v>2425</v>
      </c>
      <c r="F3276" s="12" t="s">
        <v>2426</v>
      </c>
      <c r="G3276" s="13" t="s">
        <v>6873</v>
      </c>
      <c r="H3276" s="12"/>
      <c r="I3276" s="12" t="s">
        <v>1498</v>
      </c>
      <c r="J3276" s="12"/>
      <c r="K3276" s="12"/>
      <c r="L3276" s="14" t="s">
        <v>2427</v>
      </c>
      <c r="M3276" s="12" t="s">
        <v>2428</v>
      </c>
      <c r="N3276" s="12"/>
      <c r="O3276" s="12" t="s">
        <v>2429</v>
      </c>
      <c r="P3276" s="12" t="str">
        <f>HYPERLINK("https://ceds.ed.gov/cedselementdetails.aspx?termid=10622")</f>
        <v>https://ceds.ed.gov/cedselementdetails.aspx?termid=10622</v>
      </c>
      <c r="Q3276" s="12" t="str">
        <f>HYPERLINK("https://ceds.ed.gov/elementComment.aspx?elementName=DQP Categories of Learning &amp;elementID=10622", "Click here to submit comment")</f>
        <v>Click here to submit comment</v>
      </c>
    </row>
    <row r="3277" spans="1:17" ht="105" x14ac:dyDescent="0.25">
      <c r="A3277" s="12" t="s">
        <v>7317</v>
      </c>
      <c r="B3277" s="12" t="s">
        <v>7318</v>
      </c>
      <c r="C3277" s="12" t="s">
        <v>7261</v>
      </c>
      <c r="D3277" s="12" t="s">
        <v>7176</v>
      </c>
      <c r="E3277" s="12" t="s">
        <v>3187</v>
      </c>
      <c r="F3277" s="12" t="s">
        <v>3188</v>
      </c>
      <c r="G3277" s="13" t="s">
        <v>6945</v>
      </c>
      <c r="H3277" s="12"/>
      <c r="I3277" s="12"/>
      <c r="J3277" s="12"/>
      <c r="K3277" s="12"/>
      <c r="L3277" s="12"/>
      <c r="M3277" s="12" t="s">
        <v>3189</v>
      </c>
      <c r="N3277" s="12"/>
      <c r="O3277" s="12" t="s">
        <v>3190</v>
      </c>
      <c r="P3277" s="12" t="str">
        <f>HYPERLINK("https://ceds.ed.gov/cedselementdetails.aspx?termid=9689")</f>
        <v>https://ceds.ed.gov/cedselementdetails.aspx?termid=9689</v>
      </c>
      <c r="Q3277" s="12" t="str">
        <f>HYPERLINK("https://ceds.ed.gov/elementComment.aspx?elementName=High School Diploma Distinction Type &amp;elementID=9689", "Click here to submit comment")</f>
        <v>Click here to submit comment</v>
      </c>
    </row>
    <row r="3278" spans="1:17" ht="75" x14ac:dyDescent="0.25">
      <c r="A3278" s="12" t="s">
        <v>7317</v>
      </c>
      <c r="B3278" s="12" t="s">
        <v>7318</v>
      </c>
      <c r="C3278" s="12" t="s">
        <v>7261</v>
      </c>
      <c r="D3278" s="12" t="s">
        <v>7176</v>
      </c>
      <c r="E3278" s="12" t="s">
        <v>4880</v>
      </c>
      <c r="F3278" s="12" t="s">
        <v>4881</v>
      </c>
      <c r="G3278" s="13" t="s">
        <v>7058</v>
      </c>
      <c r="H3278" s="12" t="s">
        <v>6630</v>
      </c>
      <c r="I3278" s="12"/>
      <c r="J3278" s="12"/>
      <c r="K3278" s="12"/>
      <c r="L3278" s="12"/>
      <c r="M3278" s="12" t="s">
        <v>4882</v>
      </c>
      <c r="N3278" s="12"/>
      <c r="O3278" s="12" t="s">
        <v>4883</v>
      </c>
      <c r="P3278" s="12" t="str">
        <f>HYPERLINK("https://ceds.ed.gov/cedselementdetails.aspx?termid=10595")</f>
        <v>https://ceds.ed.gov/cedselementdetails.aspx?termid=10595</v>
      </c>
      <c r="Q3278" s="12" t="str">
        <f>HYPERLINK("https://ceds.ed.gov/elementComment.aspx?elementName=Postsecondary Program Level &amp;elementID=10595", "Click here to submit comment")</f>
        <v>Click here to submit comment</v>
      </c>
    </row>
    <row r="3279" spans="1:17" ht="195" x14ac:dyDescent="0.25">
      <c r="A3279" s="12" t="s">
        <v>7317</v>
      </c>
      <c r="B3279" s="12" t="s">
        <v>7318</v>
      </c>
      <c r="C3279" s="12" t="s">
        <v>7261</v>
      </c>
      <c r="D3279" s="12" t="s">
        <v>7176</v>
      </c>
      <c r="E3279" s="12" t="s">
        <v>5107</v>
      </c>
      <c r="F3279" s="12" t="s">
        <v>5108</v>
      </c>
      <c r="G3279" s="13" t="s">
        <v>7076</v>
      </c>
      <c r="H3279" s="12"/>
      <c r="I3279" s="12"/>
      <c r="J3279" s="12"/>
      <c r="K3279" s="12"/>
      <c r="L3279" s="12"/>
      <c r="M3279" s="12" t="s">
        <v>5109</v>
      </c>
      <c r="N3279" s="12"/>
      <c r="O3279" s="12" t="s">
        <v>5110</v>
      </c>
      <c r="P3279" s="12" t="str">
        <f>HYPERLINK("https://ceds.ed.gov/cedselementdetails.aspx?termid=9780")</f>
        <v>https://ceds.ed.gov/cedselementdetails.aspx?termid=9780</v>
      </c>
      <c r="Q3279" s="12" t="str">
        <f>HYPERLINK("https://ceds.ed.gov/elementComment.aspx?elementName=Professional or Technical Credential Conferred &amp;elementID=9780", "Click here to submit comment")</f>
        <v>Click here to submit comment</v>
      </c>
    </row>
    <row r="3280" spans="1:17" ht="105" x14ac:dyDescent="0.25">
      <c r="A3280" s="18" t="s">
        <v>7317</v>
      </c>
      <c r="B3280" s="18" t="s">
        <v>7318</v>
      </c>
      <c r="C3280" s="18" t="s">
        <v>7261</v>
      </c>
      <c r="D3280" s="18" t="s">
        <v>7176</v>
      </c>
      <c r="E3280" s="18" t="s">
        <v>5141</v>
      </c>
      <c r="F3280" s="18" t="s">
        <v>5142</v>
      </c>
      <c r="G3280" s="18" t="s">
        <v>12</v>
      </c>
      <c r="H3280" s="18" t="s">
        <v>2017</v>
      </c>
      <c r="I3280" s="18"/>
      <c r="J3280" s="18" t="s">
        <v>142</v>
      </c>
      <c r="K3280" s="18"/>
      <c r="L3280" s="12" t="s">
        <v>143</v>
      </c>
      <c r="M3280" s="18" t="s">
        <v>5143</v>
      </c>
      <c r="N3280" s="18"/>
      <c r="O3280" s="18" t="s">
        <v>5144</v>
      </c>
      <c r="P3280" s="18" t="str">
        <f>HYPERLINK("https://ceds.ed.gov/cedselementdetails.aspx?termid=9618")</f>
        <v>https://ceds.ed.gov/cedselementdetails.aspx?termid=9618</v>
      </c>
      <c r="Q3280" s="18" t="str">
        <f>HYPERLINK("https://ceds.ed.gov/elementComment.aspx?elementName=Program Identifier &amp;elementID=9618", "Click here to submit comment")</f>
        <v>Click here to submit comment</v>
      </c>
    </row>
    <row r="3281" spans="1:17" x14ac:dyDescent="0.25">
      <c r="A3281" s="18"/>
      <c r="B3281" s="18"/>
      <c r="C3281" s="18"/>
      <c r="D3281" s="18"/>
      <c r="E3281" s="18"/>
      <c r="F3281" s="18"/>
      <c r="G3281" s="18"/>
      <c r="H3281" s="18"/>
      <c r="I3281" s="18"/>
      <c r="J3281" s="18"/>
      <c r="K3281" s="18"/>
      <c r="L3281" s="12"/>
      <c r="M3281" s="18"/>
      <c r="N3281" s="18"/>
      <c r="O3281" s="18"/>
      <c r="P3281" s="18"/>
      <c r="Q3281" s="18"/>
    </row>
    <row r="3282" spans="1:17" ht="90" x14ac:dyDescent="0.25">
      <c r="A3282" s="18"/>
      <c r="B3282" s="18"/>
      <c r="C3282" s="18"/>
      <c r="D3282" s="18"/>
      <c r="E3282" s="18"/>
      <c r="F3282" s="18"/>
      <c r="G3282" s="18"/>
      <c r="H3282" s="18"/>
      <c r="I3282" s="18"/>
      <c r="J3282" s="18"/>
      <c r="K3282" s="18"/>
      <c r="L3282" s="12" t="s">
        <v>144</v>
      </c>
      <c r="M3282" s="18"/>
      <c r="N3282" s="18"/>
      <c r="O3282" s="18"/>
      <c r="P3282" s="18"/>
      <c r="Q3282" s="18"/>
    </row>
    <row r="3283" spans="1:17" ht="45" x14ac:dyDescent="0.25">
      <c r="A3283" s="12" t="s">
        <v>7317</v>
      </c>
      <c r="B3283" s="12" t="s">
        <v>7318</v>
      </c>
      <c r="C3283" s="12" t="s">
        <v>7201</v>
      </c>
      <c r="D3283" s="12" t="s">
        <v>7172</v>
      </c>
      <c r="E3283" s="12" t="s">
        <v>2349</v>
      </c>
      <c r="F3283" s="12" t="s">
        <v>2350</v>
      </c>
      <c r="G3283" s="12" t="s">
        <v>6364</v>
      </c>
      <c r="H3283" s="12" t="s">
        <v>222</v>
      </c>
      <c r="I3283" s="12"/>
      <c r="J3283" s="12"/>
      <c r="K3283" s="12"/>
      <c r="L3283" s="12"/>
      <c r="M3283" s="12" t="s">
        <v>2351</v>
      </c>
      <c r="N3283" s="12"/>
      <c r="O3283" s="12" t="s">
        <v>2352</v>
      </c>
      <c r="P3283" s="12" t="str">
        <f>HYPERLINK("https://ceds.ed.gov/cedselementdetails.aspx?termid=9569")</f>
        <v>https://ceds.ed.gov/cedselementdetails.aspx?termid=9569</v>
      </c>
      <c r="Q3283" s="12" t="str">
        <f>HYPERLINK("https://ceds.ed.gov/elementComment.aspx?elementName=Disability Status &amp;elementID=9569", "Click here to submit comment")</f>
        <v>Click here to submit comment</v>
      </c>
    </row>
    <row r="3284" spans="1:17" ht="285" x14ac:dyDescent="0.25">
      <c r="A3284" s="12" t="s">
        <v>7317</v>
      </c>
      <c r="B3284" s="12" t="s">
        <v>7318</v>
      </c>
      <c r="C3284" s="12" t="s">
        <v>7201</v>
      </c>
      <c r="D3284" s="12" t="s">
        <v>7172</v>
      </c>
      <c r="E3284" s="12" t="s">
        <v>3281</v>
      </c>
      <c r="F3284" s="12" t="s">
        <v>3282</v>
      </c>
      <c r="G3284" s="12" t="s">
        <v>6364</v>
      </c>
      <c r="H3284" s="12" t="s">
        <v>6568</v>
      </c>
      <c r="I3284" s="12"/>
      <c r="J3284" s="12"/>
      <c r="K3284" s="12"/>
      <c r="L3284" s="12"/>
      <c r="M3284" s="12" t="s">
        <v>3283</v>
      </c>
      <c r="N3284" s="12"/>
      <c r="O3284" s="12" t="s">
        <v>3284</v>
      </c>
      <c r="P3284" s="12" t="str">
        <f>HYPERLINK("https://ceds.ed.gov/cedselementdetails.aspx?termid=9151")</f>
        <v>https://ceds.ed.gov/cedselementdetails.aspx?termid=9151</v>
      </c>
      <c r="Q3284" s="12" t="str">
        <f>HYPERLINK("https://ceds.ed.gov/elementComment.aspx?elementName=IDEA Indicator &amp;elementID=9151", "Click here to submit comment")</f>
        <v>Click here to submit comment</v>
      </c>
    </row>
    <row r="3285" spans="1:17" ht="180" x14ac:dyDescent="0.25">
      <c r="A3285" s="12" t="s">
        <v>7317</v>
      </c>
      <c r="B3285" s="12" t="s">
        <v>7318</v>
      </c>
      <c r="C3285" s="12" t="s">
        <v>7201</v>
      </c>
      <c r="D3285" s="12" t="s">
        <v>7176</v>
      </c>
      <c r="E3285" s="12" t="s">
        <v>2345</v>
      </c>
      <c r="F3285" s="12" t="s">
        <v>2346</v>
      </c>
      <c r="G3285" s="13" t="s">
        <v>6864</v>
      </c>
      <c r="H3285" s="12"/>
      <c r="I3285" s="12"/>
      <c r="J3285" s="12"/>
      <c r="K3285" s="12"/>
      <c r="L3285" s="12" t="s">
        <v>2342</v>
      </c>
      <c r="M3285" s="12" t="s">
        <v>2347</v>
      </c>
      <c r="N3285" s="12"/>
      <c r="O3285" s="12" t="s">
        <v>2348</v>
      </c>
      <c r="P3285" s="12" t="str">
        <f>HYPERLINK("https://ceds.ed.gov/cedselementdetails.aspx?termid=10287")</f>
        <v>https://ceds.ed.gov/cedselementdetails.aspx?termid=10287</v>
      </c>
      <c r="Q3285" s="12" t="str">
        <f>HYPERLINK("https://ceds.ed.gov/elementComment.aspx?elementName=Disability Determination Source Type &amp;elementID=10287", "Click here to submit comment")</f>
        <v>Click here to submit comment</v>
      </c>
    </row>
    <row r="3286" spans="1:17" ht="195" x14ac:dyDescent="0.25">
      <c r="A3286" s="12" t="s">
        <v>7317</v>
      </c>
      <c r="B3286" s="12" t="s">
        <v>7319</v>
      </c>
      <c r="C3286" s="12" t="s">
        <v>7171</v>
      </c>
      <c r="D3286" s="12" t="s">
        <v>7172</v>
      </c>
      <c r="E3286" s="12" t="s">
        <v>3017</v>
      </c>
      <c r="F3286" s="12" t="s">
        <v>3018</v>
      </c>
      <c r="G3286" s="12" t="s">
        <v>12</v>
      </c>
      <c r="H3286" s="12" t="s">
        <v>6540</v>
      </c>
      <c r="I3286" s="12"/>
      <c r="J3286" s="12" t="s">
        <v>1349</v>
      </c>
      <c r="K3286" s="12"/>
      <c r="L3286" s="12" t="s">
        <v>3019</v>
      </c>
      <c r="M3286" s="12" t="s">
        <v>3020</v>
      </c>
      <c r="N3286" s="12"/>
      <c r="O3286" s="12" t="s">
        <v>3021</v>
      </c>
      <c r="P3286" s="12" t="str">
        <f>HYPERLINK("https://ceds.ed.gov/cedselementdetails.aspx?termid=9115")</f>
        <v>https://ceds.ed.gov/cedselementdetails.aspx?termid=9115</v>
      </c>
      <c r="Q3286" s="12" t="str">
        <f>HYPERLINK("https://ceds.ed.gov/elementComment.aspx?elementName=First Name &amp;elementID=9115", "Click here to submit comment")</f>
        <v>Click here to submit comment</v>
      </c>
    </row>
    <row r="3287" spans="1:17" x14ac:dyDescent="0.25">
      <c r="A3287" s="18" t="s">
        <v>7317</v>
      </c>
      <c r="B3287" s="18" t="s">
        <v>7319</v>
      </c>
      <c r="C3287" s="18" t="s">
        <v>7171</v>
      </c>
      <c r="D3287" s="18" t="s">
        <v>7172</v>
      </c>
      <c r="E3287" s="18" t="s">
        <v>4405</v>
      </c>
      <c r="F3287" s="18" t="s">
        <v>4406</v>
      </c>
      <c r="G3287" s="18" t="s">
        <v>12</v>
      </c>
      <c r="H3287" s="18" t="s">
        <v>6540</v>
      </c>
      <c r="I3287" s="18"/>
      <c r="J3287" s="18" t="s">
        <v>1349</v>
      </c>
      <c r="K3287" s="18"/>
      <c r="L3287" s="12" t="s">
        <v>3078</v>
      </c>
      <c r="M3287" s="18" t="s">
        <v>4407</v>
      </c>
      <c r="N3287" s="18"/>
      <c r="O3287" s="18" t="s">
        <v>4408</v>
      </c>
      <c r="P3287" s="18" t="str">
        <f>HYPERLINK("https://ceds.ed.gov/cedselementdetails.aspx?termid=9184")</f>
        <v>https://ceds.ed.gov/cedselementdetails.aspx?termid=9184</v>
      </c>
      <c r="Q3287" s="18" t="str">
        <f>HYPERLINK("https://ceds.ed.gov/elementComment.aspx?elementName=Middle Name &amp;elementID=9184", "Click here to submit comment")</f>
        <v>Click here to submit comment</v>
      </c>
    </row>
    <row r="3288" spans="1:17" ht="90" x14ac:dyDescent="0.25">
      <c r="A3288" s="18"/>
      <c r="B3288" s="18"/>
      <c r="C3288" s="18"/>
      <c r="D3288" s="18"/>
      <c r="E3288" s="18"/>
      <c r="F3288" s="18"/>
      <c r="G3288" s="18"/>
      <c r="H3288" s="18"/>
      <c r="I3288" s="18"/>
      <c r="J3288" s="18"/>
      <c r="K3288" s="18"/>
      <c r="L3288" s="12" t="s">
        <v>3079</v>
      </c>
      <c r="M3288" s="18"/>
      <c r="N3288" s="18"/>
      <c r="O3288" s="18"/>
      <c r="P3288" s="18"/>
      <c r="Q3288" s="18"/>
    </row>
    <row r="3289" spans="1:17" x14ac:dyDescent="0.25">
      <c r="A3289" s="18" t="s">
        <v>7317</v>
      </c>
      <c r="B3289" s="18" t="s">
        <v>7319</v>
      </c>
      <c r="C3289" s="18" t="s">
        <v>7171</v>
      </c>
      <c r="D3289" s="18" t="s">
        <v>7172</v>
      </c>
      <c r="E3289" s="18" t="s">
        <v>3684</v>
      </c>
      <c r="F3289" s="18" t="s">
        <v>3685</v>
      </c>
      <c r="G3289" s="18" t="s">
        <v>12</v>
      </c>
      <c r="H3289" s="18" t="s">
        <v>6540</v>
      </c>
      <c r="I3289" s="18"/>
      <c r="J3289" s="18" t="s">
        <v>1349</v>
      </c>
      <c r="K3289" s="18"/>
      <c r="L3289" s="12" t="s">
        <v>3078</v>
      </c>
      <c r="M3289" s="18" t="s">
        <v>3686</v>
      </c>
      <c r="N3289" s="18" t="s">
        <v>3687</v>
      </c>
      <c r="O3289" s="18" t="s">
        <v>3688</v>
      </c>
      <c r="P3289" s="18" t="str">
        <f>HYPERLINK("https://ceds.ed.gov/cedselementdetails.aspx?termid=9172")</f>
        <v>https://ceds.ed.gov/cedselementdetails.aspx?termid=9172</v>
      </c>
      <c r="Q3289" s="18" t="str">
        <f>HYPERLINK("https://ceds.ed.gov/elementComment.aspx?elementName=Last or Surname &amp;elementID=9172", "Click here to submit comment")</f>
        <v>Click here to submit comment</v>
      </c>
    </row>
    <row r="3290" spans="1:17" ht="90" x14ac:dyDescent="0.25">
      <c r="A3290" s="18"/>
      <c r="B3290" s="18"/>
      <c r="C3290" s="18"/>
      <c r="D3290" s="18"/>
      <c r="E3290" s="18"/>
      <c r="F3290" s="18"/>
      <c r="G3290" s="18"/>
      <c r="H3290" s="18"/>
      <c r="I3290" s="18"/>
      <c r="J3290" s="18"/>
      <c r="K3290" s="18"/>
      <c r="L3290" s="12" t="s">
        <v>3079</v>
      </c>
      <c r="M3290" s="18"/>
      <c r="N3290" s="18"/>
      <c r="O3290" s="18"/>
      <c r="P3290" s="18"/>
      <c r="Q3290" s="18"/>
    </row>
    <row r="3291" spans="1:17" x14ac:dyDescent="0.25">
      <c r="A3291" s="18" t="s">
        <v>7317</v>
      </c>
      <c r="B3291" s="18" t="s">
        <v>7319</v>
      </c>
      <c r="C3291" s="18" t="s">
        <v>7171</v>
      </c>
      <c r="D3291" s="18" t="s">
        <v>7172</v>
      </c>
      <c r="E3291" s="18" t="s">
        <v>3076</v>
      </c>
      <c r="F3291" s="18" t="s">
        <v>3077</v>
      </c>
      <c r="G3291" s="18" t="s">
        <v>12</v>
      </c>
      <c r="H3291" s="18" t="s">
        <v>6543</v>
      </c>
      <c r="I3291" s="18"/>
      <c r="J3291" s="18" t="s">
        <v>2143</v>
      </c>
      <c r="K3291" s="18"/>
      <c r="L3291" s="12" t="s">
        <v>3078</v>
      </c>
      <c r="M3291" s="18" t="s">
        <v>3080</v>
      </c>
      <c r="N3291" s="18"/>
      <c r="O3291" s="18" t="s">
        <v>3081</v>
      </c>
      <c r="P3291" s="18" t="str">
        <f>HYPERLINK("https://ceds.ed.gov/cedselementdetails.aspx?termid=9121")</f>
        <v>https://ceds.ed.gov/cedselementdetails.aspx?termid=9121</v>
      </c>
      <c r="Q3291" s="18" t="str">
        <f>HYPERLINK("https://ceds.ed.gov/elementComment.aspx?elementName=Generation Code or Suffix &amp;elementID=9121", "Click here to submit comment")</f>
        <v>Click here to submit comment</v>
      </c>
    </row>
    <row r="3292" spans="1:17" ht="90" x14ac:dyDescent="0.25">
      <c r="A3292" s="18"/>
      <c r="B3292" s="18"/>
      <c r="C3292" s="18"/>
      <c r="D3292" s="18"/>
      <c r="E3292" s="18"/>
      <c r="F3292" s="18"/>
      <c r="G3292" s="18"/>
      <c r="H3292" s="18"/>
      <c r="I3292" s="18"/>
      <c r="J3292" s="18"/>
      <c r="K3292" s="18"/>
      <c r="L3292" s="12" t="s">
        <v>3079</v>
      </c>
      <c r="M3292" s="18"/>
      <c r="N3292" s="18"/>
      <c r="O3292" s="18"/>
      <c r="P3292" s="18"/>
      <c r="Q3292" s="18"/>
    </row>
    <row r="3293" spans="1:17" ht="105" x14ac:dyDescent="0.25">
      <c r="A3293" s="12" t="s">
        <v>7317</v>
      </c>
      <c r="B3293" s="12" t="s">
        <v>7319</v>
      </c>
      <c r="C3293" s="12" t="s">
        <v>7171</v>
      </c>
      <c r="D3293" s="12" t="s">
        <v>7172</v>
      </c>
      <c r="E3293" s="12" t="s">
        <v>4835</v>
      </c>
      <c r="F3293" s="12" t="s">
        <v>4836</v>
      </c>
      <c r="G3293" s="12" t="s">
        <v>12</v>
      </c>
      <c r="H3293" s="12" t="s">
        <v>6627</v>
      </c>
      <c r="I3293" s="12"/>
      <c r="J3293" s="12" t="s">
        <v>92</v>
      </c>
      <c r="K3293" s="12"/>
      <c r="L3293" s="12"/>
      <c r="M3293" s="12" t="s">
        <v>4837</v>
      </c>
      <c r="N3293" s="12" t="s">
        <v>4838</v>
      </c>
      <c r="O3293" s="12" t="s">
        <v>4839</v>
      </c>
      <c r="P3293" s="12" t="str">
        <f>HYPERLINK("https://ceds.ed.gov/cedselementdetails.aspx?termid=9212")</f>
        <v>https://ceds.ed.gov/cedselementdetails.aspx?termid=9212</v>
      </c>
      <c r="Q3293" s="12" t="str">
        <f>HYPERLINK("https://ceds.ed.gov/elementComment.aspx?elementName=Personal Title or Prefix &amp;elementID=9212", "Click here to submit comment")</f>
        <v>Click here to submit comment</v>
      </c>
    </row>
    <row r="3294" spans="1:17" ht="30" x14ac:dyDescent="0.25">
      <c r="A3294" s="12" t="s">
        <v>7317</v>
      </c>
      <c r="B3294" s="12" t="s">
        <v>7319</v>
      </c>
      <c r="C3294" s="12" t="s">
        <v>7173</v>
      </c>
      <c r="D3294" s="12" t="s">
        <v>7172</v>
      </c>
      <c r="E3294" s="12" t="s">
        <v>4705</v>
      </c>
      <c r="F3294" s="12" t="s">
        <v>4706</v>
      </c>
      <c r="G3294" s="12" t="s">
        <v>12</v>
      </c>
      <c r="H3294" s="12"/>
      <c r="I3294" s="12"/>
      <c r="J3294" s="12" t="s">
        <v>1349</v>
      </c>
      <c r="K3294" s="12"/>
      <c r="L3294" s="12" t="s">
        <v>4707</v>
      </c>
      <c r="M3294" s="12" t="s">
        <v>4708</v>
      </c>
      <c r="N3294" s="12"/>
      <c r="O3294" s="12" t="s">
        <v>4709</v>
      </c>
      <c r="P3294" s="12" t="str">
        <f>HYPERLINK("https://ceds.ed.gov/cedselementdetails.aspx?termid=10486")</f>
        <v>https://ceds.ed.gov/cedselementdetails.aspx?termid=10486</v>
      </c>
      <c r="Q3294" s="12" t="str">
        <f>HYPERLINK("https://ceds.ed.gov/elementComment.aspx?elementName=Other First Name &amp;elementID=10486", "Click here to submit comment")</f>
        <v>Click here to submit comment</v>
      </c>
    </row>
    <row r="3295" spans="1:17" ht="30" x14ac:dyDescent="0.25">
      <c r="A3295" s="12" t="s">
        <v>7317</v>
      </c>
      <c r="B3295" s="12" t="s">
        <v>7319</v>
      </c>
      <c r="C3295" s="12" t="s">
        <v>7173</v>
      </c>
      <c r="D3295" s="12" t="s">
        <v>7172</v>
      </c>
      <c r="E3295" s="12" t="s">
        <v>4710</v>
      </c>
      <c r="F3295" s="12" t="s">
        <v>4711</v>
      </c>
      <c r="G3295" s="12" t="s">
        <v>12</v>
      </c>
      <c r="H3295" s="12"/>
      <c r="I3295" s="12"/>
      <c r="J3295" s="12" t="s">
        <v>1349</v>
      </c>
      <c r="K3295" s="12"/>
      <c r="L3295" s="12" t="s">
        <v>4712</v>
      </c>
      <c r="M3295" s="12" t="s">
        <v>4713</v>
      </c>
      <c r="N3295" s="12"/>
      <c r="O3295" s="12" t="s">
        <v>4714</v>
      </c>
      <c r="P3295" s="12" t="str">
        <f>HYPERLINK("https://ceds.ed.gov/cedselementdetails.aspx?termid=10485")</f>
        <v>https://ceds.ed.gov/cedselementdetails.aspx?termid=10485</v>
      </c>
      <c r="Q3295" s="12" t="str">
        <f>HYPERLINK("https://ceds.ed.gov/elementComment.aspx?elementName=Other Last Name &amp;elementID=10485", "Click here to submit comment")</f>
        <v>Click here to submit comment</v>
      </c>
    </row>
    <row r="3296" spans="1:17" ht="30" x14ac:dyDescent="0.25">
      <c r="A3296" s="12" t="s">
        <v>7317</v>
      </c>
      <c r="B3296" s="12" t="s">
        <v>7319</v>
      </c>
      <c r="C3296" s="12" t="s">
        <v>7173</v>
      </c>
      <c r="D3296" s="12" t="s">
        <v>7172</v>
      </c>
      <c r="E3296" s="12" t="s">
        <v>4715</v>
      </c>
      <c r="F3296" s="12" t="s">
        <v>4716</v>
      </c>
      <c r="G3296" s="12" t="s">
        <v>12</v>
      </c>
      <c r="H3296" s="12"/>
      <c r="I3296" s="12"/>
      <c r="J3296" s="12" t="s">
        <v>1349</v>
      </c>
      <c r="K3296" s="12"/>
      <c r="L3296" s="12" t="s">
        <v>4717</v>
      </c>
      <c r="M3296" s="12" t="s">
        <v>4718</v>
      </c>
      <c r="N3296" s="12"/>
      <c r="O3296" s="12" t="s">
        <v>4719</v>
      </c>
      <c r="P3296" s="12" t="str">
        <f>HYPERLINK("https://ceds.ed.gov/cedselementdetails.aspx?termid=10487")</f>
        <v>https://ceds.ed.gov/cedselementdetails.aspx?termid=10487</v>
      </c>
      <c r="Q3296" s="12" t="str">
        <f>HYPERLINK("https://ceds.ed.gov/elementComment.aspx?elementName=Other Middle Name &amp;elementID=10487", "Click here to submit comment")</f>
        <v>Click here to submit comment</v>
      </c>
    </row>
    <row r="3297" spans="1:17" ht="150" x14ac:dyDescent="0.25">
      <c r="A3297" s="12" t="s">
        <v>7317</v>
      </c>
      <c r="B3297" s="12" t="s">
        <v>7319</v>
      </c>
      <c r="C3297" s="12" t="s">
        <v>7173</v>
      </c>
      <c r="D3297" s="12" t="s">
        <v>7172</v>
      </c>
      <c r="E3297" s="12" t="s">
        <v>4720</v>
      </c>
      <c r="F3297" s="12" t="s">
        <v>4721</v>
      </c>
      <c r="G3297" s="12" t="s">
        <v>12</v>
      </c>
      <c r="H3297" s="12" t="s">
        <v>6543</v>
      </c>
      <c r="I3297" s="12"/>
      <c r="J3297" s="12" t="s">
        <v>142</v>
      </c>
      <c r="K3297" s="12"/>
      <c r="L3297" s="12"/>
      <c r="M3297" s="12" t="s">
        <v>4722</v>
      </c>
      <c r="N3297" s="12"/>
      <c r="O3297" s="12" t="s">
        <v>4723</v>
      </c>
      <c r="P3297" s="12" t="str">
        <f>HYPERLINK("https://ceds.ed.gov/cedselementdetails.aspx?termid=9206")</f>
        <v>https://ceds.ed.gov/cedselementdetails.aspx?termid=9206</v>
      </c>
      <c r="Q3297" s="12" t="str">
        <f>HYPERLINK("https://ceds.ed.gov/elementComment.aspx?elementName=Other Name &amp;elementID=9206", "Click here to submit comment")</f>
        <v>Click here to submit comment</v>
      </c>
    </row>
    <row r="3298" spans="1:17" ht="165" x14ac:dyDescent="0.25">
      <c r="A3298" s="12" t="s">
        <v>7317</v>
      </c>
      <c r="B3298" s="12" t="s">
        <v>7319</v>
      </c>
      <c r="C3298" s="12" t="s">
        <v>7173</v>
      </c>
      <c r="D3298" s="12" t="s">
        <v>7172</v>
      </c>
      <c r="E3298" s="12" t="s">
        <v>4724</v>
      </c>
      <c r="F3298" s="12" t="s">
        <v>4725</v>
      </c>
      <c r="G3298" s="13" t="s">
        <v>7046</v>
      </c>
      <c r="H3298" s="12" t="s">
        <v>6619</v>
      </c>
      <c r="I3298" s="12"/>
      <c r="J3298" s="12" t="s">
        <v>92</v>
      </c>
      <c r="K3298" s="12"/>
      <c r="L3298" s="12"/>
      <c r="M3298" s="12" t="s">
        <v>4726</v>
      </c>
      <c r="N3298" s="12"/>
      <c r="O3298" s="12" t="s">
        <v>4727</v>
      </c>
      <c r="P3298" s="12" t="str">
        <f>HYPERLINK("https://ceds.ed.gov/cedselementdetails.aspx?termid=9627")</f>
        <v>https://ceds.ed.gov/cedselementdetails.aspx?termid=9627</v>
      </c>
      <c r="Q3298" s="12" t="str">
        <f>HYPERLINK("https://ceds.ed.gov/elementComment.aspx?elementName=Other Name Type &amp;elementID=9627", "Click here to submit comment")</f>
        <v>Click here to submit comment</v>
      </c>
    </row>
    <row r="3299" spans="1:17" ht="105" x14ac:dyDescent="0.25">
      <c r="A3299" s="18" t="s">
        <v>7317</v>
      </c>
      <c r="B3299" s="18" t="s">
        <v>7319</v>
      </c>
      <c r="C3299" s="18" t="s">
        <v>7174</v>
      </c>
      <c r="D3299" s="18" t="s">
        <v>7172</v>
      </c>
      <c r="E3299" s="18" t="s">
        <v>5872</v>
      </c>
      <c r="F3299" s="18" t="s">
        <v>5873</v>
      </c>
      <c r="G3299" s="18" t="s">
        <v>12</v>
      </c>
      <c r="H3299" s="18" t="s">
        <v>6676</v>
      </c>
      <c r="I3299" s="18"/>
      <c r="J3299" s="18" t="s">
        <v>142</v>
      </c>
      <c r="K3299" s="18"/>
      <c r="L3299" s="12" t="s">
        <v>143</v>
      </c>
      <c r="M3299" s="18" t="s">
        <v>5874</v>
      </c>
      <c r="N3299" s="18"/>
      <c r="O3299" s="18" t="s">
        <v>5875</v>
      </c>
      <c r="P3299" s="18" t="str">
        <f>HYPERLINK("https://ceds.ed.gov/cedselementdetails.aspx?termid=9156")</f>
        <v>https://ceds.ed.gov/cedselementdetails.aspx?termid=9156</v>
      </c>
      <c r="Q3299" s="18" t="str">
        <f>HYPERLINK("https://ceds.ed.gov/elementComment.aspx?elementName=Staff Member Identifier &amp;elementID=9156", "Click here to submit comment")</f>
        <v>Click here to submit comment</v>
      </c>
    </row>
    <row r="3300" spans="1:17" x14ac:dyDescent="0.25">
      <c r="A3300" s="18"/>
      <c r="B3300" s="18"/>
      <c r="C3300" s="18"/>
      <c r="D3300" s="18"/>
      <c r="E3300" s="18"/>
      <c r="F3300" s="18"/>
      <c r="G3300" s="18"/>
      <c r="H3300" s="18"/>
      <c r="I3300" s="18"/>
      <c r="J3300" s="18"/>
      <c r="K3300" s="18"/>
      <c r="L3300" s="12"/>
      <c r="M3300" s="18"/>
      <c r="N3300" s="18"/>
      <c r="O3300" s="18"/>
      <c r="P3300" s="18"/>
      <c r="Q3300" s="18"/>
    </row>
    <row r="3301" spans="1:17" ht="90" x14ac:dyDescent="0.25">
      <c r="A3301" s="18"/>
      <c r="B3301" s="18"/>
      <c r="C3301" s="18"/>
      <c r="D3301" s="18"/>
      <c r="E3301" s="18"/>
      <c r="F3301" s="18"/>
      <c r="G3301" s="18"/>
      <c r="H3301" s="18"/>
      <c r="I3301" s="18"/>
      <c r="J3301" s="18"/>
      <c r="K3301" s="18"/>
      <c r="L3301" s="12" t="s">
        <v>144</v>
      </c>
      <c r="M3301" s="18"/>
      <c r="N3301" s="18"/>
      <c r="O3301" s="18"/>
      <c r="P3301" s="18"/>
      <c r="Q3301" s="18"/>
    </row>
    <row r="3302" spans="1:17" ht="345" x14ac:dyDescent="0.25">
      <c r="A3302" s="12" t="s">
        <v>7317</v>
      </c>
      <c r="B3302" s="12" t="s">
        <v>7319</v>
      </c>
      <c r="C3302" s="12" t="s">
        <v>7174</v>
      </c>
      <c r="D3302" s="12" t="s">
        <v>7172</v>
      </c>
      <c r="E3302" s="12" t="s">
        <v>5868</v>
      </c>
      <c r="F3302" s="12" t="s">
        <v>5869</v>
      </c>
      <c r="G3302" s="13" t="s">
        <v>7118</v>
      </c>
      <c r="H3302" s="12" t="s">
        <v>6675</v>
      </c>
      <c r="I3302" s="12"/>
      <c r="J3302" s="12"/>
      <c r="K3302" s="12"/>
      <c r="L3302" s="12"/>
      <c r="M3302" s="12" t="s">
        <v>5870</v>
      </c>
      <c r="N3302" s="12"/>
      <c r="O3302" s="12" t="s">
        <v>5871</v>
      </c>
      <c r="P3302" s="12" t="str">
        <f>HYPERLINK("https://ceds.ed.gov/cedselementdetails.aspx?termid=9162")</f>
        <v>https://ceds.ed.gov/cedselementdetails.aspx?termid=9162</v>
      </c>
      <c r="Q3302" s="12" t="str">
        <f>HYPERLINK("https://ceds.ed.gov/elementComment.aspx?elementName=Staff Member Identification System &amp;elementID=9162", "Click here to submit comment")</f>
        <v>Click here to submit comment</v>
      </c>
    </row>
    <row r="3303" spans="1:17" ht="225" x14ac:dyDescent="0.25">
      <c r="A3303" s="18" t="s">
        <v>7317</v>
      </c>
      <c r="B3303" s="18" t="s">
        <v>7319</v>
      </c>
      <c r="C3303" s="18" t="s">
        <v>7174</v>
      </c>
      <c r="D3303" s="18" t="s">
        <v>7172</v>
      </c>
      <c r="E3303" s="18" t="s">
        <v>5745</v>
      </c>
      <c r="F3303" s="18" t="s">
        <v>5746</v>
      </c>
      <c r="G3303" s="18" t="s">
        <v>12</v>
      </c>
      <c r="H3303" s="18" t="s">
        <v>6670</v>
      </c>
      <c r="I3303" s="18"/>
      <c r="J3303" s="18" t="s">
        <v>5747</v>
      </c>
      <c r="K3303" s="18"/>
      <c r="L3303" s="12" t="s">
        <v>5748</v>
      </c>
      <c r="M3303" s="18" t="s">
        <v>5750</v>
      </c>
      <c r="N3303" s="18" t="s">
        <v>5751</v>
      </c>
      <c r="O3303" s="18" t="s">
        <v>5752</v>
      </c>
      <c r="P3303" s="18" t="str">
        <f>HYPERLINK("https://ceds.ed.gov/cedselementdetails.aspx?termid=9259")</f>
        <v>https://ceds.ed.gov/cedselementdetails.aspx?termid=9259</v>
      </c>
      <c r="Q3303" s="18" t="str">
        <f>HYPERLINK("https://ceds.ed.gov/elementComment.aspx?elementName=Social Security Number &amp;elementID=9259", "Click here to submit comment")</f>
        <v>Click here to submit comment</v>
      </c>
    </row>
    <row r="3304" spans="1:17" x14ac:dyDescent="0.25">
      <c r="A3304" s="18"/>
      <c r="B3304" s="18"/>
      <c r="C3304" s="18"/>
      <c r="D3304" s="18"/>
      <c r="E3304" s="18"/>
      <c r="F3304" s="18"/>
      <c r="G3304" s="18"/>
      <c r="H3304" s="18"/>
      <c r="I3304" s="18"/>
      <c r="J3304" s="18"/>
      <c r="K3304" s="18"/>
      <c r="L3304" s="12"/>
      <c r="M3304" s="18"/>
      <c r="N3304" s="18"/>
      <c r="O3304" s="18"/>
      <c r="P3304" s="18"/>
      <c r="Q3304" s="18"/>
    </row>
    <row r="3305" spans="1:17" ht="180" x14ac:dyDescent="0.25">
      <c r="A3305" s="18"/>
      <c r="B3305" s="18"/>
      <c r="C3305" s="18"/>
      <c r="D3305" s="18"/>
      <c r="E3305" s="18"/>
      <c r="F3305" s="18"/>
      <c r="G3305" s="18"/>
      <c r="H3305" s="18"/>
      <c r="I3305" s="18"/>
      <c r="J3305" s="18"/>
      <c r="K3305" s="18"/>
      <c r="L3305" s="12" t="s">
        <v>5749</v>
      </c>
      <c r="M3305" s="18"/>
      <c r="N3305" s="18"/>
      <c r="O3305" s="18"/>
      <c r="P3305" s="18"/>
      <c r="Q3305" s="18"/>
    </row>
    <row r="3306" spans="1:17" ht="255" x14ac:dyDescent="0.25">
      <c r="A3306" s="12" t="s">
        <v>7317</v>
      </c>
      <c r="B3306" s="12" t="s">
        <v>7319</v>
      </c>
      <c r="C3306" s="12" t="s">
        <v>7174</v>
      </c>
      <c r="D3306" s="12" t="s">
        <v>7172</v>
      </c>
      <c r="E3306" s="12" t="s">
        <v>4831</v>
      </c>
      <c r="F3306" s="12" t="s">
        <v>4832</v>
      </c>
      <c r="G3306" s="13" t="s">
        <v>7053</v>
      </c>
      <c r="H3306" s="12"/>
      <c r="I3306" s="12"/>
      <c r="J3306" s="12"/>
      <c r="K3306" s="12"/>
      <c r="L3306" s="12"/>
      <c r="M3306" s="12" t="s">
        <v>4833</v>
      </c>
      <c r="N3306" s="12"/>
      <c r="O3306" s="12" t="s">
        <v>4834</v>
      </c>
      <c r="P3306" s="12" t="str">
        <f>HYPERLINK("https://ceds.ed.gov/cedselementdetails.aspx?termid=9611")</f>
        <v>https://ceds.ed.gov/cedselementdetails.aspx?termid=9611</v>
      </c>
      <c r="Q3306" s="12" t="str">
        <f>HYPERLINK("https://ceds.ed.gov/elementComment.aspx?elementName=Personal Information Verification &amp;elementID=9611", "Click here to submit comment")</f>
        <v>Click here to submit comment</v>
      </c>
    </row>
    <row r="3307" spans="1:17" ht="105" x14ac:dyDescent="0.25">
      <c r="A3307" s="12" t="s">
        <v>7317</v>
      </c>
      <c r="B3307" s="12" t="s">
        <v>7319</v>
      </c>
      <c r="C3307" s="12" t="s">
        <v>7175</v>
      </c>
      <c r="D3307" s="12" t="s">
        <v>7172</v>
      </c>
      <c r="E3307" s="12" t="s">
        <v>201</v>
      </c>
      <c r="F3307" s="12" t="s">
        <v>202</v>
      </c>
      <c r="G3307" s="13" t="s">
        <v>6728</v>
      </c>
      <c r="H3307" s="12" t="s">
        <v>205</v>
      </c>
      <c r="I3307" s="12"/>
      <c r="J3307" s="12" t="s">
        <v>92</v>
      </c>
      <c r="K3307" s="12"/>
      <c r="L3307" s="12"/>
      <c r="M3307" s="12" t="s">
        <v>203</v>
      </c>
      <c r="N3307" s="12"/>
      <c r="O3307" s="12" t="s">
        <v>204</v>
      </c>
      <c r="P3307" s="12" t="str">
        <f>HYPERLINK("https://ceds.ed.gov/cedselementdetails.aspx?termid=9698")</f>
        <v>https://ceds.ed.gov/cedselementdetails.aspx?termid=9698</v>
      </c>
      <c r="Q3307" s="12" t="str">
        <f>HYPERLINK("https://ceds.ed.gov/elementComment.aspx?elementName=Address Type for Staff &amp;elementID=9698", "Click here to submit comment")</f>
        <v>Click here to submit comment</v>
      </c>
    </row>
    <row r="3308" spans="1:17" ht="225" x14ac:dyDescent="0.25">
      <c r="A3308" s="12" t="s">
        <v>7317</v>
      </c>
      <c r="B3308" s="12" t="s">
        <v>7319</v>
      </c>
      <c r="C3308" s="12" t="s">
        <v>7175</v>
      </c>
      <c r="D3308" s="12" t="s">
        <v>7172</v>
      </c>
      <c r="E3308" s="12" t="s">
        <v>189</v>
      </c>
      <c r="F3308" s="12" t="s">
        <v>190</v>
      </c>
      <c r="G3308" s="12" t="s">
        <v>12</v>
      </c>
      <c r="H3308" s="12" t="s">
        <v>6377</v>
      </c>
      <c r="I3308" s="12"/>
      <c r="J3308" s="12" t="s">
        <v>142</v>
      </c>
      <c r="K3308" s="12"/>
      <c r="L3308" s="12"/>
      <c r="M3308" s="12" t="s">
        <v>191</v>
      </c>
      <c r="N3308" s="12"/>
      <c r="O3308" s="12" t="s">
        <v>192</v>
      </c>
      <c r="P3308" s="12" t="str">
        <f>HYPERLINK("https://ceds.ed.gov/cedselementdetails.aspx?termid=9269")</f>
        <v>https://ceds.ed.gov/cedselementdetails.aspx?termid=9269</v>
      </c>
      <c r="Q3308" s="12" t="str">
        <f>HYPERLINK("https://ceds.ed.gov/elementComment.aspx?elementName=Address Street Number and Name &amp;elementID=9269", "Click here to submit comment")</f>
        <v>Click here to submit comment</v>
      </c>
    </row>
    <row r="3309" spans="1:17" ht="225" x14ac:dyDescent="0.25">
      <c r="A3309" s="12" t="s">
        <v>7317</v>
      </c>
      <c r="B3309" s="12" t="s">
        <v>7319</v>
      </c>
      <c r="C3309" s="12" t="s">
        <v>7175</v>
      </c>
      <c r="D3309" s="12" t="s">
        <v>7172</v>
      </c>
      <c r="E3309" s="12" t="s">
        <v>172</v>
      </c>
      <c r="F3309" s="12" t="s">
        <v>173</v>
      </c>
      <c r="G3309" s="12" t="s">
        <v>12</v>
      </c>
      <c r="H3309" s="12" t="s">
        <v>6377</v>
      </c>
      <c r="I3309" s="12"/>
      <c r="J3309" s="12" t="s">
        <v>92</v>
      </c>
      <c r="K3309" s="12"/>
      <c r="L3309" s="12"/>
      <c r="M3309" s="12" t="s">
        <v>174</v>
      </c>
      <c r="N3309" s="12"/>
      <c r="O3309" s="12" t="s">
        <v>175</v>
      </c>
      <c r="P3309" s="12" t="str">
        <f>HYPERLINK("https://ceds.ed.gov/cedselementdetails.aspx?termid=9019")</f>
        <v>https://ceds.ed.gov/cedselementdetails.aspx?termid=9019</v>
      </c>
      <c r="Q3309" s="12" t="str">
        <f>HYPERLINK("https://ceds.ed.gov/elementComment.aspx?elementName=Address Apartment Room or Suite Number &amp;elementID=9019", "Click here to submit comment")</f>
        <v>Click here to submit comment</v>
      </c>
    </row>
    <row r="3310" spans="1:17" ht="225" x14ac:dyDescent="0.25">
      <c r="A3310" s="12" t="s">
        <v>7317</v>
      </c>
      <c r="B3310" s="12" t="s">
        <v>7319</v>
      </c>
      <c r="C3310" s="12" t="s">
        <v>7175</v>
      </c>
      <c r="D3310" s="12" t="s">
        <v>7172</v>
      </c>
      <c r="E3310" s="12" t="s">
        <v>176</v>
      </c>
      <c r="F3310" s="12" t="s">
        <v>177</v>
      </c>
      <c r="G3310" s="12" t="s">
        <v>12</v>
      </c>
      <c r="H3310" s="12" t="s">
        <v>6377</v>
      </c>
      <c r="I3310" s="12"/>
      <c r="J3310" s="12" t="s">
        <v>92</v>
      </c>
      <c r="K3310" s="12"/>
      <c r="L3310" s="12"/>
      <c r="M3310" s="12" t="s">
        <v>178</v>
      </c>
      <c r="N3310" s="12"/>
      <c r="O3310" s="12" t="s">
        <v>179</v>
      </c>
      <c r="P3310" s="12" t="str">
        <f>HYPERLINK("https://ceds.ed.gov/cedselementdetails.aspx?termid=9040")</f>
        <v>https://ceds.ed.gov/cedselementdetails.aspx?termid=9040</v>
      </c>
      <c r="Q3310" s="12" t="str">
        <f>HYPERLINK("https://ceds.ed.gov/elementComment.aspx?elementName=Address City &amp;elementID=9040", "Click here to submit comment")</f>
        <v>Click here to submit comment</v>
      </c>
    </row>
    <row r="3311" spans="1:17" ht="409.5" x14ac:dyDescent="0.25">
      <c r="A3311" s="12" t="s">
        <v>7317</v>
      </c>
      <c r="B3311" s="12" t="s">
        <v>7319</v>
      </c>
      <c r="C3311" s="12" t="s">
        <v>7175</v>
      </c>
      <c r="D3311" s="12" t="s">
        <v>7172</v>
      </c>
      <c r="E3311" s="12" t="s">
        <v>5898</v>
      </c>
      <c r="F3311" s="12" t="s">
        <v>5899</v>
      </c>
      <c r="G3311" s="13" t="s">
        <v>7120</v>
      </c>
      <c r="H3311" s="12" t="s">
        <v>6678</v>
      </c>
      <c r="I3311" s="12"/>
      <c r="J3311" s="12"/>
      <c r="K3311" s="12"/>
      <c r="L3311" s="12"/>
      <c r="M3311" s="12" t="s">
        <v>5900</v>
      </c>
      <c r="N3311" s="12"/>
      <c r="O3311" s="12" t="s">
        <v>5901</v>
      </c>
      <c r="P3311" s="12" t="str">
        <f>HYPERLINK("https://ceds.ed.gov/cedselementdetails.aspx?termid=9267")</f>
        <v>https://ceds.ed.gov/cedselementdetails.aspx?termid=9267</v>
      </c>
      <c r="Q3311" s="12" t="str">
        <f>HYPERLINK("https://ceds.ed.gov/elementComment.aspx?elementName=State Abbreviation &amp;elementID=9267", "Click here to submit comment")</f>
        <v>Click here to submit comment</v>
      </c>
    </row>
    <row r="3312" spans="1:17" ht="225" x14ac:dyDescent="0.25">
      <c r="A3312" s="12" t="s">
        <v>7317</v>
      </c>
      <c r="B3312" s="12" t="s">
        <v>7319</v>
      </c>
      <c r="C3312" s="12" t="s">
        <v>7175</v>
      </c>
      <c r="D3312" s="12" t="s">
        <v>7172</v>
      </c>
      <c r="E3312" s="12" t="s">
        <v>184</v>
      </c>
      <c r="F3312" s="12" t="s">
        <v>185</v>
      </c>
      <c r="G3312" s="12" t="s">
        <v>12</v>
      </c>
      <c r="H3312" s="12" t="s">
        <v>6377</v>
      </c>
      <c r="I3312" s="12"/>
      <c r="J3312" s="12" t="s">
        <v>186</v>
      </c>
      <c r="K3312" s="12"/>
      <c r="L3312" s="12"/>
      <c r="M3312" s="12" t="s">
        <v>187</v>
      </c>
      <c r="N3312" s="12"/>
      <c r="O3312" s="12" t="s">
        <v>188</v>
      </c>
      <c r="P3312" s="12" t="str">
        <f>HYPERLINK("https://ceds.ed.gov/cedselementdetails.aspx?termid=9214")</f>
        <v>https://ceds.ed.gov/cedselementdetails.aspx?termid=9214</v>
      </c>
      <c r="Q3312" s="12" t="str">
        <f>HYPERLINK("https://ceds.ed.gov/elementComment.aspx?elementName=Address Postal Code &amp;elementID=9214", "Click here to submit comment")</f>
        <v>Click here to submit comment</v>
      </c>
    </row>
    <row r="3313" spans="1:17" ht="225" x14ac:dyDescent="0.25">
      <c r="A3313" s="12" t="s">
        <v>7317</v>
      </c>
      <c r="B3313" s="12" t="s">
        <v>7319</v>
      </c>
      <c r="C3313" s="12" t="s">
        <v>7175</v>
      </c>
      <c r="D3313" s="12" t="s">
        <v>7172</v>
      </c>
      <c r="E3313" s="12" t="s">
        <v>180</v>
      </c>
      <c r="F3313" s="12" t="s">
        <v>181</v>
      </c>
      <c r="G3313" s="12" t="s">
        <v>12</v>
      </c>
      <c r="H3313" s="12" t="s">
        <v>6377</v>
      </c>
      <c r="I3313" s="12"/>
      <c r="J3313" s="12" t="s">
        <v>92</v>
      </c>
      <c r="K3313" s="12"/>
      <c r="L3313" s="12"/>
      <c r="M3313" s="12" t="s">
        <v>182</v>
      </c>
      <c r="N3313" s="12"/>
      <c r="O3313" s="12" t="s">
        <v>183</v>
      </c>
      <c r="P3313" s="12" t="str">
        <f>HYPERLINK("https://ceds.ed.gov/cedselementdetails.aspx?termid=9190")</f>
        <v>https://ceds.ed.gov/cedselementdetails.aspx?termid=9190</v>
      </c>
      <c r="Q3313" s="12" t="str">
        <f>HYPERLINK("https://ceds.ed.gov/elementComment.aspx?elementName=Address County Name &amp;elementID=9190", "Click here to submit comment")</f>
        <v>Click here to submit comment</v>
      </c>
    </row>
    <row r="3314" spans="1:17" ht="409.5" x14ac:dyDescent="0.25">
      <c r="A3314" s="12" t="s">
        <v>7317</v>
      </c>
      <c r="B3314" s="12" t="s">
        <v>7319</v>
      </c>
      <c r="C3314" s="12" t="s">
        <v>7175</v>
      </c>
      <c r="D3314" s="12" t="s">
        <v>7172</v>
      </c>
      <c r="E3314" s="12" t="s">
        <v>1934</v>
      </c>
      <c r="F3314" s="12" t="s">
        <v>1935</v>
      </c>
      <c r="G3314" s="13" t="s">
        <v>6829</v>
      </c>
      <c r="H3314" s="12" t="s">
        <v>6467</v>
      </c>
      <c r="I3314" s="12" t="s">
        <v>98</v>
      </c>
      <c r="J3314" s="12"/>
      <c r="K3314" s="12"/>
      <c r="L3314" s="14" t="s">
        <v>1936</v>
      </c>
      <c r="M3314" s="12" t="s">
        <v>1937</v>
      </c>
      <c r="N3314" s="12"/>
      <c r="O3314" s="12" t="s">
        <v>1938</v>
      </c>
      <c r="P3314" s="12" t="str">
        <f>HYPERLINK("https://ceds.ed.gov/cedselementdetails.aspx?termid=9050")</f>
        <v>https://ceds.ed.gov/cedselementdetails.aspx?termid=9050</v>
      </c>
      <c r="Q3314" s="12" t="str">
        <f>HYPERLINK("https://ceds.ed.gov/elementComment.aspx?elementName=Country Code &amp;elementID=9050", "Click here to submit comment")</f>
        <v>Click here to submit comment</v>
      </c>
    </row>
    <row r="3315" spans="1:17" ht="75" x14ac:dyDescent="0.25">
      <c r="A3315" s="12" t="s">
        <v>7317</v>
      </c>
      <c r="B3315" s="12" t="s">
        <v>7319</v>
      </c>
      <c r="C3315" s="12" t="s">
        <v>7175</v>
      </c>
      <c r="D3315" s="12" t="s">
        <v>7176</v>
      </c>
      <c r="E3315" s="12" t="s">
        <v>3693</v>
      </c>
      <c r="F3315" s="12" t="s">
        <v>3694</v>
      </c>
      <c r="G3315" s="12" t="s">
        <v>12</v>
      </c>
      <c r="H3315" s="12"/>
      <c r="I3315" s="12"/>
      <c r="J3315" s="12" t="s">
        <v>1201</v>
      </c>
      <c r="K3315" s="12"/>
      <c r="L3315" s="12"/>
      <c r="M3315" s="12" t="s">
        <v>3695</v>
      </c>
      <c r="N3315" s="12"/>
      <c r="O3315" s="12" t="s">
        <v>3693</v>
      </c>
      <c r="P3315" s="12" t="str">
        <f>HYPERLINK("https://ceds.ed.gov/cedselementdetails.aspx?termid=9599")</f>
        <v>https://ceds.ed.gov/cedselementdetails.aspx?termid=9599</v>
      </c>
      <c r="Q3315" s="12" t="str">
        <f>HYPERLINK("https://ceds.ed.gov/elementComment.aspx?elementName=Latitude &amp;elementID=9599", "Click here to submit comment")</f>
        <v>Click here to submit comment</v>
      </c>
    </row>
    <row r="3316" spans="1:17" ht="75" x14ac:dyDescent="0.25">
      <c r="A3316" s="12" t="s">
        <v>7317</v>
      </c>
      <c r="B3316" s="12" t="s">
        <v>7319</v>
      </c>
      <c r="C3316" s="12" t="s">
        <v>7175</v>
      </c>
      <c r="D3316" s="12" t="s">
        <v>7176</v>
      </c>
      <c r="E3316" s="12" t="s">
        <v>4361</v>
      </c>
      <c r="F3316" s="12" t="s">
        <v>4362</v>
      </c>
      <c r="G3316" s="12" t="s">
        <v>12</v>
      </c>
      <c r="H3316" s="12"/>
      <c r="I3316" s="12"/>
      <c r="J3316" s="12" t="s">
        <v>1201</v>
      </c>
      <c r="K3316" s="12"/>
      <c r="L3316" s="12"/>
      <c r="M3316" s="12" t="s">
        <v>4363</v>
      </c>
      <c r="N3316" s="12"/>
      <c r="O3316" s="12" t="s">
        <v>4361</v>
      </c>
      <c r="P3316" s="12" t="str">
        <f>HYPERLINK("https://ceds.ed.gov/cedselementdetails.aspx?termid=9600")</f>
        <v>https://ceds.ed.gov/cedselementdetails.aspx?termid=9600</v>
      </c>
      <c r="Q3316" s="12" t="str">
        <f>HYPERLINK("https://ceds.ed.gov/elementComment.aspx?elementName=Longitude &amp;elementID=9600", "Click here to submit comment")</f>
        <v>Click here to submit comment</v>
      </c>
    </row>
    <row r="3317" spans="1:17" ht="90" x14ac:dyDescent="0.25">
      <c r="A3317" s="12" t="s">
        <v>7317</v>
      </c>
      <c r="B3317" s="12" t="s">
        <v>7319</v>
      </c>
      <c r="C3317" s="12" t="s">
        <v>7177</v>
      </c>
      <c r="D3317" s="12" t="s">
        <v>7172</v>
      </c>
      <c r="E3317" s="12" t="s">
        <v>6107</v>
      </c>
      <c r="F3317" s="12" t="s">
        <v>6108</v>
      </c>
      <c r="G3317" s="13" t="s">
        <v>7135</v>
      </c>
      <c r="H3317" s="12" t="s">
        <v>6369</v>
      </c>
      <c r="I3317" s="12"/>
      <c r="J3317" s="12" t="s">
        <v>1950</v>
      </c>
      <c r="K3317" s="12"/>
      <c r="L3317" s="12"/>
      <c r="M3317" s="12" t="s">
        <v>6109</v>
      </c>
      <c r="N3317" s="12"/>
      <c r="O3317" s="12" t="s">
        <v>6110</v>
      </c>
      <c r="P3317" s="12" t="str">
        <f>HYPERLINK("https://ceds.ed.gov/cedselementdetails.aspx?termid=9280")</f>
        <v>https://ceds.ed.gov/cedselementdetails.aspx?termid=9280</v>
      </c>
      <c r="Q3317" s="12" t="str">
        <f>HYPERLINK("https://ceds.ed.gov/elementComment.aspx?elementName=Telephone Number Type &amp;elementID=9280", "Click here to submit comment")</f>
        <v>Click here to submit comment</v>
      </c>
    </row>
    <row r="3318" spans="1:17" ht="90" x14ac:dyDescent="0.25">
      <c r="A3318" s="12" t="s">
        <v>7317</v>
      </c>
      <c r="B3318" s="12" t="s">
        <v>7319</v>
      </c>
      <c r="C3318" s="12" t="s">
        <v>7177</v>
      </c>
      <c r="D3318" s="12" t="s">
        <v>7172</v>
      </c>
      <c r="E3318" s="12" t="s">
        <v>4934</v>
      </c>
      <c r="F3318" s="12" t="s">
        <v>4935</v>
      </c>
      <c r="G3318" s="12" t="s">
        <v>6364</v>
      </c>
      <c r="H3318" s="12" t="s">
        <v>6369</v>
      </c>
      <c r="I3318" s="12"/>
      <c r="J3318" s="12"/>
      <c r="K3318" s="12"/>
      <c r="L3318" s="12"/>
      <c r="M3318" s="12" t="s">
        <v>4936</v>
      </c>
      <c r="N3318" s="12"/>
      <c r="O3318" s="12" t="s">
        <v>4937</v>
      </c>
      <c r="P3318" s="12" t="str">
        <f>HYPERLINK("https://ceds.ed.gov/cedselementdetails.aspx?termid=9219")</f>
        <v>https://ceds.ed.gov/cedselementdetails.aspx?termid=9219</v>
      </c>
      <c r="Q3318" s="12" t="str">
        <f>HYPERLINK("https://ceds.ed.gov/elementComment.aspx?elementName=Primary Telephone Number Indicator &amp;elementID=9219", "Click here to submit comment")</f>
        <v>Click here to submit comment</v>
      </c>
    </row>
    <row r="3319" spans="1:17" ht="90" x14ac:dyDescent="0.25">
      <c r="A3319" s="12" t="s">
        <v>7317</v>
      </c>
      <c r="B3319" s="12" t="s">
        <v>7319</v>
      </c>
      <c r="C3319" s="12" t="s">
        <v>7177</v>
      </c>
      <c r="D3319" s="12" t="s">
        <v>7172</v>
      </c>
      <c r="E3319" s="12" t="s">
        <v>6102</v>
      </c>
      <c r="F3319" s="12" t="s">
        <v>6103</v>
      </c>
      <c r="G3319" s="12" t="s">
        <v>12</v>
      </c>
      <c r="H3319" s="12" t="s">
        <v>6369</v>
      </c>
      <c r="I3319" s="12"/>
      <c r="J3319" s="12" t="s">
        <v>6104</v>
      </c>
      <c r="K3319" s="12"/>
      <c r="L3319" s="12"/>
      <c r="M3319" s="12" t="s">
        <v>6105</v>
      </c>
      <c r="N3319" s="12"/>
      <c r="O3319" s="12" t="s">
        <v>6106</v>
      </c>
      <c r="P3319" s="12" t="str">
        <f>HYPERLINK("https://ceds.ed.gov/cedselementdetails.aspx?termid=9279")</f>
        <v>https://ceds.ed.gov/cedselementdetails.aspx?termid=9279</v>
      </c>
      <c r="Q3319" s="12" t="str">
        <f>HYPERLINK("https://ceds.ed.gov/elementComment.aspx?elementName=Telephone Number &amp;elementID=9279", "Click here to submit comment")</f>
        <v>Click here to submit comment</v>
      </c>
    </row>
    <row r="3320" spans="1:17" ht="90" x14ac:dyDescent="0.25">
      <c r="A3320" s="12" t="s">
        <v>7317</v>
      </c>
      <c r="B3320" s="12" t="s">
        <v>7319</v>
      </c>
      <c r="C3320" s="12" t="s">
        <v>7204</v>
      </c>
      <c r="D3320" s="12" t="s">
        <v>7172</v>
      </c>
      <c r="E3320" s="12" t="s">
        <v>2653</v>
      </c>
      <c r="F3320" s="12" t="s">
        <v>2654</v>
      </c>
      <c r="G3320" s="13" t="s">
        <v>6898</v>
      </c>
      <c r="H3320" s="12" t="s">
        <v>6369</v>
      </c>
      <c r="I3320" s="12"/>
      <c r="J3320" s="12"/>
      <c r="K3320" s="12"/>
      <c r="L3320" s="12"/>
      <c r="M3320" s="12" t="s">
        <v>2655</v>
      </c>
      <c r="N3320" s="12" t="s">
        <v>2656</v>
      </c>
      <c r="O3320" s="12" t="s">
        <v>2657</v>
      </c>
      <c r="P3320" s="12" t="str">
        <f>HYPERLINK("https://ceds.ed.gov/cedselementdetails.aspx?termid=9089")</f>
        <v>https://ceds.ed.gov/cedselementdetails.aspx?termid=9089</v>
      </c>
      <c r="Q3320" s="12" t="str">
        <f>HYPERLINK("https://ceds.ed.gov/elementComment.aspx?elementName=Electronic Mail Address Type &amp;elementID=9089", "Click here to submit comment")</f>
        <v>Click here to submit comment</v>
      </c>
    </row>
    <row r="3321" spans="1:17" ht="90" x14ac:dyDescent="0.25">
      <c r="A3321" s="12" t="s">
        <v>7317</v>
      </c>
      <c r="B3321" s="12" t="s">
        <v>7319</v>
      </c>
      <c r="C3321" s="12" t="s">
        <v>7204</v>
      </c>
      <c r="D3321" s="12" t="s">
        <v>7172</v>
      </c>
      <c r="E3321" s="12" t="s">
        <v>2647</v>
      </c>
      <c r="F3321" s="12" t="s">
        <v>2648</v>
      </c>
      <c r="G3321" s="12" t="s">
        <v>12</v>
      </c>
      <c r="H3321" s="12" t="s">
        <v>6369</v>
      </c>
      <c r="I3321" s="12"/>
      <c r="J3321" s="12" t="s">
        <v>2649</v>
      </c>
      <c r="K3321" s="12"/>
      <c r="L3321" s="12"/>
      <c r="M3321" s="12" t="s">
        <v>2650</v>
      </c>
      <c r="N3321" s="12" t="s">
        <v>2651</v>
      </c>
      <c r="O3321" s="12" t="s">
        <v>2652</v>
      </c>
      <c r="P3321" s="12" t="str">
        <f>HYPERLINK("https://ceds.ed.gov/cedselementdetails.aspx?termid=9088")</f>
        <v>https://ceds.ed.gov/cedselementdetails.aspx?termid=9088</v>
      </c>
      <c r="Q3321" s="12" t="str">
        <f>HYPERLINK("https://ceds.ed.gov/elementComment.aspx?elementName=Electronic Mail Address &amp;elementID=9088", "Click here to submit comment")</f>
        <v>Click here to submit comment</v>
      </c>
    </row>
    <row r="3322" spans="1:17" ht="150" x14ac:dyDescent="0.25">
      <c r="A3322" s="12" t="s">
        <v>7317</v>
      </c>
      <c r="B3322" s="12" t="s">
        <v>7319</v>
      </c>
      <c r="C3322" s="12" t="s">
        <v>7320</v>
      </c>
      <c r="D3322" s="12" t="s">
        <v>7172</v>
      </c>
      <c r="E3322" s="12" t="s">
        <v>251</v>
      </c>
      <c r="F3322" s="12" t="s">
        <v>252</v>
      </c>
      <c r="G3322" s="13" t="s">
        <v>6735</v>
      </c>
      <c r="H3322" s="12"/>
      <c r="I3322" s="12"/>
      <c r="J3322" s="12"/>
      <c r="K3322" s="12"/>
      <c r="L3322" s="12"/>
      <c r="M3322" s="12" t="s">
        <v>254</v>
      </c>
      <c r="N3322" s="12"/>
      <c r="O3322" s="12" t="s">
        <v>255</v>
      </c>
      <c r="P3322" s="12" t="str">
        <f>HYPERLINK("https://ceds.ed.gov/cedselementdetails.aspx?termid=9775")</f>
        <v>https://ceds.ed.gov/cedselementdetails.aspx?termid=9775</v>
      </c>
      <c r="Q3322" s="12" t="str">
        <f>HYPERLINK("https://ceds.ed.gov/elementComment.aspx?elementName=Adult Education Certification Type &amp;elementID=9775", "Click here to submit comment")</f>
        <v>Click here to submit comment</v>
      </c>
    </row>
    <row r="3323" spans="1:17" ht="409.5" x14ac:dyDescent="0.25">
      <c r="A3323" s="12" t="s">
        <v>7317</v>
      </c>
      <c r="B3323" s="12" t="s">
        <v>7319</v>
      </c>
      <c r="C3323" s="12" t="s">
        <v>7321</v>
      </c>
      <c r="D3323" s="12" t="s">
        <v>7172</v>
      </c>
      <c r="E3323" s="12" t="s">
        <v>3213</v>
      </c>
      <c r="F3323" s="12" t="s">
        <v>3214</v>
      </c>
      <c r="G3323" s="13" t="s">
        <v>6786</v>
      </c>
      <c r="H3323" s="12" t="s">
        <v>6561</v>
      </c>
      <c r="I3323" s="12"/>
      <c r="J3323" s="12"/>
      <c r="K3323" s="12"/>
      <c r="L3323" s="12"/>
      <c r="M3323" s="12" t="s">
        <v>3215</v>
      </c>
      <c r="N3323" s="12"/>
      <c r="O3323" s="12" t="s">
        <v>3216</v>
      </c>
      <c r="P3323" s="12" t="str">
        <f>HYPERLINK("https://ceds.ed.gov/cedselementdetails.aspx?termid=9141")</f>
        <v>https://ceds.ed.gov/cedselementdetails.aspx?termid=9141</v>
      </c>
      <c r="Q3323" s="12" t="str">
        <f>HYPERLINK("https://ceds.ed.gov/elementComment.aspx?elementName=Highest Level of Education Completed &amp;elementID=9141", "Click here to submit comment")</f>
        <v>Click here to submit comment</v>
      </c>
    </row>
    <row r="3324" spans="1:17" ht="60" x14ac:dyDescent="0.25">
      <c r="A3324" s="12" t="s">
        <v>7317</v>
      </c>
      <c r="B3324" s="12" t="s">
        <v>7319</v>
      </c>
      <c r="C3324" s="12" t="s">
        <v>7322</v>
      </c>
      <c r="D3324" s="12" t="s">
        <v>7172</v>
      </c>
      <c r="E3324" s="12" t="s">
        <v>6355</v>
      </c>
      <c r="F3324" s="12" t="s">
        <v>6356</v>
      </c>
      <c r="G3324" s="12" t="s">
        <v>12</v>
      </c>
      <c r="H3324" s="12"/>
      <c r="I3324" s="12"/>
      <c r="J3324" s="12" t="s">
        <v>2613</v>
      </c>
      <c r="K3324" s="12"/>
      <c r="L3324" s="12"/>
      <c r="M3324" s="12" t="s">
        <v>6358</v>
      </c>
      <c r="N3324" s="12"/>
      <c r="O3324" s="12" t="s">
        <v>6359</v>
      </c>
      <c r="P3324" s="12" t="str">
        <f>HYPERLINK("https://ceds.ed.gov/cedselementdetails.aspx?termid=9774")</f>
        <v>https://ceds.ed.gov/cedselementdetails.aspx?termid=9774</v>
      </c>
      <c r="Q3324" s="12" t="str">
        <f>HYPERLINK("https://ceds.ed.gov/elementComment.aspx?elementName=Years of Prior Adult Education Teaching Experience &amp;elementID=9774", "Click here to submit comment")</f>
        <v>Click here to submit comment</v>
      </c>
    </row>
    <row r="3325" spans="1:17" ht="240" x14ac:dyDescent="0.25">
      <c r="A3325" s="12" t="s">
        <v>7317</v>
      </c>
      <c r="B3325" s="12" t="s">
        <v>7319</v>
      </c>
      <c r="C3325" s="12" t="s">
        <v>7234</v>
      </c>
      <c r="D3325" s="12" t="s">
        <v>7172</v>
      </c>
      <c r="E3325" s="12" t="s">
        <v>287</v>
      </c>
      <c r="F3325" s="12" t="s">
        <v>288</v>
      </c>
      <c r="G3325" s="13" t="s">
        <v>6741</v>
      </c>
      <c r="H3325" s="12"/>
      <c r="I3325" s="12"/>
      <c r="J3325" s="12"/>
      <c r="K3325" s="12"/>
      <c r="L3325" s="12"/>
      <c r="M3325" s="12" t="s">
        <v>290</v>
      </c>
      <c r="N3325" s="12"/>
      <c r="O3325" s="12" t="s">
        <v>291</v>
      </c>
      <c r="P3325" s="12" t="str">
        <f>HYPERLINK("https://ceds.ed.gov/cedselementdetails.aspx?termid=9770")</f>
        <v>https://ceds.ed.gov/cedselementdetails.aspx?termid=9770</v>
      </c>
      <c r="Q3325" s="12" t="str">
        <f>HYPERLINK("https://ceds.ed.gov/elementComment.aspx?elementName=Adult Education Staff Classification &amp;elementID=9770", "Click here to submit comment")</f>
        <v>Click here to submit comment</v>
      </c>
    </row>
    <row r="3326" spans="1:17" ht="105" x14ac:dyDescent="0.25">
      <c r="A3326" s="12" t="s">
        <v>7317</v>
      </c>
      <c r="B3326" s="12" t="s">
        <v>7319</v>
      </c>
      <c r="C3326" s="12" t="s">
        <v>7234</v>
      </c>
      <c r="D3326" s="12" t="s">
        <v>7172</v>
      </c>
      <c r="E3326" s="12" t="s">
        <v>292</v>
      </c>
      <c r="F3326" s="12" t="s">
        <v>293</v>
      </c>
      <c r="G3326" s="13" t="s">
        <v>6742</v>
      </c>
      <c r="H3326" s="12"/>
      <c r="I3326" s="12"/>
      <c r="J3326" s="12"/>
      <c r="K3326" s="12"/>
      <c r="L3326" s="12"/>
      <c r="M3326" s="12" t="s">
        <v>294</v>
      </c>
      <c r="N3326" s="12"/>
      <c r="O3326" s="12" t="s">
        <v>295</v>
      </c>
      <c r="P3326" s="12" t="str">
        <f>HYPERLINK("https://ceds.ed.gov/cedselementdetails.aspx?termid=9771")</f>
        <v>https://ceds.ed.gov/cedselementdetails.aspx?termid=9771</v>
      </c>
      <c r="Q3326" s="12" t="str">
        <f>HYPERLINK("https://ceds.ed.gov/elementComment.aspx?elementName=Adult Education Staff Employment Status &amp;elementID=9771", "Click here to submit comment")</f>
        <v>Click here to submit comment</v>
      </c>
    </row>
    <row r="3327" spans="1:17" ht="60" x14ac:dyDescent="0.25">
      <c r="A3327" s="12" t="s">
        <v>7317</v>
      </c>
      <c r="B3327" s="12" t="s">
        <v>7319</v>
      </c>
      <c r="C3327" s="12" t="s">
        <v>7234</v>
      </c>
      <c r="D3327" s="12" t="s">
        <v>7172</v>
      </c>
      <c r="E3327" s="12" t="s">
        <v>2691</v>
      </c>
      <c r="F3327" s="12" t="s">
        <v>2692</v>
      </c>
      <c r="G3327" s="12" t="s">
        <v>12</v>
      </c>
      <c r="H3327" s="12" t="s">
        <v>205</v>
      </c>
      <c r="I3327" s="12"/>
      <c r="J3327" s="12" t="s">
        <v>73</v>
      </c>
      <c r="K3327" s="12"/>
      <c r="L3327" s="12"/>
      <c r="M3327" s="12" t="s">
        <v>2693</v>
      </c>
      <c r="N3327" s="12"/>
      <c r="O3327" s="12" t="s">
        <v>2694</v>
      </c>
      <c r="P3327" s="12" t="str">
        <f>HYPERLINK("https://ceds.ed.gov/cedselementdetails.aspx?termid=9794")</f>
        <v>https://ceds.ed.gov/cedselementdetails.aspx?termid=9794</v>
      </c>
      <c r="Q3327" s="12" t="str">
        <f>HYPERLINK("https://ceds.ed.gov/elementComment.aspx?elementName=Employment End Date &amp;elementID=9794", "Click here to submit comment")</f>
        <v>Click here to submit comment</v>
      </c>
    </row>
    <row r="3328" spans="1:17" ht="60" x14ac:dyDescent="0.25">
      <c r="A3328" s="12" t="s">
        <v>7317</v>
      </c>
      <c r="B3328" s="12" t="s">
        <v>7319</v>
      </c>
      <c r="C3328" s="12" t="s">
        <v>7234</v>
      </c>
      <c r="D3328" s="12" t="s">
        <v>7172</v>
      </c>
      <c r="E3328" s="12" t="s">
        <v>2727</v>
      </c>
      <c r="F3328" s="12" t="s">
        <v>2728</v>
      </c>
      <c r="G3328" s="12" t="s">
        <v>12</v>
      </c>
      <c r="H3328" s="12" t="s">
        <v>6523</v>
      </c>
      <c r="I3328" s="12"/>
      <c r="J3328" s="12" t="s">
        <v>73</v>
      </c>
      <c r="K3328" s="12"/>
      <c r="L3328" s="12"/>
      <c r="M3328" s="12" t="s">
        <v>2729</v>
      </c>
      <c r="N3328" s="12"/>
      <c r="O3328" s="12" t="s">
        <v>2730</v>
      </c>
      <c r="P3328" s="12" t="str">
        <f>HYPERLINK("https://ceds.ed.gov/cedselementdetails.aspx?termid=9345")</f>
        <v>https://ceds.ed.gov/cedselementdetails.aspx?termid=9345</v>
      </c>
      <c r="Q3328" s="12" t="str">
        <f>HYPERLINK("https://ceds.ed.gov/elementComment.aspx?elementName=Employment Start Date &amp;elementID=9345", "Click here to submit comment")</f>
        <v>Click here to submit comment</v>
      </c>
    </row>
    <row r="3329" spans="1:17" ht="210" x14ac:dyDescent="0.25">
      <c r="A3329" s="12" t="s">
        <v>7317</v>
      </c>
      <c r="B3329" s="12" t="s">
        <v>7319</v>
      </c>
      <c r="C3329" s="12" t="s">
        <v>7234</v>
      </c>
      <c r="D3329" s="12" t="s">
        <v>7172</v>
      </c>
      <c r="E3329" s="12" t="s">
        <v>3222</v>
      </c>
      <c r="F3329" s="12" t="s">
        <v>3223</v>
      </c>
      <c r="G3329" s="12" t="s">
        <v>12</v>
      </c>
      <c r="H3329" s="12" t="s">
        <v>6563</v>
      </c>
      <c r="I3329" s="12"/>
      <c r="J3329" s="12" t="s">
        <v>73</v>
      </c>
      <c r="K3329" s="12"/>
      <c r="L3329" s="12" t="s">
        <v>3224</v>
      </c>
      <c r="M3329" s="12" t="s">
        <v>3225</v>
      </c>
      <c r="N3329" s="12"/>
      <c r="O3329" s="12" t="s">
        <v>3226</v>
      </c>
      <c r="P3329" s="12" t="str">
        <f>HYPERLINK("https://ceds.ed.gov/cedselementdetails.aspx?termid=9143")</f>
        <v>https://ceds.ed.gov/cedselementdetails.aspx?termid=9143</v>
      </c>
      <c r="Q3329" s="12" t="str">
        <f>HYPERLINK("https://ceds.ed.gov/elementComment.aspx?elementName=Hire Date &amp;elementID=9143", "Click here to submit comment")</f>
        <v>Click here to submit comment</v>
      </c>
    </row>
    <row r="3330" spans="1:17" ht="105" x14ac:dyDescent="0.25">
      <c r="A3330" s="18" t="s">
        <v>7317</v>
      </c>
      <c r="B3330" s="18" t="s">
        <v>7319</v>
      </c>
      <c r="C3330" s="18" t="s">
        <v>7278</v>
      </c>
      <c r="D3330" s="18" t="s">
        <v>7172</v>
      </c>
      <c r="E3330" s="18" t="s">
        <v>278</v>
      </c>
      <c r="F3330" s="18" t="s">
        <v>279</v>
      </c>
      <c r="G3330" s="18" t="s">
        <v>12</v>
      </c>
      <c r="H3330" s="18"/>
      <c r="I3330" s="18"/>
      <c r="J3330" s="18" t="s">
        <v>142</v>
      </c>
      <c r="K3330" s="18"/>
      <c r="L3330" s="12" t="s">
        <v>143</v>
      </c>
      <c r="M3330" s="18" t="s">
        <v>280</v>
      </c>
      <c r="N3330" s="18"/>
      <c r="O3330" s="18" t="s">
        <v>281</v>
      </c>
      <c r="P3330" s="18" t="str">
        <f>HYPERLINK("https://ceds.ed.gov/cedselementdetails.aspx?termid=9777")</f>
        <v>https://ceds.ed.gov/cedselementdetails.aspx?termid=9777</v>
      </c>
      <c r="Q3330" s="18" t="str">
        <f>HYPERLINK("https://ceds.ed.gov/elementComment.aspx?elementName=Adult Education Service Provider Identifier &amp;elementID=9777", "Click here to submit comment")</f>
        <v>Click here to submit comment</v>
      </c>
    </row>
    <row r="3331" spans="1:17" x14ac:dyDescent="0.25">
      <c r="A3331" s="18"/>
      <c r="B3331" s="18"/>
      <c r="C3331" s="18"/>
      <c r="D3331" s="18"/>
      <c r="E3331" s="18"/>
      <c r="F3331" s="18"/>
      <c r="G3331" s="18"/>
      <c r="H3331" s="18"/>
      <c r="I3331" s="18"/>
      <c r="J3331" s="18"/>
      <c r="K3331" s="18"/>
      <c r="L3331" s="12"/>
      <c r="M3331" s="18"/>
      <c r="N3331" s="18"/>
      <c r="O3331" s="18"/>
      <c r="P3331" s="18"/>
      <c r="Q3331" s="18"/>
    </row>
    <row r="3332" spans="1:17" ht="90" x14ac:dyDescent="0.25">
      <c r="A3332" s="18"/>
      <c r="B3332" s="18"/>
      <c r="C3332" s="18"/>
      <c r="D3332" s="18"/>
      <c r="E3332" s="18"/>
      <c r="F3332" s="18"/>
      <c r="G3332" s="18"/>
      <c r="H3332" s="18"/>
      <c r="I3332" s="18"/>
      <c r="J3332" s="18"/>
      <c r="K3332" s="18"/>
      <c r="L3332" s="12" t="s">
        <v>144</v>
      </c>
      <c r="M3332" s="18"/>
      <c r="N3332" s="18"/>
      <c r="O3332" s="18"/>
      <c r="P3332" s="18"/>
      <c r="Q3332" s="18"/>
    </row>
    <row r="3333" spans="1:17" ht="240" x14ac:dyDescent="0.25">
      <c r="A3333" s="12" t="s">
        <v>7317</v>
      </c>
      <c r="B3333" s="12" t="s">
        <v>7319</v>
      </c>
      <c r="C3333" s="12" t="s">
        <v>7278</v>
      </c>
      <c r="D3333" s="12" t="s">
        <v>7172</v>
      </c>
      <c r="E3333" s="12" t="s">
        <v>274</v>
      </c>
      <c r="F3333" s="12" t="s">
        <v>275</v>
      </c>
      <c r="G3333" s="13" t="s">
        <v>6739</v>
      </c>
      <c r="H3333" s="12"/>
      <c r="I3333" s="12"/>
      <c r="J3333" s="12"/>
      <c r="K3333" s="12"/>
      <c r="L3333" s="12"/>
      <c r="M3333" s="12" t="s">
        <v>276</v>
      </c>
      <c r="N3333" s="12"/>
      <c r="O3333" s="12" t="s">
        <v>277</v>
      </c>
      <c r="P3333" s="12" t="str">
        <f>HYPERLINK("https://ceds.ed.gov/cedselementdetails.aspx?termid=9778")</f>
        <v>https://ceds.ed.gov/cedselementdetails.aspx?termid=9778</v>
      </c>
      <c r="Q3333" s="12" t="str">
        <f>HYPERLINK("https://ceds.ed.gov/elementComment.aspx?elementName=Adult Education Service Provider Identification System &amp;elementID=9778", "Click here to submit comment")</f>
        <v>Click here to submit comment</v>
      </c>
    </row>
    <row r="3334" spans="1:17" ht="225" x14ac:dyDescent="0.25">
      <c r="A3334" s="12" t="s">
        <v>7317</v>
      </c>
      <c r="B3334" s="12" t="s">
        <v>7319</v>
      </c>
      <c r="C3334" s="12" t="s">
        <v>7205</v>
      </c>
      <c r="D3334" s="12" t="s">
        <v>7176</v>
      </c>
      <c r="E3334" s="12" t="s">
        <v>4518</v>
      </c>
      <c r="F3334" s="12" t="s">
        <v>4519</v>
      </c>
      <c r="G3334" s="12" t="s">
        <v>12</v>
      </c>
      <c r="H3334" s="12" t="s">
        <v>6604</v>
      </c>
      <c r="I3334" s="12"/>
      <c r="J3334" s="12" t="s">
        <v>99</v>
      </c>
      <c r="K3334" s="12"/>
      <c r="L3334" s="12"/>
      <c r="M3334" s="12" t="s">
        <v>4520</v>
      </c>
      <c r="N3334" s="12"/>
      <c r="O3334" s="12" t="s">
        <v>4521</v>
      </c>
      <c r="P3334" s="12" t="str">
        <f>HYPERLINK("https://ceds.ed.gov/cedselementdetails.aspx?termid=9191")</f>
        <v>https://ceds.ed.gov/cedselementdetails.aspx?termid=9191</v>
      </c>
      <c r="Q3334" s="12" t="str">
        <f>HYPERLINK("https://ceds.ed.gov/elementComment.aspx?elementName=Name of Institution &amp;elementID=9191", "Click here to submit comment")</f>
        <v>Click here to submit comment</v>
      </c>
    </row>
    <row r="3335" spans="1:17" ht="60" x14ac:dyDescent="0.25">
      <c r="A3335" s="12" t="s">
        <v>7317</v>
      </c>
      <c r="B3335" s="12" t="s">
        <v>7319</v>
      </c>
      <c r="C3335" s="12" t="s">
        <v>7205</v>
      </c>
      <c r="D3335" s="12" t="s">
        <v>7176</v>
      </c>
      <c r="E3335" s="12" t="s">
        <v>2265</v>
      </c>
      <c r="F3335" s="12" t="s">
        <v>2266</v>
      </c>
      <c r="G3335" s="12" t="s">
        <v>12</v>
      </c>
      <c r="H3335" s="12" t="s">
        <v>6495</v>
      </c>
      <c r="I3335" s="12"/>
      <c r="J3335" s="12" t="s">
        <v>1386</v>
      </c>
      <c r="K3335" s="12"/>
      <c r="L3335" s="12"/>
      <c r="M3335" s="12" t="s">
        <v>2267</v>
      </c>
      <c r="N3335" s="12"/>
      <c r="O3335" s="12" t="s">
        <v>2268</v>
      </c>
      <c r="P3335" s="12" t="str">
        <f>HYPERLINK("https://ceds.ed.gov/cedselementdetails.aspx?termid=9341")</f>
        <v>https://ceds.ed.gov/cedselementdetails.aspx?termid=9341</v>
      </c>
      <c r="Q3335" s="12" t="str">
        <f>HYPERLINK("https://ceds.ed.gov/elementComment.aspx?elementName=Degree or Certificate Title or Subject &amp;elementID=9341", "Click here to submit comment")</f>
        <v>Click here to submit comment</v>
      </c>
    </row>
    <row r="3336" spans="1:17" ht="405" x14ac:dyDescent="0.25">
      <c r="A3336" s="12" t="s">
        <v>7317</v>
      </c>
      <c r="B3336" s="12" t="s">
        <v>7319</v>
      </c>
      <c r="C3336" s="12" t="s">
        <v>7205</v>
      </c>
      <c r="D3336" s="12" t="s">
        <v>7176</v>
      </c>
      <c r="E3336" s="12" t="s">
        <v>2269</v>
      </c>
      <c r="F3336" s="12" t="s">
        <v>2270</v>
      </c>
      <c r="G3336" s="13" t="s">
        <v>6854</v>
      </c>
      <c r="H3336" s="12" t="s">
        <v>6495</v>
      </c>
      <c r="I3336" s="12"/>
      <c r="J3336" s="12"/>
      <c r="K3336" s="12"/>
      <c r="L3336" s="12"/>
      <c r="M3336" s="12" t="s">
        <v>2271</v>
      </c>
      <c r="N3336" s="12"/>
      <c r="O3336" s="12" t="s">
        <v>2272</v>
      </c>
      <c r="P3336" s="12" t="str">
        <f>HYPERLINK("https://ceds.ed.gov/cedselementdetails.aspx?termid=9342")</f>
        <v>https://ceds.ed.gov/cedselementdetails.aspx?termid=9342</v>
      </c>
      <c r="Q3336" s="12" t="str">
        <f>HYPERLINK("https://ceds.ed.gov/elementComment.aspx?elementName=Degree or Certificate Type &amp;elementID=9342", "Click here to submit comment")</f>
        <v>Click here to submit comment</v>
      </c>
    </row>
    <row r="3337" spans="1:17" ht="60" x14ac:dyDescent="0.25">
      <c r="A3337" s="12" t="s">
        <v>7317</v>
      </c>
      <c r="B3337" s="12" t="s">
        <v>7319</v>
      </c>
      <c r="C3337" s="12" t="s">
        <v>7205</v>
      </c>
      <c r="D3337" s="12" t="s">
        <v>7176</v>
      </c>
      <c r="E3337" s="12" t="s">
        <v>2257</v>
      </c>
      <c r="F3337" s="12" t="s">
        <v>2258</v>
      </c>
      <c r="G3337" s="12" t="s">
        <v>12</v>
      </c>
      <c r="H3337" s="12" t="s">
        <v>6495</v>
      </c>
      <c r="I3337" s="12"/>
      <c r="J3337" s="12" t="s">
        <v>73</v>
      </c>
      <c r="K3337" s="12"/>
      <c r="L3337" s="12"/>
      <c r="M3337" s="12" t="s">
        <v>2259</v>
      </c>
      <c r="N3337" s="12"/>
      <c r="O3337" s="12" t="s">
        <v>2260</v>
      </c>
      <c r="P3337" s="12" t="str">
        <f>HYPERLINK("https://ceds.ed.gov/cedselementdetails.aspx?termid=9343")</f>
        <v>https://ceds.ed.gov/cedselementdetails.aspx?termid=9343</v>
      </c>
      <c r="Q3337" s="12" t="str">
        <f>HYPERLINK("https://ceds.ed.gov/elementComment.aspx?elementName=Degree or Certificate Conferring Date &amp;elementID=9343", "Click here to submit comment")</f>
        <v>Click here to submit comment</v>
      </c>
    </row>
    <row r="3338" spans="1:17" ht="75" x14ac:dyDescent="0.25">
      <c r="A3338" s="12" t="s">
        <v>7317</v>
      </c>
      <c r="B3338" s="12" t="s">
        <v>7319</v>
      </c>
      <c r="C3338" s="12" t="s">
        <v>7205</v>
      </c>
      <c r="D3338" s="12" t="s">
        <v>7176</v>
      </c>
      <c r="E3338" s="12" t="s">
        <v>4639</v>
      </c>
      <c r="F3338" s="12" t="s">
        <v>4640</v>
      </c>
      <c r="G3338" s="12" t="s">
        <v>12</v>
      </c>
      <c r="H3338" s="12" t="s">
        <v>205</v>
      </c>
      <c r="I3338" s="12"/>
      <c r="J3338" s="12" t="s">
        <v>2613</v>
      </c>
      <c r="K3338" s="12"/>
      <c r="L3338" s="12"/>
      <c r="M3338" s="12" t="s">
        <v>4641</v>
      </c>
      <c r="N3338" s="12"/>
      <c r="O3338" s="12" t="s">
        <v>4642</v>
      </c>
      <c r="P3338" s="12" t="str">
        <f>HYPERLINK("https://ceds.ed.gov/cedselementdetails.aspx?termid=9815")</f>
        <v>https://ceds.ed.gov/cedselementdetails.aspx?termid=9815</v>
      </c>
      <c r="Q3338" s="12" t="str">
        <f>HYPERLINK("https://ceds.ed.gov/elementComment.aspx?elementName=Number of School-age Education Postsecondary Credit Hours &amp;elementID=9815", "Click here to submit comment")</f>
        <v>Click here to submit comment</v>
      </c>
    </row>
    <row r="3339" spans="1:17" ht="75" x14ac:dyDescent="0.25">
      <c r="A3339" s="12" t="s">
        <v>7317</v>
      </c>
      <c r="B3339" s="12" t="s">
        <v>7319</v>
      </c>
      <c r="C3339" s="12" t="s">
        <v>7205</v>
      </c>
      <c r="D3339" s="12" t="s">
        <v>7176</v>
      </c>
      <c r="E3339" s="12" t="s">
        <v>5838</v>
      </c>
      <c r="F3339" s="12" t="s">
        <v>5839</v>
      </c>
      <c r="G3339" s="12" t="s">
        <v>12</v>
      </c>
      <c r="H3339" s="12" t="s">
        <v>205</v>
      </c>
      <c r="I3339" s="12"/>
      <c r="J3339" s="12" t="s">
        <v>73</v>
      </c>
      <c r="K3339" s="12"/>
      <c r="L3339" s="12"/>
      <c r="M3339" s="12" t="s">
        <v>5840</v>
      </c>
      <c r="N3339" s="12"/>
      <c r="O3339" s="12" t="s">
        <v>5841</v>
      </c>
      <c r="P3339" s="12" t="str">
        <f>HYPERLINK("https://ceds.ed.gov/cedselementdetails.aspx?termid=9792")</f>
        <v>https://ceds.ed.gov/cedselementdetails.aspx?termid=9792</v>
      </c>
      <c r="Q3339" s="12" t="str">
        <f>HYPERLINK("https://ceds.ed.gov/elementComment.aspx?elementName=Staff Education Entry Date &amp;elementID=9792", "Click here to submit comment")</f>
        <v>Click here to submit comment</v>
      </c>
    </row>
    <row r="3340" spans="1:17" ht="75" x14ac:dyDescent="0.25">
      <c r="A3340" s="12" t="s">
        <v>7317</v>
      </c>
      <c r="B3340" s="12" t="s">
        <v>7319</v>
      </c>
      <c r="C3340" s="12" t="s">
        <v>7205</v>
      </c>
      <c r="D3340" s="12" t="s">
        <v>7176</v>
      </c>
      <c r="E3340" s="12" t="s">
        <v>5842</v>
      </c>
      <c r="F3340" s="12" t="s">
        <v>5843</v>
      </c>
      <c r="G3340" s="12" t="s">
        <v>12</v>
      </c>
      <c r="H3340" s="12" t="s">
        <v>205</v>
      </c>
      <c r="I3340" s="12"/>
      <c r="J3340" s="12" t="s">
        <v>73</v>
      </c>
      <c r="K3340" s="12"/>
      <c r="L3340" s="12"/>
      <c r="M3340" s="12" t="s">
        <v>5844</v>
      </c>
      <c r="N3340" s="12"/>
      <c r="O3340" s="12" t="s">
        <v>5845</v>
      </c>
      <c r="P3340" s="12" t="str">
        <f>HYPERLINK("https://ceds.ed.gov/cedselementdetails.aspx?termid=9793")</f>
        <v>https://ceds.ed.gov/cedselementdetails.aspx?termid=9793</v>
      </c>
      <c r="Q3340" s="12" t="str">
        <f>HYPERLINK("https://ceds.ed.gov/elementComment.aspx?elementName=Staff Education Withdrawal Date &amp;elementID=9793", "Click here to submit comment")</f>
        <v>Click here to submit comment</v>
      </c>
    </row>
    <row r="3341" spans="1:17" ht="409.5" x14ac:dyDescent="0.25">
      <c r="A3341" s="12" t="s">
        <v>7317</v>
      </c>
      <c r="B3341" s="12" t="s">
        <v>7319</v>
      </c>
      <c r="C3341" s="12" t="s">
        <v>7205</v>
      </c>
      <c r="D3341" s="12" t="s">
        <v>7176</v>
      </c>
      <c r="E3341" s="12" t="s">
        <v>3213</v>
      </c>
      <c r="F3341" s="12" t="s">
        <v>3214</v>
      </c>
      <c r="G3341" s="13" t="s">
        <v>6786</v>
      </c>
      <c r="H3341" s="12" t="s">
        <v>6561</v>
      </c>
      <c r="I3341" s="12"/>
      <c r="J3341" s="12"/>
      <c r="K3341" s="12"/>
      <c r="L3341" s="12"/>
      <c r="M3341" s="12" t="s">
        <v>3215</v>
      </c>
      <c r="N3341" s="12"/>
      <c r="O3341" s="12" t="s">
        <v>3216</v>
      </c>
      <c r="P3341" s="12" t="str">
        <f>HYPERLINK("https://ceds.ed.gov/cedselementdetails.aspx?termid=9141")</f>
        <v>https://ceds.ed.gov/cedselementdetails.aspx?termid=9141</v>
      </c>
      <c r="Q3341" s="12" t="str">
        <f>HYPERLINK("https://ceds.ed.gov/elementComment.aspx?elementName=Highest Level of Education Completed &amp;elementID=9141", "Click here to submit comment")</f>
        <v>Click here to submit comment</v>
      </c>
    </row>
    <row r="3342" spans="1:17" ht="120" x14ac:dyDescent="0.25">
      <c r="A3342" s="12" t="s">
        <v>7317</v>
      </c>
      <c r="B3342" s="12" t="s">
        <v>7319</v>
      </c>
      <c r="C3342" s="12" t="s">
        <v>7205</v>
      </c>
      <c r="D3342" s="12" t="s">
        <v>7176</v>
      </c>
      <c r="E3342" s="12" t="s">
        <v>3209</v>
      </c>
      <c r="F3342" s="12" t="s">
        <v>3210</v>
      </c>
      <c r="G3342" s="13" t="s">
        <v>6948</v>
      </c>
      <c r="H3342" s="12" t="s">
        <v>205</v>
      </c>
      <c r="I3342" s="12"/>
      <c r="J3342" s="12"/>
      <c r="K3342" s="12"/>
      <c r="L3342" s="12"/>
      <c r="M3342" s="12" t="s">
        <v>3211</v>
      </c>
      <c r="N3342" s="12"/>
      <c r="O3342" s="12" t="s">
        <v>3212</v>
      </c>
      <c r="P3342" s="12" t="str">
        <f>HYPERLINK("https://ceds.ed.gov/cedselementdetails.aspx?termid=9817")</f>
        <v>https://ceds.ed.gov/cedselementdetails.aspx?termid=9817</v>
      </c>
      <c r="Q3342" s="12" t="str">
        <f>HYPERLINK("https://ceds.ed.gov/elementComment.aspx?elementName=Higher Education Institution Accreditation Status &amp;elementID=9817", "Click here to submit comment")</f>
        <v>Click here to submit comment</v>
      </c>
    </row>
    <row r="3343" spans="1:17" ht="90" x14ac:dyDescent="0.25">
      <c r="A3343" s="12" t="s">
        <v>7317</v>
      </c>
      <c r="B3343" s="12" t="s">
        <v>7319</v>
      </c>
      <c r="C3343" s="12" t="s">
        <v>7205</v>
      </c>
      <c r="D3343" s="12" t="s">
        <v>7176</v>
      </c>
      <c r="E3343" s="12" t="s">
        <v>2639</v>
      </c>
      <c r="F3343" s="12" t="s">
        <v>2640</v>
      </c>
      <c r="G3343" s="13" t="s">
        <v>6897</v>
      </c>
      <c r="H3343" s="12"/>
      <c r="I3343" s="12"/>
      <c r="J3343" s="12"/>
      <c r="K3343" s="12"/>
      <c r="L3343" s="12"/>
      <c r="M3343" s="12" t="s">
        <v>2641</v>
      </c>
      <c r="N3343" s="12"/>
      <c r="O3343" s="12" t="s">
        <v>2642</v>
      </c>
      <c r="P3343" s="12" t="str">
        <f>HYPERLINK("https://ceds.ed.gov/cedselementdetails.aspx?termid=10586")</f>
        <v>https://ceds.ed.gov/cedselementdetails.aspx?termid=10586</v>
      </c>
      <c r="Q3343" s="12" t="str">
        <f>HYPERLINK("https://ceds.ed.gov/elementComment.aspx?elementName=Education Verification Method &amp;elementID=10586", "Click here to submit comment")</f>
        <v>Click here to submit comment</v>
      </c>
    </row>
    <row r="3344" spans="1:17" ht="90" x14ac:dyDescent="0.25">
      <c r="A3344" s="12" t="s">
        <v>7317</v>
      </c>
      <c r="B3344" s="12" t="s">
        <v>7319</v>
      </c>
      <c r="C3344" s="12" t="s">
        <v>7205</v>
      </c>
      <c r="D3344" s="12" t="s">
        <v>7176</v>
      </c>
      <c r="E3344" s="12" t="s">
        <v>5719</v>
      </c>
      <c r="F3344" s="12" t="s">
        <v>5720</v>
      </c>
      <c r="G3344" s="12" t="s">
        <v>12</v>
      </c>
      <c r="H3344" s="12"/>
      <c r="I3344" s="12"/>
      <c r="J3344" s="12" t="s">
        <v>92</v>
      </c>
      <c r="K3344" s="12"/>
      <c r="L3344" s="12" t="s">
        <v>5721</v>
      </c>
      <c r="M3344" s="12" t="s">
        <v>5722</v>
      </c>
      <c r="N3344" s="12"/>
      <c r="O3344" s="12" t="s">
        <v>5723</v>
      </c>
      <c r="P3344" s="12" t="str">
        <f>HYPERLINK("https://ceds.ed.gov/cedselementdetails.aspx?termid=10459")</f>
        <v>https://ceds.ed.gov/cedselementdetails.aspx?termid=10459</v>
      </c>
      <c r="Q3344" s="12" t="str">
        <f>HYPERLINK("https://ceds.ed.gov/elementComment.aspx?elementName=Short Name of Institution &amp;elementID=10459", "Click here to submit comment")</f>
        <v>Click here to submit comment</v>
      </c>
    </row>
    <row r="3345" spans="1:17" ht="195" x14ac:dyDescent="0.25">
      <c r="A3345" s="12" t="s">
        <v>7317</v>
      </c>
      <c r="B3345" s="12" t="s">
        <v>7323</v>
      </c>
      <c r="C3345" s="12"/>
      <c r="D3345" s="12" t="s">
        <v>7172</v>
      </c>
      <c r="E3345" s="12" t="s">
        <v>269</v>
      </c>
      <c r="F3345" s="12" t="s">
        <v>270</v>
      </c>
      <c r="G3345" s="13" t="s">
        <v>6738</v>
      </c>
      <c r="H3345" s="12"/>
      <c r="I3345" s="12"/>
      <c r="J3345" s="12"/>
      <c r="K3345" s="12"/>
      <c r="L3345" s="12"/>
      <c r="M3345" s="12" t="s">
        <v>272</v>
      </c>
      <c r="N3345" s="12"/>
      <c r="O3345" s="12" t="s">
        <v>273</v>
      </c>
      <c r="P3345" s="12" t="str">
        <f>HYPERLINK("https://ceds.ed.gov/cedselementdetails.aspx?termid=9779")</f>
        <v>https://ceds.ed.gov/cedselementdetails.aspx?termid=9779</v>
      </c>
      <c r="Q3345" s="12" t="str">
        <f>HYPERLINK("https://ceds.ed.gov/elementComment.aspx?elementName=Adult Education Provider Type &amp;elementID=9779", "Click here to submit comment")</f>
        <v>Click here to submit comment</v>
      </c>
    </row>
    <row r="3346" spans="1:17" ht="240" x14ac:dyDescent="0.25">
      <c r="A3346" s="12" t="s">
        <v>7317</v>
      </c>
      <c r="B3346" s="12" t="s">
        <v>7323</v>
      </c>
      <c r="C3346" s="12"/>
      <c r="D3346" s="12" t="s">
        <v>7172</v>
      </c>
      <c r="E3346" s="12" t="s">
        <v>274</v>
      </c>
      <c r="F3346" s="12" t="s">
        <v>275</v>
      </c>
      <c r="G3346" s="13" t="s">
        <v>6739</v>
      </c>
      <c r="H3346" s="12"/>
      <c r="I3346" s="12"/>
      <c r="J3346" s="12"/>
      <c r="K3346" s="12"/>
      <c r="L3346" s="12"/>
      <c r="M3346" s="12" t="s">
        <v>276</v>
      </c>
      <c r="N3346" s="12"/>
      <c r="O3346" s="12" t="s">
        <v>277</v>
      </c>
      <c r="P3346" s="12" t="str">
        <f>HYPERLINK("https://ceds.ed.gov/cedselementdetails.aspx?termid=9778")</f>
        <v>https://ceds.ed.gov/cedselementdetails.aspx?termid=9778</v>
      </c>
      <c r="Q3346" s="12" t="str">
        <f>HYPERLINK("https://ceds.ed.gov/elementComment.aspx?elementName=Adult Education Service Provider Identification System &amp;elementID=9778", "Click here to submit comment")</f>
        <v>Click here to submit comment</v>
      </c>
    </row>
    <row r="3347" spans="1:17" ht="105" x14ac:dyDescent="0.25">
      <c r="A3347" s="18" t="s">
        <v>7317</v>
      </c>
      <c r="B3347" s="18" t="s">
        <v>7323</v>
      </c>
      <c r="C3347" s="18"/>
      <c r="D3347" s="18" t="s">
        <v>7172</v>
      </c>
      <c r="E3347" s="18" t="s">
        <v>278</v>
      </c>
      <c r="F3347" s="18" t="s">
        <v>279</v>
      </c>
      <c r="G3347" s="18" t="s">
        <v>12</v>
      </c>
      <c r="H3347" s="18"/>
      <c r="I3347" s="18"/>
      <c r="J3347" s="18" t="s">
        <v>142</v>
      </c>
      <c r="K3347" s="18"/>
      <c r="L3347" s="12" t="s">
        <v>143</v>
      </c>
      <c r="M3347" s="18" t="s">
        <v>280</v>
      </c>
      <c r="N3347" s="18"/>
      <c r="O3347" s="18" t="s">
        <v>281</v>
      </c>
      <c r="P3347" s="18" t="str">
        <f>HYPERLINK("https://ceds.ed.gov/cedselementdetails.aspx?termid=9777")</f>
        <v>https://ceds.ed.gov/cedselementdetails.aspx?termid=9777</v>
      </c>
      <c r="Q3347" s="18" t="str">
        <f>HYPERLINK("https://ceds.ed.gov/elementComment.aspx?elementName=Adult Education Service Provider Identifier &amp;elementID=9777", "Click here to submit comment")</f>
        <v>Click here to submit comment</v>
      </c>
    </row>
    <row r="3348" spans="1:17" x14ac:dyDescent="0.25">
      <c r="A3348" s="18"/>
      <c r="B3348" s="18"/>
      <c r="C3348" s="18"/>
      <c r="D3348" s="18"/>
      <c r="E3348" s="18"/>
      <c r="F3348" s="18"/>
      <c r="G3348" s="18"/>
      <c r="H3348" s="18"/>
      <c r="I3348" s="18"/>
      <c r="J3348" s="18"/>
      <c r="K3348" s="18"/>
      <c r="L3348" s="12"/>
      <c r="M3348" s="18"/>
      <c r="N3348" s="18"/>
      <c r="O3348" s="18"/>
      <c r="P3348" s="18"/>
      <c r="Q3348" s="18"/>
    </row>
    <row r="3349" spans="1:17" ht="90" x14ac:dyDescent="0.25">
      <c r="A3349" s="18"/>
      <c r="B3349" s="18"/>
      <c r="C3349" s="18"/>
      <c r="D3349" s="18"/>
      <c r="E3349" s="18"/>
      <c r="F3349" s="18"/>
      <c r="G3349" s="18"/>
      <c r="H3349" s="18"/>
      <c r="I3349" s="18"/>
      <c r="J3349" s="18"/>
      <c r="K3349" s="18"/>
      <c r="L3349" s="12" t="s">
        <v>144</v>
      </c>
      <c r="M3349" s="18"/>
      <c r="N3349" s="18"/>
      <c r="O3349" s="18"/>
      <c r="P3349" s="18"/>
      <c r="Q3349" s="18"/>
    </row>
    <row r="3350" spans="1:17" ht="360" x14ac:dyDescent="0.25">
      <c r="A3350" s="12" t="s">
        <v>7317</v>
      </c>
      <c r="B3350" s="12" t="s">
        <v>7200</v>
      </c>
      <c r="C3350" s="12"/>
      <c r="D3350" s="12" t="s">
        <v>7172</v>
      </c>
      <c r="E3350" s="12" t="s">
        <v>1670</v>
      </c>
      <c r="F3350" s="12" t="s">
        <v>1671</v>
      </c>
      <c r="G3350" s="13" t="s">
        <v>6807</v>
      </c>
      <c r="H3350" s="12"/>
      <c r="I3350" s="12"/>
      <c r="J3350" s="12"/>
      <c r="K3350" s="12"/>
      <c r="L3350" s="12" t="s">
        <v>1672</v>
      </c>
      <c r="M3350" s="12" t="s">
        <v>1673</v>
      </c>
      <c r="N3350" s="12"/>
      <c r="O3350" s="12" t="s">
        <v>1674</v>
      </c>
      <c r="P3350" s="12" t="str">
        <f>HYPERLINK("https://ceds.ed.gov/cedselementdetails.aspx?termid=10254")</f>
        <v>https://ceds.ed.gov/cedselementdetails.aspx?termid=10254</v>
      </c>
      <c r="Q3350" s="12" t="str">
        <f>HYPERLINK("https://ceds.ed.gov/elementComment.aspx?elementName=Career Cluster &amp;elementID=10254", "Click here to submit comment")</f>
        <v>Click here to submit comment</v>
      </c>
    </row>
    <row r="3351" spans="1:17" ht="90" x14ac:dyDescent="0.25">
      <c r="A3351" s="12" t="s">
        <v>7317</v>
      </c>
      <c r="B3351" s="12" t="s">
        <v>7323</v>
      </c>
      <c r="C3351" s="12"/>
      <c r="D3351" s="12" t="s">
        <v>7172</v>
      </c>
      <c r="E3351" s="12" t="s">
        <v>4268</v>
      </c>
      <c r="F3351" s="12" t="s">
        <v>4269</v>
      </c>
      <c r="G3351" s="13" t="s">
        <v>7015</v>
      </c>
      <c r="H3351" s="12" t="s">
        <v>6446</v>
      </c>
      <c r="I3351" s="12"/>
      <c r="J3351" s="12"/>
      <c r="K3351" s="12"/>
      <c r="L3351" s="12"/>
      <c r="M3351" s="12" t="s">
        <v>4270</v>
      </c>
      <c r="N3351" s="12"/>
      <c r="O3351" s="12" t="s">
        <v>4271</v>
      </c>
      <c r="P3351" s="12" t="str">
        <f>HYPERLINK("https://ceds.ed.gov/cedselementdetails.aspx?termid=9178")</f>
        <v>https://ceds.ed.gov/cedselementdetails.aspx?termid=9178</v>
      </c>
      <c r="Q3351" s="12" t="str">
        <f>HYPERLINK("https://ceds.ed.gov/elementComment.aspx?elementName=Level of Institution &amp;elementID=9178", "Click here to submit comment")</f>
        <v>Click here to submit comment</v>
      </c>
    </row>
    <row r="3352" spans="1:17" ht="225" x14ac:dyDescent="0.25">
      <c r="A3352" s="12" t="s">
        <v>7317</v>
      </c>
      <c r="B3352" s="12" t="s">
        <v>7323</v>
      </c>
      <c r="C3352" s="12"/>
      <c r="D3352" s="12" t="s">
        <v>7172</v>
      </c>
      <c r="E3352" s="12" t="s">
        <v>4518</v>
      </c>
      <c r="F3352" s="12" t="s">
        <v>4519</v>
      </c>
      <c r="G3352" s="12" t="s">
        <v>12</v>
      </c>
      <c r="H3352" s="12" t="s">
        <v>6604</v>
      </c>
      <c r="I3352" s="12"/>
      <c r="J3352" s="12" t="s">
        <v>99</v>
      </c>
      <c r="K3352" s="12"/>
      <c r="L3352" s="12"/>
      <c r="M3352" s="12" t="s">
        <v>4520</v>
      </c>
      <c r="N3352" s="12"/>
      <c r="O3352" s="12" t="s">
        <v>4521</v>
      </c>
      <c r="P3352" s="12" t="str">
        <f>HYPERLINK("https://ceds.ed.gov/cedselementdetails.aspx?termid=9191")</f>
        <v>https://ceds.ed.gov/cedselementdetails.aspx?termid=9191</v>
      </c>
      <c r="Q3352" s="12" t="str">
        <f>HYPERLINK("https://ceds.ed.gov/elementComment.aspx?elementName=Name of Institution &amp;elementID=9191", "Click here to submit comment")</f>
        <v>Click here to submit comment</v>
      </c>
    </row>
    <row r="3353" spans="1:17" ht="90" x14ac:dyDescent="0.25">
      <c r="A3353" s="12" t="s">
        <v>7317</v>
      </c>
      <c r="B3353" s="12" t="s">
        <v>7323</v>
      </c>
      <c r="C3353" s="12"/>
      <c r="D3353" s="12" t="s">
        <v>7172</v>
      </c>
      <c r="E3353" s="12" t="s">
        <v>5719</v>
      </c>
      <c r="F3353" s="12" t="s">
        <v>5720</v>
      </c>
      <c r="G3353" s="12" t="s">
        <v>12</v>
      </c>
      <c r="H3353" s="12"/>
      <c r="I3353" s="12"/>
      <c r="J3353" s="12" t="s">
        <v>92</v>
      </c>
      <c r="K3353" s="12"/>
      <c r="L3353" s="12" t="s">
        <v>5721</v>
      </c>
      <c r="M3353" s="12" t="s">
        <v>5722</v>
      </c>
      <c r="N3353" s="12"/>
      <c r="O3353" s="12" t="s">
        <v>5723</v>
      </c>
      <c r="P3353" s="12" t="str">
        <f>HYPERLINK("https://ceds.ed.gov/cedselementdetails.aspx?termid=10459")</f>
        <v>https://ceds.ed.gov/cedselementdetails.aspx?termid=10459</v>
      </c>
      <c r="Q3353" s="12" t="str">
        <f>HYPERLINK("https://ceds.ed.gov/elementComment.aspx?elementName=Short Name of Institution &amp;elementID=10459", "Click here to submit comment")</f>
        <v>Click here to submit comment</v>
      </c>
    </row>
    <row r="3354" spans="1:17" ht="195" x14ac:dyDescent="0.25">
      <c r="A3354" s="12" t="s">
        <v>3078</v>
      </c>
      <c r="B3354" s="12" t="s">
        <v>7324</v>
      </c>
      <c r="C3354" s="12" t="s">
        <v>7171</v>
      </c>
      <c r="D3354" s="12" t="s">
        <v>7172</v>
      </c>
      <c r="E3354" s="12" t="s">
        <v>3017</v>
      </c>
      <c r="F3354" s="12" t="s">
        <v>3018</v>
      </c>
      <c r="G3354" s="12" t="s">
        <v>12</v>
      </c>
      <c r="H3354" s="12" t="s">
        <v>6540</v>
      </c>
      <c r="I3354" s="12"/>
      <c r="J3354" s="12" t="s">
        <v>1349</v>
      </c>
      <c r="K3354" s="12"/>
      <c r="L3354" s="12" t="s">
        <v>3019</v>
      </c>
      <c r="M3354" s="12" t="s">
        <v>3020</v>
      </c>
      <c r="N3354" s="12"/>
      <c r="O3354" s="12" t="s">
        <v>3021</v>
      </c>
      <c r="P3354" s="12" t="str">
        <f>HYPERLINK("https://ceds.ed.gov/cedselementdetails.aspx?termid=9115")</f>
        <v>https://ceds.ed.gov/cedselementdetails.aspx?termid=9115</v>
      </c>
      <c r="Q3354" s="12" t="str">
        <f>HYPERLINK("https://ceds.ed.gov/elementComment.aspx?elementName=First Name &amp;elementID=9115", "Click here to submit comment")</f>
        <v>Click here to submit comment</v>
      </c>
    </row>
    <row r="3355" spans="1:17" x14ac:dyDescent="0.25">
      <c r="A3355" s="18" t="s">
        <v>3078</v>
      </c>
      <c r="B3355" s="18" t="s">
        <v>7324</v>
      </c>
      <c r="C3355" s="18" t="s">
        <v>7171</v>
      </c>
      <c r="D3355" s="18" t="s">
        <v>7172</v>
      </c>
      <c r="E3355" s="18" t="s">
        <v>4405</v>
      </c>
      <c r="F3355" s="18" t="s">
        <v>4406</v>
      </c>
      <c r="G3355" s="18" t="s">
        <v>12</v>
      </c>
      <c r="H3355" s="18" t="s">
        <v>6540</v>
      </c>
      <c r="I3355" s="18"/>
      <c r="J3355" s="18" t="s">
        <v>1349</v>
      </c>
      <c r="K3355" s="18"/>
      <c r="L3355" s="12" t="s">
        <v>3078</v>
      </c>
      <c r="M3355" s="18" t="s">
        <v>4407</v>
      </c>
      <c r="N3355" s="18"/>
      <c r="O3355" s="18" t="s">
        <v>4408</v>
      </c>
      <c r="P3355" s="18" t="str">
        <f>HYPERLINK("https://ceds.ed.gov/cedselementdetails.aspx?termid=9184")</f>
        <v>https://ceds.ed.gov/cedselementdetails.aspx?termid=9184</v>
      </c>
      <c r="Q3355" s="18" t="str">
        <f>HYPERLINK("https://ceds.ed.gov/elementComment.aspx?elementName=Middle Name &amp;elementID=9184", "Click here to submit comment")</f>
        <v>Click here to submit comment</v>
      </c>
    </row>
    <row r="3356" spans="1:17" ht="90" x14ac:dyDescent="0.25">
      <c r="A3356" s="18"/>
      <c r="B3356" s="18"/>
      <c r="C3356" s="18"/>
      <c r="D3356" s="18"/>
      <c r="E3356" s="18"/>
      <c r="F3356" s="18"/>
      <c r="G3356" s="18"/>
      <c r="H3356" s="18"/>
      <c r="I3356" s="18"/>
      <c r="J3356" s="18"/>
      <c r="K3356" s="18"/>
      <c r="L3356" s="12" t="s">
        <v>3079</v>
      </c>
      <c r="M3356" s="18"/>
      <c r="N3356" s="18"/>
      <c r="O3356" s="18"/>
      <c r="P3356" s="18"/>
      <c r="Q3356" s="18"/>
    </row>
    <row r="3357" spans="1:17" x14ac:dyDescent="0.25">
      <c r="A3357" s="18" t="s">
        <v>3078</v>
      </c>
      <c r="B3357" s="18" t="s">
        <v>7324</v>
      </c>
      <c r="C3357" s="18" t="s">
        <v>7171</v>
      </c>
      <c r="D3357" s="18" t="s">
        <v>7172</v>
      </c>
      <c r="E3357" s="18" t="s">
        <v>3684</v>
      </c>
      <c r="F3357" s="18" t="s">
        <v>3685</v>
      </c>
      <c r="G3357" s="18" t="s">
        <v>12</v>
      </c>
      <c r="H3357" s="18" t="s">
        <v>6540</v>
      </c>
      <c r="I3357" s="18"/>
      <c r="J3357" s="18" t="s">
        <v>1349</v>
      </c>
      <c r="K3357" s="18"/>
      <c r="L3357" s="12" t="s">
        <v>3078</v>
      </c>
      <c r="M3357" s="18" t="s">
        <v>3686</v>
      </c>
      <c r="N3357" s="18" t="s">
        <v>3687</v>
      </c>
      <c r="O3357" s="18" t="s">
        <v>3688</v>
      </c>
      <c r="P3357" s="18" t="str">
        <f>HYPERLINK("https://ceds.ed.gov/cedselementdetails.aspx?termid=9172")</f>
        <v>https://ceds.ed.gov/cedselementdetails.aspx?termid=9172</v>
      </c>
      <c r="Q3357" s="18" t="str">
        <f>HYPERLINK("https://ceds.ed.gov/elementComment.aspx?elementName=Last or Surname &amp;elementID=9172", "Click here to submit comment")</f>
        <v>Click here to submit comment</v>
      </c>
    </row>
    <row r="3358" spans="1:17" ht="90" x14ac:dyDescent="0.25">
      <c r="A3358" s="18"/>
      <c r="B3358" s="18"/>
      <c r="C3358" s="18"/>
      <c r="D3358" s="18"/>
      <c r="E3358" s="18"/>
      <c r="F3358" s="18"/>
      <c r="G3358" s="18"/>
      <c r="H3358" s="18"/>
      <c r="I3358" s="18"/>
      <c r="J3358" s="18"/>
      <c r="K3358" s="18"/>
      <c r="L3358" s="12" t="s">
        <v>3079</v>
      </c>
      <c r="M3358" s="18"/>
      <c r="N3358" s="18"/>
      <c r="O3358" s="18"/>
      <c r="P3358" s="18"/>
      <c r="Q3358" s="18"/>
    </row>
    <row r="3359" spans="1:17" x14ac:dyDescent="0.25">
      <c r="A3359" s="18" t="s">
        <v>3078</v>
      </c>
      <c r="B3359" s="18" t="s">
        <v>7324</v>
      </c>
      <c r="C3359" s="18" t="s">
        <v>7171</v>
      </c>
      <c r="D3359" s="18" t="s">
        <v>7172</v>
      </c>
      <c r="E3359" s="18" t="s">
        <v>3076</v>
      </c>
      <c r="F3359" s="18" t="s">
        <v>3077</v>
      </c>
      <c r="G3359" s="18" t="s">
        <v>12</v>
      </c>
      <c r="H3359" s="18" t="s">
        <v>6543</v>
      </c>
      <c r="I3359" s="18"/>
      <c r="J3359" s="18" t="s">
        <v>2143</v>
      </c>
      <c r="K3359" s="18"/>
      <c r="L3359" s="12" t="s">
        <v>3078</v>
      </c>
      <c r="M3359" s="18" t="s">
        <v>3080</v>
      </c>
      <c r="N3359" s="18"/>
      <c r="O3359" s="18" t="s">
        <v>3081</v>
      </c>
      <c r="P3359" s="18" t="str">
        <f>HYPERLINK("https://ceds.ed.gov/cedselementdetails.aspx?termid=9121")</f>
        <v>https://ceds.ed.gov/cedselementdetails.aspx?termid=9121</v>
      </c>
      <c r="Q3359" s="18" t="str">
        <f>HYPERLINK("https://ceds.ed.gov/elementComment.aspx?elementName=Generation Code or Suffix &amp;elementID=9121", "Click here to submit comment")</f>
        <v>Click here to submit comment</v>
      </c>
    </row>
    <row r="3360" spans="1:17" ht="90" x14ac:dyDescent="0.25">
      <c r="A3360" s="18"/>
      <c r="B3360" s="18"/>
      <c r="C3360" s="18"/>
      <c r="D3360" s="18"/>
      <c r="E3360" s="18"/>
      <c r="F3360" s="18"/>
      <c r="G3360" s="18"/>
      <c r="H3360" s="18"/>
      <c r="I3360" s="18"/>
      <c r="J3360" s="18"/>
      <c r="K3360" s="18"/>
      <c r="L3360" s="12" t="s">
        <v>3079</v>
      </c>
      <c r="M3360" s="18"/>
      <c r="N3360" s="18"/>
      <c r="O3360" s="18"/>
      <c r="P3360" s="18"/>
      <c r="Q3360" s="18"/>
    </row>
    <row r="3361" spans="1:17" ht="105" x14ac:dyDescent="0.25">
      <c r="A3361" s="12" t="s">
        <v>3078</v>
      </c>
      <c r="B3361" s="12" t="s">
        <v>7324</v>
      </c>
      <c r="C3361" s="12" t="s">
        <v>7171</v>
      </c>
      <c r="D3361" s="12" t="s">
        <v>7172</v>
      </c>
      <c r="E3361" s="12" t="s">
        <v>4835</v>
      </c>
      <c r="F3361" s="12" t="s">
        <v>4836</v>
      </c>
      <c r="G3361" s="12" t="s">
        <v>12</v>
      </c>
      <c r="H3361" s="12" t="s">
        <v>6627</v>
      </c>
      <c r="I3361" s="12"/>
      <c r="J3361" s="12" t="s">
        <v>92</v>
      </c>
      <c r="K3361" s="12"/>
      <c r="L3361" s="12"/>
      <c r="M3361" s="12" t="s">
        <v>4837</v>
      </c>
      <c r="N3361" s="12" t="s">
        <v>4838</v>
      </c>
      <c r="O3361" s="12" t="s">
        <v>4839</v>
      </c>
      <c r="P3361" s="12" t="str">
        <f>HYPERLINK("https://ceds.ed.gov/cedselementdetails.aspx?termid=9212")</f>
        <v>https://ceds.ed.gov/cedselementdetails.aspx?termid=9212</v>
      </c>
      <c r="Q3361" s="12" t="str">
        <f>HYPERLINK("https://ceds.ed.gov/elementComment.aspx?elementName=Personal Title or Prefix &amp;elementID=9212", "Click here to submit comment")</f>
        <v>Click here to submit comment</v>
      </c>
    </row>
    <row r="3362" spans="1:17" ht="30" x14ac:dyDescent="0.25">
      <c r="A3362" s="12" t="s">
        <v>3078</v>
      </c>
      <c r="B3362" s="12" t="s">
        <v>7324</v>
      </c>
      <c r="C3362" s="12" t="s">
        <v>7173</v>
      </c>
      <c r="D3362" s="12" t="s">
        <v>7172</v>
      </c>
      <c r="E3362" s="12" t="s">
        <v>4705</v>
      </c>
      <c r="F3362" s="12" t="s">
        <v>4706</v>
      </c>
      <c r="G3362" s="12" t="s">
        <v>12</v>
      </c>
      <c r="H3362" s="12"/>
      <c r="I3362" s="12"/>
      <c r="J3362" s="12" t="s">
        <v>1349</v>
      </c>
      <c r="K3362" s="12"/>
      <c r="L3362" s="12" t="s">
        <v>4707</v>
      </c>
      <c r="M3362" s="12" t="s">
        <v>4708</v>
      </c>
      <c r="N3362" s="12"/>
      <c r="O3362" s="12" t="s">
        <v>4709</v>
      </c>
      <c r="P3362" s="12" t="str">
        <f>HYPERLINK("https://ceds.ed.gov/cedselementdetails.aspx?termid=10486")</f>
        <v>https://ceds.ed.gov/cedselementdetails.aspx?termid=10486</v>
      </c>
      <c r="Q3362" s="12" t="str">
        <f>HYPERLINK("https://ceds.ed.gov/elementComment.aspx?elementName=Other First Name &amp;elementID=10486", "Click here to submit comment")</f>
        <v>Click here to submit comment</v>
      </c>
    </row>
    <row r="3363" spans="1:17" ht="30" x14ac:dyDescent="0.25">
      <c r="A3363" s="12" t="s">
        <v>3078</v>
      </c>
      <c r="B3363" s="12" t="s">
        <v>7324</v>
      </c>
      <c r="C3363" s="12" t="s">
        <v>7173</v>
      </c>
      <c r="D3363" s="12" t="s">
        <v>7172</v>
      </c>
      <c r="E3363" s="12" t="s">
        <v>4710</v>
      </c>
      <c r="F3363" s="12" t="s">
        <v>4711</v>
      </c>
      <c r="G3363" s="12" t="s">
        <v>12</v>
      </c>
      <c r="H3363" s="12"/>
      <c r="I3363" s="12"/>
      <c r="J3363" s="12" t="s">
        <v>1349</v>
      </c>
      <c r="K3363" s="12"/>
      <c r="L3363" s="12" t="s">
        <v>4712</v>
      </c>
      <c r="M3363" s="12" t="s">
        <v>4713</v>
      </c>
      <c r="N3363" s="12"/>
      <c r="O3363" s="12" t="s">
        <v>4714</v>
      </c>
      <c r="P3363" s="12" t="str">
        <f>HYPERLINK("https://ceds.ed.gov/cedselementdetails.aspx?termid=10485")</f>
        <v>https://ceds.ed.gov/cedselementdetails.aspx?termid=10485</v>
      </c>
      <c r="Q3363" s="12" t="str">
        <f>HYPERLINK("https://ceds.ed.gov/elementComment.aspx?elementName=Other Last Name &amp;elementID=10485", "Click here to submit comment")</f>
        <v>Click here to submit comment</v>
      </c>
    </row>
    <row r="3364" spans="1:17" ht="30" x14ac:dyDescent="0.25">
      <c r="A3364" s="12" t="s">
        <v>3078</v>
      </c>
      <c r="B3364" s="12" t="s">
        <v>7324</v>
      </c>
      <c r="C3364" s="12" t="s">
        <v>7173</v>
      </c>
      <c r="D3364" s="12" t="s">
        <v>7172</v>
      </c>
      <c r="E3364" s="12" t="s">
        <v>4715</v>
      </c>
      <c r="F3364" s="12" t="s">
        <v>4716</v>
      </c>
      <c r="G3364" s="12" t="s">
        <v>12</v>
      </c>
      <c r="H3364" s="12"/>
      <c r="I3364" s="12"/>
      <c r="J3364" s="12" t="s">
        <v>1349</v>
      </c>
      <c r="K3364" s="12"/>
      <c r="L3364" s="12" t="s">
        <v>4717</v>
      </c>
      <c r="M3364" s="12" t="s">
        <v>4718</v>
      </c>
      <c r="N3364" s="12"/>
      <c r="O3364" s="12" t="s">
        <v>4719</v>
      </c>
      <c r="P3364" s="12" t="str">
        <f>HYPERLINK("https://ceds.ed.gov/cedselementdetails.aspx?termid=10487")</f>
        <v>https://ceds.ed.gov/cedselementdetails.aspx?termid=10487</v>
      </c>
      <c r="Q3364" s="12" t="str">
        <f>HYPERLINK("https://ceds.ed.gov/elementComment.aspx?elementName=Other Middle Name &amp;elementID=10487", "Click here to submit comment")</f>
        <v>Click here to submit comment</v>
      </c>
    </row>
    <row r="3365" spans="1:17" ht="150" x14ac:dyDescent="0.25">
      <c r="A3365" s="12" t="s">
        <v>3078</v>
      </c>
      <c r="B3365" s="12" t="s">
        <v>7324</v>
      </c>
      <c r="C3365" s="12" t="s">
        <v>7173</v>
      </c>
      <c r="D3365" s="12" t="s">
        <v>7172</v>
      </c>
      <c r="E3365" s="12" t="s">
        <v>4720</v>
      </c>
      <c r="F3365" s="12" t="s">
        <v>4721</v>
      </c>
      <c r="G3365" s="12" t="s">
        <v>12</v>
      </c>
      <c r="H3365" s="12" t="s">
        <v>6543</v>
      </c>
      <c r="I3365" s="12"/>
      <c r="J3365" s="12" t="s">
        <v>142</v>
      </c>
      <c r="K3365" s="12"/>
      <c r="L3365" s="12"/>
      <c r="M3365" s="12" t="s">
        <v>4722</v>
      </c>
      <c r="N3365" s="12"/>
      <c r="O3365" s="12" t="s">
        <v>4723</v>
      </c>
      <c r="P3365" s="12" t="str">
        <f>HYPERLINK("https://ceds.ed.gov/cedselementdetails.aspx?termid=9206")</f>
        <v>https://ceds.ed.gov/cedselementdetails.aspx?termid=9206</v>
      </c>
      <c r="Q3365" s="12" t="str">
        <f>HYPERLINK("https://ceds.ed.gov/elementComment.aspx?elementName=Other Name &amp;elementID=9206", "Click here to submit comment")</f>
        <v>Click here to submit comment</v>
      </c>
    </row>
    <row r="3366" spans="1:17" ht="165" x14ac:dyDescent="0.25">
      <c r="A3366" s="12" t="s">
        <v>3078</v>
      </c>
      <c r="B3366" s="12" t="s">
        <v>7324</v>
      </c>
      <c r="C3366" s="12" t="s">
        <v>7173</v>
      </c>
      <c r="D3366" s="12" t="s">
        <v>7172</v>
      </c>
      <c r="E3366" s="12" t="s">
        <v>4724</v>
      </c>
      <c r="F3366" s="12" t="s">
        <v>4725</v>
      </c>
      <c r="G3366" s="13" t="s">
        <v>7046</v>
      </c>
      <c r="H3366" s="12" t="s">
        <v>6619</v>
      </c>
      <c r="I3366" s="12"/>
      <c r="J3366" s="12" t="s">
        <v>92</v>
      </c>
      <c r="K3366" s="12"/>
      <c r="L3366" s="12"/>
      <c r="M3366" s="12" t="s">
        <v>4726</v>
      </c>
      <c r="N3366" s="12"/>
      <c r="O3366" s="12" t="s">
        <v>4727</v>
      </c>
      <c r="P3366" s="12" t="str">
        <f>HYPERLINK("https://ceds.ed.gov/cedselementdetails.aspx?termid=9627")</f>
        <v>https://ceds.ed.gov/cedselementdetails.aspx?termid=9627</v>
      </c>
      <c r="Q3366" s="12" t="str">
        <f>HYPERLINK("https://ceds.ed.gov/elementComment.aspx?elementName=Other Name Type &amp;elementID=9627", "Click here to submit comment")</f>
        <v>Click here to submit comment</v>
      </c>
    </row>
    <row r="3367" spans="1:17" ht="225" x14ac:dyDescent="0.25">
      <c r="A3367" s="18" t="s">
        <v>3078</v>
      </c>
      <c r="B3367" s="18" t="s">
        <v>7324</v>
      </c>
      <c r="C3367" s="18" t="s">
        <v>7174</v>
      </c>
      <c r="D3367" s="18" t="s">
        <v>7172</v>
      </c>
      <c r="E3367" s="18" t="s">
        <v>5745</v>
      </c>
      <c r="F3367" s="18" t="s">
        <v>5746</v>
      </c>
      <c r="G3367" s="18" t="s">
        <v>12</v>
      </c>
      <c r="H3367" s="18" t="s">
        <v>6670</v>
      </c>
      <c r="I3367" s="18"/>
      <c r="J3367" s="18" t="s">
        <v>5747</v>
      </c>
      <c r="K3367" s="18"/>
      <c r="L3367" s="12" t="s">
        <v>5748</v>
      </c>
      <c r="M3367" s="18" t="s">
        <v>5750</v>
      </c>
      <c r="N3367" s="18" t="s">
        <v>5751</v>
      </c>
      <c r="O3367" s="18" t="s">
        <v>5752</v>
      </c>
      <c r="P3367" s="18" t="str">
        <f>HYPERLINK("https://ceds.ed.gov/cedselementdetails.aspx?termid=9259")</f>
        <v>https://ceds.ed.gov/cedselementdetails.aspx?termid=9259</v>
      </c>
      <c r="Q3367" s="18" t="str">
        <f>HYPERLINK("https://ceds.ed.gov/elementComment.aspx?elementName=Social Security Number &amp;elementID=9259", "Click here to submit comment")</f>
        <v>Click here to submit comment</v>
      </c>
    </row>
    <row r="3368" spans="1:17" x14ac:dyDescent="0.25">
      <c r="A3368" s="18"/>
      <c r="B3368" s="18"/>
      <c r="C3368" s="18"/>
      <c r="D3368" s="18"/>
      <c r="E3368" s="18"/>
      <c r="F3368" s="18"/>
      <c r="G3368" s="18"/>
      <c r="H3368" s="18"/>
      <c r="I3368" s="18"/>
      <c r="J3368" s="18"/>
      <c r="K3368" s="18"/>
      <c r="L3368" s="12"/>
      <c r="M3368" s="18"/>
      <c r="N3368" s="18"/>
      <c r="O3368" s="18"/>
      <c r="P3368" s="18"/>
      <c r="Q3368" s="18"/>
    </row>
    <row r="3369" spans="1:17" ht="180" x14ac:dyDescent="0.25">
      <c r="A3369" s="18"/>
      <c r="B3369" s="18"/>
      <c r="C3369" s="18"/>
      <c r="D3369" s="18"/>
      <c r="E3369" s="18"/>
      <c r="F3369" s="18"/>
      <c r="G3369" s="18"/>
      <c r="H3369" s="18"/>
      <c r="I3369" s="18"/>
      <c r="J3369" s="18"/>
      <c r="K3369" s="18"/>
      <c r="L3369" s="12" t="s">
        <v>5749</v>
      </c>
      <c r="M3369" s="18"/>
      <c r="N3369" s="18"/>
      <c r="O3369" s="18"/>
      <c r="P3369" s="18"/>
      <c r="Q3369" s="18"/>
    </row>
    <row r="3370" spans="1:17" ht="255" x14ac:dyDescent="0.25">
      <c r="A3370" s="12" t="s">
        <v>3078</v>
      </c>
      <c r="B3370" s="12" t="s">
        <v>7324</v>
      </c>
      <c r="C3370" s="12" t="s">
        <v>7174</v>
      </c>
      <c r="D3370" s="12" t="s">
        <v>7172</v>
      </c>
      <c r="E3370" s="12" t="s">
        <v>4831</v>
      </c>
      <c r="F3370" s="12" t="s">
        <v>4832</v>
      </c>
      <c r="G3370" s="13" t="s">
        <v>7053</v>
      </c>
      <c r="H3370" s="12"/>
      <c r="I3370" s="12"/>
      <c r="J3370" s="12"/>
      <c r="K3370" s="12"/>
      <c r="L3370" s="12"/>
      <c r="M3370" s="12" t="s">
        <v>4833</v>
      </c>
      <c r="N3370" s="12"/>
      <c r="O3370" s="12" t="s">
        <v>4834</v>
      </c>
      <c r="P3370" s="12" t="str">
        <f>HYPERLINK("https://ceds.ed.gov/cedselementdetails.aspx?termid=9611")</f>
        <v>https://ceds.ed.gov/cedselementdetails.aspx?termid=9611</v>
      </c>
      <c r="Q3370" s="12" t="str">
        <f>HYPERLINK("https://ceds.ed.gov/elementComment.aspx?elementName=Personal Information Verification &amp;elementID=9611", "Click here to submit comment")</f>
        <v>Click here to submit comment</v>
      </c>
    </row>
    <row r="3371" spans="1:17" ht="180" x14ac:dyDescent="0.25">
      <c r="A3371" s="12" t="s">
        <v>3078</v>
      </c>
      <c r="B3371" s="12" t="s">
        <v>7324</v>
      </c>
      <c r="C3371" s="12" t="s">
        <v>7310</v>
      </c>
      <c r="D3371" s="12" t="s">
        <v>7172</v>
      </c>
      <c r="E3371" s="12" t="s">
        <v>6351</v>
      </c>
      <c r="F3371" s="12" t="s">
        <v>6352</v>
      </c>
      <c r="G3371" s="12" t="s">
        <v>12</v>
      </c>
      <c r="H3371" s="12"/>
      <c r="I3371" s="12"/>
      <c r="J3371" s="12" t="s">
        <v>73</v>
      </c>
      <c r="K3371" s="12"/>
      <c r="L3371" s="12" t="s">
        <v>6348</v>
      </c>
      <c r="M3371" s="12" t="s">
        <v>6353</v>
      </c>
      <c r="N3371" s="12"/>
      <c r="O3371" s="12" t="s">
        <v>6354</v>
      </c>
      <c r="P3371" s="12" t="str">
        <f>HYPERLINK("https://ceds.ed.gov/cedselementdetails.aspx?termid=10001")</f>
        <v>https://ceds.ed.gov/cedselementdetails.aspx?termid=10001</v>
      </c>
      <c r="Q3371" s="12" t="str">
        <f>HYPERLINK("https://ceds.ed.gov/elementComment.aspx?elementName=Workforce Program Participation Start Date &amp;elementID=10001", "Click here to submit comment")</f>
        <v>Click here to submit comment</v>
      </c>
    </row>
    <row r="3372" spans="1:17" ht="180" x14ac:dyDescent="0.25">
      <c r="A3372" s="12" t="s">
        <v>3078</v>
      </c>
      <c r="B3372" s="12" t="s">
        <v>7324</v>
      </c>
      <c r="C3372" s="12" t="s">
        <v>7310</v>
      </c>
      <c r="D3372" s="12" t="s">
        <v>7172</v>
      </c>
      <c r="E3372" s="12" t="s">
        <v>6346</v>
      </c>
      <c r="F3372" s="12" t="s">
        <v>6347</v>
      </c>
      <c r="G3372" s="12" t="s">
        <v>12</v>
      </c>
      <c r="H3372" s="12"/>
      <c r="I3372" s="12"/>
      <c r="J3372" s="12" t="s">
        <v>73</v>
      </c>
      <c r="K3372" s="12"/>
      <c r="L3372" s="12" t="s">
        <v>6348</v>
      </c>
      <c r="M3372" s="12" t="s">
        <v>6349</v>
      </c>
      <c r="N3372" s="12"/>
      <c r="O3372" s="12" t="s">
        <v>6350</v>
      </c>
      <c r="P3372" s="12" t="str">
        <f>HYPERLINK("https://ceds.ed.gov/cedselementdetails.aspx?termid=10002")</f>
        <v>https://ceds.ed.gov/cedselementdetails.aspx?termid=10002</v>
      </c>
      <c r="Q3372" s="12" t="str">
        <f>HYPERLINK("https://ceds.ed.gov/elementComment.aspx?elementName=Workforce Program Participation End Date &amp;elementID=10002", "Click here to submit comment")</f>
        <v>Click here to submit comment</v>
      </c>
    </row>
    <row r="3373" spans="1:17" ht="409.5" x14ac:dyDescent="0.25">
      <c r="A3373" s="12" t="s">
        <v>3078</v>
      </c>
      <c r="B3373" s="12" t="s">
        <v>7324</v>
      </c>
      <c r="C3373" s="12" t="s">
        <v>7310</v>
      </c>
      <c r="D3373" s="12" t="s">
        <v>7172</v>
      </c>
      <c r="E3373" s="12" t="s">
        <v>6340</v>
      </c>
      <c r="F3373" s="12" t="s">
        <v>6341</v>
      </c>
      <c r="G3373" s="13" t="s">
        <v>7157</v>
      </c>
      <c r="H3373" s="12"/>
      <c r="I3373" s="12"/>
      <c r="J3373" s="12"/>
      <c r="K3373" s="12"/>
      <c r="L3373" s="12" t="s">
        <v>6343</v>
      </c>
      <c r="M3373" s="12" t="s">
        <v>6344</v>
      </c>
      <c r="N3373" s="12"/>
      <c r="O3373" s="12" t="s">
        <v>6345</v>
      </c>
      <c r="P3373" s="12" t="str">
        <f>HYPERLINK("https://ceds.ed.gov/cedselementdetails.aspx?termid=10000")</f>
        <v>https://ceds.ed.gov/cedselementdetails.aspx?termid=10000</v>
      </c>
      <c r="Q3373" s="12" t="str">
        <f>HYPERLINK("https://ceds.ed.gov/elementComment.aspx?elementName=Workforce Program Participation &amp;elementID=10000", "Click here to submit comment")</f>
        <v>Click here to submit comment</v>
      </c>
    </row>
    <row r="3374" spans="1:17" ht="45" x14ac:dyDescent="0.25">
      <c r="A3374" s="12" t="s">
        <v>3078</v>
      </c>
      <c r="B3374" s="12" t="s">
        <v>7324</v>
      </c>
      <c r="C3374" s="12" t="s">
        <v>7310</v>
      </c>
      <c r="D3374" s="12" t="s">
        <v>7172</v>
      </c>
      <c r="E3374" s="12" t="s">
        <v>1683</v>
      </c>
      <c r="F3374" s="12" t="s">
        <v>1684</v>
      </c>
      <c r="G3374" s="12" t="s">
        <v>12</v>
      </c>
      <c r="H3374" s="12"/>
      <c r="I3374" s="12"/>
      <c r="J3374" s="12" t="s">
        <v>73</v>
      </c>
      <c r="K3374" s="12"/>
      <c r="L3374" s="12"/>
      <c r="M3374" s="12" t="s">
        <v>1685</v>
      </c>
      <c r="N3374" s="12"/>
      <c r="O3374" s="12" t="s">
        <v>1686</v>
      </c>
      <c r="P3374" s="12" t="str">
        <f>HYPERLINK("https://ceds.ed.gov/cedselementdetails.aspx?termid=10562")</f>
        <v>https://ceds.ed.gov/cedselementdetails.aspx?termid=10562</v>
      </c>
      <c r="Q3374" s="12" t="str">
        <f>HYPERLINK("https://ceds.ed.gov/elementComment.aspx?elementName=Career Pathways Program Participation Exit Date &amp;elementID=10562", "Click here to submit comment")</f>
        <v>Click here to submit comment</v>
      </c>
    </row>
    <row r="3375" spans="1:17" ht="75" x14ac:dyDescent="0.25">
      <c r="A3375" s="12" t="s">
        <v>3078</v>
      </c>
      <c r="B3375" s="12" t="s">
        <v>7324</v>
      </c>
      <c r="C3375" s="12" t="s">
        <v>7310</v>
      </c>
      <c r="D3375" s="12" t="s">
        <v>7172</v>
      </c>
      <c r="E3375" s="12" t="s">
        <v>1687</v>
      </c>
      <c r="F3375" s="12" t="s">
        <v>1688</v>
      </c>
      <c r="G3375" s="12" t="s">
        <v>6364</v>
      </c>
      <c r="H3375" s="12"/>
      <c r="I3375" s="12"/>
      <c r="J3375" s="12"/>
      <c r="K3375" s="12"/>
      <c r="L3375" s="12"/>
      <c r="M3375" s="12" t="s">
        <v>1689</v>
      </c>
      <c r="N3375" s="12"/>
      <c r="O3375" s="12" t="s">
        <v>1690</v>
      </c>
      <c r="P3375" s="12" t="str">
        <f>HYPERLINK("https://ceds.ed.gov/cedselementdetails.aspx?termid=10257")</f>
        <v>https://ceds.ed.gov/cedselementdetails.aspx?termid=10257</v>
      </c>
      <c r="Q3375" s="12" t="str">
        <f>HYPERLINK("https://ceds.ed.gov/elementComment.aspx?elementName=Career Pathways Program Participation Indicator &amp;elementID=10257", "Click here to submit comment")</f>
        <v>Click here to submit comment</v>
      </c>
    </row>
    <row r="3376" spans="1:17" ht="45" x14ac:dyDescent="0.25">
      <c r="A3376" s="12" t="s">
        <v>3078</v>
      </c>
      <c r="B3376" s="12" t="s">
        <v>7324</v>
      </c>
      <c r="C3376" s="12" t="s">
        <v>7310</v>
      </c>
      <c r="D3376" s="12" t="s">
        <v>7172</v>
      </c>
      <c r="E3376" s="12" t="s">
        <v>1691</v>
      </c>
      <c r="F3376" s="12" t="s">
        <v>1692</v>
      </c>
      <c r="G3376" s="12" t="s">
        <v>12</v>
      </c>
      <c r="H3376" s="12"/>
      <c r="I3376" s="12"/>
      <c r="J3376" s="12" t="s">
        <v>1693</v>
      </c>
      <c r="K3376" s="12"/>
      <c r="L3376" s="12"/>
      <c r="M3376" s="12" t="s">
        <v>1694</v>
      </c>
      <c r="N3376" s="12"/>
      <c r="O3376" s="12" t="s">
        <v>1695</v>
      </c>
      <c r="P3376" s="12" t="str">
        <f>HYPERLINK("https://ceds.ed.gov/cedselementdetails.aspx?termid=10563")</f>
        <v>https://ceds.ed.gov/cedselementdetails.aspx?termid=10563</v>
      </c>
      <c r="Q3376" s="12" t="str">
        <f>HYPERLINK("https://ceds.ed.gov/elementComment.aspx?elementName=Career Pathways Program Participation Start Date &amp;elementID=10563", "Click here to submit comment")</f>
        <v>Click here to submit comment</v>
      </c>
    </row>
    <row r="3377" spans="1:17" ht="210" x14ac:dyDescent="0.25">
      <c r="A3377" s="12" t="s">
        <v>3078</v>
      </c>
      <c r="B3377" s="12" t="s">
        <v>7324</v>
      </c>
      <c r="C3377" s="12" t="s">
        <v>7175</v>
      </c>
      <c r="D3377" s="12" t="s">
        <v>7172</v>
      </c>
      <c r="E3377" s="12" t="s">
        <v>193</v>
      </c>
      <c r="F3377" s="12" t="s">
        <v>194</v>
      </c>
      <c r="G3377" s="13" t="s">
        <v>6726</v>
      </c>
      <c r="H3377" s="12" t="s">
        <v>6380</v>
      </c>
      <c r="I3377" s="12"/>
      <c r="J3377" s="12" t="s">
        <v>92</v>
      </c>
      <c r="K3377" s="12"/>
      <c r="L3377" s="12"/>
      <c r="M3377" s="12" t="s">
        <v>195</v>
      </c>
      <c r="N3377" s="12"/>
      <c r="O3377" s="12" t="s">
        <v>196</v>
      </c>
      <c r="P3377" s="12" t="str">
        <f>HYPERLINK("https://ceds.ed.gov/cedselementdetails.aspx?termid=9358")</f>
        <v>https://ceds.ed.gov/cedselementdetails.aspx?termid=9358</v>
      </c>
      <c r="Q3377" s="12" t="str">
        <f>HYPERLINK("https://ceds.ed.gov/elementComment.aspx?elementName=Address Type for Learner or Family &amp;elementID=9358", "Click here to submit comment")</f>
        <v>Click here to submit comment</v>
      </c>
    </row>
    <row r="3378" spans="1:17" ht="225" x14ac:dyDescent="0.25">
      <c r="A3378" s="12" t="s">
        <v>3078</v>
      </c>
      <c r="B3378" s="12" t="s">
        <v>7324</v>
      </c>
      <c r="C3378" s="12" t="s">
        <v>7175</v>
      </c>
      <c r="D3378" s="12" t="s">
        <v>7172</v>
      </c>
      <c r="E3378" s="12" t="s">
        <v>189</v>
      </c>
      <c r="F3378" s="12" t="s">
        <v>190</v>
      </c>
      <c r="G3378" s="12" t="s">
        <v>12</v>
      </c>
      <c r="H3378" s="12" t="s">
        <v>6377</v>
      </c>
      <c r="I3378" s="12"/>
      <c r="J3378" s="12" t="s">
        <v>142</v>
      </c>
      <c r="K3378" s="12"/>
      <c r="L3378" s="12"/>
      <c r="M3378" s="12" t="s">
        <v>191</v>
      </c>
      <c r="N3378" s="12"/>
      <c r="O3378" s="12" t="s">
        <v>192</v>
      </c>
      <c r="P3378" s="12" t="str">
        <f>HYPERLINK("https://ceds.ed.gov/cedselementdetails.aspx?termid=9269")</f>
        <v>https://ceds.ed.gov/cedselementdetails.aspx?termid=9269</v>
      </c>
      <c r="Q3378" s="12" t="str">
        <f>HYPERLINK("https://ceds.ed.gov/elementComment.aspx?elementName=Address Street Number and Name &amp;elementID=9269", "Click here to submit comment")</f>
        <v>Click here to submit comment</v>
      </c>
    </row>
    <row r="3379" spans="1:17" ht="409.5" x14ac:dyDescent="0.25">
      <c r="A3379" s="12" t="s">
        <v>3078</v>
      </c>
      <c r="B3379" s="12" t="s">
        <v>7324</v>
      </c>
      <c r="C3379" s="12" t="s">
        <v>7175</v>
      </c>
      <c r="D3379" s="12" t="s">
        <v>7172</v>
      </c>
      <c r="E3379" s="12" t="s">
        <v>5898</v>
      </c>
      <c r="F3379" s="12" t="s">
        <v>5899</v>
      </c>
      <c r="G3379" s="13" t="s">
        <v>7120</v>
      </c>
      <c r="H3379" s="12" t="s">
        <v>6678</v>
      </c>
      <c r="I3379" s="12"/>
      <c r="J3379" s="12"/>
      <c r="K3379" s="12"/>
      <c r="L3379" s="12"/>
      <c r="M3379" s="12" t="s">
        <v>5900</v>
      </c>
      <c r="N3379" s="12"/>
      <c r="O3379" s="12" t="s">
        <v>5901</v>
      </c>
      <c r="P3379" s="12" t="str">
        <f>HYPERLINK("https://ceds.ed.gov/cedselementdetails.aspx?termid=9267")</f>
        <v>https://ceds.ed.gov/cedselementdetails.aspx?termid=9267</v>
      </c>
      <c r="Q3379" s="12" t="str">
        <f>HYPERLINK("https://ceds.ed.gov/elementComment.aspx?elementName=State Abbreviation &amp;elementID=9267", "Click here to submit comment")</f>
        <v>Click here to submit comment</v>
      </c>
    </row>
    <row r="3380" spans="1:17" ht="225" x14ac:dyDescent="0.25">
      <c r="A3380" s="12" t="s">
        <v>3078</v>
      </c>
      <c r="B3380" s="12" t="s">
        <v>7324</v>
      </c>
      <c r="C3380" s="12" t="s">
        <v>7175</v>
      </c>
      <c r="D3380" s="12" t="s">
        <v>7172</v>
      </c>
      <c r="E3380" s="12" t="s">
        <v>176</v>
      </c>
      <c r="F3380" s="12" t="s">
        <v>177</v>
      </c>
      <c r="G3380" s="12" t="s">
        <v>12</v>
      </c>
      <c r="H3380" s="12" t="s">
        <v>6377</v>
      </c>
      <c r="I3380" s="12"/>
      <c r="J3380" s="12" t="s">
        <v>92</v>
      </c>
      <c r="K3380" s="12"/>
      <c r="L3380" s="12"/>
      <c r="M3380" s="12" t="s">
        <v>178</v>
      </c>
      <c r="N3380" s="12"/>
      <c r="O3380" s="12" t="s">
        <v>179</v>
      </c>
      <c r="P3380" s="12" t="str">
        <f>HYPERLINK("https://ceds.ed.gov/cedselementdetails.aspx?termid=9040")</f>
        <v>https://ceds.ed.gov/cedselementdetails.aspx?termid=9040</v>
      </c>
      <c r="Q3380" s="12" t="str">
        <f>HYPERLINK("https://ceds.ed.gov/elementComment.aspx?elementName=Address City &amp;elementID=9040", "Click here to submit comment")</f>
        <v>Click here to submit comment</v>
      </c>
    </row>
    <row r="3381" spans="1:17" ht="225" x14ac:dyDescent="0.25">
      <c r="A3381" s="12" t="s">
        <v>3078</v>
      </c>
      <c r="B3381" s="12" t="s">
        <v>7324</v>
      </c>
      <c r="C3381" s="12" t="s">
        <v>7175</v>
      </c>
      <c r="D3381" s="12" t="s">
        <v>7172</v>
      </c>
      <c r="E3381" s="12" t="s">
        <v>172</v>
      </c>
      <c r="F3381" s="12" t="s">
        <v>173</v>
      </c>
      <c r="G3381" s="12" t="s">
        <v>12</v>
      </c>
      <c r="H3381" s="12" t="s">
        <v>6377</v>
      </c>
      <c r="I3381" s="12"/>
      <c r="J3381" s="12" t="s">
        <v>92</v>
      </c>
      <c r="K3381" s="12"/>
      <c r="L3381" s="12"/>
      <c r="M3381" s="12" t="s">
        <v>174</v>
      </c>
      <c r="N3381" s="12"/>
      <c r="O3381" s="12" t="s">
        <v>175</v>
      </c>
      <c r="P3381" s="12" t="str">
        <f>HYPERLINK("https://ceds.ed.gov/cedselementdetails.aspx?termid=9019")</f>
        <v>https://ceds.ed.gov/cedselementdetails.aspx?termid=9019</v>
      </c>
      <c r="Q3381" s="12" t="str">
        <f>HYPERLINK("https://ceds.ed.gov/elementComment.aspx?elementName=Address Apartment Room or Suite Number &amp;elementID=9019", "Click here to submit comment")</f>
        <v>Click here to submit comment</v>
      </c>
    </row>
    <row r="3382" spans="1:17" ht="225" x14ac:dyDescent="0.25">
      <c r="A3382" s="12" t="s">
        <v>3078</v>
      </c>
      <c r="B3382" s="12" t="s">
        <v>7324</v>
      </c>
      <c r="C3382" s="12" t="s">
        <v>7175</v>
      </c>
      <c r="D3382" s="12" t="s">
        <v>7172</v>
      </c>
      <c r="E3382" s="12" t="s">
        <v>184</v>
      </c>
      <c r="F3382" s="12" t="s">
        <v>185</v>
      </c>
      <c r="G3382" s="12" t="s">
        <v>12</v>
      </c>
      <c r="H3382" s="12" t="s">
        <v>6377</v>
      </c>
      <c r="I3382" s="12"/>
      <c r="J3382" s="12" t="s">
        <v>186</v>
      </c>
      <c r="K3382" s="12"/>
      <c r="L3382" s="12"/>
      <c r="M3382" s="12" t="s">
        <v>187</v>
      </c>
      <c r="N3382" s="12"/>
      <c r="O3382" s="12" t="s">
        <v>188</v>
      </c>
      <c r="P3382" s="12" t="str">
        <f>HYPERLINK("https://ceds.ed.gov/cedselementdetails.aspx?termid=9214")</f>
        <v>https://ceds.ed.gov/cedselementdetails.aspx?termid=9214</v>
      </c>
      <c r="Q3382" s="12" t="str">
        <f>HYPERLINK("https://ceds.ed.gov/elementComment.aspx?elementName=Address Postal Code &amp;elementID=9214", "Click here to submit comment")</f>
        <v>Click here to submit comment</v>
      </c>
    </row>
    <row r="3383" spans="1:17" ht="225" x14ac:dyDescent="0.25">
      <c r="A3383" s="12" t="s">
        <v>3078</v>
      </c>
      <c r="B3383" s="12" t="s">
        <v>7324</v>
      </c>
      <c r="C3383" s="12" t="s">
        <v>7175</v>
      </c>
      <c r="D3383" s="12" t="s">
        <v>7172</v>
      </c>
      <c r="E3383" s="12" t="s">
        <v>180</v>
      </c>
      <c r="F3383" s="12" t="s">
        <v>181</v>
      </c>
      <c r="G3383" s="12" t="s">
        <v>12</v>
      </c>
      <c r="H3383" s="12" t="s">
        <v>6377</v>
      </c>
      <c r="I3383" s="12"/>
      <c r="J3383" s="12" t="s">
        <v>92</v>
      </c>
      <c r="K3383" s="12"/>
      <c r="L3383" s="12"/>
      <c r="M3383" s="12" t="s">
        <v>182</v>
      </c>
      <c r="N3383" s="12"/>
      <c r="O3383" s="12" t="s">
        <v>183</v>
      </c>
      <c r="P3383" s="12" t="str">
        <f>HYPERLINK("https://ceds.ed.gov/cedselementdetails.aspx?termid=9190")</f>
        <v>https://ceds.ed.gov/cedselementdetails.aspx?termid=9190</v>
      </c>
      <c r="Q3383" s="12" t="str">
        <f>HYPERLINK("https://ceds.ed.gov/elementComment.aspx?elementName=Address County Name &amp;elementID=9190", "Click here to submit comment")</f>
        <v>Click here to submit comment</v>
      </c>
    </row>
    <row r="3384" spans="1:17" ht="75" x14ac:dyDescent="0.25">
      <c r="A3384" s="12" t="s">
        <v>3078</v>
      </c>
      <c r="B3384" s="12" t="s">
        <v>7324</v>
      </c>
      <c r="C3384" s="12" t="s">
        <v>7175</v>
      </c>
      <c r="D3384" s="12" t="s">
        <v>7176</v>
      </c>
      <c r="E3384" s="12" t="s">
        <v>3693</v>
      </c>
      <c r="F3384" s="12" t="s">
        <v>3694</v>
      </c>
      <c r="G3384" s="12" t="s">
        <v>12</v>
      </c>
      <c r="H3384" s="12"/>
      <c r="I3384" s="12"/>
      <c r="J3384" s="12" t="s">
        <v>1201</v>
      </c>
      <c r="K3384" s="12"/>
      <c r="L3384" s="12"/>
      <c r="M3384" s="12" t="s">
        <v>3695</v>
      </c>
      <c r="N3384" s="12"/>
      <c r="O3384" s="12" t="s">
        <v>3693</v>
      </c>
      <c r="P3384" s="12" t="str">
        <f>HYPERLINK("https://ceds.ed.gov/cedselementdetails.aspx?termid=9599")</f>
        <v>https://ceds.ed.gov/cedselementdetails.aspx?termid=9599</v>
      </c>
      <c r="Q3384" s="12" t="str">
        <f>HYPERLINK("https://ceds.ed.gov/elementComment.aspx?elementName=Latitude &amp;elementID=9599", "Click here to submit comment")</f>
        <v>Click here to submit comment</v>
      </c>
    </row>
    <row r="3385" spans="1:17" ht="75" x14ac:dyDescent="0.25">
      <c r="A3385" s="12" t="s">
        <v>3078</v>
      </c>
      <c r="B3385" s="12" t="s">
        <v>7324</v>
      </c>
      <c r="C3385" s="12" t="s">
        <v>7175</v>
      </c>
      <c r="D3385" s="12" t="s">
        <v>7176</v>
      </c>
      <c r="E3385" s="12" t="s">
        <v>4361</v>
      </c>
      <c r="F3385" s="12" t="s">
        <v>4362</v>
      </c>
      <c r="G3385" s="12" t="s">
        <v>12</v>
      </c>
      <c r="H3385" s="12"/>
      <c r="I3385" s="12"/>
      <c r="J3385" s="12" t="s">
        <v>1201</v>
      </c>
      <c r="K3385" s="12"/>
      <c r="L3385" s="12"/>
      <c r="M3385" s="12" t="s">
        <v>4363</v>
      </c>
      <c r="N3385" s="12"/>
      <c r="O3385" s="12" t="s">
        <v>4361</v>
      </c>
      <c r="P3385" s="12" t="str">
        <f>HYPERLINK("https://ceds.ed.gov/cedselementdetails.aspx?termid=9600")</f>
        <v>https://ceds.ed.gov/cedselementdetails.aspx?termid=9600</v>
      </c>
      <c r="Q3385" s="12" t="str">
        <f>HYPERLINK("https://ceds.ed.gov/elementComment.aspx?elementName=Longitude &amp;elementID=9600", "Click here to submit comment")</f>
        <v>Click here to submit comment</v>
      </c>
    </row>
    <row r="3386" spans="1:17" ht="90" x14ac:dyDescent="0.25">
      <c r="A3386" s="12" t="s">
        <v>3078</v>
      </c>
      <c r="B3386" s="12" t="s">
        <v>7324</v>
      </c>
      <c r="C3386" s="12" t="s">
        <v>7177</v>
      </c>
      <c r="D3386" s="12" t="s">
        <v>7172</v>
      </c>
      <c r="E3386" s="12" t="s">
        <v>6102</v>
      </c>
      <c r="F3386" s="12" t="s">
        <v>6103</v>
      </c>
      <c r="G3386" s="12" t="s">
        <v>12</v>
      </c>
      <c r="H3386" s="12" t="s">
        <v>6369</v>
      </c>
      <c r="I3386" s="12"/>
      <c r="J3386" s="12" t="s">
        <v>6104</v>
      </c>
      <c r="K3386" s="12"/>
      <c r="L3386" s="12"/>
      <c r="M3386" s="12" t="s">
        <v>6105</v>
      </c>
      <c r="N3386" s="12"/>
      <c r="O3386" s="12" t="s">
        <v>6106</v>
      </c>
      <c r="P3386" s="12" t="str">
        <f>HYPERLINK("https://ceds.ed.gov/cedselementdetails.aspx?termid=9279")</f>
        <v>https://ceds.ed.gov/cedselementdetails.aspx?termid=9279</v>
      </c>
      <c r="Q3386" s="12" t="str">
        <f>HYPERLINK("https://ceds.ed.gov/elementComment.aspx?elementName=Telephone Number &amp;elementID=9279", "Click here to submit comment")</f>
        <v>Click here to submit comment</v>
      </c>
    </row>
    <row r="3387" spans="1:17" ht="90" x14ac:dyDescent="0.25">
      <c r="A3387" s="12" t="s">
        <v>3078</v>
      </c>
      <c r="B3387" s="12" t="s">
        <v>7324</v>
      </c>
      <c r="C3387" s="12" t="s">
        <v>7177</v>
      </c>
      <c r="D3387" s="12" t="s">
        <v>7172</v>
      </c>
      <c r="E3387" s="12" t="s">
        <v>6107</v>
      </c>
      <c r="F3387" s="12" t="s">
        <v>6108</v>
      </c>
      <c r="G3387" s="13" t="s">
        <v>7135</v>
      </c>
      <c r="H3387" s="12" t="s">
        <v>6369</v>
      </c>
      <c r="I3387" s="12"/>
      <c r="J3387" s="12" t="s">
        <v>1950</v>
      </c>
      <c r="K3387" s="12"/>
      <c r="L3387" s="12"/>
      <c r="M3387" s="12" t="s">
        <v>6109</v>
      </c>
      <c r="N3387" s="12"/>
      <c r="O3387" s="12" t="s">
        <v>6110</v>
      </c>
      <c r="P3387" s="12" t="str">
        <f>HYPERLINK("https://ceds.ed.gov/cedselementdetails.aspx?termid=9280")</f>
        <v>https://ceds.ed.gov/cedselementdetails.aspx?termid=9280</v>
      </c>
      <c r="Q3387" s="12" t="str">
        <f>HYPERLINK("https://ceds.ed.gov/elementComment.aspx?elementName=Telephone Number Type &amp;elementID=9280", "Click here to submit comment")</f>
        <v>Click here to submit comment</v>
      </c>
    </row>
    <row r="3388" spans="1:17" ht="90" x14ac:dyDescent="0.25">
      <c r="A3388" s="12" t="s">
        <v>3078</v>
      </c>
      <c r="B3388" s="12" t="s">
        <v>7324</v>
      </c>
      <c r="C3388" s="12" t="s">
        <v>7177</v>
      </c>
      <c r="D3388" s="12" t="s">
        <v>7172</v>
      </c>
      <c r="E3388" s="12" t="s">
        <v>4934</v>
      </c>
      <c r="F3388" s="12" t="s">
        <v>4935</v>
      </c>
      <c r="G3388" s="12" t="s">
        <v>6364</v>
      </c>
      <c r="H3388" s="12" t="s">
        <v>6369</v>
      </c>
      <c r="I3388" s="12"/>
      <c r="J3388" s="12"/>
      <c r="K3388" s="12"/>
      <c r="L3388" s="12"/>
      <c r="M3388" s="12" t="s">
        <v>4936</v>
      </c>
      <c r="N3388" s="12"/>
      <c r="O3388" s="12" t="s">
        <v>4937</v>
      </c>
      <c r="P3388" s="12" t="str">
        <f>HYPERLINK("https://ceds.ed.gov/cedselementdetails.aspx?termid=9219")</f>
        <v>https://ceds.ed.gov/cedselementdetails.aspx?termid=9219</v>
      </c>
      <c r="Q3388" s="12" t="str">
        <f>HYPERLINK("https://ceds.ed.gov/elementComment.aspx?elementName=Primary Telephone Number Indicator &amp;elementID=9219", "Click here to submit comment")</f>
        <v>Click here to submit comment</v>
      </c>
    </row>
    <row r="3389" spans="1:17" ht="90" x14ac:dyDescent="0.25">
      <c r="A3389" s="12" t="s">
        <v>3078</v>
      </c>
      <c r="B3389" s="12" t="s">
        <v>7324</v>
      </c>
      <c r="C3389" s="12" t="s">
        <v>7204</v>
      </c>
      <c r="D3389" s="12" t="s">
        <v>7172</v>
      </c>
      <c r="E3389" s="12" t="s">
        <v>2653</v>
      </c>
      <c r="F3389" s="12" t="s">
        <v>2654</v>
      </c>
      <c r="G3389" s="13" t="s">
        <v>6898</v>
      </c>
      <c r="H3389" s="12" t="s">
        <v>6369</v>
      </c>
      <c r="I3389" s="12"/>
      <c r="J3389" s="12"/>
      <c r="K3389" s="12"/>
      <c r="L3389" s="12"/>
      <c r="M3389" s="12" t="s">
        <v>2655</v>
      </c>
      <c r="N3389" s="12" t="s">
        <v>2656</v>
      </c>
      <c r="O3389" s="12" t="s">
        <v>2657</v>
      </c>
      <c r="P3389" s="12" t="str">
        <f>HYPERLINK("https://ceds.ed.gov/cedselementdetails.aspx?termid=9089")</f>
        <v>https://ceds.ed.gov/cedselementdetails.aspx?termid=9089</v>
      </c>
      <c r="Q3389" s="12" t="str">
        <f>HYPERLINK("https://ceds.ed.gov/elementComment.aspx?elementName=Electronic Mail Address Type &amp;elementID=9089", "Click here to submit comment")</f>
        <v>Click here to submit comment</v>
      </c>
    </row>
    <row r="3390" spans="1:17" ht="90" x14ac:dyDescent="0.25">
      <c r="A3390" s="12" t="s">
        <v>3078</v>
      </c>
      <c r="B3390" s="12" t="s">
        <v>7324</v>
      </c>
      <c r="C3390" s="12" t="s">
        <v>7204</v>
      </c>
      <c r="D3390" s="12" t="s">
        <v>7172</v>
      </c>
      <c r="E3390" s="12" t="s">
        <v>2647</v>
      </c>
      <c r="F3390" s="12" t="s">
        <v>2648</v>
      </c>
      <c r="G3390" s="12" t="s">
        <v>12</v>
      </c>
      <c r="H3390" s="12" t="s">
        <v>6369</v>
      </c>
      <c r="I3390" s="12"/>
      <c r="J3390" s="12" t="s">
        <v>2649</v>
      </c>
      <c r="K3390" s="12"/>
      <c r="L3390" s="12"/>
      <c r="M3390" s="12" t="s">
        <v>2650</v>
      </c>
      <c r="N3390" s="12" t="s">
        <v>2651</v>
      </c>
      <c r="O3390" s="12" t="s">
        <v>2652</v>
      </c>
      <c r="P3390" s="12" t="str">
        <f>HYPERLINK("https://ceds.ed.gov/cedselementdetails.aspx?termid=9088")</f>
        <v>https://ceds.ed.gov/cedselementdetails.aspx?termid=9088</v>
      </c>
      <c r="Q3390" s="12" t="str">
        <f>HYPERLINK("https://ceds.ed.gov/elementComment.aspx?elementName=Electronic Mail Address &amp;elementID=9088", "Click here to submit comment")</f>
        <v>Click here to submit comment</v>
      </c>
    </row>
    <row r="3391" spans="1:17" ht="240" x14ac:dyDescent="0.25">
      <c r="A3391" s="12" t="s">
        <v>3078</v>
      </c>
      <c r="B3391" s="12" t="s">
        <v>7324</v>
      </c>
      <c r="C3391" s="12" t="s">
        <v>7178</v>
      </c>
      <c r="D3391" s="12" t="s">
        <v>7172</v>
      </c>
      <c r="E3391" s="12" t="s">
        <v>1571</v>
      </c>
      <c r="F3391" s="12" t="s">
        <v>1572</v>
      </c>
      <c r="G3391" s="12" t="s">
        <v>12</v>
      </c>
      <c r="H3391" s="12" t="s">
        <v>6432</v>
      </c>
      <c r="I3391" s="12"/>
      <c r="J3391" s="12" t="s">
        <v>73</v>
      </c>
      <c r="K3391" s="12"/>
      <c r="L3391" s="12"/>
      <c r="M3391" s="12" t="s">
        <v>1573</v>
      </c>
      <c r="N3391" s="12"/>
      <c r="O3391" s="12" t="s">
        <v>1571</v>
      </c>
      <c r="P3391" s="12" t="str">
        <f>HYPERLINK("https://ceds.ed.gov/cedselementdetails.aspx?termid=9033")</f>
        <v>https://ceds.ed.gov/cedselementdetails.aspx?termid=9033</v>
      </c>
      <c r="Q3391" s="12" t="str">
        <f>HYPERLINK("https://ceds.ed.gov/elementComment.aspx?elementName=Birthdate &amp;elementID=9033", "Click here to submit comment")</f>
        <v>Click here to submit comment</v>
      </c>
    </row>
    <row r="3392" spans="1:17" ht="255" x14ac:dyDescent="0.25">
      <c r="A3392" s="12" t="s">
        <v>3078</v>
      </c>
      <c r="B3392" s="12" t="s">
        <v>7324</v>
      </c>
      <c r="C3392" s="12" t="s">
        <v>7178</v>
      </c>
      <c r="D3392" s="12" t="s">
        <v>7172</v>
      </c>
      <c r="E3392" s="12" t="s">
        <v>5711</v>
      </c>
      <c r="F3392" s="12" t="s">
        <v>5712</v>
      </c>
      <c r="G3392" s="13" t="s">
        <v>7112</v>
      </c>
      <c r="H3392" s="12" t="s">
        <v>6666</v>
      </c>
      <c r="I3392" s="12"/>
      <c r="J3392" s="12"/>
      <c r="K3392" s="12"/>
      <c r="L3392" s="12" t="s">
        <v>5713</v>
      </c>
      <c r="M3392" s="12" t="s">
        <v>5714</v>
      </c>
      <c r="N3392" s="12"/>
      <c r="O3392" s="12" t="s">
        <v>5711</v>
      </c>
      <c r="P3392" s="12" t="str">
        <f>HYPERLINK("https://ceds.ed.gov/cedselementdetails.aspx?termid=9255")</f>
        <v>https://ceds.ed.gov/cedselementdetails.aspx?termid=9255</v>
      </c>
      <c r="Q3392" s="12" t="str">
        <f>HYPERLINK("https://ceds.ed.gov/elementComment.aspx?elementName=Sex &amp;elementID=9255", "Click here to submit comment")</f>
        <v>Click here to submit comment</v>
      </c>
    </row>
    <row r="3393" spans="1:17" ht="30" x14ac:dyDescent="0.25">
      <c r="A3393" s="18" t="s">
        <v>3078</v>
      </c>
      <c r="B3393" s="18" t="s">
        <v>7324</v>
      </c>
      <c r="C3393" s="18" t="s">
        <v>7178</v>
      </c>
      <c r="D3393" s="18" t="s">
        <v>7172</v>
      </c>
      <c r="E3393" s="18" t="s">
        <v>359</v>
      </c>
      <c r="F3393" s="18" t="s">
        <v>360</v>
      </c>
      <c r="G3393" s="20" t="s">
        <v>6749</v>
      </c>
      <c r="H3393" s="18" t="s">
        <v>6390</v>
      </c>
      <c r="I3393" s="18"/>
      <c r="J3393" s="18"/>
      <c r="K3393" s="18"/>
      <c r="L3393" s="12" t="s">
        <v>361</v>
      </c>
      <c r="M3393" s="18" t="s">
        <v>365</v>
      </c>
      <c r="N3393" s="18"/>
      <c r="O3393" s="18" t="s">
        <v>366</v>
      </c>
      <c r="P3393" s="18" t="str">
        <f>HYPERLINK("https://ceds.ed.gov/cedselementdetails.aspx?termid=9655")</f>
        <v>https://ceds.ed.gov/cedselementdetails.aspx?termid=9655</v>
      </c>
      <c r="Q3393" s="18" t="str">
        <f>HYPERLINK("https://ceds.ed.gov/elementComment.aspx?elementName=American Indian or Alaska Native &amp;elementID=9655", "Click here to submit comment")</f>
        <v>Click here to submit comment</v>
      </c>
    </row>
    <row r="3394" spans="1:17" x14ac:dyDescent="0.25">
      <c r="A3394" s="18"/>
      <c r="B3394" s="18"/>
      <c r="C3394" s="18"/>
      <c r="D3394" s="18"/>
      <c r="E3394" s="18"/>
      <c r="F3394" s="18"/>
      <c r="G3394" s="18"/>
      <c r="H3394" s="18"/>
      <c r="I3394" s="18"/>
      <c r="J3394" s="18"/>
      <c r="K3394" s="18"/>
      <c r="L3394" s="12"/>
      <c r="M3394" s="18"/>
      <c r="N3394" s="18"/>
      <c r="O3394" s="18"/>
      <c r="P3394" s="18"/>
      <c r="Q3394" s="18"/>
    </row>
    <row r="3395" spans="1:17" x14ac:dyDescent="0.25">
      <c r="A3395" s="18"/>
      <c r="B3395" s="18"/>
      <c r="C3395" s="18"/>
      <c r="D3395" s="18"/>
      <c r="E3395" s="18"/>
      <c r="F3395" s="18"/>
      <c r="G3395" s="18"/>
      <c r="H3395" s="18"/>
      <c r="I3395" s="18"/>
      <c r="J3395" s="18"/>
      <c r="K3395" s="18"/>
      <c r="L3395" s="12" t="s">
        <v>362</v>
      </c>
      <c r="M3395" s="18"/>
      <c r="N3395" s="18"/>
      <c r="O3395" s="18"/>
      <c r="P3395" s="18"/>
      <c r="Q3395" s="18"/>
    </row>
    <row r="3396" spans="1:17" ht="30" x14ac:dyDescent="0.25">
      <c r="A3396" s="18"/>
      <c r="B3396" s="18"/>
      <c r="C3396" s="18"/>
      <c r="D3396" s="18"/>
      <c r="E3396" s="18"/>
      <c r="F3396" s="18"/>
      <c r="G3396" s="18"/>
      <c r="H3396" s="18"/>
      <c r="I3396" s="18"/>
      <c r="J3396" s="18"/>
      <c r="K3396" s="18"/>
      <c r="L3396" s="12" t="s">
        <v>363</v>
      </c>
      <c r="M3396" s="18"/>
      <c r="N3396" s="18"/>
      <c r="O3396" s="18"/>
      <c r="P3396" s="18"/>
      <c r="Q3396" s="18"/>
    </row>
    <row r="3397" spans="1:17" x14ac:dyDescent="0.25">
      <c r="A3397" s="18"/>
      <c r="B3397" s="18"/>
      <c r="C3397" s="18"/>
      <c r="D3397" s="18"/>
      <c r="E3397" s="18"/>
      <c r="F3397" s="18"/>
      <c r="G3397" s="18"/>
      <c r="H3397" s="18"/>
      <c r="I3397" s="18"/>
      <c r="J3397" s="18"/>
      <c r="K3397" s="18"/>
      <c r="L3397" s="12" t="s">
        <v>364</v>
      </c>
      <c r="M3397" s="18"/>
      <c r="N3397" s="18"/>
      <c r="O3397" s="18"/>
      <c r="P3397" s="18"/>
      <c r="Q3397" s="18"/>
    </row>
    <row r="3398" spans="1:17" ht="30" x14ac:dyDescent="0.25">
      <c r="A3398" s="18" t="s">
        <v>3078</v>
      </c>
      <c r="B3398" s="18" t="s">
        <v>7324</v>
      </c>
      <c r="C3398" s="18" t="s">
        <v>7178</v>
      </c>
      <c r="D3398" s="18" t="s">
        <v>7172</v>
      </c>
      <c r="E3398" s="18" t="s">
        <v>401</v>
      </c>
      <c r="F3398" s="18" t="s">
        <v>402</v>
      </c>
      <c r="G3398" s="20" t="s">
        <v>6749</v>
      </c>
      <c r="H3398" s="18" t="s">
        <v>6390</v>
      </c>
      <c r="I3398" s="18"/>
      <c r="J3398" s="18"/>
      <c r="K3398" s="18"/>
      <c r="L3398" s="12" t="s">
        <v>361</v>
      </c>
      <c r="M3398" s="18" t="s">
        <v>403</v>
      </c>
      <c r="N3398" s="18"/>
      <c r="O3398" s="18" t="s">
        <v>401</v>
      </c>
      <c r="P3398" s="18" t="str">
        <f>HYPERLINK("https://ceds.ed.gov/cedselementdetails.aspx?termid=9656")</f>
        <v>https://ceds.ed.gov/cedselementdetails.aspx?termid=9656</v>
      </c>
      <c r="Q3398" s="18" t="str">
        <f>HYPERLINK("https://ceds.ed.gov/elementComment.aspx?elementName=Asian &amp;elementID=9656", "Click here to submit comment")</f>
        <v>Click here to submit comment</v>
      </c>
    </row>
    <row r="3399" spans="1:17" x14ac:dyDescent="0.25">
      <c r="A3399" s="18"/>
      <c r="B3399" s="18"/>
      <c r="C3399" s="18"/>
      <c r="D3399" s="18"/>
      <c r="E3399" s="18"/>
      <c r="F3399" s="18"/>
      <c r="G3399" s="18"/>
      <c r="H3399" s="18"/>
      <c r="I3399" s="18"/>
      <c r="J3399" s="18"/>
      <c r="K3399" s="18"/>
      <c r="L3399" s="12"/>
      <c r="M3399" s="18"/>
      <c r="N3399" s="18"/>
      <c r="O3399" s="18"/>
      <c r="P3399" s="18"/>
      <c r="Q3399" s="18"/>
    </row>
    <row r="3400" spans="1:17" x14ac:dyDescent="0.25">
      <c r="A3400" s="18"/>
      <c r="B3400" s="18"/>
      <c r="C3400" s="18"/>
      <c r="D3400" s="18"/>
      <c r="E3400" s="18"/>
      <c r="F3400" s="18"/>
      <c r="G3400" s="18"/>
      <c r="H3400" s="18"/>
      <c r="I3400" s="18"/>
      <c r="J3400" s="18"/>
      <c r="K3400" s="18"/>
      <c r="L3400" s="12" t="s">
        <v>362</v>
      </c>
      <c r="M3400" s="18"/>
      <c r="N3400" s="18"/>
      <c r="O3400" s="18"/>
      <c r="P3400" s="18"/>
      <c r="Q3400" s="18"/>
    </row>
    <row r="3401" spans="1:17" ht="30" x14ac:dyDescent="0.25">
      <c r="A3401" s="18"/>
      <c r="B3401" s="18"/>
      <c r="C3401" s="18"/>
      <c r="D3401" s="18"/>
      <c r="E3401" s="18"/>
      <c r="F3401" s="18"/>
      <c r="G3401" s="18"/>
      <c r="H3401" s="18"/>
      <c r="I3401" s="18"/>
      <c r="J3401" s="18"/>
      <c r="K3401" s="18"/>
      <c r="L3401" s="12" t="s">
        <v>363</v>
      </c>
      <c r="M3401" s="18"/>
      <c r="N3401" s="18"/>
      <c r="O3401" s="18"/>
      <c r="P3401" s="18"/>
      <c r="Q3401" s="18"/>
    </row>
    <row r="3402" spans="1:17" x14ac:dyDescent="0.25">
      <c r="A3402" s="18"/>
      <c r="B3402" s="18"/>
      <c r="C3402" s="18"/>
      <c r="D3402" s="18"/>
      <c r="E3402" s="18"/>
      <c r="F3402" s="18"/>
      <c r="G3402" s="18"/>
      <c r="H3402" s="18"/>
      <c r="I3402" s="18"/>
      <c r="J3402" s="18"/>
      <c r="K3402" s="18"/>
      <c r="L3402" s="12" t="s">
        <v>364</v>
      </c>
      <c r="M3402" s="18"/>
      <c r="N3402" s="18"/>
      <c r="O3402" s="18"/>
      <c r="P3402" s="18"/>
      <c r="Q3402" s="18"/>
    </row>
    <row r="3403" spans="1:17" ht="30" x14ac:dyDescent="0.25">
      <c r="A3403" s="18" t="s">
        <v>3078</v>
      </c>
      <c r="B3403" s="18" t="s">
        <v>7324</v>
      </c>
      <c r="C3403" s="18" t="s">
        <v>7178</v>
      </c>
      <c r="D3403" s="18" t="s">
        <v>7172</v>
      </c>
      <c r="E3403" s="18" t="s">
        <v>1579</v>
      </c>
      <c r="F3403" s="18" t="s">
        <v>1580</v>
      </c>
      <c r="G3403" s="20" t="s">
        <v>6749</v>
      </c>
      <c r="H3403" s="18" t="s">
        <v>6390</v>
      </c>
      <c r="I3403" s="18"/>
      <c r="J3403" s="18"/>
      <c r="K3403" s="18"/>
      <c r="L3403" s="12" t="s">
        <v>361</v>
      </c>
      <c r="M3403" s="18" t="s">
        <v>1581</v>
      </c>
      <c r="N3403" s="18"/>
      <c r="O3403" s="18" t="s">
        <v>1582</v>
      </c>
      <c r="P3403" s="18" t="str">
        <f>HYPERLINK("https://ceds.ed.gov/cedselementdetails.aspx?termid=9657")</f>
        <v>https://ceds.ed.gov/cedselementdetails.aspx?termid=9657</v>
      </c>
      <c r="Q3403" s="18" t="str">
        <f>HYPERLINK("https://ceds.ed.gov/elementComment.aspx?elementName=Black or African American &amp;elementID=9657", "Click here to submit comment")</f>
        <v>Click here to submit comment</v>
      </c>
    </row>
    <row r="3404" spans="1:17" x14ac:dyDescent="0.25">
      <c r="A3404" s="18"/>
      <c r="B3404" s="18"/>
      <c r="C3404" s="18"/>
      <c r="D3404" s="18"/>
      <c r="E3404" s="18"/>
      <c r="F3404" s="18"/>
      <c r="G3404" s="18"/>
      <c r="H3404" s="18"/>
      <c r="I3404" s="18"/>
      <c r="J3404" s="18"/>
      <c r="K3404" s="18"/>
      <c r="L3404" s="12"/>
      <c r="M3404" s="18"/>
      <c r="N3404" s="18"/>
      <c r="O3404" s="18"/>
      <c r="P3404" s="18"/>
      <c r="Q3404" s="18"/>
    </row>
    <row r="3405" spans="1:17" x14ac:dyDescent="0.25">
      <c r="A3405" s="18"/>
      <c r="B3405" s="18"/>
      <c r="C3405" s="18"/>
      <c r="D3405" s="18"/>
      <c r="E3405" s="18"/>
      <c r="F3405" s="18"/>
      <c r="G3405" s="18"/>
      <c r="H3405" s="18"/>
      <c r="I3405" s="18"/>
      <c r="J3405" s="18"/>
      <c r="K3405" s="18"/>
      <c r="L3405" s="12" t="s">
        <v>362</v>
      </c>
      <c r="M3405" s="18"/>
      <c r="N3405" s="18"/>
      <c r="O3405" s="18"/>
      <c r="P3405" s="18"/>
      <c r="Q3405" s="18"/>
    </row>
    <row r="3406" spans="1:17" ht="30" x14ac:dyDescent="0.25">
      <c r="A3406" s="18"/>
      <c r="B3406" s="18"/>
      <c r="C3406" s="18"/>
      <c r="D3406" s="18"/>
      <c r="E3406" s="18"/>
      <c r="F3406" s="18"/>
      <c r="G3406" s="18"/>
      <c r="H3406" s="18"/>
      <c r="I3406" s="18"/>
      <c r="J3406" s="18"/>
      <c r="K3406" s="18"/>
      <c r="L3406" s="12" t="s">
        <v>363</v>
      </c>
      <c r="M3406" s="18"/>
      <c r="N3406" s="18"/>
      <c r="O3406" s="18"/>
      <c r="P3406" s="18"/>
      <c r="Q3406" s="18"/>
    </row>
    <row r="3407" spans="1:17" x14ac:dyDescent="0.25">
      <c r="A3407" s="18"/>
      <c r="B3407" s="18"/>
      <c r="C3407" s="18"/>
      <c r="D3407" s="18"/>
      <c r="E3407" s="18"/>
      <c r="F3407" s="18"/>
      <c r="G3407" s="18"/>
      <c r="H3407" s="18"/>
      <c r="I3407" s="18"/>
      <c r="J3407" s="18"/>
      <c r="K3407" s="18"/>
      <c r="L3407" s="12" t="s">
        <v>364</v>
      </c>
      <c r="M3407" s="18"/>
      <c r="N3407" s="18"/>
      <c r="O3407" s="18"/>
      <c r="P3407" s="18"/>
      <c r="Q3407" s="18"/>
    </row>
    <row r="3408" spans="1:17" ht="30" x14ac:dyDescent="0.25">
      <c r="A3408" s="18" t="s">
        <v>3078</v>
      </c>
      <c r="B3408" s="18" t="s">
        <v>7324</v>
      </c>
      <c r="C3408" s="18" t="s">
        <v>7178</v>
      </c>
      <c r="D3408" s="18" t="s">
        <v>7172</v>
      </c>
      <c r="E3408" s="18" t="s">
        <v>4536</v>
      </c>
      <c r="F3408" s="18" t="s">
        <v>4537</v>
      </c>
      <c r="G3408" s="20" t="s">
        <v>6749</v>
      </c>
      <c r="H3408" s="18" t="s">
        <v>6390</v>
      </c>
      <c r="I3408" s="18"/>
      <c r="J3408" s="18"/>
      <c r="K3408" s="18"/>
      <c r="L3408" s="12" t="s">
        <v>361</v>
      </c>
      <c r="M3408" s="18" t="s">
        <v>4538</v>
      </c>
      <c r="N3408" s="18"/>
      <c r="O3408" s="18" t="s">
        <v>4539</v>
      </c>
      <c r="P3408" s="18" t="str">
        <f>HYPERLINK("https://ceds.ed.gov/cedselementdetails.aspx?termid=9658")</f>
        <v>https://ceds.ed.gov/cedselementdetails.aspx?termid=9658</v>
      </c>
      <c r="Q3408" s="18" t="str">
        <f>HYPERLINK("https://ceds.ed.gov/elementComment.aspx?elementName=Native Hawaiian or Other Pacific Islander &amp;elementID=9658", "Click here to submit comment")</f>
        <v>Click here to submit comment</v>
      </c>
    </row>
    <row r="3409" spans="1:17" x14ac:dyDescent="0.25">
      <c r="A3409" s="18"/>
      <c r="B3409" s="18"/>
      <c r="C3409" s="18"/>
      <c r="D3409" s="18"/>
      <c r="E3409" s="18"/>
      <c r="F3409" s="18"/>
      <c r="G3409" s="18"/>
      <c r="H3409" s="18"/>
      <c r="I3409" s="18"/>
      <c r="J3409" s="18"/>
      <c r="K3409" s="18"/>
      <c r="L3409" s="12"/>
      <c r="M3409" s="18"/>
      <c r="N3409" s="18"/>
      <c r="O3409" s="18"/>
      <c r="P3409" s="18"/>
      <c r="Q3409" s="18"/>
    </row>
    <row r="3410" spans="1:17" x14ac:dyDescent="0.25">
      <c r="A3410" s="18"/>
      <c r="B3410" s="18"/>
      <c r="C3410" s="18"/>
      <c r="D3410" s="18"/>
      <c r="E3410" s="18"/>
      <c r="F3410" s="18"/>
      <c r="G3410" s="18"/>
      <c r="H3410" s="18"/>
      <c r="I3410" s="18"/>
      <c r="J3410" s="18"/>
      <c r="K3410" s="18"/>
      <c r="L3410" s="12" t="s">
        <v>362</v>
      </c>
      <c r="M3410" s="18"/>
      <c r="N3410" s="18"/>
      <c r="O3410" s="18"/>
      <c r="P3410" s="18"/>
      <c r="Q3410" s="18"/>
    </row>
    <row r="3411" spans="1:17" ht="30" x14ac:dyDescent="0.25">
      <c r="A3411" s="18"/>
      <c r="B3411" s="18"/>
      <c r="C3411" s="18"/>
      <c r="D3411" s="18"/>
      <c r="E3411" s="18"/>
      <c r="F3411" s="18"/>
      <c r="G3411" s="18"/>
      <c r="H3411" s="18"/>
      <c r="I3411" s="18"/>
      <c r="J3411" s="18"/>
      <c r="K3411" s="18"/>
      <c r="L3411" s="12" t="s">
        <v>363</v>
      </c>
      <c r="M3411" s="18"/>
      <c r="N3411" s="18"/>
      <c r="O3411" s="18"/>
      <c r="P3411" s="18"/>
      <c r="Q3411" s="18"/>
    </row>
    <row r="3412" spans="1:17" x14ac:dyDescent="0.25">
      <c r="A3412" s="18"/>
      <c r="B3412" s="18"/>
      <c r="C3412" s="18"/>
      <c r="D3412" s="18"/>
      <c r="E3412" s="18"/>
      <c r="F3412" s="18"/>
      <c r="G3412" s="18"/>
      <c r="H3412" s="18"/>
      <c r="I3412" s="18"/>
      <c r="J3412" s="18"/>
      <c r="K3412" s="18"/>
      <c r="L3412" s="12" t="s">
        <v>364</v>
      </c>
      <c r="M3412" s="18"/>
      <c r="N3412" s="18"/>
      <c r="O3412" s="18"/>
      <c r="P3412" s="18"/>
      <c r="Q3412" s="18"/>
    </row>
    <row r="3413" spans="1:17" ht="30" x14ac:dyDescent="0.25">
      <c r="A3413" s="18" t="s">
        <v>3078</v>
      </c>
      <c r="B3413" s="18" t="s">
        <v>7324</v>
      </c>
      <c r="C3413" s="18" t="s">
        <v>7178</v>
      </c>
      <c r="D3413" s="18" t="s">
        <v>7172</v>
      </c>
      <c r="E3413" s="18" t="s">
        <v>6333</v>
      </c>
      <c r="F3413" s="18" t="s">
        <v>6334</v>
      </c>
      <c r="G3413" s="20" t="s">
        <v>6749</v>
      </c>
      <c r="H3413" s="18" t="s">
        <v>6390</v>
      </c>
      <c r="I3413" s="18"/>
      <c r="J3413" s="18"/>
      <c r="K3413" s="18"/>
      <c r="L3413" s="12" t="s">
        <v>361</v>
      </c>
      <c r="M3413" s="18" t="s">
        <v>6335</v>
      </c>
      <c r="N3413" s="18"/>
      <c r="O3413" s="18" t="s">
        <v>6333</v>
      </c>
      <c r="P3413" s="18" t="str">
        <f>HYPERLINK("https://ceds.ed.gov/cedselementdetails.aspx?termid=9659")</f>
        <v>https://ceds.ed.gov/cedselementdetails.aspx?termid=9659</v>
      </c>
      <c r="Q3413" s="18" t="str">
        <f>HYPERLINK("https://ceds.ed.gov/elementComment.aspx?elementName=White &amp;elementID=9659", "Click here to submit comment")</f>
        <v>Click here to submit comment</v>
      </c>
    </row>
    <row r="3414" spans="1:17" x14ac:dyDescent="0.25">
      <c r="A3414" s="18"/>
      <c r="B3414" s="18"/>
      <c r="C3414" s="18"/>
      <c r="D3414" s="18"/>
      <c r="E3414" s="18"/>
      <c r="F3414" s="18"/>
      <c r="G3414" s="18"/>
      <c r="H3414" s="18"/>
      <c r="I3414" s="18"/>
      <c r="J3414" s="18"/>
      <c r="K3414" s="18"/>
      <c r="L3414" s="12"/>
      <c r="M3414" s="18"/>
      <c r="N3414" s="18"/>
      <c r="O3414" s="18"/>
      <c r="P3414" s="18"/>
      <c r="Q3414" s="18"/>
    </row>
    <row r="3415" spans="1:17" x14ac:dyDescent="0.25">
      <c r="A3415" s="18"/>
      <c r="B3415" s="18"/>
      <c r="C3415" s="18"/>
      <c r="D3415" s="18"/>
      <c r="E3415" s="18"/>
      <c r="F3415" s="18"/>
      <c r="G3415" s="18"/>
      <c r="H3415" s="18"/>
      <c r="I3415" s="18"/>
      <c r="J3415" s="18"/>
      <c r="K3415" s="18"/>
      <c r="L3415" s="12" t="s">
        <v>362</v>
      </c>
      <c r="M3415" s="18"/>
      <c r="N3415" s="18"/>
      <c r="O3415" s="18"/>
      <c r="P3415" s="18"/>
      <c r="Q3415" s="18"/>
    </row>
    <row r="3416" spans="1:17" ht="30" x14ac:dyDescent="0.25">
      <c r="A3416" s="18"/>
      <c r="B3416" s="18"/>
      <c r="C3416" s="18"/>
      <c r="D3416" s="18"/>
      <c r="E3416" s="18"/>
      <c r="F3416" s="18"/>
      <c r="G3416" s="18"/>
      <c r="H3416" s="18"/>
      <c r="I3416" s="18"/>
      <c r="J3416" s="18"/>
      <c r="K3416" s="18"/>
      <c r="L3416" s="12" t="s">
        <v>363</v>
      </c>
      <c r="M3416" s="18"/>
      <c r="N3416" s="18"/>
      <c r="O3416" s="18"/>
      <c r="P3416" s="18"/>
      <c r="Q3416" s="18"/>
    </row>
    <row r="3417" spans="1:17" x14ac:dyDescent="0.25">
      <c r="A3417" s="18"/>
      <c r="B3417" s="18"/>
      <c r="C3417" s="18"/>
      <c r="D3417" s="18"/>
      <c r="E3417" s="18"/>
      <c r="F3417" s="18"/>
      <c r="G3417" s="18"/>
      <c r="H3417" s="18"/>
      <c r="I3417" s="18"/>
      <c r="J3417" s="18"/>
      <c r="K3417" s="18"/>
      <c r="L3417" s="12" t="s">
        <v>364</v>
      </c>
      <c r="M3417" s="18"/>
      <c r="N3417" s="18"/>
      <c r="O3417" s="18"/>
      <c r="P3417" s="18"/>
      <c r="Q3417" s="18"/>
    </row>
    <row r="3418" spans="1:17" ht="30" x14ac:dyDescent="0.25">
      <c r="A3418" s="18" t="s">
        <v>3078</v>
      </c>
      <c r="B3418" s="18" t="s">
        <v>7324</v>
      </c>
      <c r="C3418" s="18" t="s">
        <v>7178</v>
      </c>
      <c r="D3418" s="18" t="s">
        <v>7172</v>
      </c>
      <c r="E3418" s="18" t="s">
        <v>3227</v>
      </c>
      <c r="F3418" s="18" t="s">
        <v>3228</v>
      </c>
      <c r="G3418" s="20" t="s">
        <v>6749</v>
      </c>
      <c r="H3418" s="18" t="s">
        <v>6390</v>
      </c>
      <c r="I3418" s="18"/>
      <c r="J3418" s="18"/>
      <c r="K3418" s="18"/>
      <c r="L3418" s="12" t="s">
        <v>361</v>
      </c>
      <c r="M3418" s="18" t="s">
        <v>3229</v>
      </c>
      <c r="N3418" s="18"/>
      <c r="O3418" s="18" t="s">
        <v>3230</v>
      </c>
      <c r="P3418" s="18" t="str">
        <f>HYPERLINK("https://ceds.ed.gov/cedselementdetails.aspx?termid=9144")</f>
        <v>https://ceds.ed.gov/cedselementdetails.aspx?termid=9144</v>
      </c>
      <c r="Q3418" s="18" t="str">
        <f>HYPERLINK("https://ceds.ed.gov/elementComment.aspx?elementName=Hispanic or Latino Ethnicity &amp;elementID=9144", "Click here to submit comment")</f>
        <v>Click here to submit comment</v>
      </c>
    </row>
    <row r="3419" spans="1:17" x14ac:dyDescent="0.25">
      <c r="A3419" s="18"/>
      <c r="B3419" s="18"/>
      <c r="C3419" s="18"/>
      <c r="D3419" s="18"/>
      <c r="E3419" s="18"/>
      <c r="F3419" s="18"/>
      <c r="G3419" s="18"/>
      <c r="H3419" s="18"/>
      <c r="I3419" s="18"/>
      <c r="J3419" s="18"/>
      <c r="K3419" s="18"/>
      <c r="L3419" s="12"/>
      <c r="M3419" s="18"/>
      <c r="N3419" s="18"/>
      <c r="O3419" s="18"/>
      <c r="P3419" s="18"/>
      <c r="Q3419" s="18"/>
    </row>
    <row r="3420" spans="1:17" x14ac:dyDescent="0.25">
      <c r="A3420" s="18"/>
      <c r="B3420" s="18"/>
      <c r="C3420" s="18"/>
      <c r="D3420" s="18"/>
      <c r="E3420" s="18"/>
      <c r="F3420" s="18"/>
      <c r="G3420" s="18"/>
      <c r="H3420" s="18"/>
      <c r="I3420" s="18"/>
      <c r="J3420" s="18"/>
      <c r="K3420" s="18"/>
      <c r="L3420" s="12" t="s">
        <v>362</v>
      </c>
      <c r="M3420" s="18"/>
      <c r="N3420" s="18"/>
      <c r="O3420" s="18"/>
      <c r="P3420" s="18"/>
      <c r="Q3420" s="18"/>
    </row>
    <row r="3421" spans="1:17" ht="30" x14ac:dyDescent="0.25">
      <c r="A3421" s="18"/>
      <c r="B3421" s="18"/>
      <c r="C3421" s="18"/>
      <c r="D3421" s="18"/>
      <c r="E3421" s="18"/>
      <c r="F3421" s="18"/>
      <c r="G3421" s="18"/>
      <c r="H3421" s="18"/>
      <c r="I3421" s="18"/>
      <c r="J3421" s="18"/>
      <c r="K3421" s="18"/>
      <c r="L3421" s="12" t="s">
        <v>363</v>
      </c>
      <c r="M3421" s="18"/>
      <c r="N3421" s="18"/>
      <c r="O3421" s="18"/>
      <c r="P3421" s="18"/>
      <c r="Q3421" s="18"/>
    </row>
    <row r="3422" spans="1:17" x14ac:dyDescent="0.25">
      <c r="A3422" s="18"/>
      <c r="B3422" s="18"/>
      <c r="C3422" s="18"/>
      <c r="D3422" s="18"/>
      <c r="E3422" s="18"/>
      <c r="F3422" s="18"/>
      <c r="G3422" s="18"/>
      <c r="H3422" s="18"/>
      <c r="I3422" s="18"/>
      <c r="J3422" s="18"/>
      <c r="K3422" s="18"/>
      <c r="L3422" s="12" t="s">
        <v>364</v>
      </c>
      <c r="M3422" s="18"/>
      <c r="N3422" s="18"/>
      <c r="O3422" s="18"/>
      <c r="P3422" s="18"/>
      <c r="Q3422" s="18"/>
    </row>
    <row r="3423" spans="1:17" ht="75" x14ac:dyDescent="0.25">
      <c r="A3423" s="12" t="s">
        <v>3078</v>
      </c>
      <c r="B3423" s="12" t="s">
        <v>7324</v>
      </c>
      <c r="C3423" s="12" t="s">
        <v>7178</v>
      </c>
      <c r="D3423" s="12" t="s">
        <v>7172</v>
      </c>
      <c r="E3423" s="12" t="s">
        <v>4472</v>
      </c>
      <c r="F3423" s="12" t="s">
        <v>4473</v>
      </c>
      <c r="G3423" s="13" t="s">
        <v>7034</v>
      </c>
      <c r="H3423" s="12"/>
      <c r="I3423" s="12"/>
      <c r="J3423" s="12"/>
      <c r="K3423" s="12"/>
      <c r="L3423" s="12"/>
      <c r="M3423" s="12" t="s">
        <v>4474</v>
      </c>
      <c r="N3423" s="12"/>
      <c r="O3423" s="12" t="s">
        <v>4475</v>
      </c>
      <c r="P3423" s="12" t="str">
        <f>HYPERLINK("https://ceds.ed.gov/cedselementdetails.aspx?termid=10556")</f>
        <v>https://ceds.ed.gov/cedselementdetails.aspx?termid=10556</v>
      </c>
      <c r="Q3423" s="12" t="str">
        <f>HYPERLINK("https://ceds.ed.gov/elementComment.aspx?elementName=Military Active Student Indicator &amp;elementID=10556", "Click here to submit comment")</f>
        <v>Click here to submit comment</v>
      </c>
    </row>
    <row r="3424" spans="1:17" ht="105" x14ac:dyDescent="0.25">
      <c r="A3424" s="12" t="s">
        <v>3078</v>
      </c>
      <c r="B3424" s="12" t="s">
        <v>7324</v>
      </c>
      <c r="C3424" s="12" t="s">
        <v>7178</v>
      </c>
      <c r="D3424" s="12" t="s">
        <v>7172</v>
      </c>
      <c r="E3424" s="12" t="s">
        <v>4476</v>
      </c>
      <c r="F3424" s="12" t="s">
        <v>4477</v>
      </c>
      <c r="G3424" s="13" t="s">
        <v>7035</v>
      </c>
      <c r="H3424" s="12"/>
      <c r="I3424" s="12" t="s">
        <v>1498</v>
      </c>
      <c r="J3424" s="12"/>
      <c r="K3424" s="12"/>
      <c r="L3424" s="12"/>
      <c r="M3424" s="12" t="s">
        <v>4478</v>
      </c>
      <c r="N3424" s="12"/>
      <c r="O3424" s="12" t="s">
        <v>4479</v>
      </c>
      <c r="P3424" s="12" t="str">
        <f>HYPERLINK("https://ceds.ed.gov/cedselementdetails.aspx?termid=10621")</f>
        <v>https://ceds.ed.gov/cedselementdetails.aspx?termid=10621</v>
      </c>
      <c r="Q3424" s="12" t="str">
        <f>HYPERLINK("https://ceds.ed.gov/elementComment.aspx?elementName=Military Branch &amp;elementID=10621", "Click here to submit comment")</f>
        <v>Click here to submit comment</v>
      </c>
    </row>
    <row r="3425" spans="1:17" ht="75" x14ac:dyDescent="0.25">
      <c r="A3425" s="12" t="s">
        <v>3078</v>
      </c>
      <c r="B3425" s="12" t="s">
        <v>7324</v>
      </c>
      <c r="C3425" s="12" t="s">
        <v>7178</v>
      </c>
      <c r="D3425" s="12" t="s">
        <v>7172</v>
      </c>
      <c r="E3425" s="12" t="s">
        <v>4489</v>
      </c>
      <c r="F3425" s="12" t="s">
        <v>4490</v>
      </c>
      <c r="G3425" s="13" t="s">
        <v>7037</v>
      </c>
      <c r="H3425" s="12"/>
      <c r="I3425" s="12"/>
      <c r="J3425" s="12"/>
      <c r="K3425" s="12"/>
      <c r="L3425" s="12"/>
      <c r="M3425" s="12" t="s">
        <v>4491</v>
      </c>
      <c r="N3425" s="12"/>
      <c r="O3425" s="12" t="s">
        <v>4492</v>
      </c>
      <c r="P3425" s="12" t="str">
        <f>HYPERLINK("https://ceds.ed.gov/cedselementdetails.aspx?termid=10557")</f>
        <v>https://ceds.ed.gov/cedselementdetails.aspx?termid=10557</v>
      </c>
      <c r="Q3425" s="12" t="str">
        <f>HYPERLINK("https://ceds.ed.gov/elementComment.aspx?elementName=Military Veteran Student Indicator &amp;elementID=10557", "Click here to submit comment")</f>
        <v>Click here to submit comment</v>
      </c>
    </row>
    <row r="3426" spans="1:17" ht="120" x14ac:dyDescent="0.25">
      <c r="A3426" s="12" t="s">
        <v>3078</v>
      </c>
      <c r="B3426" s="12" t="s">
        <v>7324</v>
      </c>
      <c r="C3426" s="12" t="s">
        <v>7258</v>
      </c>
      <c r="D3426" s="12" t="s">
        <v>7172</v>
      </c>
      <c r="E3426" s="12" t="s">
        <v>4588</v>
      </c>
      <c r="F3426" s="12" t="s">
        <v>4589</v>
      </c>
      <c r="G3426" s="12" t="s">
        <v>12</v>
      </c>
      <c r="H3426" s="12" t="s">
        <v>6596</v>
      </c>
      <c r="I3426" s="12"/>
      <c r="J3426" s="12" t="s">
        <v>1554</v>
      </c>
      <c r="K3426" s="12"/>
      <c r="L3426" s="12"/>
      <c r="M3426" s="12" t="s">
        <v>4590</v>
      </c>
      <c r="N3426" s="12"/>
      <c r="O3426" s="12" t="s">
        <v>4591</v>
      </c>
      <c r="P3426" s="12" t="str">
        <f>HYPERLINK("https://ceds.ed.gov/cedselementdetails.aspx?termid=9200")</f>
        <v>https://ceds.ed.gov/cedselementdetails.aspx?termid=9200</v>
      </c>
      <c r="Q3426" s="12" t="str">
        <f>HYPERLINK("https://ceds.ed.gov/elementComment.aspx?elementName=Number of Credits Earned &amp;elementID=9200", "Click here to submit comment")</f>
        <v>Click here to submit comment</v>
      </c>
    </row>
    <row r="3427" spans="1:17" ht="60" x14ac:dyDescent="0.25">
      <c r="A3427" s="12" t="s">
        <v>3078</v>
      </c>
      <c r="B3427" s="12" t="s">
        <v>7324</v>
      </c>
      <c r="C3427" s="12" t="s">
        <v>7261</v>
      </c>
      <c r="D3427" s="12" t="s">
        <v>7176</v>
      </c>
      <c r="E3427" s="12" t="s">
        <v>10</v>
      </c>
      <c r="F3427" s="12" t="s">
        <v>11</v>
      </c>
      <c r="G3427" s="12" t="s">
        <v>12</v>
      </c>
      <c r="H3427" s="12" t="s">
        <v>6367</v>
      </c>
      <c r="I3427" s="12"/>
      <c r="J3427" s="12" t="s">
        <v>13</v>
      </c>
      <c r="K3427" s="12"/>
      <c r="L3427" s="12"/>
      <c r="M3427" s="12" t="s">
        <v>14</v>
      </c>
      <c r="N3427" s="12"/>
      <c r="O3427" s="12" t="s">
        <v>15</v>
      </c>
      <c r="P3427" s="12" t="str">
        <f>HYPERLINK("https://ceds.ed.gov/cedselementdetails.aspx?termid=9001")</f>
        <v>https://ceds.ed.gov/cedselementdetails.aspx?termid=9001</v>
      </c>
      <c r="Q3427" s="12" t="str">
        <f>HYPERLINK("https://ceds.ed.gov/elementComment.aspx?elementName=Academic Award Date &amp;elementID=9001", "Click here to submit comment")</f>
        <v>Click here to submit comment</v>
      </c>
    </row>
    <row r="3428" spans="1:17" ht="285" x14ac:dyDescent="0.25">
      <c r="A3428" s="12" t="s">
        <v>3078</v>
      </c>
      <c r="B3428" s="12" t="s">
        <v>7324</v>
      </c>
      <c r="C3428" s="12" t="s">
        <v>7261</v>
      </c>
      <c r="D3428" s="12" t="s">
        <v>7176</v>
      </c>
      <c r="E3428" s="12" t="s">
        <v>16</v>
      </c>
      <c r="F3428" s="12" t="s">
        <v>17</v>
      </c>
      <c r="G3428" s="13" t="s">
        <v>6718</v>
      </c>
      <c r="H3428" s="12" t="s">
        <v>6368</v>
      </c>
      <c r="I3428" s="12"/>
      <c r="J3428" s="12"/>
      <c r="K3428" s="12"/>
      <c r="L3428" s="12"/>
      <c r="M3428" s="12" t="s">
        <v>18</v>
      </c>
      <c r="N3428" s="12"/>
      <c r="O3428" s="12" t="s">
        <v>19</v>
      </c>
      <c r="P3428" s="12" t="str">
        <f>HYPERLINK("https://ceds.ed.gov/cedselementdetails.aspx?termid=9002")</f>
        <v>https://ceds.ed.gov/cedselementdetails.aspx?termid=9002</v>
      </c>
      <c r="Q3428" s="12" t="str">
        <f>HYPERLINK("https://ceds.ed.gov/elementComment.aspx?elementName=Academic Award Level Conferred &amp;elementID=9002", "Click here to submit comment")</f>
        <v>Click here to submit comment</v>
      </c>
    </row>
    <row r="3429" spans="1:17" ht="30" x14ac:dyDescent="0.25">
      <c r="A3429" s="12" t="s">
        <v>3078</v>
      </c>
      <c r="B3429" s="12" t="s">
        <v>7324</v>
      </c>
      <c r="C3429" s="12" t="s">
        <v>7261</v>
      </c>
      <c r="D3429" s="12" t="s">
        <v>7176</v>
      </c>
      <c r="E3429" s="12" t="s">
        <v>20</v>
      </c>
      <c r="F3429" s="12" t="s">
        <v>21</v>
      </c>
      <c r="G3429" s="12" t="s">
        <v>12</v>
      </c>
      <c r="H3429" s="12" t="s">
        <v>25</v>
      </c>
      <c r="I3429" s="12"/>
      <c r="J3429" s="12" t="s">
        <v>22</v>
      </c>
      <c r="K3429" s="12"/>
      <c r="L3429" s="12"/>
      <c r="M3429" s="12" t="s">
        <v>23</v>
      </c>
      <c r="N3429" s="12"/>
      <c r="O3429" s="12" t="s">
        <v>24</v>
      </c>
      <c r="P3429" s="12" t="str">
        <f>HYPERLINK("https://ceds.ed.gov/cedselementdetails.aspx?termid=9003")</f>
        <v>https://ceds.ed.gov/cedselementdetails.aspx?termid=9003</v>
      </c>
      <c r="Q3429" s="12" t="str">
        <f>HYPERLINK("https://ceds.ed.gov/elementComment.aspx?elementName=Academic Award Title &amp;elementID=9003", "Click here to submit comment")</f>
        <v>Click here to submit comment</v>
      </c>
    </row>
    <row r="3430" spans="1:17" ht="75" x14ac:dyDescent="0.25">
      <c r="A3430" s="12" t="s">
        <v>3078</v>
      </c>
      <c r="B3430" s="12" t="s">
        <v>7324</v>
      </c>
      <c r="C3430" s="12" t="s">
        <v>7261</v>
      </c>
      <c r="D3430" s="12" t="s">
        <v>7176</v>
      </c>
      <c r="E3430" s="12" t="s">
        <v>1826</v>
      </c>
      <c r="F3430" s="12" t="s">
        <v>1827</v>
      </c>
      <c r="G3430" s="14" t="s">
        <v>1828</v>
      </c>
      <c r="H3430" s="12" t="s">
        <v>6368</v>
      </c>
      <c r="I3430" s="12"/>
      <c r="J3430" s="12"/>
      <c r="K3430" s="12"/>
      <c r="L3430" s="12"/>
      <c r="M3430" s="12" t="s">
        <v>1829</v>
      </c>
      <c r="N3430" s="12" t="s">
        <v>1830</v>
      </c>
      <c r="O3430" s="12" t="s">
        <v>1831</v>
      </c>
      <c r="P3430" s="12" t="str">
        <f>HYPERLINK("https://ceds.ed.gov/cedselementdetails.aspx?termid=9043")</f>
        <v>https://ceds.ed.gov/cedselementdetails.aspx?termid=9043</v>
      </c>
      <c r="Q3430" s="12" t="str">
        <f>HYPERLINK("https://ceds.ed.gov/elementComment.aspx?elementName=Classification of Instructional Program Code &amp;elementID=9043", "Click here to submit comment")</f>
        <v>Click here to submit comment</v>
      </c>
    </row>
    <row r="3431" spans="1:17" ht="135" x14ac:dyDescent="0.25">
      <c r="A3431" s="12" t="s">
        <v>3078</v>
      </c>
      <c r="B3431" s="12" t="s">
        <v>7324</v>
      </c>
      <c r="C3431" s="12" t="s">
        <v>7261</v>
      </c>
      <c r="D3431" s="12" t="s">
        <v>7176</v>
      </c>
      <c r="E3431" s="12" t="s">
        <v>1832</v>
      </c>
      <c r="F3431" s="12" t="s">
        <v>1833</v>
      </c>
      <c r="G3431" s="13" t="s">
        <v>6818</v>
      </c>
      <c r="H3431" s="12" t="s">
        <v>6380</v>
      </c>
      <c r="I3431" s="12"/>
      <c r="J3431" s="12"/>
      <c r="K3431" s="12"/>
      <c r="L3431" s="12"/>
      <c r="M3431" s="12" t="s">
        <v>1834</v>
      </c>
      <c r="N3431" s="12" t="s">
        <v>1835</v>
      </c>
      <c r="O3431" s="12" t="s">
        <v>1836</v>
      </c>
      <c r="P3431" s="12" t="str">
        <f>HYPERLINK("https://ceds.ed.gov/cedselementdetails.aspx?termid=9044")</f>
        <v>https://ceds.ed.gov/cedselementdetails.aspx?termid=9044</v>
      </c>
      <c r="Q3431" s="12" t="str">
        <f>HYPERLINK("https://ceds.ed.gov/elementComment.aspx?elementName=Classification of Instructional Program Use &amp;elementID=9044", "Click here to submit comment")</f>
        <v>Click here to submit comment</v>
      </c>
    </row>
    <row r="3432" spans="1:17" ht="90" x14ac:dyDescent="0.25">
      <c r="A3432" s="12" t="s">
        <v>3078</v>
      </c>
      <c r="B3432" s="12" t="s">
        <v>7324</v>
      </c>
      <c r="C3432" s="12" t="s">
        <v>7261</v>
      </c>
      <c r="D3432" s="12" t="s">
        <v>7176</v>
      </c>
      <c r="E3432" s="12" t="s">
        <v>1837</v>
      </c>
      <c r="F3432" s="12" t="s">
        <v>1838</v>
      </c>
      <c r="G3432" s="13" t="s">
        <v>6819</v>
      </c>
      <c r="H3432" s="12" t="s">
        <v>6380</v>
      </c>
      <c r="I3432" s="12"/>
      <c r="J3432" s="12"/>
      <c r="K3432" s="12"/>
      <c r="L3432" s="12"/>
      <c r="M3432" s="12" t="s">
        <v>1839</v>
      </c>
      <c r="N3432" s="12" t="s">
        <v>1840</v>
      </c>
      <c r="O3432" s="12" t="s">
        <v>1841</v>
      </c>
      <c r="P3432" s="12" t="str">
        <f>HYPERLINK("https://ceds.ed.gov/cedselementdetails.aspx?termid=9045")</f>
        <v>https://ceds.ed.gov/cedselementdetails.aspx?termid=9045</v>
      </c>
      <c r="Q3432" s="12" t="str">
        <f>HYPERLINK("https://ceds.ed.gov/elementComment.aspx?elementName=Classification of Instructional Program Version &amp;elementID=9045", "Click here to submit comment")</f>
        <v>Click here to submit comment</v>
      </c>
    </row>
    <row r="3433" spans="1:17" ht="270" x14ac:dyDescent="0.25">
      <c r="A3433" s="12" t="s">
        <v>3078</v>
      </c>
      <c r="B3433" s="12" t="s">
        <v>7324</v>
      </c>
      <c r="C3433" s="12" t="s">
        <v>7261</v>
      </c>
      <c r="D3433" s="12" t="s">
        <v>7176</v>
      </c>
      <c r="E3433" s="12" t="s">
        <v>2170</v>
      </c>
      <c r="F3433" s="12" t="s">
        <v>2171</v>
      </c>
      <c r="G3433" s="13" t="s">
        <v>6850</v>
      </c>
      <c r="H3433" s="12"/>
      <c r="I3433" s="12"/>
      <c r="J3433" s="12"/>
      <c r="K3433" s="12"/>
      <c r="L3433" s="12"/>
      <c r="M3433" s="12" t="s">
        <v>2172</v>
      </c>
      <c r="N3433" s="12"/>
      <c r="O3433" s="12" t="s">
        <v>2173</v>
      </c>
      <c r="P3433" s="12" t="str">
        <f>HYPERLINK("https://ceds.ed.gov/cedselementdetails.aspx?termid=10283")</f>
        <v>https://ceds.ed.gov/cedselementdetails.aspx?termid=10283</v>
      </c>
      <c r="Q3433" s="12" t="str">
        <f>HYPERLINK("https://ceds.ed.gov/elementComment.aspx?elementName=Credit Hours Applied Other Program &amp;elementID=10283", "Click here to submit comment")</f>
        <v>Click here to submit comment</v>
      </c>
    </row>
    <row r="3434" spans="1:17" ht="135" x14ac:dyDescent="0.25">
      <c r="A3434" s="12" t="s">
        <v>3078</v>
      </c>
      <c r="B3434" s="12" t="s">
        <v>7324</v>
      </c>
      <c r="C3434" s="12" t="s">
        <v>7261</v>
      </c>
      <c r="D3434" s="12" t="s">
        <v>7176</v>
      </c>
      <c r="E3434" s="12" t="s">
        <v>2326</v>
      </c>
      <c r="F3434" s="12" t="s">
        <v>2327</v>
      </c>
      <c r="G3434" s="12" t="s">
        <v>12</v>
      </c>
      <c r="H3434" s="12" t="s">
        <v>6502</v>
      </c>
      <c r="I3434" s="12"/>
      <c r="J3434" s="12" t="s">
        <v>2328</v>
      </c>
      <c r="K3434" s="12"/>
      <c r="L3434" s="12"/>
      <c r="M3434" s="12" t="s">
        <v>2329</v>
      </c>
      <c r="N3434" s="12"/>
      <c r="O3434" s="12" t="s">
        <v>2330</v>
      </c>
      <c r="P3434" s="12" t="str">
        <f>HYPERLINK("https://ceds.ed.gov/cedselementdetails.aspx?termid=9081")</f>
        <v>https://ceds.ed.gov/cedselementdetails.aspx?termid=9081</v>
      </c>
      <c r="Q3434" s="12" t="str">
        <f>HYPERLINK("https://ceds.ed.gov/elementComment.aspx?elementName=Diploma or Credential Award Date &amp;elementID=9081", "Click here to submit comment")</f>
        <v>Click here to submit comment</v>
      </c>
    </row>
    <row r="3435" spans="1:17" ht="150" x14ac:dyDescent="0.25">
      <c r="A3435" s="12" t="s">
        <v>3078</v>
      </c>
      <c r="B3435" s="12" t="s">
        <v>7324</v>
      </c>
      <c r="C3435" s="12" t="s">
        <v>7261</v>
      </c>
      <c r="D3435" s="12" t="s">
        <v>7176</v>
      </c>
      <c r="E3435" s="12" t="s">
        <v>2425</v>
      </c>
      <c r="F3435" s="12" t="s">
        <v>2426</v>
      </c>
      <c r="G3435" s="13" t="s">
        <v>6873</v>
      </c>
      <c r="H3435" s="12"/>
      <c r="I3435" s="12" t="s">
        <v>1498</v>
      </c>
      <c r="J3435" s="12"/>
      <c r="K3435" s="12"/>
      <c r="L3435" s="14" t="s">
        <v>2427</v>
      </c>
      <c r="M3435" s="12" t="s">
        <v>2428</v>
      </c>
      <c r="N3435" s="12"/>
      <c r="O3435" s="12" t="s">
        <v>2429</v>
      </c>
      <c r="P3435" s="12" t="str">
        <f>HYPERLINK("https://ceds.ed.gov/cedselementdetails.aspx?termid=10622")</f>
        <v>https://ceds.ed.gov/cedselementdetails.aspx?termid=10622</v>
      </c>
      <c r="Q3435" s="12" t="str">
        <f>HYPERLINK("https://ceds.ed.gov/elementComment.aspx?elementName=DQP Categories of Learning &amp;elementID=10622", "Click here to submit comment")</f>
        <v>Click here to submit comment</v>
      </c>
    </row>
    <row r="3436" spans="1:17" ht="105" x14ac:dyDescent="0.25">
      <c r="A3436" s="12" t="s">
        <v>3078</v>
      </c>
      <c r="B3436" s="12" t="s">
        <v>7324</v>
      </c>
      <c r="C3436" s="12" t="s">
        <v>7261</v>
      </c>
      <c r="D3436" s="12" t="s">
        <v>7176</v>
      </c>
      <c r="E3436" s="12" t="s">
        <v>3187</v>
      </c>
      <c r="F3436" s="12" t="s">
        <v>3188</v>
      </c>
      <c r="G3436" s="13" t="s">
        <v>6945</v>
      </c>
      <c r="H3436" s="12"/>
      <c r="I3436" s="12"/>
      <c r="J3436" s="12"/>
      <c r="K3436" s="12"/>
      <c r="L3436" s="12"/>
      <c r="M3436" s="12" t="s">
        <v>3189</v>
      </c>
      <c r="N3436" s="12"/>
      <c r="O3436" s="12" t="s">
        <v>3190</v>
      </c>
      <c r="P3436" s="12" t="str">
        <f>HYPERLINK("https://ceds.ed.gov/cedselementdetails.aspx?termid=9689")</f>
        <v>https://ceds.ed.gov/cedselementdetails.aspx?termid=9689</v>
      </c>
      <c r="Q3436" s="12" t="str">
        <f>HYPERLINK("https://ceds.ed.gov/elementComment.aspx?elementName=High School Diploma Distinction Type &amp;elementID=9689", "Click here to submit comment")</f>
        <v>Click here to submit comment</v>
      </c>
    </row>
    <row r="3437" spans="1:17" ht="285" x14ac:dyDescent="0.25">
      <c r="A3437" s="12" t="s">
        <v>3078</v>
      </c>
      <c r="B3437" s="12" t="s">
        <v>7324</v>
      </c>
      <c r="C3437" s="12" t="s">
        <v>7261</v>
      </c>
      <c r="D3437" s="12" t="s">
        <v>7176</v>
      </c>
      <c r="E3437" s="12" t="s">
        <v>3191</v>
      </c>
      <c r="F3437" s="12" t="s">
        <v>3192</v>
      </c>
      <c r="G3437" s="13" t="s">
        <v>6946</v>
      </c>
      <c r="H3437" s="12" t="s">
        <v>6557</v>
      </c>
      <c r="I3437" s="12"/>
      <c r="J3437" s="12"/>
      <c r="K3437" s="12"/>
      <c r="L3437" s="12"/>
      <c r="M3437" s="12" t="s">
        <v>3193</v>
      </c>
      <c r="N3437" s="12"/>
      <c r="O3437" s="12" t="s">
        <v>3194</v>
      </c>
      <c r="P3437" s="12" t="str">
        <f>HYPERLINK("https://ceds.ed.gov/cedselementdetails.aspx?termid=9138")</f>
        <v>https://ceds.ed.gov/cedselementdetails.aspx?termid=9138</v>
      </c>
      <c r="Q3437" s="12" t="str">
        <f>HYPERLINK("https://ceds.ed.gov/elementComment.aspx?elementName=High School Diploma Type &amp;elementID=9138", "Click here to submit comment")</f>
        <v>Click here to submit comment</v>
      </c>
    </row>
    <row r="3438" spans="1:17" ht="75" x14ac:dyDescent="0.25">
      <c r="A3438" s="12" t="s">
        <v>3078</v>
      </c>
      <c r="B3438" s="12" t="s">
        <v>7324</v>
      </c>
      <c r="C3438" s="12" t="s">
        <v>7261</v>
      </c>
      <c r="D3438" s="12" t="s">
        <v>7176</v>
      </c>
      <c r="E3438" s="12" t="s">
        <v>4880</v>
      </c>
      <c r="F3438" s="12" t="s">
        <v>4881</v>
      </c>
      <c r="G3438" s="13" t="s">
        <v>7058</v>
      </c>
      <c r="H3438" s="12" t="s">
        <v>6630</v>
      </c>
      <c r="I3438" s="12"/>
      <c r="J3438" s="12"/>
      <c r="K3438" s="12"/>
      <c r="L3438" s="12"/>
      <c r="M3438" s="12" t="s">
        <v>4882</v>
      </c>
      <c r="N3438" s="12"/>
      <c r="O3438" s="12" t="s">
        <v>4883</v>
      </c>
      <c r="P3438" s="12" t="str">
        <f>HYPERLINK("https://ceds.ed.gov/cedselementdetails.aspx?termid=10595")</f>
        <v>https://ceds.ed.gov/cedselementdetails.aspx?termid=10595</v>
      </c>
      <c r="Q3438" s="12" t="str">
        <f>HYPERLINK("https://ceds.ed.gov/elementComment.aspx?elementName=Postsecondary Program Level &amp;elementID=10595", "Click here to submit comment")</f>
        <v>Click here to submit comment</v>
      </c>
    </row>
    <row r="3439" spans="1:17" ht="195" x14ac:dyDescent="0.25">
      <c r="A3439" s="12" t="s">
        <v>3078</v>
      </c>
      <c r="B3439" s="12" t="s">
        <v>7324</v>
      </c>
      <c r="C3439" s="12" t="s">
        <v>7261</v>
      </c>
      <c r="D3439" s="12" t="s">
        <v>7176</v>
      </c>
      <c r="E3439" s="12" t="s">
        <v>5107</v>
      </c>
      <c r="F3439" s="12" t="s">
        <v>5108</v>
      </c>
      <c r="G3439" s="13" t="s">
        <v>7076</v>
      </c>
      <c r="H3439" s="12"/>
      <c r="I3439" s="12"/>
      <c r="J3439" s="12"/>
      <c r="K3439" s="12"/>
      <c r="L3439" s="12"/>
      <c r="M3439" s="12" t="s">
        <v>5109</v>
      </c>
      <c r="N3439" s="12"/>
      <c r="O3439" s="12" t="s">
        <v>5110</v>
      </c>
      <c r="P3439" s="12" t="str">
        <f>HYPERLINK("https://ceds.ed.gov/cedselementdetails.aspx?termid=9780")</f>
        <v>https://ceds.ed.gov/cedselementdetails.aspx?termid=9780</v>
      </c>
      <c r="Q3439" s="12" t="str">
        <f>HYPERLINK("https://ceds.ed.gov/elementComment.aspx?elementName=Professional or Technical Credential Conferred &amp;elementID=9780", "Click here to submit comment")</f>
        <v>Click here to submit comment</v>
      </c>
    </row>
    <row r="3440" spans="1:17" ht="105" x14ac:dyDescent="0.25">
      <c r="A3440" s="18" t="s">
        <v>3078</v>
      </c>
      <c r="B3440" s="18" t="s">
        <v>7324</v>
      </c>
      <c r="C3440" s="18" t="s">
        <v>7261</v>
      </c>
      <c r="D3440" s="18" t="s">
        <v>7176</v>
      </c>
      <c r="E3440" s="18" t="s">
        <v>5141</v>
      </c>
      <c r="F3440" s="18" t="s">
        <v>5142</v>
      </c>
      <c r="G3440" s="18" t="s">
        <v>12</v>
      </c>
      <c r="H3440" s="18" t="s">
        <v>2017</v>
      </c>
      <c r="I3440" s="18"/>
      <c r="J3440" s="18" t="s">
        <v>142</v>
      </c>
      <c r="K3440" s="18"/>
      <c r="L3440" s="12" t="s">
        <v>143</v>
      </c>
      <c r="M3440" s="18" t="s">
        <v>5143</v>
      </c>
      <c r="N3440" s="18"/>
      <c r="O3440" s="18" t="s">
        <v>5144</v>
      </c>
      <c r="P3440" s="18" t="str">
        <f>HYPERLINK("https://ceds.ed.gov/cedselementdetails.aspx?termid=9618")</f>
        <v>https://ceds.ed.gov/cedselementdetails.aspx?termid=9618</v>
      </c>
      <c r="Q3440" s="18" t="str">
        <f>HYPERLINK("https://ceds.ed.gov/elementComment.aspx?elementName=Program Identifier &amp;elementID=9618", "Click here to submit comment")</f>
        <v>Click here to submit comment</v>
      </c>
    </row>
    <row r="3441" spans="1:17" x14ac:dyDescent="0.25">
      <c r="A3441" s="18"/>
      <c r="B3441" s="18"/>
      <c r="C3441" s="18"/>
      <c r="D3441" s="18"/>
      <c r="E3441" s="18"/>
      <c r="F3441" s="18"/>
      <c r="G3441" s="18"/>
      <c r="H3441" s="18"/>
      <c r="I3441" s="18"/>
      <c r="J3441" s="18"/>
      <c r="K3441" s="18"/>
      <c r="L3441" s="12"/>
      <c r="M3441" s="18"/>
      <c r="N3441" s="18"/>
      <c r="O3441" s="18"/>
      <c r="P3441" s="18"/>
      <c r="Q3441" s="18"/>
    </row>
    <row r="3442" spans="1:17" ht="90" x14ac:dyDescent="0.25">
      <c r="A3442" s="18"/>
      <c r="B3442" s="18"/>
      <c r="C3442" s="18"/>
      <c r="D3442" s="18"/>
      <c r="E3442" s="18"/>
      <c r="F3442" s="18"/>
      <c r="G3442" s="18"/>
      <c r="H3442" s="18"/>
      <c r="I3442" s="18"/>
      <c r="J3442" s="18"/>
      <c r="K3442" s="18"/>
      <c r="L3442" s="12" t="s">
        <v>144</v>
      </c>
      <c r="M3442" s="18"/>
      <c r="N3442" s="18"/>
      <c r="O3442" s="18"/>
      <c r="P3442" s="18"/>
      <c r="Q3442" s="18"/>
    </row>
    <row r="3443" spans="1:17" ht="270" x14ac:dyDescent="0.25">
      <c r="A3443" s="12" t="s">
        <v>3078</v>
      </c>
      <c r="B3443" s="12" t="s">
        <v>7324</v>
      </c>
      <c r="C3443" s="12" t="s">
        <v>7234</v>
      </c>
      <c r="D3443" s="12" t="s">
        <v>7172</v>
      </c>
      <c r="E3443" s="12" t="s">
        <v>2674</v>
      </c>
      <c r="F3443" s="12" t="s">
        <v>2675</v>
      </c>
      <c r="G3443" s="12" t="s">
        <v>6519</v>
      </c>
      <c r="H3443" s="12" t="s">
        <v>2679</v>
      </c>
      <c r="I3443" s="12"/>
      <c r="J3443" s="12"/>
      <c r="K3443" s="12"/>
      <c r="L3443" s="12" t="s">
        <v>2676</v>
      </c>
      <c r="M3443" s="12" t="s">
        <v>2677</v>
      </c>
      <c r="N3443" s="12"/>
      <c r="O3443" s="12" t="s">
        <v>2678</v>
      </c>
      <c r="P3443" s="12" t="str">
        <f>HYPERLINK("https://ceds.ed.gov/cedselementdetails.aspx?termid=9990")</f>
        <v>https://ceds.ed.gov/cedselementdetails.aspx?termid=9990</v>
      </c>
      <c r="Q3443" s="12" t="str">
        <f>HYPERLINK("https://ceds.ed.gov/elementComment.aspx?elementName=Employed After Exit &amp;elementID=9990", "Click here to submit comment")</f>
        <v>Click here to submit comment</v>
      </c>
    </row>
    <row r="3444" spans="1:17" ht="225" x14ac:dyDescent="0.25">
      <c r="A3444" s="12" t="s">
        <v>3078</v>
      </c>
      <c r="B3444" s="12" t="s">
        <v>7324</v>
      </c>
      <c r="C3444" s="12" t="s">
        <v>7234</v>
      </c>
      <c r="D3444" s="12" t="s">
        <v>7172</v>
      </c>
      <c r="E3444" s="12" t="s">
        <v>2686</v>
      </c>
      <c r="F3444" s="12" t="s">
        <v>2687</v>
      </c>
      <c r="G3444" s="12" t="s">
        <v>6519</v>
      </c>
      <c r="H3444" s="12" t="s">
        <v>2679</v>
      </c>
      <c r="I3444" s="12"/>
      <c r="J3444" s="12"/>
      <c r="K3444" s="12"/>
      <c r="L3444" s="12" t="s">
        <v>2688</v>
      </c>
      <c r="M3444" s="12" t="s">
        <v>2689</v>
      </c>
      <c r="N3444" s="12"/>
      <c r="O3444" s="12" t="s">
        <v>2690</v>
      </c>
      <c r="P3444" s="12" t="str">
        <f>HYPERLINK("https://ceds.ed.gov/cedselementdetails.aspx?termid=9989")</f>
        <v>https://ceds.ed.gov/cedselementdetails.aspx?termid=9989</v>
      </c>
      <c r="Q3444" s="12" t="str">
        <f>HYPERLINK("https://ceds.ed.gov/elementComment.aspx?elementName=Employed While Enrolled &amp;elementID=9989", "Click here to submit comment")</f>
        <v>Click here to submit comment</v>
      </c>
    </row>
    <row r="3445" spans="1:17" ht="60" x14ac:dyDescent="0.25">
      <c r="A3445" s="12" t="s">
        <v>3078</v>
      </c>
      <c r="B3445" s="12" t="s">
        <v>7324</v>
      </c>
      <c r="C3445" s="12" t="s">
        <v>7234</v>
      </c>
      <c r="D3445" s="12" t="s">
        <v>7172</v>
      </c>
      <c r="E3445" s="12" t="s">
        <v>2691</v>
      </c>
      <c r="F3445" s="12" t="s">
        <v>2692</v>
      </c>
      <c r="G3445" s="12" t="s">
        <v>12</v>
      </c>
      <c r="H3445" s="12" t="s">
        <v>205</v>
      </c>
      <c r="I3445" s="12"/>
      <c r="J3445" s="12" t="s">
        <v>73</v>
      </c>
      <c r="K3445" s="12"/>
      <c r="L3445" s="12"/>
      <c r="M3445" s="12" t="s">
        <v>2693</v>
      </c>
      <c r="N3445" s="12"/>
      <c r="O3445" s="12" t="s">
        <v>2694</v>
      </c>
      <c r="P3445" s="12" t="str">
        <f>HYPERLINK("https://ceds.ed.gov/cedselementdetails.aspx?termid=9794")</f>
        <v>https://ceds.ed.gov/cedselementdetails.aspx?termid=9794</v>
      </c>
      <c r="Q3445" s="12" t="str">
        <f>HYPERLINK("https://ceds.ed.gov/elementComment.aspx?elementName=Employment End Date &amp;elementID=9794", "Click here to submit comment")</f>
        <v>Click here to submit comment</v>
      </c>
    </row>
    <row r="3446" spans="1:17" ht="60" x14ac:dyDescent="0.25">
      <c r="A3446" s="12" t="s">
        <v>3078</v>
      </c>
      <c r="B3446" s="12" t="s">
        <v>7324</v>
      </c>
      <c r="C3446" s="12" t="s">
        <v>7234</v>
      </c>
      <c r="D3446" s="12" t="s">
        <v>7172</v>
      </c>
      <c r="E3446" s="12" t="s">
        <v>2700</v>
      </c>
      <c r="F3446" s="12" t="s">
        <v>2701</v>
      </c>
      <c r="G3446" s="12" t="s">
        <v>2702</v>
      </c>
      <c r="H3446" s="12"/>
      <c r="I3446" s="12"/>
      <c r="J3446" s="12" t="s">
        <v>2703</v>
      </c>
      <c r="K3446" s="12"/>
      <c r="L3446" s="12"/>
      <c r="M3446" s="12" t="s">
        <v>2704</v>
      </c>
      <c r="N3446" s="12"/>
      <c r="O3446" s="12" t="s">
        <v>2705</v>
      </c>
      <c r="P3446" s="12" t="str">
        <f>HYPERLINK("https://ceds.ed.gov/cedselementdetails.aspx?termid=10070")</f>
        <v>https://ceds.ed.gov/cedselementdetails.aspx?termid=10070</v>
      </c>
      <c r="Q3446" s="12" t="str">
        <f>HYPERLINK("https://ceds.ed.gov/elementComment.aspx?elementName=Employment NAICS Code &amp;elementID=10070", "Click here to submit comment")</f>
        <v>Click here to submit comment</v>
      </c>
    </row>
    <row r="3447" spans="1:17" ht="60" x14ac:dyDescent="0.25">
      <c r="A3447" s="12" t="s">
        <v>3078</v>
      </c>
      <c r="B3447" s="12" t="s">
        <v>7324</v>
      </c>
      <c r="C3447" s="12" t="s">
        <v>7234</v>
      </c>
      <c r="D3447" s="12" t="s">
        <v>7172</v>
      </c>
      <c r="E3447" s="12" t="s">
        <v>2727</v>
      </c>
      <c r="F3447" s="12" t="s">
        <v>2728</v>
      </c>
      <c r="G3447" s="12" t="s">
        <v>12</v>
      </c>
      <c r="H3447" s="12" t="s">
        <v>6523</v>
      </c>
      <c r="I3447" s="12"/>
      <c r="J3447" s="12" t="s">
        <v>73</v>
      </c>
      <c r="K3447" s="12"/>
      <c r="L3447" s="12"/>
      <c r="M3447" s="12" t="s">
        <v>2729</v>
      </c>
      <c r="N3447" s="12"/>
      <c r="O3447" s="12" t="s">
        <v>2730</v>
      </c>
      <c r="P3447" s="12" t="str">
        <f>HYPERLINK("https://ceds.ed.gov/cedselementdetails.aspx?termid=9345")</f>
        <v>https://ceds.ed.gov/cedselementdetails.aspx?termid=9345</v>
      </c>
      <c r="Q3447" s="12" t="str">
        <f>HYPERLINK("https://ceds.ed.gov/elementComment.aspx?elementName=Employment Start Date &amp;elementID=9345", "Click here to submit comment")</f>
        <v>Click here to submit comment</v>
      </c>
    </row>
    <row r="3448" spans="1:17" ht="195" x14ac:dyDescent="0.25">
      <c r="A3448" s="12" t="s">
        <v>3078</v>
      </c>
      <c r="B3448" s="12" t="s">
        <v>7324</v>
      </c>
      <c r="C3448" s="12" t="s">
        <v>7325</v>
      </c>
      <c r="D3448" s="12" t="s">
        <v>7172</v>
      </c>
      <c r="E3448" s="12" t="s">
        <v>5107</v>
      </c>
      <c r="F3448" s="12" t="s">
        <v>5108</v>
      </c>
      <c r="G3448" s="13" t="s">
        <v>7076</v>
      </c>
      <c r="H3448" s="12"/>
      <c r="I3448" s="12"/>
      <c r="J3448" s="12"/>
      <c r="K3448" s="12"/>
      <c r="L3448" s="12"/>
      <c r="M3448" s="12" t="s">
        <v>5109</v>
      </c>
      <c r="N3448" s="12"/>
      <c r="O3448" s="12" t="s">
        <v>5110</v>
      </c>
      <c r="P3448" s="12" t="str">
        <f>HYPERLINK("https://ceds.ed.gov/cedselementdetails.aspx?termid=9780")</f>
        <v>https://ceds.ed.gov/cedselementdetails.aspx?termid=9780</v>
      </c>
      <c r="Q3448" s="12" t="str">
        <f>HYPERLINK("https://ceds.ed.gov/elementComment.aspx?elementName=Professional or Technical Credential Conferred &amp;elementID=9780", "Click here to submit comment")</f>
        <v>Click here to submit comment</v>
      </c>
    </row>
    <row r="3449" spans="1:17" ht="270" x14ac:dyDescent="0.25">
      <c r="A3449" s="12" t="s">
        <v>3078</v>
      </c>
      <c r="B3449" s="12" t="s">
        <v>7326</v>
      </c>
      <c r="C3449" s="12"/>
      <c r="D3449" s="12" t="s">
        <v>7172</v>
      </c>
      <c r="E3449" s="12" t="s">
        <v>2674</v>
      </c>
      <c r="F3449" s="12" t="s">
        <v>2675</v>
      </c>
      <c r="G3449" s="12" t="s">
        <v>6519</v>
      </c>
      <c r="H3449" s="12" t="s">
        <v>2679</v>
      </c>
      <c r="I3449" s="12"/>
      <c r="J3449" s="12"/>
      <c r="K3449" s="12"/>
      <c r="L3449" s="12" t="s">
        <v>2676</v>
      </c>
      <c r="M3449" s="12" t="s">
        <v>2677</v>
      </c>
      <c r="N3449" s="12"/>
      <c r="O3449" s="12" t="s">
        <v>2678</v>
      </c>
      <c r="P3449" s="12" t="str">
        <f>HYPERLINK("https://ceds.ed.gov/cedselementdetails.aspx?termid=9990")</f>
        <v>https://ceds.ed.gov/cedselementdetails.aspx?termid=9990</v>
      </c>
      <c r="Q3449" s="12" t="str">
        <f>HYPERLINK("https://ceds.ed.gov/elementComment.aspx?elementName=Employed After Exit &amp;elementID=9990", "Click here to submit comment")</f>
        <v>Click here to submit comment</v>
      </c>
    </row>
    <row r="3450" spans="1:17" ht="225" x14ac:dyDescent="0.25">
      <c r="A3450" s="12" t="s">
        <v>3078</v>
      </c>
      <c r="B3450" s="12" t="s">
        <v>7326</v>
      </c>
      <c r="C3450" s="12"/>
      <c r="D3450" s="12" t="s">
        <v>7172</v>
      </c>
      <c r="E3450" s="12" t="s">
        <v>2680</v>
      </c>
      <c r="F3450" s="12" t="s">
        <v>2681</v>
      </c>
      <c r="G3450" s="12" t="s">
        <v>6519</v>
      </c>
      <c r="H3450" s="12"/>
      <c r="I3450" s="12"/>
      <c r="J3450" s="12"/>
      <c r="K3450" s="12"/>
      <c r="L3450" s="12" t="s">
        <v>2683</v>
      </c>
      <c r="M3450" s="12" t="s">
        <v>2684</v>
      </c>
      <c r="N3450" s="12"/>
      <c r="O3450" s="12" t="s">
        <v>2685</v>
      </c>
      <c r="P3450" s="12" t="str">
        <f>HYPERLINK("https://ceds.ed.gov/cedselementdetails.aspx?termid=10309")</f>
        <v>https://ceds.ed.gov/cedselementdetails.aspx?termid=10309</v>
      </c>
      <c r="Q3450" s="12" t="str">
        <f>HYPERLINK("https://ceds.ed.gov/elementComment.aspx?elementName=Employed Prior to Enrollment &amp;elementID=10309", "Click here to submit comment")</f>
        <v>Click here to submit comment</v>
      </c>
    </row>
    <row r="3451" spans="1:17" ht="225" x14ac:dyDescent="0.25">
      <c r="A3451" s="12" t="s">
        <v>3078</v>
      </c>
      <c r="B3451" s="12" t="s">
        <v>7326</v>
      </c>
      <c r="C3451" s="12"/>
      <c r="D3451" s="12" t="s">
        <v>7172</v>
      </c>
      <c r="E3451" s="12" t="s">
        <v>2686</v>
      </c>
      <c r="F3451" s="12" t="s">
        <v>2687</v>
      </c>
      <c r="G3451" s="12" t="s">
        <v>6519</v>
      </c>
      <c r="H3451" s="12" t="s">
        <v>2679</v>
      </c>
      <c r="I3451" s="12"/>
      <c r="J3451" s="12"/>
      <c r="K3451" s="12"/>
      <c r="L3451" s="12" t="s">
        <v>2688</v>
      </c>
      <c r="M3451" s="12" t="s">
        <v>2689</v>
      </c>
      <c r="N3451" s="12"/>
      <c r="O3451" s="12" t="s">
        <v>2690</v>
      </c>
      <c r="P3451" s="12" t="str">
        <f>HYPERLINK("https://ceds.ed.gov/cedselementdetails.aspx?termid=9989")</f>
        <v>https://ceds.ed.gov/cedselementdetails.aspx?termid=9989</v>
      </c>
      <c r="Q3451" s="12" t="str">
        <f>HYPERLINK("https://ceds.ed.gov/elementComment.aspx?elementName=Employed While Enrolled &amp;elementID=9989", "Click here to submit comment")</f>
        <v>Click here to submit comment</v>
      </c>
    </row>
    <row r="3452" spans="1:17" ht="409.5" x14ac:dyDescent="0.25">
      <c r="A3452" s="12" t="s">
        <v>3078</v>
      </c>
      <c r="B3452" s="12" t="s">
        <v>7326</v>
      </c>
      <c r="C3452" s="12"/>
      <c r="D3452" s="12" t="s">
        <v>7172</v>
      </c>
      <c r="E3452" s="12" t="s">
        <v>2695</v>
      </c>
      <c r="F3452" s="12" t="s">
        <v>2696</v>
      </c>
      <c r="G3452" s="13" t="s">
        <v>6901</v>
      </c>
      <c r="H3452" s="12"/>
      <c r="I3452" s="12"/>
      <c r="J3452" s="12"/>
      <c r="K3452" s="12"/>
      <c r="L3452" s="12" t="s">
        <v>2697</v>
      </c>
      <c r="M3452" s="12" t="s">
        <v>2698</v>
      </c>
      <c r="N3452" s="12"/>
      <c r="O3452" s="12" t="s">
        <v>2699</v>
      </c>
      <c r="P3452" s="12" t="str">
        <f>HYPERLINK("https://ceds.ed.gov/cedselementdetails.aspx?termid=9992")</f>
        <v>https://ceds.ed.gov/cedselementdetails.aspx?termid=9992</v>
      </c>
      <c r="Q3452" s="12" t="str">
        <f>HYPERLINK("https://ceds.ed.gov/elementComment.aspx?elementName=Employment Location &amp;elementID=9992", "Click here to submit comment")</f>
        <v>Click here to submit comment</v>
      </c>
    </row>
    <row r="3453" spans="1:17" ht="60" x14ac:dyDescent="0.25">
      <c r="A3453" s="12" t="s">
        <v>3078</v>
      </c>
      <c r="B3453" s="12" t="s">
        <v>7326</v>
      </c>
      <c r="C3453" s="12"/>
      <c r="D3453" s="12" t="s">
        <v>7172</v>
      </c>
      <c r="E3453" s="12" t="s">
        <v>2700</v>
      </c>
      <c r="F3453" s="12" t="s">
        <v>2701</v>
      </c>
      <c r="G3453" s="12" t="s">
        <v>2702</v>
      </c>
      <c r="H3453" s="12"/>
      <c r="I3453" s="12"/>
      <c r="J3453" s="12" t="s">
        <v>2703</v>
      </c>
      <c r="K3453" s="12"/>
      <c r="L3453" s="12"/>
      <c r="M3453" s="12" t="s">
        <v>2704</v>
      </c>
      <c r="N3453" s="12"/>
      <c r="O3453" s="12" t="s">
        <v>2705</v>
      </c>
      <c r="P3453" s="12" t="str">
        <f>HYPERLINK("https://ceds.ed.gov/cedselementdetails.aspx?termid=10070")</f>
        <v>https://ceds.ed.gov/cedselementdetails.aspx?termid=10070</v>
      </c>
      <c r="Q3453" s="12" t="str">
        <f>HYPERLINK("https://ceds.ed.gov/elementComment.aspx?elementName=Employment NAICS Code &amp;elementID=10070", "Click here to submit comment")</f>
        <v>Click here to submit comment</v>
      </c>
    </row>
    <row r="3454" spans="1:17" ht="300" x14ac:dyDescent="0.25">
      <c r="A3454" s="12" t="s">
        <v>3078</v>
      </c>
      <c r="B3454" s="12" t="s">
        <v>7326</v>
      </c>
      <c r="C3454" s="12"/>
      <c r="D3454" s="12" t="s">
        <v>7172</v>
      </c>
      <c r="E3454" s="12" t="s">
        <v>2706</v>
      </c>
      <c r="F3454" s="12" t="s">
        <v>2707</v>
      </c>
      <c r="G3454" s="13" t="s">
        <v>6902</v>
      </c>
      <c r="H3454" s="12"/>
      <c r="I3454" s="12"/>
      <c r="J3454" s="12"/>
      <c r="K3454" s="12"/>
      <c r="L3454" s="12" t="s">
        <v>2708</v>
      </c>
      <c r="M3454" s="12" t="s">
        <v>2709</v>
      </c>
      <c r="N3454" s="12"/>
      <c r="O3454" s="12" t="s">
        <v>2710</v>
      </c>
      <c r="P3454" s="12" t="str">
        <f>HYPERLINK("https://ceds.ed.gov/cedselementdetails.aspx?termid=9996")</f>
        <v>https://ceds.ed.gov/cedselementdetails.aspx?termid=9996</v>
      </c>
      <c r="Q3454" s="12" t="str">
        <f>HYPERLINK("https://ceds.ed.gov/elementComment.aspx?elementName=Employment Record Administrative Data Source &amp;elementID=9996", "Click here to submit comment")</f>
        <v>Click here to submit comment</v>
      </c>
    </row>
    <row r="3455" spans="1:17" ht="360" x14ac:dyDescent="0.25">
      <c r="A3455" s="12" t="s">
        <v>3078</v>
      </c>
      <c r="B3455" s="12" t="s">
        <v>7326</v>
      </c>
      <c r="C3455" s="12"/>
      <c r="D3455" s="12" t="s">
        <v>7172</v>
      </c>
      <c r="E3455" s="12" t="s">
        <v>2711</v>
      </c>
      <c r="F3455" s="12" t="s">
        <v>2712</v>
      </c>
      <c r="G3455" s="12" t="s">
        <v>12</v>
      </c>
      <c r="H3455" s="12"/>
      <c r="I3455" s="12"/>
      <c r="J3455" s="12" t="s">
        <v>73</v>
      </c>
      <c r="K3455" s="12"/>
      <c r="L3455" s="12" t="s">
        <v>2713</v>
      </c>
      <c r="M3455" s="12" t="s">
        <v>2714</v>
      </c>
      <c r="N3455" s="12"/>
      <c r="O3455" s="12" t="s">
        <v>2715</v>
      </c>
      <c r="P3455" s="12" t="str">
        <f>HYPERLINK("https://ceds.ed.gov/cedselementdetails.aspx?termid=9995")</f>
        <v>https://ceds.ed.gov/cedselementdetails.aspx?termid=9995</v>
      </c>
      <c r="Q3455" s="12" t="str">
        <f>HYPERLINK("https://ceds.ed.gov/elementComment.aspx?elementName=Employment Record Reference Period End Date &amp;elementID=9995", "Click here to submit comment")</f>
        <v>Click here to submit comment</v>
      </c>
    </row>
    <row r="3456" spans="1:17" ht="360" x14ac:dyDescent="0.25">
      <c r="A3456" s="12" t="s">
        <v>3078</v>
      </c>
      <c r="B3456" s="12" t="s">
        <v>7326</v>
      </c>
      <c r="C3456" s="12"/>
      <c r="D3456" s="12" t="s">
        <v>7172</v>
      </c>
      <c r="E3456" s="12" t="s">
        <v>2716</v>
      </c>
      <c r="F3456" s="12" t="s">
        <v>2717</v>
      </c>
      <c r="G3456" s="12" t="s">
        <v>12</v>
      </c>
      <c r="H3456" s="12"/>
      <c r="I3456" s="12"/>
      <c r="J3456" s="12" t="s">
        <v>73</v>
      </c>
      <c r="K3456" s="12"/>
      <c r="L3456" s="12" t="s">
        <v>2713</v>
      </c>
      <c r="M3456" s="12" t="s">
        <v>2718</v>
      </c>
      <c r="N3456" s="12"/>
      <c r="O3456" s="12" t="s">
        <v>2719</v>
      </c>
      <c r="P3456" s="12" t="str">
        <f>HYPERLINK("https://ceds.ed.gov/cedselementdetails.aspx?termid=9994")</f>
        <v>https://ceds.ed.gov/cedselementdetails.aspx?termid=9994</v>
      </c>
      <c r="Q3456" s="12" t="str">
        <f>HYPERLINK("https://ceds.ed.gov/elementComment.aspx?elementName=Employment Record Reference Period Start Date &amp;elementID=9994", "Click here to submit comment")</f>
        <v>Click here to submit comment</v>
      </c>
    </row>
    <row r="3457" spans="1:17" ht="210" x14ac:dyDescent="0.25">
      <c r="A3457" s="12" t="s">
        <v>3078</v>
      </c>
      <c r="B3457" s="12" t="s">
        <v>7326</v>
      </c>
      <c r="C3457" s="12"/>
      <c r="D3457" s="12" t="s">
        <v>7172</v>
      </c>
      <c r="E3457" s="12" t="s">
        <v>4484</v>
      </c>
      <c r="F3457" s="12" t="s">
        <v>4485</v>
      </c>
      <c r="G3457" s="12" t="s">
        <v>6364</v>
      </c>
      <c r="H3457" s="12"/>
      <c r="I3457" s="12"/>
      <c r="J3457" s="12"/>
      <c r="K3457" s="12"/>
      <c r="L3457" s="12" t="s">
        <v>4486</v>
      </c>
      <c r="M3457" s="12" t="s">
        <v>4487</v>
      </c>
      <c r="N3457" s="12"/>
      <c r="O3457" s="12" t="s">
        <v>4488</v>
      </c>
      <c r="P3457" s="12" t="str">
        <f>HYPERLINK("https://ceds.ed.gov/cedselementdetails.aspx?termid=10381")</f>
        <v>https://ceds.ed.gov/cedselementdetails.aspx?termid=10381</v>
      </c>
      <c r="Q3457" s="12" t="str">
        <f>HYPERLINK("https://ceds.ed.gov/elementComment.aspx?elementName=Military Enlistment After Exit &amp;elementID=10381", "Click here to submit comment")</f>
        <v>Click here to submit comment</v>
      </c>
    </row>
    <row r="3458" spans="1:17" ht="225" x14ac:dyDescent="0.25">
      <c r="A3458" s="12" t="s">
        <v>3078</v>
      </c>
      <c r="B3458" s="12" t="s">
        <v>7326</v>
      </c>
      <c r="C3458" s="12"/>
      <c r="D3458" s="12" t="s">
        <v>7172</v>
      </c>
      <c r="E3458" s="12" t="s">
        <v>4802</v>
      </c>
      <c r="F3458" s="12" t="s">
        <v>4803</v>
      </c>
      <c r="G3458" s="12" t="s">
        <v>12</v>
      </c>
      <c r="H3458" s="12"/>
      <c r="I3458" s="12"/>
      <c r="J3458" s="12" t="s">
        <v>620</v>
      </c>
      <c r="K3458" s="12"/>
      <c r="L3458" s="12" t="s">
        <v>4804</v>
      </c>
      <c r="M3458" s="12" t="s">
        <v>4805</v>
      </c>
      <c r="N3458" s="12"/>
      <c r="O3458" s="12" t="s">
        <v>4806</v>
      </c>
      <c r="P3458" s="12" t="str">
        <f>HYPERLINK("https://ceds.ed.gov/cedselementdetails.aspx?termid=9993")</f>
        <v>https://ceds.ed.gov/cedselementdetails.aspx?termid=9993</v>
      </c>
      <c r="Q3458" s="12" t="str">
        <f>HYPERLINK("https://ceds.ed.gov/elementComment.aspx?elementName=Person Employed in Multiple Jobs Count &amp;elementID=9993", "Click here to submit comment")</f>
        <v>Click here to submit comment</v>
      </c>
    </row>
    <row r="3459" spans="1:17" ht="210" x14ac:dyDescent="0.25">
      <c r="A3459" s="12" t="s">
        <v>3078</v>
      </c>
      <c r="B3459" s="12" t="s">
        <v>7326</v>
      </c>
      <c r="C3459" s="12"/>
      <c r="D3459" s="12" t="s">
        <v>7172</v>
      </c>
      <c r="E3459" s="12" t="s">
        <v>5300</v>
      </c>
      <c r="F3459" s="12" t="s">
        <v>5301</v>
      </c>
      <c r="G3459" s="12" t="s">
        <v>12</v>
      </c>
      <c r="H3459" s="12"/>
      <c r="I3459" s="12"/>
      <c r="J3459" s="12" t="s">
        <v>3765</v>
      </c>
      <c r="K3459" s="12"/>
      <c r="L3459" s="12" t="s">
        <v>5302</v>
      </c>
      <c r="M3459" s="12" t="s">
        <v>5303</v>
      </c>
      <c r="N3459" s="12"/>
      <c r="O3459" s="12" t="s">
        <v>5304</v>
      </c>
      <c r="P3459" s="12" t="str">
        <f>HYPERLINK("https://ceds.ed.gov/cedselementdetails.aspx?termid=9991")</f>
        <v>https://ceds.ed.gov/cedselementdetails.aspx?termid=9991</v>
      </c>
      <c r="Q3459" s="12" t="str">
        <f>HYPERLINK("https://ceds.ed.gov/elementComment.aspx?elementName=Quarterly Earnings &amp;elementID=9991", "Click here to submit comment")</f>
        <v>Click here to submit comment</v>
      </c>
    </row>
    <row r="3460" spans="1:17" ht="225" x14ac:dyDescent="0.25">
      <c r="A3460" s="18" t="s">
        <v>3078</v>
      </c>
      <c r="B3460" s="18" t="s">
        <v>7326</v>
      </c>
      <c r="C3460" s="18"/>
      <c r="D3460" s="18" t="s">
        <v>7172</v>
      </c>
      <c r="E3460" s="18" t="s">
        <v>5745</v>
      </c>
      <c r="F3460" s="18" t="s">
        <v>5746</v>
      </c>
      <c r="G3460" s="18" t="s">
        <v>12</v>
      </c>
      <c r="H3460" s="18" t="s">
        <v>6670</v>
      </c>
      <c r="I3460" s="18"/>
      <c r="J3460" s="18" t="s">
        <v>5747</v>
      </c>
      <c r="K3460" s="18"/>
      <c r="L3460" s="12" t="s">
        <v>5748</v>
      </c>
      <c r="M3460" s="18" t="s">
        <v>5750</v>
      </c>
      <c r="N3460" s="18" t="s">
        <v>5751</v>
      </c>
      <c r="O3460" s="18" t="s">
        <v>5752</v>
      </c>
      <c r="P3460" s="18" t="str">
        <f>HYPERLINK("https://ceds.ed.gov/cedselementdetails.aspx?termid=9259")</f>
        <v>https://ceds.ed.gov/cedselementdetails.aspx?termid=9259</v>
      </c>
      <c r="Q3460" s="18" t="str">
        <f>HYPERLINK("https://ceds.ed.gov/elementComment.aspx?elementName=Social Security Number &amp;elementID=9259", "Click here to submit comment")</f>
        <v>Click here to submit comment</v>
      </c>
    </row>
    <row r="3461" spans="1:17" x14ac:dyDescent="0.25">
      <c r="A3461" s="18"/>
      <c r="B3461" s="18"/>
      <c r="C3461" s="18"/>
      <c r="D3461" s="18"/>
      <c r="E3461" s="18"/>
      <c r="F3461" s="18"/>
      <c r="G3461" s="18"/>
      <c r="H3461" s="18"/>
      <c r="I3461" s="18"/>
      <c r="J3461" s="18"/>
      <c r="K3461" s="18"/>
      <c r="L3461" s="12"/>
      <c r="M3461" s="18"/>
      <c r="N3461" s="18"/>
      <c r="O3461" s="18"/>
      <c r="P3461" s="18"/>
      <c r="Q3461" s="18"/>
    </row>
    <row r="3462" spans="1:17" ht="180" x14ac:dyDescent="0.25">
      <c r="A3462" s="18"/>
      <c r="B3462" s="18"/>
      <c r="C3462" s="18"/>
      <c r="D3462" s="18"/>
      <c r="E3462" s="18"/>
      <c r="F3462" s="18"/>
      <c r="G3462" s="18"/>
      <c r="H3462" s="18"/>
      <c r="I3462" s="18"/>
      <c r="J3462" s="18"/>
      <c r="K3462" s="18"/>
      <c r="L3462" s="12" t="s">
        <v>5749</v>
      </c>
      <c r="M3462" s="18"/>
      <c r="N3462" s="18"/>
      <c r="O3462" s="18"/>
      <c r="P3462" s="18"/>
      <c r="Q3462" s="18"/>
    </row>
    <row r="3463" spans="1:17" ht="165" x14ac:dyDescent="0.25">
      <c r="A3463" s="12" t="s">
        <v>7327</v>
      </c>
      <c r="B3463" s="12" t="s">
        <v>7307</v>
      </c>
      <c r="C3463" s="12"/>
      <c r="D3463" s="12" t="s">
        <v>7172</v>
      </c>
      <c r="E3463" s="12" t="s">
        <v>631</v>
      </c>
      <c r="F3463" s="12" t="s">
        <v>632</v>
      </c>
      <c r="G3463" s="13" t="s">
        <v>6758</v>
      </c>
      <c r="H3463" s="12" t="s">
        <v>6406</v>
      </c>
      <c r="I3463" s="12"/>
      <c r="J3463" s="12"/>
      <c r="K3463" s="12"/>
      <c r="L3463" s="12"/>
      <c r="M3463" s="12" t="s">
        <v>633</v>
      </c>
      <c r="N3463" s="12"/>
      <c r="O3463" s="12" t="s">
        <v>634</v>
      </c>
      <c r="P3463" s="12" t="str">
        <f>HYPERLINK("https://ceds.ed.gov/cedselementdetails.aspx?termid=9158")</f>
        <v>https://ceds.ed.gov/cedselementdetails.aspx?termid=9158</v>
      </c>
      <c r="Q3463" s="12" t="str">
        <f>HYPERLINK("https://ceds.ed.gov/elementComment.aspx?elementName=Assessment Identification System &amp;elementID=9158", "Click here to submit comment")</f>
        <v>Click here to submit comment</v>
      </c>
    </row>
    <row r="3464" spans="1:17" ht="105" x14ac:dyDescent="0.25">
      <c r="A3464" s="18" t="s">
        <v>7327</v>
      </c>
      <c r="B3464" s="18" t="s">
        <v>7307</v>
      </c>
      <c r="C3464" s="18"/>
      <c r="D3464" s="18" t="s">
        <v>7172</v>
      </c>
      <c r="E3464" s="18" t="s">
        <v>635</v>
      </c>
      <c r="F3464" s="18" t="s">
        <v>636</v>
      </c>
      <c r="G3464" s="18" t="s">
        <v>12</v>
      </c>
      <c r="H3464" s="18" t="s">
        <v>6408</v>
      </c>
      <c r="I3464" s="18"/>
      <c r="J3464" s="18" t="s">
        <v>142</v>
      </c>
      <c r="K3464" s="18"/>
      <c r="L3464" s="12" t="s">
        <v>143</v>
      </c>
      <c r="M3464" s="18" t="s">
        <v>637</v>
      </c>
      <c r="N3464" s="18"/>
      <c r="O3464" s="18" t="s">
        <v>638</v>
      </c>
      <c r="P3464" s="18" t="str">
        <f>HYPERLINK("https://ceds.ed.gov/cedselementdetails.aspx?termid=9152")</f>
        <v>https://ceds.ed.gov/cedselementdetails.aspx?termid=9152</v>
      </c>
      <c r="Q3464" s="18" t="str">
        <f>HYPERLINK("https://ceds.ed.gov/elementComment.aspx?elementName=Assessment Identifier &amp;elementID=9152", "Click here to submit comment")</f>
        <v>Click here to submit comment</v>
      </c>
    </row>
    <row r="3465" spans="1:17" x14ac:dyDescent="0.25">
      <c r="A3465" s="18"/>
      <c r="B3465" s="18"/>
      <c r="C3465" s="18"/>
      <c r="D3465" s="18"/>
      <c r="E3465" s="18"/>
      <c r="F3465" s="18"/>
      <c r="G3465" s="18"/>
      <c r="H3465" s="18"/>
      <c r="I3465" s="18"/>
      <c r="J3465" s="18"/>
      <c r="K3465" s="18"/>
      <c r="L3465" s="12"/>
      <c r="M3465" s="18"/>
      <c r="N3465" s="18"/>
      <c r="O3465" s="18"/>
      <c r="P3465" s="18"/>
      <c r="Q3465" s="18"/>
    </row>
    <row r="3466" spans="1:17" ht="90" x14ac:dyDescent="0.25">
      <c r="A3466" s="18"/>
      <c r="B3466" s="18"/>
      <c r="C3466" s="18"/>
      <c r="D3466" s="18"/>
      <c r="E3466" s="18"/>
      <c r="F3466" s="18"/>
      <c r="G3466" s="18"/>
      <c r="H3466" s="18"/>
      <c r="I3466" s="18"/>
      <c r="J3466" s="18"/>
      <c r="K3466" s="18"/>
      <c r="L3466" s="12" t="s">
        <v>144</v>
      </c>
      <c r="M3466" s="18"/>
      <c r="N3466" s="18"/>
      <c r="O3466" s="18"/>
      <c r="P3466" s="18"/>
      <c r="Q3466" s="18"/>
    </row>
    <row r="3467" spans="1:17" ht="75" x14ac:dyDescent="0.25">
      <c r="A3467" s="18" t="s">
        <v>7327</v>
      </c>
      <c r="B3467" s="18" t="s">
        <v>7307</v>
      </c>
      <c r="C3467" s="18"/>
      <c r="D3467" s="18" t="s">
        <v>7172</v>
      </c>
      <c r="E3467" s="18" t="s">
        <v>627</v>
      </c>
      <c r="F3467" s="18" t="s">
        <v>628</v>
      </c>
      <c r="G3467" s="18" t="s">
        <v>12</v>
      </c>
      <c r="H3467" s="18"/>
      <c r="I3467" s="18"/>
      <c r="J3467" s="18" t="s">
        <v>142</v>
      </c>
      <c r="K3467" s="18"/>
      <c r="L3467" s="12" t="s">
        <v>547</v>
      </c>
      <c r="M3467" s="18" t="s">
        <v>629</v>
      </c>
      <c r="N3467" s="18"/>
      <c r="O3467" s="18" t="s">
        <v>630</v>
      </c>
      <c r="P3467" s="18" t="str">
        <f>HYPERLINK("https://ceds.ed.gov/cedselementdetails.aspx?termid=9982")</f>
        <v>https://ceds.ed.gov/cedselementdetails.aspx?termid=9982</v>
      </c>
      <c r="Q3467" s="18" t="str">
        <f>HYPERLINK("https://ceds.ed.gov/elementComment.aspx?elementName=Assessment GUID &amp;elementID=9982", "Click here to submit comment")</f>
        <v>Click here to submit comment</v>
      </c>
    </row>
    <row r="3468" spans="1:17" x14ac:dyDescent="0.25">
      <c r="A3468" s="18"/>
      <c r="B3468" s="18"/>
      <c r="C3468" s="18"/>
      <c r="D3468" s="18"/>
      <c r="E3468" s="18"/>
      <c r="F3468" s="18"/>
      <c r="G3468" s="18"/>
      <c r="H3468" s="18"/>
      <c r="I3468" s="18"/>
      <c r="J3468" s="18"/>
      <c r="K3468" s="18"/>
      <c r="L3468" s="12"/>
      <c r="M3468" s="18"/>
      <c r="N3468" s="18"/>
      <c r="O3468" s="18"/>
      <c r="P3468" s="18"/>
      <c r="Q3468" s="18"/>
    </row>
    <row r="3469" spans="1:17" ht="60" x14ac:dyDescent="0.25">
      <c r="A3469" s="18"/>
      <c r="B3469" s="18"/>
      <c r="C3469" s="18"/>
      <c r="D3469" s="18"/>
      <c r="E3469" s="18"/>
      <c r="F3469" s="18"/>
      <c r="G3469" s="18"/>
      <c r="H3469" s="18"/>
      <c r="I3469" s="18"/>
      <c r="J3469" s="18"/>
      <c r="K3469" s="18"/>
      <c r="L3469" s="12" t="s">
        <v>548</v>
      </c>
      <c r="M3469" s="18"/>
      <c r="N3469" s="18"/>
      <c r="O3469" s="18"/>
      <c r="P3469" s="18"/>
      <c r="Q3469" s="18"/>
    </row>
    <row r="3470" spans="1:17" ht="165" x14ac:dyDescent="0.25">
      <c r="A3470" s="12" t="s">
        <v>7327</v>
      </c>
      <c r="B3470" s="12" t="s">
        <v>7307</v>
      </c>
      <c r="C3470" s="12"/>
      <c r="D3470" s="12" t="s">
        <v>7172</v>
      </c>
      <c r="E3470" s="12" t="s">
        <v>1476</v>
      </c>
      <c r="F3470" s="12" t="s">
        <v>1477</v>
      </c>
      <c r="G3470" s="12" t="s">
        <v>12</v>
      </c>
      <c r="H3470" s="12" t="s">
        <v>6423</v>
      </c>
      <c r="I3470" s="12"/>
      <c r="J3470" s="12" t="s">
        <v>99</v>
      </c>
      <c r="K3470" s="12"/>
      <c r="L3470" s="12"/>
      <c r="M3470" s="12" t="s">
        <v>1478</v>
      </c>
      <c r="N3470" s="12"/>
      <c r="O3470" s="12" t="s">
        <v>1479</v>
      </c>
      <c r="P3470" s="12" t="str">
        <f>HYPERLINK("https://ceds.ed.gov/cedselementdetails.aspx?termid=9028")</f>
        <v>https://ceds.ed.gov/cedselementdetails.aspx?termid=9028</v>
      </c>
      <c r="Q3470" s="12" t="str">
        <f>HYPERLINK("https://ceds.ed.gov/elementComment.aspx?elementName=Assessment Title &amp;elementID=9028", "Click here to submit comment")</f>
        <v>Click here to submit comment</v>
      </c>
    </row>
    <row r="3471" spans="1:17" ht="409.5" x14ac:dyDescent="0.25">
      <c r="A3471" s="12" t="s">
        <v>7327</v>
      </c>
      <c r="B3471" s="12" t="s">
        <v>7307</v>
      </c>
      <c r="C3471" s="12"/>
      <c r="D3471" s="12" t="s">
        <v>7172</v>
      </c>
      <c r="E3471" s="12" t="s">
        <v>1480</v>
      </c>
      <c r="F3471" s="12" t="s">
        <v>1481</v>
      </c>
      <c r="G3471" s="13" t="s">
        <v>6796</v>
      </c>
      <c r="H3471" s="12" t="s">
        <v>6399</v>
      </c>
      <c r="I3471" s="12"/>
      <c r="J3471" s="12"/>
      <c r="K3471" s="12"/>
      <c r="L3471" s="12"/>
      <c r="M3471" s="12" t="s">
        <v>1482</v>
      </c>
      <c r="N3471" s="12"/>
      <c r="O3471" s="12" t="s">
        <v>1483</v>
      </c>
      <c r="P3471" s="12" t="str">
        <f>HYPERLINK("https://ceds.ed.gov/cedselementdetails.aspx?termid=9029")</f>
        <v>https://ceds.ed.gov/cedselementdetails.aspx?termid=9029</v>
      </c>
      <c r="Q3471" s="12" t="str">
        <f>HYPERLINK("https://ceds.ed.gov/elementComment.aspx?elementName=Assessment Type &amp;elementID=9029", "Click here to submit comment")</f>
        <v>Click here to submit comment</v>
      </c>
    </row>
    <row r="3472" spans="1:17" ht="30" x14ac:dyDescent="0.25">
      <c r="A3472" s="12" t="s">
        <v>7327</v>
      </c>
      <c r="B3472" s="12" t="s">
        <v>7307</v>
      </c>
      <c r="C3472" s="12"/>
      <c r="D3472" s="12" t="s">
        <v>7172</v>
      </c>
      <c r="E3472" s="12" t="s">
        <v>1427</v>
      </c>
      <c r="F3472" s="12" t="s">
        <v>1428</v>
      </c>
      <c r="G3472" s="12" t="s">
        <v>12</v>
      </c>
      <c r="H3472" s="12"/>
      <c r="I3472" s="12"/>
      <c r="J3472" s="12" t="s">
        <v>92</v>
      </c>
      <c r="K3472" s="12"/>
      <c r="L3472" s="12"/>
      <c r="M3472" s="12" t="s">
        <v>1429</v>
      </c>
      <c r="N3472" s="12"/>
      <c r="O3472" s="12" t="s">
        <v>1430</v>
      </c>
      <c r="P3472" s="12" t="str">
        <f>HYPERLINK("https://ceds.ed.gov/cedselementdetails.aspx?termid=9932")</f>
        <v>https://ceds.ed.gov/cedselementdetails.aspx?termid=9932</v>
      </c>
      <c r="Q3472" s="12" t="str">
        <f>HYPERLINK("https://ceds.ed.gov/elementComment.aspx?elementName=Assessment Short Name &amp;elementID=9932", "Click here to submit comment")</f>
        <v>Click here to submit comment</v>
      </c>
    </row>
    <row r="3473" spans="1:17" ht="330" x14ac:dyDescent="0.25">
      <c r="A3473" s="12" t="s">
        <v>7327</v>
      </c>
      <c r="B3473" s="12" t="s">
        <v>7307</v>
      </c>
      <c r="C3473" s="12"/>
      <c r="D3473" s="12" t="s">
        <v>7172</v>
      </c>
      <c r="E3473" s="12" t="s">
        <v>404</v>
      </c>
      <c r="F3473" s="12" t="s">
        <v>405</v>
      </c>
      <c r="G3473" s="13" t="s">
        <v>6751</v>
      </c>
      <c r="H3473" s="12" t="s">
        <v>6395</v>
      </c>
      <c r="I3473" s="12"/>
      <c r="J3473" s="12"/>
      <c r="K3473" s="12"/>
      <c r="L3473" s="12"/>
      <c r="M3473" s="12" t="s">
        <v>406</v>
      </c>
      <c r="N3473" s="12"/>
      <c r="O3473" s="12" t="s">
        <v>407</v>
      </c>
      <c r="P3473" s="12" t="str">
        <f>HYPERLINK("https://ceds.ed.gov/cedselementdetails.aspx?termid=9021")</f>
        <v>https://ceds.ed.gov/cedselementdetails.aspx?termid=9021</v>
      </c>
      <c r="Q3473" s="12" t="str">
        <f>HYPERLINK("https://ceds.ed.gov/elementComment.aspx?elementName=Assessment Academic Subject &amp;elementID=9021", "Click here to submit comment")</f>
        <v>Click here to submit comment</v>
      </c>
    </row>
    <row r="3474" spans="1:17" ht="360" x14ac:dyDescent="0.25">
      <c r="A3474" s="12" t="s">
        <v>7327</v>
      </c>
      <c r="B3474" s="12" t="s">
        <v>7307</v>
      </c>
      <c r="C3474" s="12"/>
      <c r="D3474" s="12" t="s">
        <v>7172</v>
      </c>
      <c r="E3474" s="12" t="s">
        <v>1003</v>
      </c>
      <c r="F3474" s="12" t="s">
        <v>1004</v>
      </c>
      <c r="G3474" s="13" t="s">
        <v>6767</v>
      </c>
      <c r="H3474" s="12" t="s">
        <v>6411</v>
      </c>
      <c r="I3474" s="12"/>
      <c r="J3474" s="12"/>
      <c r="K3474" s="12"/>
      <c r="L3474" s="12"/>
      <c r="M3474" s="12" t="s">
        <v>1005</v>
      </c>
      <c r="N3474" s="12"/>
      <c r="O3474" s="12" t="s">
        <v>1006</v>
      </c>
      <c r="P3474" s="12" t="str">
        <f>HYPERLINK("https://ceds.ed.gov/cedselementdetails.aspx?termid=9177")</f>
        <v>https://ceds.ed.gov/cedselementdetails.aspx?termid=9177</v>
      </c>
      <c r="Q3474" s="12" t="str">
        <f>HYPERLINK("https://ceds.ed.gov/elementComment.aspx?elementName=Assessment Level for Which Designed &amp;elementID=9177", "Click here to submit comment")</f>
        <v>Click here to submit comment</v>
      </c>
    </row>
    <row r="3475" spans="1:17" ht="30" x14ac:dyDescent="0.25">
      <c r="A3475" s="12" t="s">
        <v>7327</v>
      </c>
      <c r="B3475" s="12" t="s">
        <v>7307</v>
      </c>
      <c r="C3475" s="12"/>
      <c r="D3475" s="12" t="s">
        <v>7172</v>
      </c>
      <c r="E3475" s="12" t="s">
        <v>1152</v>
      </c>
      <c r="F3475" s="12" t="s">
        <v>1153</v>
      </c>
      <c r="G3475" s="12" t="s">
        <v>12</v>
      </c>
      <c r="H3475" s="12" t="s">
        <v>6409</v>
      </c>
      <c r="I3475" s="12"/>
      <c r="J3475" s="12" t="s">
        <v>794</v>
      </c>
      <c r="K3475" s="12"/>
      <c r="L3475" s="12"/>
      <c r="M3475" s="12" t="s">
        <v>1154</v>
      </c>
      <c r="N3475" s="12"/>
      <c r="O3475" s="12" t="s">
        <v>1155</v>
      </c>
      <c r="P3475" s="12" t="str">
        <f>HYPERLINK("https://ceds.ed.gov/cedselementdetails.aspx?termid=9373")</f>
        <v>https://ceds.ed.gov/cedselementdetails.aspx?termid=9373</v>
      </c>
      <c r="Q3475" s="12" t="str">
        <f>HYPERLINK("https://ceds.ed.gov/elementComment.aspx?elementName=Assessment Objective &amp;elementID=9373", "Click here to submit comment")</f>
        <v>Click here to submit comment</v>
      </c>
    </row>
    <row r="3476" spans="1:17" ht="390" x14ac:dyDescent="0.25">
      <c r="A3476" s="12" t="s">
        <v>7327</v>
      </c>
      <c r="B3476" s="12" t="s">
        <v>7307</v>
      </c>
      <c r="C3476" s="12"/>
      <c r="D3476" s="12" t="s">
        <v>7172</v>
      </c>
      <c r="E3476" s="12" t="s">
        <v>1230</v>
      </c>
      <c r="F3476" s="12" t="s">
        <v>1231</v>
      </c>
      <c r="G3476" s="13" t="s">
        <v>6784</v>
      </c>
      <c r="H3476" s="12" t="s">
        <v>6399</v>
      </c>
      <c r="I3476" s="12"/>
      <c r="J3476" s="12"/>
      <c r="K3476" s="12"/>
      <c r="L3476" s="12" t="s">
        <v>1232</v>
      </c>
      <c r="M3476" s="12" t="s">
        <v>1233</v>
      </c>
      <c r="N3476" s="12"/>
      <c r="O3476" s="12" t="s">
        <v>1234</v>
      </c>
      <c r="P3476" s="12" t="str">
        <f>HYPERLINK("https://ceds.ed.gov/cedselementdetails.aspx?termid=9026")</f>
        <v>https://ceds.ed.gov/cedselementdetails.aspx?termid=9026</v>
      </c>
      <c r="Q3476" s="12" t="str">
        <f>HYPERLINK("https://ceds.ed.gov/elementComment.aspx?elementName=Assessment Purpose &amp;elementID=9026", "Click here to submit comment")</f>
        <v>Click here to submit comment</v>
      </c>
    </row>
    <row r="3477" spans="1:17" ht="409.5" x14ac:dyDescent="0.25">
      <c r="A3477" s="12" t="s">
        <v>7327</v>
      </c>
      <c r="B3477" s="12" t="s">
        <v>7307</v>
      </c>
      <c r="C3477" s="12"/>
      <c r="D3477" s="12" t="s">
        <v>7172</v>
      </c>
      <c r="E3477" s="12" t="s">
        <v>1484</v>
      </c>
      <c r="F3477" s="12" t="s">
        <v>1485</v>
      </c>
      <c r="G3477" s="13" t="s">
        <v>6797</v>
      </c>
      <c r="H3477" s="12" t="s">
        <v>6414</v>
      </c>
      <c r="I3477" s="12"/>
      <c r="J3477" s="12"/>
      <c r="K3477" s="12"/>
      <c r="L3477" s="12"/>
      <c r="M3477" s="12" t="s">
        <v>1486</v>
      </c>
      <c r="N3477" s="12"/>
      <c r="O3477" s="12" t="s">
        <v>1487</v>
      </c>
      <c r="P3477" s="12" t="str">
        <f>HYPERLINK("https://ceds.ed.gov/cedselementdetails.aspx?termid=9405")</f>
        <v>https://ceds.ed.gov/cedselementdetails.aspx?termid=9405</v>
      </c>
      <c r="Q3477" s="12" t="str">
        <f>HYPERLINK("https://ceds.ed.gov/elementComment.aspx?elementName=Assessment Type Administered to Children With Disabilities &amp;elementID=9405", "Click here to submit comment")</f>
        <v>Click here to submit comment</v>
      </c>
    </row>
    <row r="3478" spans="1:17" ht="60" x14ac:dyDescent="0.25">
      <c r="A3478" s="18" t="s">
        <v>7327</v>
      </c>
      <c r="B3478" s="18" t="s">
        <v>7307</v>
      </c>
      <c r="C3478" s="18"/>
      <c r="D3478" s="18" t="s">
        <v>7172</v>
      </c>
      <c r="E3478" s="18" t="s">
        <v>508</v>
      </c>
      <c r="F3478" s="18" t="s">
        <v>509</v>
      </c>
      <c r="G3478" s="20" t="s">
        <v>6757</v>
      </c>
      <c r="H3478" s="18" t="s">
        <v>6401</v>
      </c>
      <c r="I3478" s="18" t="s">
        <v>98</v>
      </c>
      <c r="J3478" s="18"/>
      <c r="K3478" s="18"/>
      <c r="L3478" s="12" t="s">
        <v>510</v>
      </c>
      <c r="M3478" s="18" t="s">
        <v>515</v>
      </c>
      <c r="N3478" s="18"/>
      <c r="O3478" s="18" t="s">
        <v>516</v>
      </c>
      <c r="P3478" s="18" t="str">
        <f>HYPERLINK("https://ceds.ed.gov/cedselementdetails.aspx?termid=10003")</f>
        <v>https://ceds.ed.gov/cedselementdetails.aspx?termid=10003</v>
      </c>
      <c r="Q3478" s="18" t="str">
        <f>HYPERLINK("https://ceds.ed.gov/elementComment.aspx?elementName=Assessment Early Learning Developmental Domain &amp;elementID=10003", "Click here to submit comment")</f>
        <v>Click here to submit comment</v>
      </c>
    </row>
    <row r="3479" spans="1:17" x14ac:dyDescent="0.25">
      <c r="A3479" s="18"/>
      <c r="B3479" s="18"/>
      <c r="C3479" s="18"/>
      <c r="D3479" s="18"/>
      <c r="E3479" s="18"/>
      <c r="F3479" s="18"/>
      <c r="G3479" s="18"/>
      <c r="H3479" s="18"/>
      <c r="I3479" s="18"/>
      <c r="J3479" s="18"/>
      <c r="K3479" s="18"/>
      <c r="L3479" s="12"/>
      <c r="M3479" s="18"/>
      <c r="N3479" s="18"/>
      <c r="O3479" s="18"/>
      <c r="P3479" s="18"/>
      <c r="Q3479" s="18"/>
    </row>
    <row r="3480" spans="1:17" ht="30" x14ac:dyDescent="0.25">
      <c r="A3480" s="18"/>
      <c r="B3480" s="18"/>
      <c r="C3480" s="18"/>
      <c r="D3480" s="18"/>
      <c r="E3480" s="18"/>
      <c r="F3480" s="18"/>
      <c r="G3480" s="18"/>
      <c r="H3480" s="18"/>
      <c r="I3480" s="18"/>
      <c r="J3480" s="18"/>
      <c r="K3480" s="18"/>
      <c r="L3480" s="12" t="s">
        <v>511</v>
      </c>
      <c r="M3480" s="18"/>
      <c r="N3480" s="18"/>
      <c r="O3480" s="18"/>
      <c r="P3480" s="18"/>
      <c r="Q3480" s="18"/>
    </row>
    <row r="3481" spans="1:17" ht="45" x14ac:dyDescent="0.25">
      <c r="A3481" s="18"/>
      <c r="B3481" s="18"/>
      <c r="C3481" s="18"/>
      <c r="D3481" s="18"/>
      <c r="E3481" s="18"/>
      <c r="F3481" s="18"/>
      <c r="G3481" s="18"/>
      <c r="H3481" s="18"/>
      <c r="I3481" s="18"/>
      <c r="J3481" s="18"/>
      <c r="K3481" s="18"/>
      <c r="L3481" s="12" t="s">
        <v>512</v>
      </c>
      <c r="M3481" s="18"/>
      <c r="N3481" s="18"/>
      <c r="O3481" s="18"/>
      <c r="P3481" s="18"/>
      <c r="Q3481" s="18"/>
    </row>
    <row r="3482" spans="1:17" ht="75" x14ac:dyDescent="0.25">
      <c r="A3482" s="18"/>
      <c r="B3482" s="18"/>
      <c r="C3482" s="18"/>
      <c r="D3482" s="18"/>
      <c r="E3482" s="18"/>
      <c r="F3482" s="18"/>
      <c r="G3482" s="18"/>
      <c r="H3482" s="18"/>
      <c r="I3482" s="18"/>
      <c r="J3482" s="18"/>
      <c r="K3482" s="18"/>
      <c r="L3482" s="12" t="s">
        <v>513</v>
      </c>
      <c r="M3482" s="18"/>
      <c r="N3482" s="18"/>
      <c r="O3482" s="18"/>
      <c r="P3482" s="18"/>
      <c r="Q3482" s="18"/>
    </row>
    <row r="3483" spans="1:17" x14ac:dyDescent="0.25">
      <c r="A3483" s="18"/>
      <c r="B3483" s="18"/>
      <c r="C3483" s="18"/>
      <c r="D3483" s="18"/>
      <c r="E3483" s="18"/>
      <c r="F3483" s="18"/>
      <c r="G3483" s="18"/>
      <c r="H3483" s="18"/>
      <c r="I3483" s="18"/>
      <c r="J3483" s="18"/>
      <c r="K3483" s="18"/>
      <c r="L3483" s="12"/>
      <c r="M3483" s="18"/>
      <c r="N3483" s="18"/>
      <c r="O3483" s="18"/>
      <c r="P3483" s="18"/>
      <c r="Q3483" s="18"/>
    </row>
    <row r="3484" spans="1:17" ht="105" x14ac:dyDescent="0.25">
      <c r="A3484" s="18"/>
      <c r="B3484" s="18"/>
      <c r="C3484" s="18"/>
      <c r="D3484" s="18"/>
      <c r="E3484" s="18"/>
      <c r="F3484" s="18"/>
      <c r="G3484" s="18"/>
      <c r="H3484" s="18"/>
      <c r="I3484" s="18"/>
      <c r="J3484" s="18"/>
      <c r="K3484" s="18"/>
      <c r="L3484" s="12" t="s">
        <v>514</v>
      </c>
      <c r="M3484" s="18"/>
      <c r="N3484" s="18"/>
      <c r="O3484" s="18"/>
      <c r="P3484" s="18"/>
      <c r="Q3484" s="18"/>
    </row>
    <row r="3485" spans="1:17" ht="60" x14ac:dyDescent="0.25">
      <c r="A3485" s="12" t="s">
        <v>7327</v>
      </c>
      <c r="B3485" s="12" t="s">
        <v>7307</v>
      </c>
      <c r="C3485" s="12"/>
      <c r="D3485" s="12" t="s">
        <v>7172</v>
      </c>
      <c r="E3485" s="12" t="s">
        <v>517</v>
      </c>
      <c r="F3485" s="12" t="s">
        <v>518</v>
      </c>
      <c r="G3485" s="12" t="s">
        <v>12</v>
      </c>
      <c r="H3485" s="12"/>
      <c r="I3485" s="12"/>
      <c r="J3485" s="12" t="s">
        <v>92</v>
      </c>
      <c r="K3485" s="12"/>
      <c r="L3485" s="12" t="s">
        <v>520</v>
      </c>
      <c r="M3485" s="12" t="s">
        <v>521</v>
      </c>
      <c r="N3485" s="12"/>
      <c r="O3485" s="12" t="s">
        <v>522</v>
      </c>
      <c r="P3485" s="12" t="str">
        <f>HYPERLINK("https://ceds.ed.gov/cedselementdetails.aspx?termid=9934")</f>
        <v>https://ceds.ed.gov/cedselementdetails.aspx?termid=9934</v>
      </c>
      <c r="Q3485" s="12" t="str">
        <f>HYPERLINK("https://ceds.ed.gov/elementComment.aspx?elementName=Assessment Family Short Name &amp;elementID=9934", "Click here to submit comment")</f>
        <v>Click here to submit comment</v>
      </c>
    </row>
    <row r="3486" spans="1:17" ht="90" x14ac:dyDescent="0.25">
      <c r="A3486" s="12" t="s">
        <v>7327</v>
      </c>
      <c r="B3486" s="12" t="s">
        <v>7307</v>
      </c>
      <c r="C3486" s="12"/>
      <c r="D3486" s="12" t="s">
        <v>7172</v>
      </c>
      <c r="E3486" s="12" t="s">
        <v>523</v>
      </c>
      <c r="F3486" s="12" t="s">
        <v>524</v>
      </c>
      <c r="G3486" s="12" t="s">
        <v>12</v>
      </c>
      <c r="H3486" s="12"/>
      <c r="I3486" s="12"/>
      <c r="J3486" s="12" t="s">
        <v>99</v>
      </c>
      <c r="K3486" s="12"/>
      <c r="L3486" s="12"/>
      <c r="M3486" s="12" t="s">
        <v>525</v>
      </c>
      <c r="N3486" s="12"/>
      <c r="O3486" s="12" t="s">
        <v>526</v>
      </c>
      <c r="P3486" s="12" t="str">
        <f>HYPERLINK("https://ceds.ed.gov/cedselementdetails.aspx?termid=9933")</f>
        <v>https://ceds.ed.gov/cedselementdetails.aspx?termid=9933</v>
      </c>
      <c r="Q3486" s="12" t="str">
        <f>HYPERLINK("https://ceds.ed.gov/elementComment.aspx?elementName=Assessment Family Title &amp;elementID=9933", "Click here to submit comment")</f>
        <v>Click here to submit comment</v>
      </c>
    </row>
    <row r="3487" spans="1:17" ht="30" x14ac:dyDescent="0.25">
      <c r="A3487" s="12" t="s">
        <v>7327</v>
      </c>
      <c r="B3487" s="12" t="s">
        <v>7307</v>
      </c>
      <c r="C3487" s="12"/>
      <c r="D3487" s="12" t="s">
        <v>7172</v>
      </c>
      <c r="E3487" s="12" t="s">
        <v>1225</v>
      </c>
      <c r="F3487" s="12" t="s">
        <v>1226</v>
      </c>
      <c r="G3487" s="12" t="s">
        <v>12</v>
      </c>
      <c r="H3487" s="12"/>
      <c r="I3487" s="12"/>
      <c r="J3487" s="12" t="s">
        <v>92</v>
      </c>
      <c r="K3487" s="12"/>
      <c r="L3487" s="12" t="s">
        <v>1227</v>
      </c>
      <c r="M3487" s="12" t="s">
        <v>1228</v>
      </c>
      <c r="N3487" s="12"/>
      <c r="O3487" s="12" t="s">
        <v>1229</v>
      </c>
      <c r="P3487" s="12" t="str">
        <f>HYPERLINK("https://ceds.ed.gov/cedselementdetails.aspx?termid=10009")</f>
        <v>https://ceds.ed.gov/cedselementdetails.aspx?termid=10009</v>
      </c>
      <c r="Q3487" s="12" t="str">
        <f>HYPERLINK("https://ceds.ed.gov/elementComment.aspx?elementName=Assessment Provider &amp;elementID=10009", "Click here to submit comment")</f>
        <v>Click here to submit comment</v>
      </c>
    </row>
    <row r="3488" spans="1:17" ht="60" x14ac:dyDescent="0.25">
      <c r="A3488" s="12" t="s">
        <v>7327</v>
      </c>
      <c r="B3488" s="12" t="s">
        <v>7307</v>
      </c>
      <c r="C3488" s="12"/>
      <c r="D3488" s="12" t="s">
        <v>7172</v>
      </c>
      <c r="E3488" s="12" t="s">
        <v>1353</v>
      </c>
      <c r="F3488" s="12" t="s">
        <v>1354</v>
      </c>
      <c r="G3488" s="12" t="s">
        <v>12</v>
      </c>
      <c r="H3488" s="12"/>
      <c r="I3488" s="12"/>
      <c r="J3488" s="12" t="s">
        <v>73</v>
      </c>
      <c r="K3488" s="12"/>
      <c r="L3488" s="12"/>
      <c r="M3488" s="12" t="s">
        <v>1355</v>
      </c>
      <c r="N3488" s="12"/>
      <c r="O3488" s="12" t="s">
        <v>1356</v>
      </c>
      <c r="P3488" s="12" t="str">
        <f>HYPERLINK("https://ceds.ed.gov/cedselementdetails.aspx?termid=10519")</f>
        <v>https://ceds.ed.gov/cedselementdetails.aspx?termid=10519</v>
      </c>
      <c r="Q3488" s="12" t="str">
        <f>HYPERLINK("https://ceds.ed.gov/elementComment.aspx?elementName=Assessment Revision Date &amp;elementID=10519", "Click here to submit comment")</f>
        <v>Click here to submit comment</v>
      </c>
    </row>
    <row r="3489" spans="1:17" ht="409.5" x14ac:dyDescent="0.25">
      <c r="A3489" s="12" t="s">
        <v>7327</v>
      </c>
      <c r="B3489" s="12" t="s">
        <v>7307</v>
      </c>
      <c r="C3489" s="12"/>
      <c r="D3489" s="12" t="s">
        <v>7172</v>
      </c>
      <c r="E3489" s="12" t="s">
        <v>1357</v>
      </c>
      <c r="F3489" s="12" t="s">
        <v>1358</v>
      </c>
      <c r="G3489" s="13" t="s">
        <v>6783</v>
      </c>
      <c r="H3489" s="12" t="s">
        <v>6419</v>
      </c>
      <c r="I3489" s="12"/>
      <c r="J3489" s="12"/>
      <c r="K3489" s="12"/>
      <c r="L3489" s="12"/>
      <c r="M3489" s="12" t="s">
        <v>1359</v>
      </c>
      <c r="N3489" s="12"/>
      <c r="O3489" s="12" t="s">
        <v>1360</v>
      </c>
      <c r="P3489" s="12" t="str">
        <f>HYPERLINK("https://ceds.ed.gov/cedselementdetails.aspx?termid=9368")</f>
        <v>https://ceds.ed.gov/cedselementdetails.aspx?termid=9368</v>
      </c>
      <c r="Q3489" s="12" t="str">
        <f>HYPERLINK("https://ceds.ed.gov/elementComment.aspx?elementName=Assessment Score Metric Type &amp;elementID=9368", "Click here to submit comment")</f>
        <v>Click here to submit comment</v>
      </c>
    </row>
    <row r="3490" spans="1:17" ht="90" x14ac:dyDescent="0.25">
      <c r="A3490" s="12" t="s">
        <v>7327</v>
      </c>
      <c r="B3490" s="12" t="s">
        <v>7307</v>
      </c>
      <c r="C3490" s="12"/>
      <c r="D3490" s="12" t="s">
        <v>7172</v>
      </c>
      <c r="E3490" s="12" t="s">
        <v>3631</v>
      </c>
      <c r="F3490" s="12" t="s">
        <v>3632</v>
      </c>
      <c r="G3490" s="14" t="s">
        <v>999</v>
      </c>
      <c r="H3490" s="12" t="s">
        <v>6577</v>
      </c>
      <c r="I3490" s="12" t="s">
        <v>98</v>
      </c>
      <c r="J3490" s="12"/>
      <c r="K3490" s="12"/>
      <c r="L3490" s="14" t="s">
        <v>1000</v>
      </c>
      <c r="M3490" s="12" t="s">
        <v>3633</v>
      </c>
      <c r="N3490" s="12"/>
      <c r="O3490" s="12" t="s">
        <v>3634</v>
      </c>
      <c r="P3490" s="12" t="str">
        <f>HYPERLINK("https://ceds.ed.gov/cedselementdetails.aspx?termid=9317")</f>
        <v>https://ceds.ed.gov/cedselementdetails.aspx?termid=9317</v>
      </c>
      <c r="Q3490" s="12" t="str">
        <f>HYPERLINK("https://ceds.ed.gov/elementComment.aspx?elementName=ISO 639-2 Language Code &amp;elementID=9317", "Click here to submit comment")</f>
        <v>Click here to submit comment</v>
      </c>
    </row>
    <row r="3491" spans="1:17" ht="105" x14ac:dyDescent="0.25">
      <c r="A3491" s="12" t="s">
        <v>7327</v>
      </c>
      <c r="B3491" s="12" t="s">
        <v>7307</v>
      </c>
      <c r="C3491" s="12"/>
      <c r="D3491" s="12" t="s">
        <v>7172</v>
      </c>
      <c r="E3491" s="12" t="s">
        <v>3635</v>
      </c>
      <c r="F3491" s="12" t="s">
        <v>3632</v>
      </c>
      <c r="G3491" s="14" t="s">
        <v>3636</v>
      </c>
      <c r="H3491" s="12"/>
      <c r="I3491" s="12" t="s">
        <v>1498</v>
      </c>
      <c r="J3491" s="12"/>
      <c r="K3491" s="12"/>
      <c r="L3491" s="14" t="s">
        <v>3637</v>
      </c>
      <c r="M3491" s="12" t="s">
        <v>3638</v>
      </c>
      <c r="N3491" s="12"/>
      <c r="O3491" s="12" t="s">
        <v>3639</v>
      </c>
      <c r="P3491" s="12" t="str">
        <f>HYPERLINK("https://ceds.ed.gov/cedselementdetails.aspx?termid=10618")</f>
        <v>https://ceds.ed.gov/cedselementdetails.aspx?termid=10618</v>
      </c>
      <c r="Q3491" s="12" t="str">
        <f>HYPERLINK("https://ceds.ed.gov/elementComment.aspx?elementName=ISO 639-3 Language Code &amp;elementID=10618", "Click here to submit comment")</f>
        <v>Click here to submit comment</v>
      </c>
    </row>
    <row r="3492" spans="1:17" ht="409.5" x14ac:dyDescent="0.25">
      <c r="A3492" s="12" t="s">
        <v>7327</v>
      </c>
      <c r="B3492" s="12" t="s">
        <v>7307</v>
      </c>
      <c r="C3492" s="12"/>
      <c r="D3492" s="12" t="s">
        <v>7172</v>
      </c>
      <c r="E3492" s="12" t="s">
        <v>3640</v>
      </c>
      <c r="F3492" s="12" t="s">
        <v>3641</v>
      </c>
      <c r="G3492" s="13" t="s">
        <v>6983</v>
      </c>
      <c r="H3492" s="12"/>
      <c r="I3492" s="12" t="s">
        <v>1498</v>
      </c>
      <c r="J3492" s="12"/>
      <c r="K3492" s="12"/>
      <c r="L3492" s="14" t="s">
        <v>3642</v>
      </c>
      <c r="M3492" s="12" t="s">
        <v>3643</v>
      </c>
      <c r="N3492" s="12"/>
      <c r="O3492" s="12" t="s">
        <v>3644</v>
      </c>
      <c r="P3492" s="12" t="str">
        <f>HYPERLINK("https://ceds.ed.gov/cedselementdetails.aspx?termid=10619")</f>
        <v>https://ceds.ed.gov/cedselementdetails.aspx?termid=10619</v>
      </c>
      <c r="Q3492" s="12" t="str">
        <f>HYPERLINK("https://ceds.ed.gov/elementComment.aspx?elementName=ISO 639-5 Language Family &amp;elementID=10619", "Click here to submit comment")</f>
        <v>Click here to submit comment</v>
      </c>
    </row>
    <row r="3493" spans="1:17" ht="150" x14ac:dyDescent="0.25">
      <c r="A3493" s="12" t="s">
        <v>7327</v>
      </c>
      <c r="B3493" s="12" t="s">
        <v>7328</v>
      </c>
      <c r="C3493" s="12"/>
      <c r="D3493" s="12" t="s">
        <v>7172</v>
      </c>
      <c r="E3493" s="12" t="s">
        <v>555</v>
      </c>
      <c r="F3493" s="12" t="s">
        <v>556</v>
      </c>
      <c r="G3493" s="12" t="s">
        <v>12</v>
      </c>
      <c r="H3493" s="12" t="s">
        <v>6403</v>
      </c>
      <c r="I3493" s="12"/>
      <c r="J3493" s="12" t="s">
        <v>142</v>
      </c>
      <c r="K3493" s="12"/>
      <c r="L3493" s="12"/>
      <c r="M3493" s="12" t="s">
        <v>557</v>
      </c>
      <c r="N3493" s="12"/>
      <c r="O3493" s="12" t="s">
        <v>558</v>
      </c>
      <c r="P3493" s="12" t="str">
        <f>HYPERLINK("https://ceds.ed.gov/cedselementdetails.aspx?termid=9024")</f>
        <v>https://ceds.ed.gov/cedselementdetails.aspx?termid=9024</v>
      </c>
      <c r="Q3493" s="12" t="str">
        <f>HYPERLINK("https://ceds.ed.gov/elementComment.aspx?elementName=Assessment Form Name &amp;elementID=9024", "Click here to submit comment")</f>
        <v>Click here to submit comment</v>
      </c>
    </row>
    <row r="3494" spans="1:17" ht="45" x14ac:dyDescent="0.25">
      <c r="A3494" s="12" t="s">
        <v>7327</v>
      </c>
      <c r="B3494" s="12" t="s">
        <v>7328</v>
      </c>
      <c r="C3494" s="12"/>
      <c r="D3494" s="12" t="s">
        <v>7172</v>
      </c>
      <c r="E3494" s="12" t="s">
        <v>559</v>
      </c>
      <c r="F3494" s="12" t="s">
        <v>560</v>
      </c>
      <c r="G3494" s="12" t="s">
        <v>12</v>
      </c>
      <c r="H3494" s="12" t="s">
        <v>6397</v>
      </c>
      <c r="I3494" s="12"/>
      <c r="J3494" s="12" t="s">
        <v>92</v>
      </c>
      <c r="K3494" s="12"/>
      <c r="L3494" s="12"/>
      <c r="M3494" s="12" t="s">
        <v>561</v>
      </c>
      <c r="N3494" s="12"/>
      <c r="O3494" s="12" t="s">
        <v>562</v>
      </c>
      <c r="P3494" s="12" t="str">
        <f>HYPERLINK("https://ceds.ed.gov/cedselementdetails.aspx?termid=9365")</f>
        <v>https://ceds.ed.gov/cedselementdetails.aspx?termid=9365</v>
      </c>
      <c r="Q3494" s="12" t="str">
        <f>HYPERLINK("https://ceds.ed.gov/elementComment.aspx?elementName=Assessment Form Number &amp;elementID=9365", "Click here to submit comment")</f>
        <v>Click here to submit comment</v>
      </c>
    </row>
    <row r="3495" spans="1:17" ht="330" x14ac:dyDescent="0.25">
      <c r="A3495" s="12" t="s">
        <v>7327</v>
      </c>
      <c r="B3495" s="12" t="s">
        <v>7328</v>
      </c>
      <c r="C3495" s="12"/>
      <c r="D3495" s="12" t="s">
        <v>7172</v>
      </c>
      <c r="E3495" s="12" t="s">
        <v>404</v>
      </c>
      <c r="F3495" s="12" t="s">
        <v>405</v>
      </c>
      <c r="G3495" s="13" t="s">
        <v>6751</v>
      </c>
      <c r="H3495" s="12" t="s">
        <v>6395</v>
      </c>
      <c r="I3495" s="12"/>
      <c r="J3495" s="12"/>
      <c r="K3495" s="12"/>
      <c r="L3495" s="12"/>
      <c r="M3495" s="12" t="s">
        <v>406</v>
      </c>
      <c r="N3495" s="12"/>
      <c r="O3495" s="12" t="s">
        <v>407</v>
      </c>
      <c r="P3495" s="12" t="str">
        <f>HYPERLINK("https://ceds.ed.gov/cedselementdetails.aspx?termid=9021")</f>
        <v>https://ceds.ed.gov/cedselementdetails.aspx?termid=9021</v>
      </c>
      <c r="Q3495" s="12" t="str">
        <f>HYPERLINK("https://ceds.ed.gov/elementComment.aspx?elementName=Assessment Academic Subject &amp;elementID=9021", "Click here to submit comment")</f>
        <v>Click here to submit comment</v>
      </c>
    </row>
    <row r="3496" spans="1:17" ht="75" x14ac:dyDescent="0.25">
      <c r="A3496" s="12" t="s">
        <v>7327</v>
      </c>
      <c r="B3496" s="12" t="s">
        <v>7328</v>
      </c>
      <c r="C3496" s="12"/>
      <c r="D3496" s="12" t="s">
        <v>7172</v>
      </c>
      <c r="E3496" s="12" t="s">
        <v>527</v>
      </c>
      <c r="F3496" s="12" t="s">
        <v>528</v>
      </c>
      <c r="G3496" s="12" t="s">
        <v>12</v>
      </c>
      <c r="H3496" s="12"/>
      <c r="I3496" s="12"/>
      <c r="J3496" s="12" t="s">
        <v>327</v>
      </c>
      <c r="K3496" s="12"/>
      <c r="L3496" s="12"/>
      <c r="M3496" s="12" t="s">
        <v>530</v>
      </c>
      <c r="N3496" s="12"/>
      <c r="O3496" s="12" t="s">
        <v>531</v>
      </c>
      <c r="P3496" s="12" t="str">
        <f>HYPERLINK("https://ceds.ed.gov/cedselementdetails.aspx?termid=10136")</f>
        <v>https://ceds.ed.gov/cedselementdetails.aspx?termid=10136</v>
      </c>
      <c r="Q3496" s="12" t="str">
        <f>HYPERLINK("https://ceds.ed.gov/elementComment.aspx?elementName=Assessment Form Accommodation List &amp;elementID=10136", "Click here to submit comment")</f>
        <v>Click here to submit comment</v>
      </c>
    </row>
    <row r="3497" spans="1:17" ht="45" x14ac:dyDescent="0.25">
      <c r="A3497" s="12" t="s">
        <v>7327</v>
      </c>
      <c r="B3497" s="12" t="s">
        <v>7328</v>
      </c>
      <c r="C3497" s="12"/>
      <c r="D3497" s="12" t="s">
        <v>7172</v>
      </c>
      <c r="E3497" s="12" t="s">
        <v>532</v>
      </c>
      <c r="F3497" s="12" t="s">
        <v>533</v>
      </c>
      <c r="G3497" s="12" t="s">
        <v>6364</v>
      </c>
      <c r="H3497" s="12"/>
      <c r="I3497" s="12"/>
      <c r="J3497" s="12"/>
      <c r="K3497" s="12"/>
      <c r="L3497" s="12"/>
      <c r="M3497" s="12" t="s">
        <v>534</v>
      </c>
      <c r="N3497" s="12"/>
      <c r="O3497" s="12" t="s">
        <v>535</v>
      </c>
      <c r="P3497" s="12" t="str">
        <f>HYPERLINK("https://ceds.ed.gov/cedselementdetails.aspx?termid=10507")</f>
        <v>https://ceds.ed.gov/cedselementdetails.aspx?termid=10507</v>
      </c>
      <c r="Q3497" s="12" t="str">
        <f>HYPERLINK("https://ceds.ed.gov/elementComment.aspx?elementName=Assessment Form Adaptive Indicator &amp;elementID=10507", "Click here to submit comment")</f>
        <v>Click here to submit comment</v>
      </c>
    </row>
    <row r="3498" spans="1:17" ht="75" x14ac:dyDescent="0.25">
      <c r="A3498" s="18" t="s">
        <v>7327</v>
      </c>
      <c r="B3498" s="18" t="s">
        <v>7328</v>
      </c>
      <c r="C3498" s="18"/>
      <c r="D3498" s="18" t="s">
        <v>7172</v>
      </c>
      <c r="E3498" s="18" t="s">
        <v>536</v>
      </c>
      <c r="F3498" s="18" t="s">
        <v>537</v>
      </c>
      <c r="G3498" s="18" t="s">
        <v>12</v>
      </c>
      <c r="H3498" s="18"/>
      <c r="I3498" s="18"/>
      <c r="J3498" s="18" t="s">
        <v>142</v>
      </c>
      <c r="K3498" s="18"/>
      <c r="L3498" s="12" t="s">
        <v>538</v>
      </c>
      <c r="M3498" s="18" t="s">
        <v>539</v>
      </c>
      <c r="N3498" s="18"/>
      <c r="O3498" s="18" t="s">
        <v>540</v>
      </c>
      <c r="P3498" s="18" t="str">
        <f>HYPERLINK("https://ceds.ed.gov/cedselementdetails.aspx?termid=10508")</f>
        <v>https://ceds.ed.gov/cedselementdetails.aspx?termid=10508</v>
      </c>
      <c r="Q3498" s="18" t="str">
        <f>HYPERLINK("https://ceds.ed.gov/elementComment.aspx?elementName=Assessment Form Algorithm Identifier &amp;elementID=10508", "Click here to submit comment")</f>
        <v>Click here to submit comment</v>
      </c>
    </row>
    <row r="3499" spans="1:17" x14ac:dyDescent="0.25">
      <c r="A3499" s="18"/>
      <c r="B3499" s="18"/>
      <c r="C3499" s="18"/>
      <c r="D3499" s="18"/>
      <c r="E3499" s="18"/>
      <c r="F3499" s="18"/>
      <c r="G3499" s="18"/>
      <c r="H3499" s="18"/>
      <c r="I3499" s="18"/>
      <c r="J3499" s="18"/>
      <c r="K3499" s="18"/>
      <c r="L3499" s="12"/>
      <c r="M3499" s="18"/>
      <c r="N3499" s="18"/>
      <c r="O3499" s="18"/>
      <c r="P3499" s="18"/>
      <c r="Q3499" s="18"/>
    </row>
    <row r="3500" spans="1:17" ht="105" x14ac:dyDescent="0.25">
      <c r="A3500" s="18"/>
      <c r="B3500" s="18"/>
      <c r="C3500" s="18"/>
      <c r="D3500" s="18"/>
      <c r="E3500" s="18"/>
      <c r="F3500" s="18"/>
      <c r="G3500" s="18"/>
      <c r="H3500" s="18"/>
      <c r="I3500" s="18"/>
      <c r="J3500" s="18"/>
      <c r="K3500" s="18"/>
      <c r="L3500" s="12" t="s">
        <v>143</v>
      </c>
      <c r="M3500" s="18"/>
      <c r="N3500" s="18"/>
      <c r="O3500" s="18"/>
      <c r="P3500" s="18"/>
      <c r="Q3500" s="18"/>
    </row>
    <row r="3501" spans="1:17" x14ac:dyDescent="0.25">
      <c r="A3501" s="18"/>
      <c r="B3501" s="18"/>
      <c r="C3501" s="18"/>
      <c r="D3501" s="18"/>
      <c r="E3501" s="18"/>
      <c r="F3501" s="18"/>
      <c r="G3501" s="18"/>
      <c r="H3501" s="18"/>
      <c r="I3501" s="18"/>
      <c r="J3501" s="18"/>
      <c r="K3501" s="18"/>
      <c r="L3501" s="12"/>
      <c r="M3501" s="18"/>
      <c r="N3501" s="18"/>
      <c r="O3501" s="18"/>
      <c r="P3501" s="18"/>
      <c r="Q3501" s="18"/>
    </row>
    <row r="3502" spans="1:17" ht="90" x14ac:dyDescent="0.25">
      <c r="A3502" s="18"/>
      <c r="B3502" s="18"/>
      <c r="C3502" s="18"/>
      <c r="D3502" s="18"/>
      <c r="E3502" s="18"/>
      <c r="F3502" s="18"/>
      <c r="G3502" s="18"/>
      <c r="H3502" s="18"/>
      <c r="I3502" s="18"/>
      <c r="J3502" s="18"/>
      <c r="K3502" s="18"/>
      <c r="L3502" s="12" t="s">
        <v>144</v>
      </c>
      <c r="M3502" s="18"/>
      <c r="N3502" s="18"/>
      <c r="O3502" s="18"/>
      <c r="P3502" s="18"/>
      <c r="Q3502" s="18"/>
    </row>
    <row r="3503" spans="1:17" ht="75" x14ac:dyDescent="0.25">
      <c r="A3503" s="12" t="s">
        <v>7327</v>
      </c>
      <c r="B3503" s="12" t="s">
        <v>7328</v>
      </c>
      <c r="C3503" s="12"/>
      <c r="D3503" s="12" t="s">
        <v>7172</v>
      </c>
      <c r="E3503" s="12" t="s">
        <v>541</v>
      </c>
      <c r="F3503" s="12" t="s">
        <v>542</v>
      </c>
      <c r="G3503" s="12" t="s">
        <v>12</v>
      </c>
      <c r="H3503" s="12"/>
      <c r="I3503" s="12"/>
      <c r="J3503" s="12" t="s">
        <v>142</v>
      </c>
      <c r="K3503" s="12"/>
      <c r="L3503" s="12" t="s">
        <v>538</v>
      </c>
      <c r="M3503" s="12" t="s">
        <v>543</v>
      </c>
      <c r="N3503" s="12"/>
      <c r="O3503" s="12" t="s">
        <v>544</v>
      </c>
      <c r="P3503" s="12" t="str">
        <f>HYPERLINK("https://ceds.ed.gov/cedselementdetails.aspx?termid=10509")</f>
        <v>https://ceds.ed.gov/cedselementdetails.aspx?termid=10509</v>
      </c>
      <c r="Q3503" s="12" t="str">
        <f>HYPERLINK("https://ceds.ed.gov/elementComment.aspx?elementName=Assessment Form Algorithm Version &amp;elementID=10509", "Click here to submit comment")</f>
        <v>Click here to submit comment</v>
      </c>
    </row>
    <row r="3504" spans="1:17" ht="75" x14ac:dyDescent="0.25">
      <c r="A3504" s="18" t="s">
        <v>7327</v>
      </c>
      <c r="B3504" s="18" t="s">
        <v>7328</v>
      </c>
      <c r="C3504" s="18"/>
      <c r="D3504" s="18" t="s">
        <v>7172</v>
      </c>
      <c r="E3504" s="18" t="s">
        <v>545</v>
      </c>
      <c r="F3504" s="18" t="s">
        <v>546</v>
      </c>
      <c r="G3504" s="18" t="s">
        <v>12</v>
      </c>
      <c r="H3504" s="18"/>
      <c r="I3504" s="18"/>
      <c r="J3504" s="18" t="s">
        <v>142</v>
      </c>
      <c r="K3504" s="18"/>
      <c r="L3504" s="12" t="s">
        <v>547</v>
      </c>
      <c r="M3504" s="18" t="s">
        <v>549</v>
      </c>
      <c r="N3504" s="18"/>
      <c r="O3504" s="18" t="s">
        <v>550</v>
      </c>
      <c r="P3504" s="18" t="str">
        <f>HYPERLINK("https://ceds.ed.gov/cedselementdetails.aspx?termid=10510")</f>
        <v>https://ceds.ed.gov/cedselementdetails.aspx?termid=10510</v>
      </c>
      <c r="Q3504" s="18" t="str">
        <f>HYPERLINK("https://ceds.ed.gov/elementComment.aspx?elementName=Assessment Form GUID &amp;elementID=10510", "Click here to submit comment")</f>
        <v>Click here to submit comment</v>
      </c>
    </row>
    <row r="3505" spans="1:17" x14ac:dyDescent="0.25">
      <c r="A3505" s="18"/>
      <c r="B3505" s="18"/>
      <c r="C3505" s="18"/>
      <c r="D3505" s="18"/>
      <c r="E3505" s="18"/>
      <c r="F3505" s="18"/>
      <c r="G3505" s="18"/>
      <c r="H3505" s="18"/>
      <c r="I3505" s="18"/>
      <c r="J3505" s="18"/>
      <c r="K3505" s="18"/>
      <c r="L3505" s="12"/>
      <c r="M3505" s="18"/>
      <c r="N3505" s="18"/>
      <c r="O3505" s="18"/>
      <c r="P3505" s="18"/>
      <c r="Q3505" s="18"/>
    </row>
    <row r="3506" spans="1:17" ht="60" x14ac:dyDescent="0.25">
      <c r="A3506" s="18"/>
      <c r="B3506" s="18"/>
      <c r="C3506" s="18"/>
      <c r="D3506" s="18"/>
      <c r="E3506" s="18"/>
      <c r="F3506" s="18"/>
      <c r="G3506" s="18"/>
      <c r="H3506" s="18"/>
      <c r="I3506" s="18"/>
      <c r="J3506" s="18"/>
      <c r="K3506" s="18"/>
      <c r="L3506" s="12" t="s">
        <v>548</v>
      </c>
      <c r="M3506" s="18"/>
      <c r="N3506" s="18"/>
      <c r="O3506" s="18"/>
      <c r="P3506" s="18"/>
      <c r="Q3506" s="18"/>
    </row>
    <row r="3507" spans="1:17" ht="45" x14ac:dyDescent="0.25">
      <c r="A3507" s="12" t="s">
        <v>7327</v>
      </c>
      <c r="B3507" s="12" t="s">
        <v>7328</v>
      </c>
      <c r="C3507" s="12"/>
      <c r="D3507" s="12" t="s">
        <v>7172</v>
      </c>
      <c r="E3507" s="12" t="s">
        <v>551</v>
      </c>
      <c r="F3507" s="12" t="s">
        <v>552</v>
      </c>
      <c r="G3507" s="12" t="s">
        <v>12</v>
      </c>
      <c r="H3507" s="12"/>
      <c r="I3507" s="12"/>
      <c r="J3507" s="12" t="s">
        <v>73</v>
      </c>
      <c r="K3507" s="12"/>
      <c r="L3507" s="12"/>
      <c r="M3507" s="12" t="s">
        <v>553</v>
      </c>
      <c r="N3507" s="12"/>
      <c r="O3507" s="12" t="s">
        <v>554</v>
      </c>
      <c r="P3507" s="12" t="str">
        <f>HYPERLINK("https://ceds.ed.gov/cedselementdetails.aspx?termid=10138")</f>
        <v>https://ceds.ed.gov/cedselementdetails.aspx?termid=10138</v>
      </c>
      <c r="Q3507" s="12" t="str">
        <f>HYPERLINK("https://ceds.ed.gov/elementComment.aspx?elementName=Assessment Form Intended Administration End Date &amp;elementID=10138", "Click here to submit comment")</f>
        <v>Click here to submit comment</v>
      </c>
    </row>
    <row r="3508" spans="1:17" ht="30" x14ac:dyDescent="0.25">
      <c r="A3508" s="12" t="s">
        <v>7327</v>
      </c>
      <c r="B3508" s="12" t="s">
        <v>7328</v>
      </c>
      <c r="C3508" s="12"/>
      <c r="D3508" s="12" t="s">
        <v>7172</v>
      </c>
      <c r="E3508" s="12" t="s">
        <v>563</v>
      </c>
      <c r="F3508" s="12" t="s">
        <v>564</v>
      </c>
      <c r="G3508" s="12" t="s">
        <v>12</v>
      </c>
      <c r="H3508" s="12"/>
      <c r="I3508" s="12"/>
      <c r="J3508" s="12" t="s">
        <v>327</v>
      </c>
      <c r="K3508" s="12"/>
      <c r="L3508" s="12"/>
      <c r="M3508" s="12" t="s">
        <v>565</v>
      </c>
      <c r="N3508" s="12"/>
      <c r="O3508" s="12" t="s">
        <v>566</v>
      </c>
      <c r="P3508" s="12" t="str">
        <f>HYPERLINK("https://ceds.ed.gov/cedselementdetails.aspx?termid=10139")</f>
        <v>https://ceds.ed.gov/cedselementdetails.aspx?termid=10139</v>
      </c>
      <c r="Q3508" s="12" t="str">
        <f>HYPERLINK("https://ceds.ed.gov/elementComment.aspx?elementName=Assessment Form Platforms Supported &amp;elementID=10139", "Click here to submit comment")</f>
        <v>Click here to submit comment</v>
      </c>
    </row>
    <row r="3509" spans="1:17" ht="30" x14ac:dyDescent="0.25">
      <c r="A3509" s="12" t="s">
        <v>7327</v>
      </c>
      <c r="B3509" s="12" t="s">
        <v>7328</v>
      </c>
      <c r="C3509" s="12"/>
      <c r="D3509" s="12" t="s">
        <v>7172</v>
      </c>
      <c r="E3509" s="12" t="s">
        <v>623</v>
      </c>
      <c r="F3509" s="12" t="s">
        <v>624</v>
      </c>
      <c r="G3509" s="12" t="s">
        <v>12</v>
      </c>
      <c r="H3509" s="12"/>
      <c r="I3509" s="12"/>
      <c r="J3509" s="12" t="s">
        <v>92</v>
      </c>
      <c r="K3509" s="12"/>
      <c r="L3509" s="12"/>
      <c r="M3509" s="12" t="s">
        <v>625</v>
      </c>
      <c r="N3509" s="12"/>
      <c r="O3509" s="12" t="s">
        <v>626</v>
      </c>
      <c r="P3509" s="12" t="str">
        <f>HYPERLINK("https://ceds.ed.gov/cedselementdetails.aspx?termid=10134")</f>
        <v>https://ceds.ed.gov/cedselementdetails.aspx?termid=10134</v>
      </c>
      <c r="Q3509" s="12" t="str">
        <f>HYPERLINK("https://ceds.ed.gov/elementComment.aspx?elementName=Assessment Form Version &amp;elementID=10134", "Click here to submit comment")</f>
        <v>Click here to submit comment</v>
      </c>
    </row>
    <row r="3510" spans="1:17" ht="90" x14ac:dyDescent="0.25">
      <c r="A3510" s="12" t="s">
        <v>7327</v>
      </c>
      <c r="B3510" s="12" t="s">
        <v>7328</v>
      </c>
      <c r="C3510" s="12"/>
      <c r="D3510" s="12" t="s">
        <v>7172</v>
      </c>
      <c r="E3510" s="12" t="s">
        <v>997</v>
      </c>
      <c r="F3510" s="12" t="s">
        <v>998</v>
      </c>
      <c r="G3510" s="14" t="s">
        <v>999</v>
      </c>
      <c r="H3510" s="12"/>
      <c r="I3510" s="12" t="s">
        <v>98</v>
      </c>
      <c r="J3510" s="12"/>
      <c r="K3510" s="12"/>
      <c r="L3510" s="14" t="s">
        <v>1000</v>
      </c>
      <c r="M3510" s="12" t="s">
        <v>1001</v>
      </c>
      <c r="N3510" s="12"/>
      <c r="O3510" s="12" t="s">
        <v>1002</v>
      </c>
      <c r="P3510" s="12" t="str">
        <f>HYPERLINK("https://ceds.ed.gov/cedselementdetails.aspx?termid=10073")</f>
        <v>https://ceds.ed.gov/cedselementdetails.aspx?termid=10073</v>
      </c>
      <c r="Q3510" s="12" t="str">
        <f>HYPERLINK("https://ceds.ed.gov/elementComment.aspx?elementName=Assessment Language &amp;elementID=10073", "Click here to submit comment")</f>
        <v>Click here to submit comment</v>
      </c>
    </row>
    <row r="3511" spans="1:17" ht="360" x14ac:dyDescent="0.25">
      <c r="A3511" s="12" t="s">
        <v>7327</v>
      </c>
      <c r="B3511" s="12" t="s">
        <v>7328</v>
      </c>
      <c r="C3511" s="12"/>
      <c r="D3511" s="12" t="s">
        <v>7172</v>
      </c>
      <c r="E3511" s="12" t="s">
        <v>1003</v>
      </c>
      <c r="F3511" s="12" t="s">
        <v>1004</v>
      </c>
      <c r="G3511" s="13" t="s">
        <v>6767</v>
      </c>
      <c r="H3511" s="12" t="s">
        <v>6411</v>
      </c>
      <c r="I3511" s="12"/>
      <c r="J3511" s="12"/>
      <c r="K3511" s="12"/>
      <c r="L3511" s="12"/>
      <c r="M3511" s="12" t="s">
        <v>1005</v>
      </c>
      <c r="N3511" s="12"/>
      <c r="O3511" s="12" t="s">
        <v>1006</v>
      </c>
      <c r="P3511" s="12" t="str">
        <f>HYPERLINK("https://ceds.ed.gov/cedselementdetails.aspx?termid=9177")</f>
        <v>https://ceds.ed.gov/cedselementdetails.aspx?termid=9177</v>
      </c>
      <c r="Q3511" s="12" t="str">
        <f>HYPERLINK("https://ceds.ed.gov/elementComment.aspx?elementName=Assessment Level for Which Designed &amp;elementID=9177", "Click here to submit comment")</f>
        <v>Click here to submit comment</v>
      </c>
    </row>
    <row r="3512" spans="1:17" ht="45" x14ac:dyDescent="0.25">
      <c r="A3512" s="12" t="s">
        <v>7327</v>
      </c>
      <c r="B3512" s="12" t="s">
        <v>7328</v>
      </c>
      <c r="C3512" s="12"/>
      <c r="D3512" s="12" t="s">
        <v>7172</v>
      </c>
      <c r="E3512" s="12" t="s">
        <v>1361</v>
      </c>
      <c r="F3512" s="12" t="s">
        <v>1362</v>
      </c>
      <c r="G3512" s="12" t="s">
        <v>6364</v>
      </c>
      <c r="H3512" s="12" t="s">
        <v>6397</v>
      </c>
      <c r="I3512" s="12"/>
      <c r="J3512" s="12"/>
      <c r="K3512" s="12"/>
      <c r="L3512" s="12"/>
      <c r="M3512" s="12" t="s">
        <v>1363</v>
      </c>
      <c r="N3512" s="12"/>
      <c r="O3512" s="12" t="s">
        <v>1364</v>
      </c>
      <c r="P3512" s="12" t="str">
        <f>HYPERLINK("https://ceds.ed.gov/cedselementdetails.aspx?termid=9375")</f>
        <v>https://ceds.ed.gov/cedselementdetails.aspx?termid=9375</v>
      </c>
      <c r="Q3512" s="12" t="str">
        <f>HYPERLINK("https://ceds.ed.gov/elementComment.aspx?elementName=Assessment Secure Indicator &amp;elementID=9375", "Click here to submit comment")</f>
        <v>Click here to submit comment</v>
      </c>
    </row>
    <row r="3513" spans="1:17" ht="45" x14ac:dyDescent="0.25">
      <c r="A3513" s="12" t="s">
        <v>7327</v>
      </c>
      <c r="B3513" s="12" t="s">
        <v>7328</v>
      </c>
      <c r="C3513" s="12"/>
      <c r="D3513" s="12" t="s">
        <v>7172</v>
      </c>
      <c r="E3513" s="12" t="s">
        <v>3590</v>
      </c>
      <c r="F3513" s="12" t="s">
        <v>3591</v>
      </c>
      <c r="G3513" s="12" t="s">
        <v>12</v>
      </c>
      <c r="H3513" s="12"/>
      <c r="I3513" s="12"/>
      <c r="J3513" s="12" t="s">
        <v>73</v>
      </c>
      <c r="K3513" s="12"/>
      <c r="L3513" s="12"/>
      <c r="M3513" s="12" t="s">
        <v>3592</v>
      </c>
      <c r="N3513" s="12"/>
      <c r="O3513" s="12" t="s">
        <v>3593</v>
      </c>
      <c r="P3513" s="12" t="str">
        <f>HYPERLINK("https://ceds.ed.gov/cedselementdetails.aspx?termid=10137")</f>
        <v>https://ceds.ed.gov/cedselementdetails.aspx?termid=10137</v>
      </c>
      <c r="Q3513" s="12" t="str">
        <f>HYPERLINK("https://ceds.ed.gov/elementComment.aspx?elementName=Intended Administration Start Date &amp;elementID=10137", "Click here to submit comment")</f>
        <v>Click here to submit comment</v>
      </c>
    </row>
    <row r="3514" spans="1:17" ht="60" x14ac:dyDescent="0.25">
      <c r="A3514" s="12" t="s">
        <v>7327</v>
      </c>
      <c r="B3514" s="12" t="s">
        <v>7328</v>
      </c>
      <c r="C3514" s="12"/>
      <c r="D3514" s="12" t="s">
        <v>7172</v>
      </c>
      <c r="E3514" s="12" t="s">
        <v>3956</v>
      </c>
      <c r="F3514" s="12" t="s">
        <v>3957</v>
      </c>
      <c r="G3514" s="12" t="s">
        <v>12</v>
      </c>
      <c r="H3514" s="12"/>
      <c r="I3514" s="12"/>
      <c r="J3514" s="12" t="s">
        <v>73</v>
      </c>
      <c r="K3514" s="12"/>
      <c r="L3514" s="12"/>
      <c r="M3514" s="12" t="s">
        <v>3958</v>
      </c>
      <c r="N3514" s="12"/>
      <c r="O3514" s="12" t="s">
        <v>3959</v>
      </c>
      <c r="P3514" s="12" t="str">
        <f>HYPERLINK("https://ceds.ed.gov/cedselementdetails.aspx?termid=10135")</f>
        <v>https://ceds.ed.gov/cedselementdetails.aspx?termid=10135</v>
      </c>
      <c r="Q3514" s="12" t="str">
        <f>HYPERLINK("https://ceds.ed.gov/elementComment.aspx?elementName=Learning Resource Published Date &amp;elementID=10135", "Click here to submit comment")</f>
        <v>Click here to submit comment</v>
      </c>
    </row>
    <row r="3515" spans="1:17" ht="75" x14ac:dyDescent="0.25">
      <c r="A3515" s="18" t="s">
        <v>7327</v>
      </c>
      <c r="B3515" s="18" t="s">
        <v>7328</v>
      </c>
      <c r="C3515" s="18" t="s">
        <v>7329</v>
      </c>
      <c r="D3515" s="18" t="s">
        <v>7172</v>
      </c>
      <c r="E3515" s="18" t="s">
        <v>567</v>
      </c>
      <c r="F3515" s="18" t="s">
        <v>568</v>
      </c>
      <c r="G3515" s="18" t="s">
        <v>12</v>
      </c>
      <c r="H3515" s="18"/>
      <c r="I3515" s="18"/>
      <c r="J3515" s="18" t="s">
        <v>142</v>
      </c>
      <c r="K3515" s="18"/>
      <c r="L3515" s="12" t="s">
        <v>547</v>
      </c>
      <c r="M3515" s="18" t="s">
        <v>570</v>
      </c>
      <c r="N3515" s="18"/>
      <c r="O3515" s="18" t="s">
        <v>571</v>
      </c>
      <c r="P3515" s="18" t="str">
        <f>HYPERLINK("https://ceds.ed.gov/cedselementdetails.aspx?termid=9981")</f>
        <v>https://ceds.ed.gov/cedselementdetails.aspx?termid=9981</v>
      </c>
      <c r="Q3515" s="18" t="str">
        <f>HYPERLINK("https://ceds.ed.gov/elementComment.aspx?elementName=Assessment Form Section GUID &amp;elementID=9981", "Click here to submit comment")</f>
        <v>Click here to submit comment</v>
      </c>
    </row>
    <row r="3516" spans="1:17" x14ac:dyDescent="0.25">
      <c r="A3516" s="18"/>
      <c r="B3516" s="18"/>
      <c r="C3516" s="18"/>
      <c r="D3516" s="18"/>
      <c r="E3516" s="18"/>
      <c r="F3516" s="18"/>
      <c r="G3516" s="18"/>
      <c r="H3516" s="18"/>
      <c r="I3516" s="18"/>
      <c r="J3516" s="18"/>
      <c r="K3516" s="18"/>
      <c r="L3516" s="12"/>
      <c r="M3516" s="18"/>
      <c r="N3516" s="18"/>
      <c r="O3516" s="18"/>
      <c r="P3516" s="18"/>
      <c r="Q3516" s="18"/>
    </row>
    <row r="3517" spans="1:17" ht="60" x14ac:dyDescent="0.25">
      <c r="A3517" s="18"/>
      <c r="B3517" s="18"/>
      <c r="C3517" s="18"/>
      <c r="D3517" s="18"/>
      <c r="E3517" s="18"/>
      <c r="F3517" s="18"/>
      <c r="G3517" s="18"/>
      <c r="H3517" s="18"/>
      <c r="I3517" s="18"/>
      <c r="J3517" s="18"/>
      <c r="K3517" s="18"/>
      <c r="L3517" s="12" t="s">
        <v>548</v>
      </c>
      <c r="M3517" s="18"/>
      <c r="N3517" s="18"/>
      <c r="O3517" s="18"/>
      <c r="P3517" s="18"/>
      <c r="Q3517" s="18"/>
    </row>
    <row r="3518" spans="1:17" ht="105" x14ac:dyDescent="0.25">
      <c r="A3518" s="18" t="s">
        <v>7327</v>
      </c>
      <c r="B3518" s="18" t="s">
        <v>7328</v>
      </c>
      <c r="C3518" s="18" t="s">
        <v>7329</v>
      </c>
      <c r="D3518" s="18" t="s">
        <v>7172</v>
      </c>
      <c r="E3518" s="18" t="s">
        <v>572</v>
      </c>
      <c r="F3518" s="18" t="s">
        <v>573</v>
      </c>
      <c r="G3518" s="18" t="s">
        <v>12</v>
      </c>
      <c r="H3518" s="18"/>
      <c r="I3518" s="18"/>
      <c r="J3518" s="18" t="s">
        <v>142</v>
      </c>
      <c r="K3518" s="18"/>
      <c r="L3518" s="12" t="s">
        <v>143</v>
      </c>
      <c r="M3518" s="18" t="s">
        <v>574</v>
      </c>
      <c r="N3518" s="18"/>
      <c r="O3518" s="18" t="s">
        <v>575</v>
      </c>
      <c r="P3518" s="18" t="str">
        <f>HYPERLINK("https://ceds.ed.gov/cedselementdetails.aspx?termid=10142")</f>
        <v>https://ceds.ed.gov/cedselementdetails.aspx?termid=10142</v>
      </c>
      <c r="Q3518" s="18" t="str">
        <f>HYPERLINK("https://ceds.ed.gov/elementComment.aspx?elementName=Assessment Form Section Identifier &amp;elementID=10142", "Click here to submit comment")</f>
        <v>Click here to submit comment</v>
      </c>
    </row>
    <row r="3519" spans="1:17" x14ac:dyDescent="0.25">
      <c r="A3519" s="18"/>
      <c r="B3519" s="18"/>
      <c r="C3519" s="18"/>
      <c r="D3519" s="18"/>
      <c r="E3519" s="18"/>
      <c r="F3519" s="18"/>
      <c r="G3519" s="18"/>
      <c r="H3519" s="18"/>
      <c r="I3519" s="18"/>
      <c r="J3519" s="18"/>
      <c r="K3519" s="18"/>
      <c r="L3519" s="12"/>
      <c r="M3519" s="18"/>
      <c r="N3519" s="18"/>
      <c r="O3519" s="18"/>
      <c r="P3519" s="18"/>
      <c r="Q3519" s="18"/>
    </row>
    <row r="3520" spans="1:17" ht="90" x14ac:dyDescent="0.25">
      <c r="A3520" s="18"/>
      <c r="B3520" s="18"/>
      <c r="C3520" s="18"/>
      <c r="D3520" s="18"/>
      <c r="E3520" s="18"/>
      <c r="F3520" s="18"/>
      <c r="G3520" s="18"/>
      <c r="H3520" s="18"/>
      <c r="I3520" s="18"/>
      <c r="J3520" s="18"/>
      <c r="K3520" s="18"/>
      <c r="L3520" s="12" t="s">
        <v>144</v>
      </c>
      <c r="M3520" s="18"/>
      <c r="N3520" s="18"/>
      <c r="O3520" s="18"/>
      <c r="P3520" s="18"/>
      <c r="Q3520" s="18"/>
    </row>
    <row r="3521" spans="1:17" ht="330" x14ac:dyDescent="0.25">
      <c r="A3521" s="12" t="s">
        <v>7327</v>
      </c>
      <c r="B3521" s="12" t="s">
        <v>7328</v>
      </c>
      <c r="C3521" s="12" t="s">
        <v>7329</v>
      </c>
      <c r="D3521" s="12" t="s">
        <v>7172</v>
      </c>
      <c r="E3521" s="12" t="s">
        <v>404</v>
      </c>
      <c r="F3521" s="12" t="s">
        <v>405</v>
      </c>
      <c r="G3521" s="13" t="s">
        <v>6751</v>
      </c>
      <c r="H3521" s="12" t="s">
        <v>6395</v>
      </c>
      <c r="I3521" s="12"/>
      <c r="J3521" s="12"/>
      <c r="K3521" s="12"/>
      <c r="L3521" s="12"/>
      <c r="M3521" s="12" t="s">
        <v>406</v>
      </c>
      <c r="N3521" s="12"/>
      <c r="O3521" s="12" t="s">
        <v>407</v>
      </c>
      <c r="P3521" s="12" t="str">
        <f>HYPERLINK("https://ceds.ed.gov/cedselementdetails.aspx?termid=9021")</f>
        <v>https://ceds.ed.gov/cedselementdetails.aspx?termid=9021</v>
      </c>
      <c r="Q3521" s="12" t="str">
        <f>HYPERLINK("https://ceds.ed.gov/elementComment.aspx?elementName=Assessment Academic Subject &amp;elementID=9021", "Click here to submit comment")</f>
        <v>Click here to submit comment</v>
      </c>
    </row>
    <row r="3522" spans="1:17" ht="45" x14ac:dyDescent="0.25">
      <c r="A3522" s="12" t="s">
        <v>7327</v>
      </c>
      <c r="B3522" s="12" t="s">
        <v>7328</v>
      </c>
      <c r="C3522" s="12" t="s">
        <v>7329</v>
      </c>
      <c r="D3522" s="12" t="s">
        <v>7172</v>
      </c>
      <c r="E3522" s="12" t="s">
        <v>589</v>
      </c>
      <c r="F3522" s="12" t="s">
        <v>590</v>
      </c>
      <c r="G3522" s="12" t="s">
        <v>12</v>
      </c>
      <c r="H3522" s="12"/>
      <c r="I3522" s="12"/>
      <c r="J3522" s="12" t="s">
        <v>157</v>
      </c>
      <c r="K3522" s="12"/>
      <c r="L3522" s="12"/>
      <c r="M3522" s="12" t="s">
        <v>591</v>
      </c>
      <c r="N3522" s="12"/>
      <c r="O3522" s="12" t="s">
        <v>592</v>
      </c>
      <c r="P3522" s="12" t="str">
        <f>HYPERLINK("https://ceds.ed.gov/cedselementdetails.aspx?termid=9980")</f>
        <v>https://ceds.ed.gov/cedselementdetails.aspx?termid=9980</v>
      </c>
      <c r="Q3522" s="12" t="str">
        <f>HYPERLINK("https://ceds.ed.gov/elementComment.aspx?elementName=Assessment Form Section Sequence Number &amp;elementID=9980", "Click here to submit comment")</f>
        <v>Click here to submit comment</v>
      </c>
    </row>
    <row r="3523" spans="1:17" ht="30" x14ac:dyDescent="0.25">
      <c r="A3523" s="12" t="s">
        <v>7327</v>
      </c>
      <c r="B3523" s="12" t="s">
        <v>7328</v>
      </c>
      <c r="C3523" s="12" t="s">
        <v>7329</v>
      </c>
      <c r="D3523" s="12" t="s">
        <v>7172</v>
      </c>
      <c r="E3523" s="12" t="s">
        <v>597</v>
      </c>
      <c r="F3523" s="12" t="s">
        <v>598</v>
      </c>
      <c r="G3523" s="12" t="s">
        <v>12</v>
      </c>
      <c r="H3523" s="12"/>
      <c r="I3523" s="12"/>
      <c r="J3523" s="12" t="s">
        <v>92</v>
      </c>
      <c r="K3523" s="12"/>
      <c r="L3523" s="12"/>
      <c r="M3523" s="12" t="s">
        <v>599</v>
      </c>
      <c r="N3523" s="12"/>
      <c r="O3523" s="12" t="s">
        <v>600</v>
      </c>
      <c r="P3523" s="12" t="str">
        <f>HYPERLINK("https://ceds.ed.gov/cedselementdetails.aspx?termid=10140")</f>
        <v>https://ceds.ed.gov/cedselementdetails.aspx?termid=10140</v>
      </c>
      <c r="Q3523" s="12" t="str">
        <f>HYPERLINK("https://ceds.ed.gov/elementComment.aspx?elementName=Assessment Form Section Version &amp;elementID=10140", "Click here to submit comment")</f>
        <v>Click here to submit comment</v>
      </c>
    </row>
    <row r="3524" spans="1:17" ht="75" x14ac:dyDescent="0.25">
      <c r="A3524" s="12" t="s">
        <v>7327</v>
      </c>
      <c r="B3524" s="12" t="s">
        <v>7328</v>
      </c>
      <c r="C3524" s="12" t="s">
        <v>7329</v>
      </c>
      <c r="D3524" s="12" t="s">
        <v>7172</v>
      </c>
      <c r="E3524" s="12" t="s">
        <v>3314</v>
      </c>
      <c r="F3524" s="12" t="s">
        <v>3315</v>
      </c>
      <c r="G3524" s="13" t="s">
        <v>6795</v>
      </c>
      <c r="H3524" s="12"/>
      <c r="I3524" s="12"/>
      <c r="J3524" s="12"/>
      <c r="K3524" s="12"/>
      <c r="L3524" s="12"/>
      <c r="M3524" s="12" t="s">
        <v>3316</v>
      </c>
      <c r="N3524" s="12"/>
      <c r="O3524" s="12" t="s">
        <v>3317</v>
      </c>
      <c r="P3524" s="12" t="str">
        <f>HYPERLINK("https://ceds.ed.gov/cedselementdetails.aspx?termid=10141")</f>
        <v>https://ceds.ed.gov/cedselementdetails.aspx?termid=10141</v>
      </c>
      <c r="Q3524" s="12" t="str">
        <f>HYPERLINK("https://ceds.ed.gov/elementComment.aspx?elementName=Identification System for Assessment Form Section &amp;elementID=10141", "Click here to submit comment")</f>
        <v>Click here to submit comment</v>
      </c>
    </row>
    <row r="3525" spans="1:17" ht="60" x14ac:dyDescent="0.25">
      <c r="A3525" s="12" t="s">
        <v>7327</v>
      </c>
      <c r="B3525" s="12" t="s">
        <v>7328</v>
      </c>
      <c r="C3525" s="12" t="s">
        <v>7329</v>
      </c>
      <c r="D3525" s="12" t="s">
        <v>7172</v>
      </c>
      <c r="E3525" s="12" t="s">
        <v>593</v>
      </c>
      <c r="F3525" s="12" t="s">
        <v>594</v>
      </c>
      <c r="G3525" s="12" t="s">
        <v>12</v>
      </c>
      <c r="H3525" s="12"/>
      <c r="I3525" s="12"/>
      <c r="J3525" s="12" t="s">
        <v>437</v>
      </c>
      <c r="K3525" s="12"/>
      <c r="L3525" s="12"/>
      <c r="M3525" s="12" t="s">
        <v>595</v>
      </c>
      <c r="N3525" s="12"/>
      <c r="O3525" s="12" t="s">
        <v>596</v>
      </c>
      <c r="P3525" s="12" t="str">
        <f>HYPERLINK("https://ceds.ed.gov/cedselementdetails.aspx?termid=10143")</f>
        <v>https://ceds.ed.gov/cedselementdetails.aspx?termid=10143</v>
      </c>
      <c r="Q3525" s="12" t="str">
        <f>HYPERLINK("https://ceds.ed.gov/elementComment.aspx?elementName=Assessment Form Section Time Limit &amp;elementID=10143", "Click here to submit comment")</f>
        <v>Click here to submit comment</v>
      </c>
    </row>
    <row r="3526" spans="1:17" ht="60" x14ac:dyDescent="0.25">
      <c r="A3526" s="12" t="s">
        <v>7327</v>
      </c>
      <c r="B3526" s="12" t="s">
        <v>7328</v>
      </c>
      <c r="C3526" s="12" t="s">
        <v>7329</v>
      </c>
      <c r="D3526" s="12" t="s">
        <v>7172</v>
      </c>
      <c r="E3526" s="12" t="s">
        <v>585</v>
      </c>
      <c r="F3526" s="12" t="s">
        <v>586</v>
      </c>
      <c r="G3526" s="12" t="s">
        <v>6364</v>
      </c>
      <c r="H3526" s="12"/>
      <c r="I3526" s="12"/>
      <c r="J3526" s="12"/>
      <c r="K3526" s="12"/>
      <c r="L3526" s="12"/>
      <c r="M3526" s="12" t="s">
        <v>587</v>
      </c>
      <c r="N3526" s="12"/>
      <c r="O3526" s="12" t="s">
        <v>588</v>
      </c>
      <c r="P3526" s="12" t="str">
        <f>HYPERLINK("https://ceds.ed.gov/cedselementdetails.aspx?termid=10144")</f>
        <v>https://ceds.ed.gov/cedselementdetails.aspx?termid=10144</v>
      </c>
      <c r="Q3526" s="12" t="str">
        <f>HYPERLINK("https://ceds.ed.gov/elementComment.aspx?elementName=Assessment Form Section Sealed &amp;elementID=10144", "Click here to submit comment")</f>
        <v>Click here to submit comment</v>
      </c>
    </row>
    <row r="3527" spans="1:17" ht="150" x14ac:dyDescent="0.25">
      <c r="A3527" s="12" t="s">
        <v>7327</v>
      </c>
      <c r="B3527" s="12" t="s">
        <v>7328</v>
      </c>
      <c r="C3527" s="12" t="s">
        <v>7329</v>
      </c>
      <c r="D3527" s="12" t="s">
        <v>7172</v>
      </c>
      <c r="E3527" s="12" t="s">
        <v>581</v>
      </c>
      <c r="F3527" s="12" t="s">
        <v>582</v>
      </c>
      <c r="G3527" s="12" t="s">
        <v>6364</v>
      </c>
      <c r="H3527" s="12"/>
      <c r="I3527" s="12"/>
      <c r="J3527" s="12"/>
      <c r="K3527" s="12"/>
      <c r="L3527" s="12"/>
      <c r="M3527" s="12" t="s">
        <v>583</v>
      </c>
      <c r="N3527" s="12"/>
      <c r="O3527" s="12" t="s">
        <v>584</v>
      </c>
      <c r="P3527" s="12" t="str">
        <f>HYPERLINK("https://ceds.ed.gov/cedselementdetails.aspx?termid=10145")</f>
        <v>https://ceds.ed.gov/cedselementdetails.aspx?termid=10145</v>
      </c>
      <c r="Q3527" s="12" t="str">
        <f>HYPERLINK("https://ceds.ed.gov/elementComment.aspx?elementName=Assessment Form Section Reentry &amp;elementID=10145", "Click here to submit comment")</f>
        <v>Click here to submit comment</v>
      </c>
    </row>
    <row r="3528" spans="1:17" ht="60" x14ac:dyDescent="0.25">
      <c r="A3528" s="12" t="s">
        <v>7327</v>
      </c>
      <c r="B3528" s="12" t="s">
        <v>7328</v>
      </c>
      <c r="C3528" s="12" t="s">
        <v>7329</v>
      </c>
      <c r="D3528" s="12" t="s">
        <v>7172</v>
      </c>
      <c r="E3528" s="12" t="s">
        <v>3956</v>
      </c>
      <c r="F3528" s="12" t="s">
        <v>3957</v>
      </c>
      <c r="G3528" s="12" t="s">
        <v>12</v>
      </c>
      <c r="H3528" s="12"/>
      <c r="I3528" s="12"/>
      <c r="J3528" s="12" t="s">
        <v>73</v>
      </c>
      <c r="K3528" s="12"/>
      <c r="L3528" s="12"/>
      <c r="M3528" s="12" t="s">
        <v>3958</v>
      </c>
      <c r="N3528" s="12"/>
      <c r="O3528" s="12" t="s">
        <v>3959</v>
      </c>
      <c r="P3528" s="12" t="str">
        <f>HYPERLINK("https://ceds.ed.gov/cedselementdetails.aspx?termid=10135")</f>
        <v>https://ceds.ed.gov/cedselementdetails.aspx?termid=10135</v>
      </c>
      <c r="Q3528" s="12" t="str">
        <f>HYPERLINK("https://ceds.ed.gov/elementComment.aspx?elementName=Learning Resource Published Date &amp;elementID=10135", "Click here to submit comment")</f>
        <v>Click here to submit comment</v>
      </c>
    </row>
    <row r="3529" spans="1:17" ht="75" x14ac:dyDescent="0.25">
      <c r="A3529" s="18" t="s">
        <v>7327</v>
      </c>
      <c r="B3529" s="18" t="s">
        <v>7328</v>
      </c>
      <c r="C3529" s="18" t="s">
        <v>7329</v>
      </c>
      <c r="D3529" s="18" t="s">
        <v>7172</v>
      </c>
      <c r="E3529" s="18" t="s">
        <v>536</v>
      </c>
      <c r="F3529" s="18" t="s">
        <v>537</v>
      </c>
      <c r="G3529" s="18" t="s">
        <v>12</v>
      </c>
      <c r="H3529" s="18"/>
      <c r="I3529" s="18"/>
      <c r="J3529" s="18" t="s">
        <v>142</v>
      </c>
      <c r="K3529" s="18"/>
      <c r="L3529" s="12" t="s">
        <v>538</v>
      </c>
      <c r="M3529" s="18" t="s">
        <v>539</v>
      </c>
      <c r="N3529" s="18"/>
      <c r="O3529" s="18" t="s">
        <v>540</v>
      </c>
      <c r="P3529" s="18" t="str">
        <f>HYPERLINK("https://ceds.ed.gov/cedselementdetails.aspx?termid=10508")</f>
        <v>https://ceds.ed.gov/cedselementdetails.aspx?termid=10508</v>
      </c>
      <c r="Q3529" s="18" t="str">
        <f>HYPERLINK("https://ceds.ed.gov/elementComment.aspx?elementName=Assessment Form Algorithm Identifier &amp;elementID=10508", "Click here to submit comment")</f>
        <v>Click here to submit comment</v>
      </c>
    </row>
    <row r="3530" spans="1:17" x14ac:dyDescent="0.25">
      <c r="A3530" s="18"/>
      <c r="B3530" s="18"/>
      <c r="C3530" s="18"/>
      <c r="D3530" s="18"/>
      <c r="E3530" s="18"/>
      <c r="F3530" s="18"/>
      <c r="G3530" s="18"/>
      <c r="H3530" s="18"/>
      <c r="I3530" s="18"/>
      <c r="J3530" s="18"/>
      <c r="K3530" s="18"/>
      <c r="L3530" s="12"/>
      <c r="M3530" s="18"/>
      <c r="N3530" s="18"/>
      <c r="O3530" s="18"/>
      <c r="P3530" s="18"/>
      <c r="Q3530" s="18"/>
    </row>
    <row r="3531" spans="1:17" ht="105" x14ac:dyDescent="0.25">
      <c r="A3531" s="18"/>
      <c r="B3531" s="18"/>
      <c r="C3531" s="18"/>
      <c r="D3531" s="18"/>
      <c r="E3531" s="18"/>
      <c r="F3531" s="18"/>
      <c r="G3531" s="18"/>
      <c r="H3531" s="18"/>
      <c r="I3531" s="18"/>
      <c r="J3531" s="18"/>
      <c r="K3531" s="18"/>
      <c r="L3531" s="12" t="s">
        <v>143</v>
      </c>
      <c r="M3531" s="18"/>
      <c r="N3531" s="18"/>
      <c r="O3531" s="18"/>
      <c r="P3531" s="18"/>
      <c r="Q3531" s="18"/>
    </row>
    <row r="3532" spans="1:17" x14ac:dyDescent="0.25">
      <c r="A3532" s="18"/>
      <c r="B3532" s="18"/>
      <c r="C3532" s="18"/>
      <c r="D3532" s="18"/>
      <c r="E3532" s="18"/>
      <c r="F3532" s="18"/>
      <c r="G3532" s="18"/>
      <c r="H3532" s="18"/>
      <c r="I3532" s="18"/>
      <c r="J3532" s="18"/>
      <c r="K3532" s="18"/>
      <c r="L3532" s="12"/>
      <c r="M3532" s="18"/>
      <c r="N3532" s="18"/>
      <c r="O3532" s="18"/>
      <c r="P3532" s="18"/>
      <c r="Q3532" s="18"/>
    </row>
    <row r="3533" spans="1:17" ht="90" x14ac:dyDescent="0.25">
      <c r="A3533" s="18"/>
      <c r="B3533" s="18"/>
      <c r="C3533" s="18"/>
      <c r="D3533" s="18"/>
      <c r="E3533" s="18"/>
      <c r="F3533" s="18"/>
      <c r="G3533" s="18"/>
      <c r="H3533" s="18"/>
      <c r="I3533" s="18"/>
      <c r="J3533" s="18"/>
      <c r="K3533" s="18"/>
      <c r="L3533" s="12" t="s">
        <v>144</v>
      </c>
      <c r="M3533" s="18"/>
      <c r="N3533" s="18"/>
      <c r="O3533" s="18"/>
      <c r="P3533" s="18"/>
      <c r="Q3533" s="18"/>
    </row>
    <row r="3534" spans="1:17" ht="60" x14ac:dyDescent="0.25">
      <c r="A3534" s="12" t="s">
        <v>7327</v>
      </c>
      <c r="B3534" s="12" t="s">
        <v>7328</v>
      </c>
      <c r="C3534" s="12" t="s">
        <v>7330</v>
      </c>
      <c r="D3534" s="12" t="s">
        <v>7172</v>
      </c>
      <c r="E3534" s="12" t="s">
        <v>576</v>
      </c>
      <c r="F3534" s="12" t="s">
        <v>577</v>
      </c>
      <c r="G3534" s="12" t="s">
        <v>6364</v>
      </c>
      <c r="H3534" s="12"/>
      <c r="I3534" s="12"/>
      <c r="J3534" s="12"/>
      <c r="K3534" s="12"/>
      <c r="L3534" s="12"/>
      <c r="M3534" s="12" t="s">
        <v>579</v>
      </c>
      <c r="N3534" s="12"/>
      <c r="O3534" s="12" t="s">
        <v>580</v>
      </c>
      <c r="P3534" s="12" t="str">
        <f>HYPERLINK("https://ceds.ed.gov/cedselementdetails.aspx?termid=10511")</f>
        <v>https://ceds.ed.gov/cedselementdetails.aspx?termid=10511</v>
      </c>
      <c r="Q3534" s="12" t="str">
        <f>HYPERLINK("https://ceds.ed.gov/elementComment.aspx?elementName=Assessment Form Section Item Field Test Indicator &amp;elementID=10511", "Click here to submit comment")</f>
        <v>Click here to submit comment</v>
      </c>
    </row>
    <row r="3535" spans="1:17" ht="150" x14ac:dyDescent="0.25">
      <c r="A3535" s="12" t="s">
        <v>7327</v>
      </c>
      <c r="B3535" s="12" t="s">
        <v>7328</v>
      </c>
      <c r="C3535" s="12" t="s">
        <v>7331</v>
      </c>
      <c r="D3535" s="12" t="s">
        <v>7172</v>
      </c>
      <c r="E3535" s="12" t="s">
        <v>605</v>
      </c>
      <c r="F3535" s="12" t="s">
        <v>606</v>
      </c>
      <c r="G3535" s="12" t="s">
        <v>12</v>
      </c>
      <c r="H3535" s="12"/>
      <c r="I3535" s="12"/>
      <c r="J3535" s="12" t="s">
        <v>157</v>
      </c>
      <c r="K3535" s="12"/>
      <c r="L3535" s="12"/>
      <c r="M3535" s="12" t="s">
        <v>608</v>
      </c>
      <c r="N3535" s="12"/>
      <c r="O3535" s="12" t="s">
        <v>609</v>
      </c>
      <c r="P3535" s="12" t="str">
        <f>HYPERLINK("https://ceds.ed.gov/cedselementdetails.aspx?termid=10013")</f>
        <v>https://ceds.ed.gov/cedselementdetails.aspx?termid=10013</v>
      </c>
      <c r="Q3535" s="12" t="str">
        <f>HYPERLINK("https://ceds.ed.gov/elementComment.aspx?elementName=Assessment Form Subtest Item Weight Correct &amp;elementID=10013", "Click here to submit comment")</f>
        <v>Click here to submit comment</v>
      </c>
    </row>
    <row r="3536" spans="1:17" ht="90" x14ac:dyDescent="0.25">
      <c r="A3536" s="12" t="s">
        <v>7327</v>
      </c>
      <c r="B3536" s="12" t="s">
        <v>7328</v>
      </c>
      <c r="C3536" s="12" t="s">
        <v>7331</v>
      </c>
      <c r="D3536" s="12" t="s">
        <v>7172</v>
      </c>
      <c r="E3536" s="12" t="s">
        <v>610</v>
      </c>
      <c r="F3536" s="12" t="s">
        <v>611</v>
      </c>
      <c r="G3536" s="12" t="s">
        <v>12</v>
      </c>
      <c r="H3536" s="12"/>
      <c r="I3536" s="12"/>
      <c r="J3536" s="12" t="s">
        <v>157</v>
      </c>
      <c r="K3536" s="12"/>
      <c r="L3536" s="12"/>
      <c r="M3536" s="12" t="s">
        <v>612</v>
      </c>
      <c r="N3536" s="12"/>
      <c r="O3536" s="12" t="s">
        <v>613</v>
      </c>
      <c r="P3536" s="12" t="str">
        <f>HYPERLINK("https://ceds.ed.gov/cedselementdetails.aspx?termid=10014")</f>
        <v>https://ceds.ed.gov/cedselementdetails.aspx?termid=10014</v>
      </c>
      <c r="Q3536" s="12" t="str">
        <f>HYPERLINK("https://ceds.ed.gov/elementComment.aspx?elementName=Assessment Form Subtest Item Weight Incorrect &amp;elementID=10014", "Click here to submit comment")</f>
        <v>Click here to submit comment</v>
      </c>
    </row>
    <row r="3537" spans="1:17" ht="105" x14ac:dyDescent="0.25">
      <c r="A3537" s="12" t="s">
        <v>7327</v>
      </c>
      <c r="B3537" s="12" t="s">
        <v>7328</v>
      </c>
      <c r="C3537" s="12" t="s">
        <v>7331</v>
      </c>
      <c r="D3537" s="12" t="s">
        <v>7172</v>
      </c>
      <c r="E3537" s="12" t="s">
        <v>614</v>
      </c>
      <c r="F3537" s="12" t="s">
        <v>615</v>
      </c>
      <c r="G3537" s="12" t="s">
        <v>12</v>
      </c>
      <c r="H3537" s="12"/>
      <c r="I3537" s="12"/>
      <c r="J3537" s="12" t="s">
        <v>157</v>
      </c>
      <c r="K3537" s="12"/>
      <c r="L3537" s="12"/>
      <c r="M3537" s="12" t="s">
        <v>616</v>
      </c>
      <c r="N3537" s="12"/>
      <c r="O3537" s="12" t="s">
        <v>617</v>
      </c>
      <c r="P3537" s="12" t="str">
        <f>HYPERLINK("https://ceds.ed.gov/cedselementdetails.aspx?termid=10015")</f>
        <v>https://ceds.ed.gov/cedselementdetails.aspx?termid=10015</v>
      </c>
      <c r="Q3537" s="12" t="str">
        <f>HYPERLINK("https://ceds.ed.gov/elementComment.aspx?elementName=Assessment Form Subtest Item Weight Not Attempted &amp;elementID=10015", "Click here to submit comment")</f>
        <v>Click here to submit comment</v>
      </c>
    </row>
    <row r="3538" spans="1:17" ht="45" x14ac:dyDescent="0.25">
      <c r="A3538" s="12" t="s">
        <v>7327</v>
      </c>
      <c r="B3538" s="12" t="s">
        <v>7332</v>
      </c>
      <c r="C3538" s="12"/>
      <c r="D3538" s="12" t="s">
        <v>7172</v>
      </c>
      <c r="E3538" s="12" t="s">
        <v>1418</v>
      </c>
      <c r="F3538" s="12" t="s">
        <v>1419</v>
      </c>
      <c r="G3538" s="13" t="s">
        <v>6794</v>
      </c>
      <c r="H3538" s="12"/>
      <c r="I3538" s="12"/>
      <c r="J3538" s="12"/>
      <c r="K3538" s="12"/>
      <c r="L3538" s="12"/>
      <c r="M3538" s="12" t="s">
        <v>1420</v>
      </c>
      <c r="N3538" s="12"/>
      <c r="O3538" s="12" t="s">
        <v>1421</v>
      </c>
      <c r="P3538" s="12" t="str">
        <f>HYPERLINK("https://ceds.ed.gov/cedselementdetails.aspx?termid=10020")</f>
        <v>https://ceds.ed.gov/cedselementdetails.aspx?termid=10020</v>
      </c>
      <c r="Q3538" s="12" t="str">
        <f>HYPERLINK("https://ceds.ed.gov/elementComment.aspx?elementName=Assessment Session Type &amp;elementID=10020", "Click here to submit comment")</f>
        <v>Click here to submit comment</v>
      </c>
    </row>
    <row r="3539" spans="1:17" ht="45" x14ac:dyDescent="0.25">
      <c r="A3539" s="12" t="s">
        <v>7327</v>
      </c>
      <c r="B3539" s="12" t="s">
        <v>7332</v>
      </c>
      <c r="C3539" s="12"/>
      <c r="D3539" s="12" t="s">
        <v>7172</v>
      </c>
      <c r="E3539" s="12" t="s">
        <v>1384</v>
      </c>
      <c r="F3539" s="12" t="s">
        <v>1385</v>
      </c>
      <c r="G3539" s="12" t="s">
        <v>12</v>
      </c>
      <c r="H3539" s="12" t="s">
        <v>6397</v>
      </c>
      <c r="I3539" s="12"/>
      <c r="J3539" s="12" t="s">
        <v>1386</v>
      </c>
      <c r="K3539" s="12"/>
      <c r="L3539" s="12"/>
      <c r="M3539" s="12" t="s">
        <v>1387</v>
      </c>
      <c r="N3539" s="12"/>
      <c r="O3539" s="12" t="s">
        <v>1388</v>
      </c>
      <c r="P3539" s="12" t="str">
        <f>HYPERLINK("https://ceds.ed.gov/cedselementdetails.aspx?termid=9590")</f>
        <v>https://ceds.ed.gov/cedselementdetails.aspx?termid=9590</v>
      </c>
      <c r="Q3539" s="12" t="str">
        <f>HYPERLINK("https://ceds.ed.gov/elementComment.aspx?elementName=Assessment Session Location &amp;elementID=9590", "Click here to submit comment")</f>
        <v>Click here to submit comment</v>
      </c>
    </row>
    <row r="3540" spans="1:17" ht="30" x14ac:dyDescent="0.25">
      <c r="A3540" s="12" t="s">
        <v>7327</v>
      </c>
      <c r="B3540" s="12" t="s">
        <v>7332</v>
      </c>
      <c r="C3540" s="12"/>
      <c r="D3540" s="12" t="s">
        <v>7172</v>
      </c>
      <c r="E3540" s="12" t="s">
        <v>1398</v>
      </c>
      <c r="F3540" s="12" t="s">
        <v>1399</v>
      </c>
      <c r="G3540" s="12" t="s">
        <v>12</v>
      </c>
      <c r="H3540" s="12"/>
      <c r="I3540" s="12"/>
      <c r="J3540" s="12" t="s">
        <v>860</v>
      </c>
      <c r="K3540" s="12"/>
      <c r="L3540" s="12"/>
      <c r="M3540" s="12" t="s">
        <v>1400</v>
      </c>
      <c r="N3540" s="12"/>
      <c r="O3540" s="12" t="s">
        <v>1401</v>
      </c>
      <c r="P3540" s="12" t="str">
        <f>HYPERLINK("https://ceds.ed.gov/cedselementdetails.aspx?termid=10021")</f>
        <v>https://ceds.ed.gov/cedselementdetails.aspx?termid=10021</v>
      </c>
      <c r="Q3540" s="12" t="str">
        <f>HYPERLINK("https://ceds.ed.gov/elementComment.aspx?elementName=Assessment Session Scheduled Start Date Time &amp;elementID=10021", "Click here to submit comment")</f>
        <v>Click here to submit comment</v>
      </c>
    </row>
    <row r="3541" spans="1:17" ht="30" x14ac:dyDescent="0.25">
      <c r="A3541" s="12" t="s">
        <v>7327</v>
      </c>
      <c r="B3541" s="12" t="s">
        <v>7332</v>
      </c>
      <c r="C3541" s="12"/>
      <c r="D3541" s="12" t="s">
        <v>7172</v>
      </c>
      <c r="E3541" s="12" t="s">
        <v>1394</v>
      </c>
      <c r="F3541" s="12" t="s">
        <v>1395</v>
      </c>
      <c r="G3541" s="12" t="s">
        <v>12</v>
      </c>
      <c r="H3541" s="12"/>
      <c r="I3541" s="12"/>
      <c r="J3541" s="12" t="s">
        <v>860</v>
      </c>
      <c r="K3541" s="12"/>
      <c r="L3541" s="12"/>
      <c r="M3541" s="12" t="s">
        <v>1396</v>
      </c>
      <c r="N3541" s="12"/>
      <c r="O3541" s="12" t="s">
        <v>1397</v>
      </c>
      <c r="P3541" s="12" t="str">
        <f>HYPERLINK("https://ceds.ed.gov/cedselementdetails.aspx?termid=10022")</f>
        <v>https://ceds.ed.gov/cedselementdetails.aspx?termid=10022</v>
      </c>
      <c r="Q3541" s="12" t="str">
        <f>HYPERLINK("https://ceds.ed.gov/elementComment.aspx?elementName=Assessment Session Scheduled End Date Time &amp;elementID=10022", "Click here to submit comment")</f>
        <v>Click here to submit comment</v>
      </c>
    </row>
    <row r="3542" spans="1:17" ht="90" x14ac:dyDescent="0.25">
      <c r="A3542" s="12" t="s">
        <v>7327</v>
      </c>
      <c r="B3542" s="12" t="s">
        <v>7332</v>
      </c>
      <c r="C3542" s="12"/>
      <c r="D3542" s="12" t="s">
        <v>7172</v>
      </c>
      <c r="E3542" s="12" t="s">
        <v>1370</v>
      </c>
      <c r="F3542" s="12" t="s">
        <v>1371</v>
      </c>
      <c r="G3542" s="12" t="s">
        <v>12</v>
      </c>
      <c r="H3542" s="12"/>
      <c r="I3542" s="12"/>
      <c r="J3542" s="12" t="s">
        <v>860</v>
      </c>
      <c r="K3542" s="12"/>
      <c r="L3542" s="12" t="s">
        <v>1372</v>
      </c>
      <c r="M3542" s="12" t="s">
        <v>1373</v>
      </c>
      <c r="N3542" s="12"/>
      <c r="O3542" s="12" t="s">
        <v>1374</v>
      </c>
      <c r="P3542" s="12" t="str">
        <f>HYPERLINK("https://ceds.ed.gov/cedselementdetails.aspx?termid=10023")</f>
        <v>https://ceds.ed.gov/cedselementdetails.aspx?termid=10023</v>
      </c>
      <c r="Q3542" s="12" t="str">
        <f>HYPERLINK("https://ceds.ed.gov/elementComment.aspx?elementName=Assessment Session Actual Start Date Time &amp;elementID=10023", "Click here to submit comment")</f>
        <v>Click here to submit comment</v>
      </c>
    </row>
    <row r="3543" spans="1:17" ht="90" x14ac:dyDescent="0.25">
      <c r="A3543" s="12" t="s">
        <v>7327</v>
      </c>
      <c r="B3543" s="12" t="s">
        <v>7332</v>
      </c>
      <c r="C3543" s="12"/>
      <c r="D3543" s="12" t="s">
        <v>7172</v>
      </c>
      <c r="E3543" s="12" t="s">
        <v>1365</v>
      </c>
      <c r="F3543" s="12" t="s">
        <v>1366</v>
      </c>
      <c r="G3543" s="12" t="s">
        <v>12</v>
      </c>
      <c r="H3543" s="12"/>
      <c r="I3543" s="12"/>
      <c r="J3543" s="12" t="s">
        <v>860</v>
      </c>
      <c r="K3543" s="12"/>
      <c r="L3543" s="12" t="s">
        <v>1367</v>
      </c>
      <c r="M3543" s="12" t="s">
        <v>1368</v>
      </c>
      <c r="N3543" s="12"/>
      <c r="O3543" s="12" t="s">
        <v>1369</v>
      </c>
      <c r="P3543" s="12" t="str">
        <f>HYPERLINK("https://ceds.ed.gov/cedselementdetails.aspx?termid=10024")</f>
        <v>https://ceds.ed.gov/cedselementdetails.aspx?termid=10024</v>
      </c>
      <c r="Q3543" s="12" t="str">
        <f>HYPERLINK("https://ceds.ed.gov/elementComment.aspx?elementName=Assessment Session Actual End Date Time &amp;elementID=10024", "Click here to submit comment")</f>
        <v>Click here to submit comment</v>
      </c>
    </row>
    <row r="3544" spans="1:17" ht="105" x14ac:dyDescent="0.25">
      <c r="A3544" s="18" t="s">
        <v>7327</v>
      </c>
      <c r="B3544" s="18" t="s">
        <v>7332</v>
      </c>
      <c r="C3544" s="18"/>
      <c r="D3544" s="18" t="s">
        <v>7172</v>
      </c>
      <c r="E3544" s="18" t="s">
        <v>1375</v>
      </c>
      <c r="F3544" s="18" t="s">
        <v>1376</v>
      </c>
      <c r="G3544" s="18" t="s">
        <v>12</v>
      </c>
      <c r="H3544" s="18" t="s">
        <v>6397</v>
      </c>
      <c r="I3544" s="18"/>
      <c r="J3544" s="18" t="s">
        <v>142</v>
      </c>
      <c r="K3544" s="18"/>
      <c r="L3544" s="12" t="s">
        <v>143</v>
      </c>
      <c r="M3544" s="18" t="s">
        <v>1378</v>
      </c>
      <c r="N3544" s="18"/>
      <c r="O3544" s="18" t="s">
        <v>1379</v>
      </c>
      <c r="P3544" s="18" t="str">
        <f>HYPERLINK("https://ceds.ed.gov/cedselementdetails.aspx?termid=9400")</f>
        <v>https://ceds.ed.gov/cedselementdetails.aspx?termid=9400</v>
      </c>
      <c r="Q3544" s="18" t="str">
        <f>HYPERLINK("https://ceds.ed.gov/elementComment.aspx?elementName=Assessment Session Administrator Identifier &amp;elementID=9400", "Click here to submit comment")</f>
        <v>Click here to submit comment</v>
      </c>
    </row>
    <row r="3545" spans="1:17" x14ac:dyDescent="0.25">
      <c r="A3545" s="18"/>
      <c r="B3545" s="18"/>
      <c r="C3545" s="18"/>
      <c r="D3545" s="18"/>
      <c r="E3545" s="18"/>
      <c r="F3545" s="18"/>
      <c r="G3545" s="18"/>
      <c r="H3545" s="18"/>
      <c r="I3545" s="18"/>
      <c r="J3545" s="18"/>
      <c r="K3545" s="18"/>
      <c r="L3545" s="12"/>
      <c r="M3545" s="18"/>
      <c r="N3545" s="18"/>
      <c r="O3545" s="18"/>
      <c r="P3545" s="18"/>
      <c r="Q3545" s="18"/>
    </row>
    <row r="3546" spans="1:17" ht="90" x14ac:dyDescent="0.25">
      <c r="A3546" s="18"/>
      <c r="B3546" s="18"/>
      <c r="C3546" s="18"/>
      <c r="D3546" s="18"/>
      <c r="E3546" s="18"/>
      <c r="F3546" s="18"/>
      <c r="G3546" s="18"/>
      <c r="H3546" s="18"/>
      <c r="I3546" s="18"/>
      <c r="J3546" s="18"/>
      <c r="K3546" s="18"/>
      <c r="L3546" s="12" t="s">
        <v>144</v>
      </c>
      <c r="M3546" s="18"/>
      <c r="N3546" s="18"/>
      <c r="O3546" s="18"/>
      <c r="P3546" s="18"/>
      <c r="Q3546" s="18"/>
    </row>
    <row r="3547" spans="1:17" ht="45" x14ac:dyDescent="0.25">
      <c r="A3547" s="18" t="s">
        <v>7327</v>
      </c>
      <c r="B3547" s="18" t="s">
        <v>7332</v>
      </c>
      <c r="C3547" s="18"/>
      <c r="D3547" s="18" t="s">
        <v>7172</v>
      </c>
      <c r="E3547" s="18" t="s">
        <v>1389</v>
      </c>
      <c r="F3547" s="18" t="s">
        <v>1390</v>
      </c>
      <c r="G3547" s="18" t="s">
        <v>12</v>
      </c>
      <c r="H3547" s="18" t="s">
        <v>6397</v>
      </c>
      <c r="I3547" s="18"/>
      <c r="J3547" s="18" t="s">
        <v>142</v>
      </c>
      <c r="K3547" s="18"/>
      <c r="L3547" s="12" t="s">
        <v>1391</v>
      </c>
      <c r="M3547" s="18" t="s">
        <v>1392</v>
      </c>
      <c r="N3547" s="18"/>
      <c r="O3547" s="18" t="s">
        <v>1393</v>
      </c>
      <c r="P3547" s="18" t="str">
        <f>HYPERLINK("https://ceds.ed.gov/cedselementdetails.aspx?termid=9401")</f>
        <v>https://ceds.ed.gov/cedselementdetails.aspx?termid=9401</v>
      </c>
      <c r="Q3547" s="18" t="str">
        <f>HYPERLINK("https://ceds.ed.gov/elementComment.aspx?elementName=Assessment Session Proctor Identifier &amp;elementID=9401", "Click here to submit comment")</f>
        <v>Click here to submit comment</v>
      </c>
    </row>
    <row r="3548" spans="1:17" x14ac:dyDescent="0.25">
      <c r="A3548" s="18"/>
      <c r="B3548" s="18"/>
      <c r="C3548" s="18"/>
      <c r="D3548" s="18"/>
      <c r="E3548" s="18"/>
      <c r="F3548" s="18"/>
      <c r="G3548" s="18"/>
      <c r="H3548" s="18"/>
      <c r="I3548" s="18"/>
      <c r="J3548" s="18"/>
      <c r="K3548" s="18"/>
      <c r="L3548" s="12"/>
      <c r="M3548" s="18"/>
      <c r="N3548" s="18"/>
      <c r="O3548" s="18"/>
      <c r="P3548" s="18"/>
      <c r="Q3548" s="18"/>
    </row>
    <row r="3549" spans="1:17" ht="105" x14ac:dyDescent="0.25">
      <c r="A3549" s="18"/>
      <c r="B3549" s="18"/>
      <c r="C3549" s="18"/>
      <c r="D3549" s="18"/>
      <c r="E3549" s="18"/>
      <c r="F3549" s="18"/>
      <c r="G3549" s="18"/>
      <c r="H3549" s="18"/>
      <c r="I3549" s="18"/>
      <c r="J3549" s="18"/>
      <c r="K3549" s="18"/>
      <c r="L3549" s="12" t="s">
        <v>143</v>
      </c>
      <c r="M3549" s="18"/>
      <c r="N3549" s="18"/>
      <c r="O3549" s="18"/>
      <c r="P3549" s="18"/>
      <c r="Q3549" s="18"/>
    </row>
    <row r="3550" spans="1:17" x14ac:dyDescent="0.25">
      <c r="A3550" s="18"/>
      <c r="B3550" s="18"/>
      <c r="C3550" s="18"/>
      <c r="D3550" s="18"/>
      <c r="E3550" s="18"/>
      <c r="F3550" s="18"/>
      <c r="G3550" s="18"/>
      <c r="H3550" s="18"/>
      <c r="I3550" s="18"/>
      <c r="J3550" s="18"/>
      <c r="K3550" s="18"/>
      <c r="L3550" s="12"/>
      <c r="M3550" s="18"/>
      <c r="N3550" s="18"/>
      <c r="O3550" s="18"/>
      <c r="P3550" s="18"/>
      <c r="Q3550" s="18"/>
    </row>
    <row r="3551" spans="1:17" ht="90" x14ac:dyDescent="0.25">
      <c r="A3551" s="18"/>
      <c r="B3551" s="18"/>
      <c r="C3551" s="18"/>
      <c r="D3551" s="18"/>
      <c r="E3551" s="18"/>
      <c r="F3551" s="18"/>
      <c r="G3551" s="18"/>
      <c r="H3551" s="18"/>
      <c r="I3551" s="18"/>
      <c r="J3551" s="18"/>
      <c r="K3551" s="18"/>
      <c r="L3551" s="12" t="s">
        <v>144</v>
      </c>
      <c r="M3551" s="18"/>
      <c r="N3551" s="18"/>
      <c r="O3551" s="18"/>
      <c r="P3551" s="18"/>
      <c r="Q3551" s="18"/>
    </row>
    <row r="3552" spans="1:17" ht="120" x14ac:dyDescent="0.25">
      <c r="A3552" s="12" t="s">
        <v>7327</v>
      </c>
      <c r="B3552" s="12" t="s">
        <v>7332</v>
      </c>
      <c r="C3552" s="12"/>
      <c r="D3552" s="12" t="s">
        <v>7172</v>
      </c>
      <c r="E3552" s="12" t="s">
        <v>1414</v>
      </c>
      <c r="F3552" s="12" t="s">
        <v>1415</v>
      </c>
      <c r="G3552" s="13" t="s">
        <v>6793</v>
      </c>
      <c r="H3552" s="12"/>
      <c r="I3552" s="12"/>
      <c r="J3552" s="12"/>
      <c r="K3552" s="12"/>
      <c r="L3552" s="12"/>
      <c r="M3552" s="12" t="s">
        <v>1416</v>
      </c>
      <c r="N3552" s="12"/>
      <c r="O3552" s="12" t="s">
        <v>1417</v>
      </c>
      <c r="P3552" s="12" t="str">
        <f>HYPERLINK("https://ceds.ed.gov/cedselementdetails.aspx?termid=10179")</f>
        <v>https://ceds.ed.gov/cedselementdetails.aspx?termid=10179</v>
      </c>
      <c r="Q3552" s="12" t="str">
        <f>HYPERLINK("https://ceds.ed.gov/elementComment.aspx?elementName=Assessment Session Staff Role Type &amp;elementID=10179", "Click here to submit comment")</f>
        <v>Click here to submit comment</v>
      </c>
    </row>
    <row r="3553" spans="1:17" ht="240" x14ac:dyDescent="0.25">
      <c r="A3553" s="12" t="s">
        <v>7327</v>
      </c>
      <c r="B3553" s="12" t="s">
        <v>7332</v>
      </c>
      <c r="C3553" s="12"/>
      <c r="D3553" s="12" t="s">
        <v>7172</v>
      </c>
      <c r="E3553" s="12" t="s">
        <v>4323</v>
      </c>
      <c r="F3553" s="12" t="s">
        <v>4324</v>
      </c>
      <c r="G3553" s="13" t="s">
        <v>7020</v>
      </c>
      <c r="H3553" s="12" t="s">
        <v>6596</v>
      </c>
      <c r="I3553" s="12" t="s">
        <v>98</v>
      </c>
      <c r="J3553" s="12"/>
      <c r="K3553" s="12"/>
      <c r="L3553" s="12"/>
      <c r="M3553" s="12" t="s">
        <v>4325</v>
      </c>
      <c r="N3553" s="12" t="s">
        <v>4326</v>
      </c>
      <c r="O3553" s="12" t="s">
        <v>4327</v>
      </c>
      <c r="P3553" s="12" t="str">
        <f>HYPERLINK("https://ceds.ed.gov/cedselementdetails.aspx?termid=9159")</f>
        <v>https://ceds.ed.gov/cedselementdetails.aspx?termid=9159</v>
      </c>
      <c r="Q3553" s="12" t="str">
        <f>HYPERLINK("https://ceds.ed.gov/elementComment.aspx?elementName=Local Education Agency Identification System &amp;elementID=9159", "Click here to submit comment")</f>
        <v>Click here to submit comment</v>
      </c>
    </row>
    <row r="3554" spans="1:17" ht="105" x14ac:dyDescent="0.25">
      <c r="A3554" s="18" t="s">
        <v>7327</v>
      </c>
      <c r="B3554" s="18" t="s">
        <v>7332</v>
      </c>
      <c r="C3554" s="18"/>
      <c r="D3554" s="18" t="s">
        <v>7172</v>
      </c>
      <c r="E3554" s="18" t="s">
        <v>4328</v>
      </c>
      <c r="F3554" s="18" t="s">
        <v>4329</v>
      </c>
      <c r="G3554" s="18" t="s">
        <v>12</v>
      </c>
      <c r="H3554" s="18" t="s">
        <v>6596</v>
      </c>
      <c r="I3554" s="18"/>
      <c r="J3554" s="18" t="s">
        <v>142</v>
      </c>
      <c r="K3554" s="18"/>
      <c r="L3554" s="12" t="s">
        <v>143</v>
      </c>
      <c r="M3554" s="18" t="s">
        <v>4330</v>
      </c>
      <c r="N3554" s="18" t="s">
        <v>4331</v>
      </c>
      <c r="O3554" s="18" t="s">
        <v>4332</v>
      </c>
      <c r="P3554" s="18" t="str">
        <f>HYPERLINK("https://ceds.ed.gov/cedselementdetails.aspx?termid=9153")</f>
        <v>https://ceds.ed.gov/cedselementdetails.aspx?termid=9153</v>
      </c>
      <c r="Q3554" s="18" t="str">
        <f>HYPERLINK("https://ceds.ed.gov/elementComment.aspx?elementName=Local Education Agency Identifier &amp;elementID=9153", "Click here to submit comment")</f>
        <v>Click here to submit comment</v>
      </c>
    </row>
    <row r="3555" spans="1:17" x14ac:dyDescent="0.25">
      <c r="A3555" s="18"/>
      <c r="B3555" s="18"/>
      <c r="C3555" s="18"/>
      <c r="D3555" s="18"/>
      <c r="E3555" s="18"/>
      <c r="F3555" s="18"/>
      <c r="G3555" s="18"/>
      <c r="H3555" s="18"/>
      <c r="I3555" s="18"/>
      <c r="J3555" s="18"/>
      <c r="K3555" s="18"/>
      <c r="L3555" s="12"/>
      <c r="M3555" s="18"/>
      <c r="N3555" s="18"/>
      <c r="O3555" s="18"/>
      <c r="P3555" s="18"/>
      <c r="Q3555" s="18"/>
    </row>
    <row r="3556" spans="1:17" ht="90" x14ac:dyDescent="0.25">
      <c r="A3556" s="18"/>
      <c r="B3556" s="18"/>
      <c r="C3556" s="18"/>
      <c r="D3556" s="18"/>
      <c r="E3556" s="18"/>
      <c r="F3556" s="18"/>
      <c r="G3556" s="18"/>
      <c r="H3556" s="18"/>
      <c r="I3556" s="18"/>
      <c r="J3556" s="18"/>
      <c r="K3556" s="18"/>
      <c r="L3556" s="12" t="s">
        <v>144</v>
      </c>
      <c r="M3556" s="18"/>
      <c r="N3556" s="18"/>
      <c r="O3556" s="18"/>
      <c r="P3556" s="18"/>
      <c r="Q3556" s="18"/>
    </row>
    <row r="3557" spans="1:17" ht="270" x14ac:dyDescent="0.25">
      <c r="A3557" s="12" t="s">
        <v>7327</v>
      </c>
      <c r="B3557" s="12" t="s">
        <v>7332</v>
      </c>
      <c r="C3557" s="12"/>
      <c r="D3557" s="12" t="s">
        <v>7172</v>
      </c>
      <c r="E3557" s="12" t="s">
        <v>5580</v>
      </c>
      <c r="F3557" s="12" t="s">
        <v>275</v>
      </c>
      <c r="G3557" s="13" t="s">
        <v>7103</v>
      </c>
      <c r="H3557" s="12" t="s">
        <v>6657</v>
      </c>
      <c r="I3557" s="12"/>
      <c r="J3557" s="12"/>
      <c r="K3557" s="12"/>
      <c r="L3557" s="12"/>
      <c r="M3557" s="12" t="s">
        <v>5581</v>
      </c>
      <c r="N3557" s="12"/>
      <c r="O3557" s="12" t="s">
        <v>5582</v>
      </c>
      <c r="P3557" s="12" t="str">
        <f>HYPERLINK("https://ceds.ed.gov/cedselementdetails.aspx?termid=9161")</f>
        <v>https://ceds.ed.gov/cedselementdetails.aspx?termid=9161</v>
      </c>
      <c r="Q3557" s="12" t="str">
        <f>HYPERLINK("https://ceds.ed.gov/elementComment.aspx?elementName=School Identification System &amp;elementID=9161", "Click here to submit comment")</f>
        <v>Click here to submit comment</v>
      </c>
    </row>
    <row r="3558" spans="1:17" ht="105" x14ac:dyDescent="0.25">
      <c r="A3558" s="18" t="s">
        <v>7327</v>
      </c>
      <c r="B3558" s="18" t="s">
        <v>7332</v>
      </c>
      <c r="C3558" s="18"/>
      <c r="D3558" s="18" t="s">
        <v>7172</v>
      </c>
      <c r="E3558" s="18" t="s">
        <v>5583</v>
      </c>
      <c r="F3558" s="18" t="s">
        <v>279</v>
      </c>
      <c r="G3558" s="18" t="s">
        <v>12</v>
      </c>
      <c r="H3558" s="18" t="s">
        <v>6657</v>
      </c>
      <c r="I3558" s="18"/>
      <c r="J3558" s="18" t="s">
        <v>142</v>
      </c>
      <c r="K3558" s="18"/>
      <c r="L3558" s="12" t="s">
        <v>143</v>
      </c>
      <c r="M3558" s="18" t="s">
        <v>5584</v>
      </c>
      <c r="N3558" s="18"/>
      <c r="O3558" s="18" t="s">
        <v>5585</v>
      </c>
      <c r="P3558" s="18" t="str">
        <f>HYPERLINK("https://ceds.ed.gov/cedselementdetails.aspx?termid=9155")</f>
        <v>https://ceds.ed.gov/cedselementdetails.aspx?termid=9155</v>
      </c>
      <c r="Q3558" s="18" t="str">
        <f>HYPERLINK("https://ceds.ed.gov/elementComment.aspx?elementName=School Identifier &amp;elementID=9155", "Click here to submit comment")</f>
        <v>Click here to submit comment</v>
      </c>
    </row>
    <row r="3559" spans="1:17" x14ac:dyDescent="0.25">
      <c r="A3559" s="18"/>
      <c r="B3559" s="18"/>
      <c r="C3559" s="18"/>
      <c r="D3559" s="18"/>
      <c r="E3559" s="18"/>
      <c r="F3559" s="18"/>
      <c r="G3559" s="18"/>
      <c r="H3559" s="18"/>
      <c r="I3559" s="18"/>
      <c r="J3559" s="18"/>
      <c r="K3559" s="18"/>
      <c r="L3559" s="12"/>
      <c r="M3559" s="18"/>
      <c r="N3559" s="18"/>
      <c r="O3559" s="18"/>
      <c r="P3559" s="18"/>
      <c r="Q3559" s="18"/>
    </row>
    <row r="3560" spans="1:17" ht="90" x14ac:dyDescent="0.25">
      <c r="A3560" s="18"/>
      <c r="B3560" s="18"/>
      <c r="C3560" s="18"/>
      <c r="D3560" s="18"/>
      <c r="E3560" s="18"/>
      <c r="F3560" s="18"/>
      <c r="G3560" s="18"/>
      <c r="H3560" s="18"/>
      <c r="I3560" s="18"/>
      <c r="J3560" s="18"/>
      <c r="K3560" s="18"/>
      <c r="L3560" s="12" t="s">
        <v>144</v>
      </c>
      <c r="M3560" s="18"/>
      <c r="N3560" s="18"/>
      <c r="O3560" s="18"/>
      <c r="P3560" s="18"/>
      <c r="Q3560" s="18"/>
    </row>
    <row r="3561" spans="1:17" ht="45" x14ac:dyDescent="0.25">
      <c r="A3561" s="12" t="s">
        <v>7327</v>
      </c>
      <c r="B3561" s="12" t="s">
        <v>7332</v>
      </c>
      <c r="C3561" s="12"/>
      <c r="D3561" s="12" t="s">
        <v>7172</v>
      </c>
      <c r="E3561" s="12" t="s">
        <v>1380</v>
      </c>
      <c r="F3561" s="12" t="s">
        <v>1381</v>
      </c>
      <c r="G3561" s="12" t="s">
        <v>12</v>
      </c>
      <c r="H3561" s="12" t="s">
        <v>6397</v>
      </c>
      <c r="I3561" s="12"/>
      <c r="J3561" s="12" t="s">
        <v>865</v>
      </c>
      <c r="K3561" s="12"/>
      <c r="L3561" s="12"/>
      <c r="M3561" s="12" t="s">
        <v>1382</v>
      </c>
      <c r="N3561" s="12"/>
      <c r="O3561" s="12" t="s">
        <v>1383</v>
      </c>
      <c r="P3561" s="12" t="str">
        <f>HYPERLINK("https://ceds.ed.gov/cedselementdetails.aspx?termid=9399")</f>
        <v>https://ceds.ed.gov/cedselementdetails.aspx?termid=9399</v>
      </c>
      <c r="Q3561" s="12" t="str">
        <f>HYPERLINK("https://ceds.ed.gov/elementComment.aspx?elementName=Assessment Session Allotted Time &amp;elementID=9399", "Click here to submit comment")</f>
        <v>Click here to submit comment</v>
      </c>
    </row>
    <row r="3562" spans="1:17" ht="150" x14ac:dyDescent="0.25">
      <c r="A3562" s="12" t="s">
        <v>7327</v>
      </c>
      <c r="B3562" s="12" t="s">
        <v>7332</v>
      </c>
      <c r="C3562" s="12"/>
      <c r="D3562" s="12" t="s">
        <v>7172</v>
      </c>
      <c r="E3562" s="12" t="s">
        <v>1402</v>
      </c>
      <c r="F3562" s="12" t="s">
        <v>1403</v>
      </c>
      <c r="G3562" s="12" t="s">
        <v>12</v>
      </c>
      <c r="H3562" s="12"/>
      <c r="I3562" s="12"/>
      <c r="J3562" s="12" t="s">
        <v>68</v>
      </c>
      <c r="K3562" s="12"/>
      <c r="L3562" s="12" t="s">
        <v>896</v>
      </c>
      <c r="M3562" s="12" t="s">
        <v>1404</v>
      </c>
      <c r="N3562" s="12"/>
      <c r="O3562" s="12" t="s">
        <v>1405</v>
      </c>
      <c r="P3562" s="12" t="str">
        <f>HYPERLINK("https://ceds.ed.gov/cedselementdetails.aspx?termid=9969")</f>
        <v>https://ceds.ed.gov/cedselementdetails.aspx?termid=9969</v>
      </c>
      <c r="Q3562" s="12" t="str">
        <f>HYPERLINK("https://ceds.ed.gov/elementComment.aspx?elementName=Assessment Session Security Issue &amp;elementID=9969", "Click here to submit comment")</f>
        <v>Click here to submit comment</v>
      </c>
    </row>
    <row r="3563" spans="1:17" ht="409.5" x14ac:dyDescent="0.25">
      <c r="A3563" s="12" t="s">
        <v>7327</v>
      </c>
      <c r="B3563" s="12" t="s">
        <v>7332</v>
      </c>
      <c r="C3563" s="12"/>
      <c r="D3563" s="12" t="s">
        <v>7172</v>
      </c>
      <c r="E3563" s="12" t="s">
        <v>1406</v>
      </c>
      <c r="F3563" s="12" t="s">
        <v>1407</v>
      </c>
      <c r="G3563" s="13" t="s">
        <v>6792</v>
      </c>
      <c r="H3563" s="12" t="s">
        <v>6397</v>
      </c>
      <c r="I3563" s="12"/>
      <c r="J3563" s="12"/>
      <c r="K3563" s="12"/>
      <c r="L3563" s="12"/>
      <c r="M3563" s="12" t="s">
        <v>1408</v>
      </c>
      <c r="N3563" s="12"/>
      <c r="O3563" s="12" t="s">
        <v>1409</v>
      </c>
      <c r="P3563" s="12" t="str">
        <f>HYPERLINK("https://ceds.ed.gov/cedselementdetails.aspx?termid=9380")</f>
        <v>https://ceds.ed.gov/cedselementdetails.aspx?termid=9380</v>
      </c>
      <c r="Q3563" s="12" t="str">
        <f>HYPERLINK("https://ceds.ed.gov/elementComment.aspx?elementName=Assessment Session Special Circumstance Type &amp;elementID=9380", "Click here to submit comment")</f>
        <v>Click here to submit comment</v>
      </c>
    </row>
    <row r="3564" spans="1:17" ht="90" x14ac:dyDescent="0.25">
      <c r="A3564" s="12" t="s">
        <v>7327</v>
      </c>
      <c r="B3564" s="12" t="s">
        <v>7332</v>
      </c>
      <c r="C3564" s="12"/>
      <c r="D3564" s="12" t="s">
        <v>7172</v>
      </c>
      <c r="E3564" s="12" t="s">
        <v>1410</v>
      </c>
      <c r="F3564" s="12" t="s">
        <v>1411</v>
      </c>
      <c r="G3564" s="12" t="s">
        <v>12</v>
      </c>
      <c r="H3564" s="12"/>
      <c r="I3564" s="12"/>
      <c r="J3564" s="12" t="s">
        <v>99</v>
      </c>
      <c r="K3564" s="12"/>
      <c r="L3564" s="12"/>
      <c r="M3564" s="12" t="s">
        <v>1412</v>
      </c>
      <c r="N3564" s="12"/>
      <c r="O3564" s="12" t="s">
        <v>1413</v>
      </c>
      <c r="P3564" s="12" t="str">
        <f>HYPERLINK("https://ceds.ed.gov/cedselementdetails.aspx?termid=10077")</f>
        <v>https://ceds.ed.gov/cedselementdetails.aspx?termid=10077</v>
      </c>
      <c r="Q3564" s="12" t="str">
        <f>HYPERLINK("https://ceds.ed.gov/elementComment.aspx?elementName=Assessment Session Special Event Description &amp;elementID=10077", "Click here to submit comment")</f>
        <v>Click here to submit comment</v>
      </c>
    </row>
    <row r="3565" spans="1:17" ht="105" x14ac:dyDescent="0.25">
      <c r="A3565" s="18" t="s">
        <v>7327</v>
      </c>
      <c r="B3565" s="18" t="s">
        <v>7333</v>
      </c>
      <c r="C3565" s="18"/>
      <c r="D3565" s="18" t="s">
        <v>7172</v>
      </c>
      <c r="E3565" s="18" t="s">
        <v>797</v>
      </c>
      <c r="F3565" s="18" t="s">
        <v>798</v>
      </c>
      <c r="G3565" s="18" t="s">
        <v>12</v>
      </c>
      <c r="H3565" s="18" t="s">
        <v>6409</v>
      </c>
      <c r="I3565" s="18"/>
      <c r="J3565" s="18" t="s">
        <v>142</v>
      </c>
      <c r="K3565" s="18"/>
      <c r="L3565" s="12" t="s">
        <v>143</v>
      </c>
      <c r="M3565" s="18" t="s">
        <v>799</v>
      </c>
      <c r="N3565" s="18"/>
      <c r="O3565" s="18" t="s">
        <v>800</v>
      </c>
      <c r="P3565" s="18" t="str">
        <f>HYPERLINK("https://ceds.ed.gov/cedselementdetails.aspx?termid=9623")</f>
        <v>https://ceds.ed.gov/cedselementdetails.aspx?termid=9623</v>
      </c>
      <c r="Q3565" s="18" t="str">
        <f>HYPERLINK("https://ceds.ed.gov/elementComment.aspx?elementName=Assessment Item Identifier &amp;elementID=9623", "Click here to submit comment")</f>
        <v>Click here to submit comment</v>
      </c>
    </row>
    <row r="3566" spans="1:17" x14ac:dyDescent="0.25">
      <c r="A3566" s="18"/>
      <c r="B3566" s="18"/>
      <c r="C3566" s="18"/>
      <c r="D3566" s="18"/>
      <c r="E3566" s="18"/>
      <c r="F3566" s="18"/>
      <c r="G3566" s="18"/>
      <c r="H3566" s="18"/>
      <c r="I3566" s="18"/>
      <c r="J3566" s="18"/>
      <c r="K3566" s="18"/>
      <c r="L3566" s="12"/>
      <c r="M3566" s="18"/>
      <c r="N3566" s="18"/>
      <c r="O3566" s="18"/>
      <c r="P3566" s="18"/>
      <c r="Q3566" s="18"/>
    </row>
    <row r="3567" spans="1:17" ht="90" x14ac:dyDescent="0.25">
      <c r="A3567" s="18"/>
      <c r="B3567" s="18"/>
      <c r="C3567" s="18"/>
      <c r="D3567" s="18"/>
      <c r="E3567" s="18"/>
      <c r="F3567" s="18"/>
      <c r="G3567" s="18"/>
      <c r="H3567" s="18"/>
      <c r="I3567" s="18"/>
      <c r="J3567" s="18"/>
      <c r="K3567" s="18"/>
      <c r="L3567" s="12" t="s">
        <v>144</v>
      </c>
      <c r="M3567" s="18"/>
      <c r="N3567" s="18"/>
      <c r="O3567" s="18"/>
      <c r="P3567" s="18"/>
      <c r="Q3567" s="18"/>
    </row>
    <row r="3568" spans="1:17" ht="315" x14ac:dyDescent="0.25">
      <c r="A3568" s="12" t="s">
        <v>7327</v>
      </c>
      <c r="B3568" s="12" t="s">
        <v>7333</v>
      </c>
      <c r="C3568" s="12"/>
      <c r="D3568" s="12" t="s">
        <v>7172</v>
      </c>
      <c r="E3568" s="12" t="s">
        <v>993</v>
      </c>
      <c r="F3568" s="12" t="s">
        <v>994</v>
      </c>
      <c r="G3568" s="13" t="s">
        <v>6766</v>
      </c>
      <c r="H3568" s="12" t="s">
        <v>6409</v>
      </c>
      <c r="I3568" s="12"/>
      <c r="J3568" s="12"/>
      <c r="K3568" s="12"/>
      <c r="L3568" s="12"/>
      <c r="M3568" s="12" t="s">
        <v>995</v>
      </c>
      <c r="N3568" s="12"/>
      <c r="O3568" s="12" t="s">
        <v>996</v>
      </c>
      <c r="P3568" s="12" t="str">
        <f>HYPERLINK("https://ceds.ed.gov/cedselementdetails.aspx?termid=9382")</f>
        <v>https://ceds.ed.gov/cedselementdetails.aspx?termid=9382</v>
      </c>
      <c r="Q3568" s="12" t="str">
        <f>HYPERLINK("https://ceds.ed.gov/elementComment.aspx?elementName=Assessment Item Type &amp;elementID=9382", "Click here to submit comment")</f>
        <v>Click here to submit comment</v>
      </c>
    </row>
    <row r="3569" spans="1:17" ht="330" x14ac:dyDescent="0.25">
      <c r="A3569" s="12" t="s">
        <v>7327</v>
      </c>
      <c r="B3569" s="12" t="s">
        <v>7333</v>
      </c>
      <c r="C3569" s="12"/>
      <c r="D3569" s="12" t="s">
        <v>7172</v>
      </c>
      <c r="E3569" s="12" t="s">
        <v>404</v>
      </c>
      <c r="F3569" s="12" t="s">
        <v>405</v>
      </c>
      <c r="G3569" s="13" t="s">
        <v>6751</v>
      </c>
      <c r="H3569" s="12" t="s">
        <v>6395</v>
      </c>
      <c r="I3569" s="12"/>
      <c r="J3569" s="12"/>
      <c r="K3569" s="12"/>
      <c r="L3569" s="12"/>
      <c r="M3569" s="12" t="s">
        <v>406</v>
      </c>
      <c r="N3569" s="12"/>
      <c r="O3569" s="12" t="s">
        <v>407</v>
      </c>
      <c r="P3569" s="12" t="str">
        <f>HYPERLINK("https://ceds.ed.gov/cedselementdetails.aspx?termid=9021")</f>
        <v>https://ceds.ed.gov/cedselementdetails.aspx?termid=9021</v>
      </c>
      <c r="Q3569" s="12" t="str">
        <f>HYPERLINK("https://ceds.ed.gov/elementComment.aspx?elementName=Assessment Academic Subject &amp;elementID=9021", "Click here to submit comment")</f>
        <v>Click here to submit comment</v>
      </c>
    </row>
    <row r="3570" spans="1:17" ht="60" x14ac:dyDescent="0.25">
      <c r="A3570" s="12" t="s">
        <v>7327</v>
      </c>
      <c r="B3570" s="12" t="s">
        <v>7333</v>
      </c>
      <c r="C3570" s="12"/>
      <c r="D3570" s="12" t="s">
        <v>7172</v>
      </c>
      <c r="E3570" s="12" t="s">
        <v>766</v>
      </c>
      <c r="F3570" s="12" t="s">
        <v>767</v>
      </c>
      <c r="G3570" s="12" t="s">
        <v>12</v>
      </c>
      <c r="H3570" s="12"/>
      <c r="I3570" s="12"/>
      <c r="J3570" s="12" t="s">
        <v>327</v>
      </c>
      <c r="K3570" s="12"/>
      <c r="L3570" s="12"/>
      <c r="M3570" s="12" t="s">
        <v>768</v>
      </c>
      <c r="N3570" s="12"/>
      <c r="O3570" s="12" t="s">
        <v>769</v>
      </c>
      <c r="P3570" s="12" t="str">
        <f>HYPERLINK("https://ceds.ed.gov/cedselementdetails.aspx?termid=10233")</f>
        <v>https://ceds.ed.gov/cedselementdetails.aspx?termid=10233</v>
      </c>
      <c r="Q3570" s="12" t="str">
        <f>HYPERLINK("https://ceds.ed.gov/elementComment.aspx?elementName=Assessment Item Body Text &amp;elementID=10233", "Click here to submit comment")</f>
        <v>Click here to submit comment</v>
      </c>
    </row>
    <row r="3571" spans="1:17" ht="90" x14ac:dyDescent="0.25">
      <c r="A3571" s="12" t="s">
        <v>7327</v>
      </c>
      <c r="B3571" s="12" t="s">
        <v>7333</v>
      </c>
      <c r="C3571" s="12"/>
      <c r="D3571" s="12" t="s">
        <v>7172</v>
      </c>
      <c r="E3571" s="12" t="s">
        <v>981</v>
      </c>
      <c r="F3571" s="12" t="s">
        <v>982</v>
      </c>
      <c r="G3571" s="12" t="s">
        <v>12</v>
      </c>
      <c r="H3571" s="12"/>
      <c r="I3571" s="12"/>
      <c r="J3571" s="12" t="s">
        <v>327</v>
      </c>
      <c r="K3571" s="12"/>
      <c r="L3571" s="12"/>
      <c r="M3571" s="12" t="s">
        <v>983</v>
      </c>
      <c r="N3571" s="12"/>
      <c r="O3571" s="12" t="s">
        <v>984</v>
      </c>
      <c r="P3571" s="12" t="str">
        <f>HYPERLINK("https://ceds.ed.gov/cedselementdetails.aspx?termid=10234")</f>
        <v>https://ceds.ed.gov/cedselementdetails.aspx?termid=10234</v>
      </c>
      <c r="Q3571" s="12" t="str">
        <f>HYPERLINK("https://ceds.ed.gov/elementComment.aspx?elementName=Assessment Item Stimulus &amp;elementID=10234", "Click here to submit comment")</f>
        <v>Click here to submit comment</v>
      </c>
    </row>
    <row r="3572" spans="1:17" ht="45" x14ac:dyDescent="0.25">
      <c r="A3572" s="12" t="s">
        <v>7327</v>
      </c>
      <c r="B3572" s="12" t="s">
        <v>7333</v>
      </c>
      <c r="C3572" s="12"/>
      <c r="D3572" s="12" t="s">
        <v>7172</v>
      </c>
      <c r="E3572" s="12" t="s">
        <v>787</v>
      </c>
      <c r="F3572" s="12" t="s">
        <v>788</v>
      </c>
      <c r="G3572" s="12" t="s">
        <v>12</v>
      </c>
      <c r="H3572" s="12" t="s">
        <v>6409</v>
      </c>
      <c r="I3572" s="12"/>
      <c r="J3572" s="12" t="s">
        <v>789</v>
      </c>
      <c r="K3572" s="12"/>
      <c r="L3572" s="12"/>
      <c r="M3572" s="12" t="s">
        <v>790</v>
      </c>
      <c r="N3572" s="12"/>
      <c r="O3572" s="12" t="s">
        <v>791</v>
      </c>
      <c r="P3572" s="12" t="str">
        <f>HYPERLINK("https://ceds.ed.gov/cedselementdetails.aspx?termid=9383")</f>
        <v>https://ceds.ed.gov/cedselementdetails.aspx?termid=9383</v>
      </c>
      <c r="Q3572" s="12" t="str">
        <f>HYPERLINK("https://ceds.ed.gov/elementComment.aspx?elementName=Assessment Item Difficulty &amp;elementID=9383", "Click here to submit comment")</f>
        <v>Click here to submit comment</v>
      </c>
    </row>
    <row r="3573" spans="1:17" ht="30" x14ac:dyDescent="0.25">
      <c r="A3573" s="12" t="s">
        <v>7327</v>
      </c>
      <c r="B3573" s="12" t="s">
        <v>7333</v>
      </c>
      <c r="C3573" s="12"/>
      <c r="D3573" s="12" t="s">
        <v>7172</v>
      </c>
      <c r="E3573" s="12" t="s">
        <v>792</v>
      </c>
      <c r="F3573" s="12" t="s">
        <v>793</v>
      </c>
      <c r="G3573" s="12" t="s">
        <v>12</v>
      </c>
      <c r="H3573" s="12" t="s">
        <v>6409</v>
      </c>
      <c r="I3573" s="12"/>
      <c r="J3573" s="12" t="s">
        <v>794</v>
      </c>
      <c r="K3573" s="12"/>
      <c r="L3573" s="12"/>
      <c r="M3573" s="12" t="s">
        <v>795</v>
      </c>
      <c r="N3573" s="12"/>
      <c r="O3573" s="12" t="s">
        <v>796</v>
      </c>
      <c r="P3573" s="12" t="str">
        <f>HYPERLINK("https://ceds.ed.gov/cedselementdetails.aspx?termid=9390")</f>
        <v>https://ceds.ed.gov/cedselementdetails.aspx?termid=9390</v>
      </c>
      <c r="Q3573" s="12" t="str">
        <f>HYPERLINK("https://ceds.ed.gov/elementComment.aspx?elementName=Assessment Item Distractor Analysis &amp;elementID=9390", "Click here to submit comment")</f>
        <v>Click here to submit comment</v>
      </c>
    </row>
    <row r="3574" spans="1:17" ht="45" x14ac:dyDescent="0.25">
      <c r="A3574" s="12" t="s">
        <v>7327</v>
      </c>
      <c r="B3574" s="12" t="s">
        <v>7333</v>
      </c>
      <c r="C3574" s="12"/>
      <c r="D3574" s="12" t="s">
        <v>7172</v>
      </c>
      <c r="E3574" s="12" t="s">
        <v>977</v>
      </c>
      <c r="F3574" s="12" t="s">
        <v>978</v>
      </c>
      <c r="G3574" s="12" t="s">
        <v>12</v>
      </c>
      <c r="H3574" s="12" t="s">
        <v>6409</v>
      </c>
      <c r="I3574" s="12"/>
      <c r="J3574" s="12" t="s">
        <v>327</v>
      </c>
      <c r="K3574" s="12"/>
      <c r="L3574" s="12"/>
      <c r="M3574" s="12" t="s">
        <v>979</v>
      </c>
      <c r="N3574" s="12"/>
      <c r="O3574" s="12" t="s">
        <v>980</v>
      </c>
      <c r="P3574" s="12" t="str">
        <f>HYPERLINK("https://ceds.ed.gov/cedselementdetails.aspx?termid=9392")</f>
        <v>https://ceds.ed.gov/cedselementdetails.aspx?termid=9392</v>
      </c>
      <c r="Q3574" s="12" t="str">
        <f>HYPERLINK("https://ceds.ed.gov/elementComment.aspx?elementName=Assessment Item Stem &amp;elementID=9392", "Click here to submit comment")</f>
        <v>Click here to submit comment</v>
      </c>
    </row>
    <row r="3575" spans="1:17" ht="30" x14ac:dyDescent="0.25">
      <c r="A3575" s="12" t="s">
        <v>7327</v>
      </c>
      <c r="B3575" s="12" t="s">
        <v>7333</v>
      </c>
      <c r="C3575" s="12"/>
      <c r="D3575" s="12" t="s">
        <v>7172</v>
      </c>
      <c r="E3575" s="12" t="s">
        <v>644</v>
      </c>
      <c r="F3575" s="12" t="s">
        <v>645</v>
      </c>
      <c r="G3575" s="12" t="s">
        <v>12</v>
      </c>
      <c r="H3575" s="12" t="s">
        <v>6409</v>
      </c>
      <c r="I3575" s="12"/>
      <c r="J3575" s="12" t="s">
        <v>437</v>
      </c>
      <c r="K3575" s="12"/>
      <c r="L3575" s="12"/>
      <c r="M3575" s="12" t="s">
        <v>647</v>
      </c>
      <c r="N3575" s="12"/>
      <c r="O3575" s="12" t="s">
        <v>648</v>
      </c>
      <c r="P3575" s="12" t="str">
        <f>HYPERLINK("https://ceds.ed.gov/cedselementdetails.aspx?termid=9395")</f>
        <v>https://ceds.ed.gov/cedselementdetails.aspx?termid=9395</v>
      </c>
      <c r="Q3575" s="12" t="str">
        <f>HYPERLINK("https://ceds.ed.gov/elementComment.aspx?elementName=Assessment Item Allotted Time &amp;elementID=9395", "Click here to submit comment")</f>
        <v>Click here to submit comment</v>
      </c>
    </row>
    <row r="3576" spans="1:17" ht="30" x14ac:dyDescent="0.25">
      <c r="A3576" s="12" t="s">
        <v>7327</v>
      </c>
      <c r="B3576" s="12" t="s">
        <v>7333</v>
      </c>
      <c r="C3576" s="12"/>
      <c r="D3576" s="12" t="s">
        <v>7172</v>
      </c>
      <c r="E3576" s="12" t="s">
        <v>813</v>
      </c>
      <c r="F3576" s="12" t="s">
        <v>814</v>
      </c>
      <c r="G3576" s="12" t="s">
        <v>12</v>
      </c>
      <c r="H3576" s="12"/>
      <c r="I3576" s="12"/>
      <c r="J3576" s="12" t="s">
        <v>68</v>
      </c>
      <c r="K3576" s="12"/>
      <c r="L3576" s="12"/>
      <c r="M3576" s="12" t="s">
        <v>815</v>
      </c>
      <c r="N3576" s="12"/>
      <c r="O3576" s="12" t="s">
        <v>816</v>
      </c>
      <c r="P3576" s="12" t="str">
        <f>HYPERLINK("https://ceds.ed.gov/cedselementdetails.aspx?termid=9684")</f>
        <v>https://ceds.ed.gov/cedselementdetails.aspx?termid=9684</v>
      </c>
      <c r="Q3576" s="12" t="str">
        <f>HYPERLINK("https://ceds.ed.gov/elementComment.aspx?elementName=Assessment Item Minimum Score &amp;elementID=9684", "Click here to submit comment")</f>
        <v>Click here to submit comment</v>
      </c>
    </row>
    <row r="3577" spans="1:17" ht="30" x14ac:dyDescent="0.25">
      <c r="A3577" s="12" t="s">
        <v>7327</v>
      </c>
      <c r="B3577" s="12" t="s">
        <v>7333</v>
      </c>
      <c r="C3577" s="12"/>
      <c r="D3577" s="12" t="s">
        <v>7172</v>
      </c>
      <c r="E3577" s="12" t="s">
        <v>809</v>
      </c>
      <c r="F3577" s="12" t="s">
        <v>810</v>
      </c>
      <c r="G3577" s="12" t="s">
        <v>12</v>
      </c>
      <c r="H3577" s="12"/>
      <c r="I3577" s="12"/>
      <c r="J3577" s="12" t="s">
        <v>68</v>
      </c>
      <c r="K3577" s="12"/>
      <c r="L3577" s="12"/>
      <c r="M3577" s="12" t="s">
        <v>811</v>
      </c>
      <c r="N3577" s="12"/>
      <c r="O3577" s="12" t="s">
        <v>812</v>
      </c>
      <c r="P3577" s="12" t="str">
        <f>HYPERLINK("https://ceds.ed.gov/cedselementdetails.aspx?termid=9683")</f>
        <v>https://ceds.ed.gov/cedselementdetails.aspx?termid=9683</v>
      </c>
      <c r="Q3577" s="12" t="str">
        <f>HYPERLINK("https://ceds.ed.gov/elementComment.aspx?elementName=Assessment Item Maximum Score &amp;elementID=9683", "Click here to submit comment")</f>
        <v>Click here to submit comment</v>
      </c>
    </row>
    <row r="3578" spans="1:17" ht="75" x14ac:dyDescent="0.25">
      <c r="A3578" s="12" t="s">
        <v>7327</v>
      </c>
      <c r="B3578" s="12" t="s">
        <v>7333</v>
      </c>
      <c r="C3578" s="12"/>
      <c r="D3578" s="12" t="s">
        <v>7172</v>
      </c>
      <c r="E3578" s="12" t="s">
        <v>989</v>
      </c>
      <c r="F3578" s="12" t="s">
        <v>990</v>
      </c>
      <c r="G3578" s="12" t="s">
        <v>12</v>
      </c>
      <c r="H3578" s="12"/>
      <c r="I3578" s="12"/>
      <c r="J3578" s="12" t="s">
        <v>92</v>
      </c>
      <c r="K3578" s="12"/>
      <c r="L3578" s="12"/>
      <c r="M3578" s="12" t="s">
        <v>991</v>
      </c>
      <c r="N3578" s="12"/>
      <c r="O3578" s="12" t="s">
        <v>992</v>
      </c>
      <c r="P3578" s="12" t="str">
        <f>HYPERLINK("https://ceds.ed.gov/cedselementdetails.aspx?termid=9906")</f>
        <v>https://ceds.ed.gov/cedselementdetails.aspx?termid=9906</v>
      </c>
      <c r="Q3578" s="12" t="str">
        <f>HYPERLINK("https://ceds.ed.gov/elementComment.aspx?elementName=Assessment Item Text Complexity Value &amp;elementID=9906", "Click here to submit comment")</f>
        <v>Click here to submit comment</v>
      </c>
    </row>
    <row r="3579" spans="1:17" ht="300" x14ac:dyDescent="0.25">
      <c r="A3579" s="12" t="s">
        <v>7327</v>
      </c>
      <c r="B3579" s="12" t="s">
        <v>7333</v>
      </c>
      <c r="C3579" s="12"/>
      <c r="D3579" s="12" t="s">
        <v>7172</v>
      </c>
      <c r="E3579" s="12" t="s">
        <v>985</v>
      </c>
      <c r="F3579" s="12" t="s">
        <v>986</v>
      </c>
      <c r="G3579" s="13" t="s">
        <v>6765</v>
      </c>
      <c r="H3579" s="12"/>
      <c r="I3579" s="12"/>
      <c r="J3579" s="12"/>
      <c r="K3579" s="12"/>
      <c r="L3579" s="12"/>
      <c r="M3579" s="12" t="s">
        <v>987</v>
      </c>
      <c r="N3579" s="12"/>
      <c r="O3579" s="12" t="s">
        <v>988</v>
      </c>
      <c r="P3579" s="12" t="str">
        <f>HYPERLINK("https://ceds.ed.gov/cedselementdetails.aspx?termid=9907")</f>
        <v>https://ceds.ed.gov/cedselementdetails.aspx?termid=9907</v>
      </c>
      <c r="Q3579" s="12" t="str">
        <f>HYPERLINK("https://ceds.ed.gov/elementComment.aspx?elementName=Assessment Item Text Complexity System &amp;elementID=9907", "Click here to submit comment")</f>
        <v>Click here to submit comment</v>
      </c>
    </row>
    <row r="3580" spans="1:17" ht="150" x14ac:dyDescent="0.25">
      <c r="A3580" s="12" t="s">
        <v>7327</v>
      </c>
      <c r="B3580" s="12" t="s">
        <v>7333</v>
      </c>
      <c r="C3580" s="12"/>
      <c r="D3580" s="12" t="s">
        <v>7172</v>
      </c>
      <c r="E3580" s="12" t="s">
        <v>894</v>
      </c>
      <c r="F3580" s="12" t="s">
        <v>895</v>
      </c>
      <c r="G3580" s="12" t="s">
        <v>12</v>
      </c>
      <c r="H3580" s="12"/>
      <c r="I3580" s="12"/>
      <c r="J3580" s="12" t="s">
        <v>68</v>
      </c>
      <c r="K3580" s="12"/>
      <c r="L3580" s="12" t="s">
        <v>896</v>
      </c>
      <c r="M3580" s="12" t="s">
        <v>897</v>
      </c>
      <c r="N3580" s="12"/>
      <c r="O3580" s="12" t="s">
        <v>898</v>
      </c>
      <c r="P3580" s="12" t="str">
        <f>HYPERLINK("https://ceds.ed.gov/cedselementdetails.aspx?termid=9970")</f>
        <v>https://ceds.ed.gov/cedselementdetails.aspx?termid=9970</v>
      </c>
      <c r="Q3580" s="12" t="str">
        <f>HYPERLINK("https://ceds.ed.gov/elementComment.aspx?elementName=Assessment Item Response Security Issue &amp;elementID=9970", "Click here to submit comment")</f>
        <v>Click here to submit comment</v>
      </c>
    </row>
    <row r="3581" spans="1:17" ht="105" x14ac:dyDescent="0.25">
      <c r="A3581" s="18" t="s">
        <v>7327</v>
      </c>
      <c r="B3581" s="18" t="s">
        <v>7333</v>
      </c>
      <c r="C3581" s="18"/>
      <c r="D3581" s="18" t="s">
        <v>7172</v>
      </c>
      <c r="E3581" s="18" t="s">
        <v>681</v>
      </c>
      <c r="F3581" s="18" t="s">
        <v>682</v>
      </c>
      <c r="G3581" s="18" t="s">
        <v>12</v>
      </c>
      <c r="H3581" s="18"/>
      <c r="I3581" s="18"/>
      <c r="J3581" s="18" t="s">
        <v>142</v>
      </c>
      <c r="K3581" s="18"/>
      <c r="L3581" s="12" t="s">
        <v>143</v>
      </c>
      <c r="M3581" s="18" t="s">
        <v>683</v>
      </c>
      <c r="N3581" s="18"/>
      <c r="O3581" s="18" t="s">
        <v>684</v>
      </c>
      <c r="P3581" s="18" t="str">
        <f>HYPERLINK("https://ceds.ed.gov/cedselementdetails.aspx?termid=10132")</f>
        <v>https://ceds.ed.gov/cedselementdetails.aspx?termid=10132</v>
      </c>
      <c r="Q3581" s="18" t="str">
        <f>HYPERLINK("https://ceds.ed.gov/elementComment.aspx?elementName=Assessment Item Bank Identifier &amp;elementID=10132", "Click here to submit comment")</f>
        <v>Click here to submit comment</v>
      </c>
    </row>
    <row r="3582" spans="1:17" x14ac:dyDescent="0.25">
      <c r="A3582" s="18"/>
      <c r="B3582" s="18"/>
      <c r="C3582" s="18"/>
      <c r="D3582" s="18"/>
      <c r="E3582" s="18"/>
      <c r="F3582" s="18"/>
      <c r="G3582" s="18"/>
      <c r="H3582" s="18"/>
      <c r="I3582" s="18"/>
      <c r="J3582" s="18"/>
      <c r="K3582" s="18"/>
      <c r="L3582" s="12"/>
      <c r="M3582" s="18"/>
      <c r="N3582" s="18"/>
      <c r="O3582" s="18"/>
      <c r="P3582" s="18"/>
      <c r="Q3582" s="18"/>
    </row>
    <row r="3583" spans="1:17" ht="90" x14ac:dyDescent="0.25">
      <c r="A3583" s="18"/>
      <c r="B3583" s="18"/>
      <c r="C3583" s="18"/>
      <c r="D3583" s="18"/>
      <c r="E3583" s="18"/>
      <c r="F3583" s="18"/>
      <c r="G3583" s="18"/>
      <c r="H3583" s="18"/>
      <c r="I3583" s="18"/>
      <c r="J3583" s="18"/>
      <c r="K3583" s="18"/>
      <c r="L3583" s="12" t="s">
        <v>144</v>
      </c>
      <c r="M3583" s="18"/>
      <c r="N3583" s="18"/>
      <c r="O3583" s="18"/>
      <c r="P3583" s="18"/>
      <c r="Q3583" s="18"/>
    </row>
    <row r="3584" spans="1:17" ht="45" x14ac:dyDescent="0.25">
      <c r="A3584" s="12" t="s">
        <v>7327</v>
      </c>
      <c r="B3584" s="12" t="s">
        <v>7333</v>
      </c>
      <c r="C3584" s="12"/>
      <c r="D3584" s="12" t="s">
        <v>7172</v>
      </c>
      <c r="E3584" s="12" t="s">
        <v>685</v>
      </c>
      <c r="F3584" s="12" t="s">
        <v>686</v>
      </c>
      <c r="G3584" s="12" t="s">
        <v>12</v>
      </c>
      <c r="H3584" s="12"/>
      <c r="I3584" s="12"/>
      <c r="J3584" s="12" t="s">
        <v>99</v>
      </c>
      <c r="K3584" s="12"/>
      <c r="L3584" s="12"/>
      <c r="M3584" s="12" t="s">
        <v>687</v>
      </c>
      <c r="N3584" s="12"/>
      <c r="O3584" s="12" t="s">
        <v>688</v>
      </c>
      <c r="P3584" s="12" t="str">
        <f>HYPERLINK("https://ceds.ed.gov/cedselementdetails.aspx?termid=10133")</f>
        <v>https://ceds.ed.gov/cedselementdetails.aspx?termid=10133</v>
      </c>
      <c r="Q3584" s="12" t="str">
        <f>HYPERLINK("https://ceds.ed.gov/elementComment.aspx?elementName=Assessment Item Bank Name &amp;elementID=10133", "Click here to submit comment")</f>
        <v>Click here to submit comment</v>
      </c>
    </row>
    <row r="3585" spans="1:17" ht="105" x14ac:dyDescent="0.25">
      <c r="A3585" s="12" t="s">
        <v>7327</v>
      </c>
      <c r="B3585" s="12" t="s">
        <v>7333</v>
      </c>
      <c r="C3585" s="12"/>
      <c r="D3585" s="12" t="s">
        <v>7172</v>
      </c>
      <c r="E3585" s="12" t="s">
        <v>4510</v>
      </c>
      <c r="F3585" s="12" t="s">
        <v>4511</v>
      </c>
      <c r="G3585" s="13" t="s">
        <v>7038</v>
      </c>
      <c r="H3585" s="12"/>
      <c r="I3585" s="12"/>
      <c r="J3585" s="12"/>
      <c r="K3585" s="12"/>
      <c r="L3585" s="12"/>
      <c r="M3585" s="12" t="s">
        <v>4512</v>
      </c>
      <c r="N3585" s="12"/>
      <c r="O3585" s="12" t="s">
        <v>4513</v>
      </c>
      <c r="P3585" s="12" t="str">
        <f>HYPERLINK("https://ceds.ed.gov/cedselementdetails.aspx?termid=10166")</f>
        <v>https://ceds.ed.gov/cedselementdetails.aspx?termid=10166</v>
      </c>
      <c r="Q3585" s="12" t="str">
        <f>HYPERLINK("https://ceds.ed.gov/elementComment.aspx?elementName=NAEP Aspects of Reading &amp;elementID=10166", "Click here to submit comment")</f>
        <v>Click here to submit comment</v>
      </c>
    </row>
    <row r="3586" spans="1:17" ht="75" x14ac:dyDescent="0.25">
      <c r="A3586" s="12" t="s">
        <v>7327</v>
      </c>
      <c r="B3586" s="12" t="s">
        <v>7333</v>
      </c>
      <c r="C3586" s="12"/>
      <c r="D3586" s="12" t="s">
        <v>7172</v>
      </c>
      <c r="E3586" s="12" t="s">
        <v>4514</v>
      </c>
      <c r="F3586" s="12" t="s">
        <v>4515</v>
      </c>
      <c r="G3586" s="13" t="s">
        <v>7039</v>
      </c>
      <c r="H3586" s="12"/>
      <c r="I3586" s="12"/>
      <c r="J3586" s="12"/>
      <c r="K3586" s="12"/>
      <c r="L3586" s="12"/>
      <c r="M3586" s="12" t="s">
        <v>4516</v>
      </c>
      <c r="N3586" s="12"/>
      <c r="O3586" s="12" t="s">
        <v>4517</v>
      </c>
      <c r="P3586" s="12" t="str">
        <f>HYPERLINK("https://ceds.ed.gov/cedselementdetails.aspx?termid=10072")</f>
        <v>https://ceds.ed.gov/cedselementdetails.aspx?termid=10072</v>
      </c>
      <c r="Q3586" s="12" t="str">
        <f>HYPERLINK("https://ceds.ed.gov/elementComment.aspx?elementName=NAEP Mathematical Complexity Level &amp;elementID=10072", "Click here to submit comment")</f>
        <v>Click here to submit comment</v>
      </c>
    </row>
    <row r="3587" spans="1:17" ht="45" x14ac:dyDescent="0.25">
      <c r="A3587" s="12" t="s">
        <v>7327</v>
      </c>
      <c r="B3587" s="12" t="s">
        <v>7333</v>
      </c>
      <c r="C3587" s="12"/>
      <c r="D3587" s="12" t="s">
        <v>7172</v>
      </c>
      <c r="E3587" s="12" t="s">
        <v>840</v>
      </c>
      <c r="F3587" s="12" t="s">
        <v>841</v>
      </c>
      <c r="G3587" s="12" t="s">
        <v>6364</v>
      </c>
      <c r="H3587" s="12"/>
      <c r="I3587" s="12"/>
      <c r="J3587" s="12"/>
      <c r="K3587" s="12"/>
      <c r="L3587" s="12"/>
      <c r="M3587" s="12" t="s">
        <v>842</v>
      </c>
      <c r="N3587" s="12"/>
      <c r="O3587" s="12" t="s">
        <v>843</v>
      </c>
      <c r="P3587" s="12" t="str">
        <f>HYPERLINK("https://ceds.ed.gov/cedselementdetails.aspx?termid=10229")</f>
        <v>https://ceds.ed.gov/cedselementdetails.aspx?termid=10229</v>
      </c>
      <c r="Q3587" s="12" t="str">
        <f>HYPERLINK("https://ceds.ed.gov/elementComment.aspx?elementName=Assessment Item Release Status &amp;elementID=10229", "Click here to submit comment")</f>
        <v>Click here to submit comment</v>
      </c>
    </row>
    <row r="3588" spans="1:17" ht="60" x14ac:dyDescent="0.25">
      <c r="A3588" s="12" t="s">
        <v>7327</v>
      </c>
      <c r="B3588" s="12" t="s">
        <v>7333</v>
      </c>
      <c r="C3588" s="12"/>
      <c r="D3588" s="12" t="s">
        <v>7172</v>
      </c>
      <c r="E3588" s="12" t="s">
        <v>805</v>
      </c>
      <c r="F3588" s="12" t="s">
        <v>806</v>
      </c>
      <c r="G3588" s="12" t="s">
        <v>6364</v>
      </c>
      <c r="H3588" s="12"/>
      <c r="I3588" s="12"/>
      <c r="J3588" s="12"/>
      <c r="K3588" s="12"/>
      <c r="L3588" s="12"/>
      <c r="M3588" s="12" t="s">
        <v>807</v>
      </c>
      <c r="N3588" s="12"/>
      <c r="O3588" s="12" t="s">
        <v>808</v>
      </c>
      <c r="P3588" s="12" t="str">
        <f>HYPERLINK("https://ceds.ed.gov/cedselementdetails.aspx?termid=10227")</f>
        <v>https://ceds.ed.gov/cedselementdetails.aspx?termid=10227</v>
      </c>
      <c r="Q3588" s="12" t="str">
        <f>HYPERLINK("https://ceds.ed.gov/elementComment.aspx?elementName=Assessment Item Linking Item Indicator &amp;elementID=10227", "Click here to submit comment")</f>
        <v>Click here to submit comment</v>
      </c>
    </row>
    <row r="3589" spans="1:17" ht="360" x14ac:dyDescent="0.25">
      <c r="A3589" s="12" t="s">
        <v>7327</v>
      </c>
      <c r="B3589" s="12" t="s">
        <v>7333</v>
      </c>
      <c r="C3589" s="12"/>
      <c r="D3589" s="12" t="s">
        <v>7172</v>
      </c>
      <c r="E3589" s="12" t="s">
        <v>1003</v>
      </c>
      <c r="F3589" s="12" t="s">
        <v>1004</v>
      </c>
      <c r="G3589" s="13" t="s">
        <v>6767</v>
      </c>
      <c r="H3589" s="12" t="s">
        <v>6411</v>
      </c>
      <c r="I3589" s="12"/>
      <c r="J3589" s="12"/>
      <c r="K3589" s="12"/>
      <c r="L3589" s="12"/>
      <c r="M3589" s="12" t="s">
        <v>1005</v>
      </c>
      <c r="N3589" s="12"/>
      <c r="O3589" s="12" t="s">
        <v>1006</v>
      </c>
      <c r="P3589" s="12" t="str">
        <f>HYPERLINK("https://ceds.ed.gov/cedselementdetails.aspx?termid=9177")</f>
        <v>https://ceds.ed.gov/cedselementdetails.aspx?termid=9177</v>
      </c>
      <c r="Q3589" s="12" t="str">
        <f>HYPERLINK("https://ceds.ed.gov/elementComment.aspx?elementName=Assessment Level for Which Designed &amp;elementID=9177", "Click here to submit comment")</f>
        <v>Click here to submit comment</v>
      </c>
    </row>
    <row r="3590" spans="1:17" ht="45" x14ac:dyDescent="0.25">
      <c r="A3590" s="12" t="s">
        <v>7327</v>
      </c>
      <c r="B3590" s="12" t="s">
        <v>7333</v>
      </c>
      <c r="C3590" s="12" t="s">
        <v>7334</v>
      </c>
      <c r="D3590" s="12" t="s">
        <v>7172</v>
      </c>
      <c r="E3590" s="12" t="s">
        <v>832</v>
      </c>
      <c r="F3590" s="12" t="s">
        <v>833</v>
      </c>
      <c r="G3590" s="12" t="s">
        <v>12</v>
      </c>
      <c r="H3590" s="12"/>
      <c r="I3590" s="12"/>
      <c r="J3590" s="12" t="s">
        <v>317</v>
      </c>
      <c r="K3590" s="12"/>
      <c r="L3590" s="12"/>
      <c r="M3590" s="12" t="s">
        <v>834</v>
      </c>
      <c r="N3590" s="12"/>
      <c r="O3590" s="12" t="s">
        <v>835</v>
      </c>
      <c r="P3590" s="12" t="str">
        <f>HYPERLINK("https://ceds.ed.gov/cedselementdetails.aspx?termid=9905")</f>
        <v>https://ceds.ed.gov/cedselementdetails.aspx?termid=9905</v>
      </c>
      <c r="Q3590" s="12" t="str">
        <f>HYPERLINK("https://ceds.ed.gov/elementComment.aspx?elementName=Assessment Item Possible Response Sequence Number &amp;elementID=9905", "Click here to submit comment")</f>
        <v>Click here to submit comment</v>
      </c>
    </row>
    <row r="3591" spans="1:17" ht="60" x14ac:dyDescent="0.25">
      <c r="A3591" s="12" t="s">
        <v>7327</v>
      </c>
      <c r="B3591" s="12" t="s">
        <v>7333</v>
      </c>
      <c r="C3591" s="12" t="s">
        <v>7334</v>
      </c>
      <c r="D3591" s="12" t="s">
        <v>7172</v>
      </c>
      <c r="E3591" s="12" t="s">
        <v>836</v>
      </c>
      <c r="F3591" s="12" t="s">
        <v>837</v>
      </c>
      <c r="G3591" s="12" t="s">
        <v>12</v>
      </c>
      <c r="H3591" s="12"/>
      <c r="I3591" s="12"/>
      <c r="J3591" s="12" t="s">
        <v>68</v>
      </c>
      <c r="K3591" s="12"/>
      <c r="L3591" s="12"/>
      <c r="M3591" s="12" t="s">
        <v>838</v>
      </c>
      <c r="N3591" s="12"/>
      <c r="O3591" s="12" t="s">
        <v>839</v>
      </c>
      <c r="P3591" s="12" t="str">
        <f>HYPERLINK("https://ceds.ed.gov/cedselementdetails.aspx?termid=9908")</f>
        <v>https://ceds.ed.gov/cedselementdetails.aspx?termid=9908</v>
      </c>
      <c r="Q3591" s="12" t="str">
        <f>HYPERLINK("https://ceds.ed.gov/elementComment.aspx?elementName=Assessment Item Possible Response Value &amp;elementID=9908", "Click here to submit comment")</f>
        <v>Click here to submit comment</v>
      </c>
    </row>
    <row r="3592" spans="1:17" ht="60" x14ac:dyDescent="0.25">
      <c r="A3592" s="12" t="s">
        <v>7327</v>
      </c>
      <c r="B3592" s="12" t="s">
        <v>7333</v>
      </c>
      <c r="C3592" s="12" t="s">
        <v>7334</v>
      </c>
      <c r="D3592" s="12" t="s">
        <v>7172</v>
      </c>
      <c r="E3592" s="12" t="s">
        <v>828</v>
      </c>
      <c r="F3592" s="12" t="s">
        <v>829</v>
      </c>
      <c r="G3592" s="12" t="s">
        <v>12</v>
      </c>
      <c r="H3592" s="12"/>
      <c r="I3592" s="12"/>
      <c r="J3592" s="12" t="s">
        <v>327</v>
      </c>
      <c r="K3592" s="12"/>
      <c r="L3592" s="12"/>
      <c r="M3592" s="12" t="s">
        <v>830</v>
      </c>
      <c r="N3592" s="12"/>
      <c r="O3592" s="12" t="s">
        <v>831</v>
      </c>
      <c r="P3592" s="12" t="str">
        <f>HYPERLINK("https://ceds.ed.gov/cedselementdetails.aspx?termid=10235")</f>
        <v>https://ceds.ed.gov/cedselementdetails.aspx?termid=10235</v>
      </c>
      <c r="Q3592" s="12" t="str">
        <f>HYPERLINK("https://ceds.ed.gov/elementComment.aspx?elementName=Assessment Item Possible Response Option &amp;elementID=10235", "Click here to submit comment")</f>
        <v>Click here to submit comment</v>
      </c>
    </row>
    <row r="3593" spans="1:17" ht="45" x14ac:dyDescent="0.25">
      <c r="A3593" s="12" t="s">
        <v>7327</v>
      </c>
      <c r="B3593" s="12" t="s">
        <v>7333</v>
      </c>
      <c r="C3593" s="12" t="s">
        <v>7334</v>
      </c>
      <c r="D3593" s="12" t="s">
        <v>7172</v>
      </c>
      <c r="E3593" s="12" t="s">
        <v>817</v>
      </c>
      <c r="F3593" s="12" t="s">
        <v>818</v>
      </c>
      <c r="G3593" s="12" t="s">
        <v>6364</v>
      </c>
      <c r="H3593" s="12"/>
      <c r="I3593" s="12"/>
      <c r="J3593" s="12"/>
      <c r="K3593" s="12"/>
      <c r="L3593" s="12"/>
      <c r="M3593" s="12" t="s">
        <v>820</v>
      </c>
      <c r="N3593" s="12"/>
      <c r="O3593" s="12" t="s">
        <v>821</v>
      </c>
      <c r="P3593" s="12" t="str">
        <f>HYPERLINK("https://ceds.ed.gov/cedselementdetails.aspx?termid=10183")</f>
        <v>https://ceds.ed.gov/cedselementdetails.aspx?termid=10183</v>
      </c>
      <c r="Q3593" s="12" t="str">
        <f>HYPERLINK("https://ceds.ed.gov/elementComment.aspx?elementName=Assessment Item Possible Response Correct Indicator &amp;elementID=10183", "Click here to submit comment")</f>
        <v>Click here to submit comment</v>
      </c>
    </row>
    <row r="3594" spans="1:17" ht="120" x14ac:dyDescent="0.25">
      <c r="A3594" s="12" t="s">
        <v>7327</v>
      </c>
      <c r="B3594" s="12" t="s">
        <v>7333</v>
      </c>
      <c r="C3594" s="12" t="s">
        <v>7334</v>
      </c>
      <c r="D3594" s="12" t="s">
        <v>7172</v>
      </c>
      <c r="E3594" s="12" t="s">
        <v>822</v>
      </c>
      <c r="F3594" s="12" t="s">
        <v>823</v>
      </c>
      <c r="G3594" s="12" t="s">
        <v>12</v>
      </c>
      <c r="H3594" s="12" t="s">
        <v>827</v>
      </c>
      <c r="I3594" s="12"/>
      <c r="J3594" s="12" t="s">
        <v>68</v>
      </c>
      <c r="K3594" s="12"/>
      <c r="L3594" s="12" t="s">
        <v>824</v>
      </c>
      <c r="M3594" s="12" t="s">
        <v>825</v>
      </c>
      <c r="N3594" s="12"/>
      <c r="O3594" s="12" t="s">
        <v>826</v>
      </c>
      <c r="P3594" s="12" t="str">
        <f>HYPERLINK("https://ceds.ed.gov/cedselementdetails.aspx?termid=9904")</f>
        <v>https://ceds.ed.gov/cedselementdetails.aspx?termid=9904</v>
      </c>
      <c r="Q3594" s="12" t="str">
        <f>HYPERLINK("https://ceds.ed.gov/elementComment.aspx?elementName=Assessment Item Possible Response Feedback Message &amp;elementID=9904", "Click here to submit comment")</f>
        <v>Click here to submit comment</v>
      </c>
    </row>
    <row r="3595" spans="1:17" ht="30" x14ac:dyDescent="0.25">
      <c r="A3595" s="12" t="s">
        <v>7327</v>
      </c>
      <c r="B3595" s="12" t="s">
        <v>7333</v>
      </c>
      <c r="C3595" s="12" t="s">
        <v>7335</v>
      </c>
      <c r="D3595" s="12" t="s">
        <v>7172</v>
      </c>
      <c r="E3595" s="12" t="s">
        <v>968</v>
      </c>
      <c r="F3595" s="12" t="s">
        <v>969</v>
      </c>
      <c r="G3595" s="12" t="s">
        <v>12</v>
      </c>
      <c r="H3595" s="12" t="s">
        <v>827</v>
      </c>
      <c r="I3595" s="12"/>
      <c r="J3595" s="12" t="s">
        <v>68</v>
      </c>
      <c r="K3595" s="12"/>
      <c r="L3595" s="12"/>
      <c r="M3595" s="12" t="s">
        <v>970</v>
      </c>
      <c r="N3595" s="12"/>
      <c r="O3595" s="12" t="s">
        <v>971</v>
      </c>
      <c r="P3595" s="12" t="str">
        <f>HYPERLINK("https://ceds.ed.gov/cedselementdetails.aspx?termid=10069")</f>
        <v>https://ceds.ed.gov/cedselementdetails.aspx?termid=10069</v>
      </c>
      <c r="Q3595" s="12" t="str">
        <f>HYPERLINK("https://ceds.ed.gov/elementComment.aspx?elementName=Assessment Item Response Value &amp;elementID=10069", "Click here to submit comment")</f>
        <v>Click here to submit comment</v>
      </c>
    </row>
    <row r="3596" spans="1:17" ht="30" x14ac:dyDescent="0.25">
      <c r="A3596" s="12" t="s">
        <v>7327</v>
      </c>
      <c r="B3596" s="12" t="s">
        <v>7333</v>
      </c>
      <c r="C3596" s="12" t="s">
        <v>7335</v>
      </c>
      <c r="D3596" s="12" t="s">
        <v>7172</v>
      </c>
      <c r="E3596" s="12" t="s">
        <v>899</v>
      </c>
      <c r="F3596" s="12" t="s">
        <v>900</v>
      </c>
      <c r="G3596" s="12" t="s">
        <v>12</v>
      </c>
      <c r="H3596" s="12"/>
      <c r="I3596" s="12"/>
      <c r="J3596" s="12" t="s">
        <v>73</v>
      </c>
      <c r="K3596" s="12"/>
      <c r="L3596" s="12"/>
      <c r="M3596" s="12" t="s">
        <v>901</v>
      </c>
      <c r="N3596" s="12"/>
      <c r="O3596" s="12" t="s">
        <v>902</v>
      </c>
      <c r="P3596" s="12" t="str">
        <f>HYPERLINK("https://ceds.ed.gov/cedselementdetails.aspx?termid=9960")</f>
        <v>https://ceds.ed.gov/cedselementdetails.aspx?termid=9960</v>
      </c>
      <c r="Q3596" s="12" t="str">
        <f>HYPERLINK("https://ceds.ed.gov/elementComment.aspx?elementName=Assessment Item Response Start Date &amp;elementID=9960", "Click here to submit comment")</f>
        <v>Click here to submit comment</v>
      </c>
    </row>
    <row r="3597" spans="1:17" ht="30" x14ac:dyDescent="0.25">
      <c r="A3597" s="12" t="s">
        <v>7327</v>
      </c>
      <c r="B3597" s="12" t="s">
        <v>7333</v>
      </c>
      <c r="C3597" s="12" t="s">
        <v>7335</v>
      </c>
      <c r="D3597" s="12" t="s">
        <v>7172</v>
      </c>
      <c r="E3597" s="12" t="s">
        <v>903</v>
      </c>
      <c r="F3597" s="12" t="s">
        <v>904</v>
      </c>
      <c r="G3597" s="12" t="s">
        <v>12</v>
      </c>
      <c r="H3597" s="12"/>
      <c r="I3597" s="12"/>
      <c r="J3597" s="12" t="s">
        <v>865</v>
      </c>
      <c r="K3597" s="12"/>
      <c r="L3597" s="12"/>
      <c r="M3597" s="12" t="s">
        <v>905</v>
      </c>
      <c r="N3597" s="12"/>
      <c r="O3597" s="12" t="s">
        <v>906</v>
      </c>
      <c r="P3597" s="12" t="str">
        <f>HYPERLINK("https://ceds.ed.gov/cedselementdetails.aspx?termid=9959")</f>
        <v>https://ceds.ed.gov/cedselementdetails.aspx?termid=9959</v>
      </c>
      <c r="Q3597" s="12" t="str">
        <f>HYPERLINK("https://ceds.ed.gov/elementComment.aspx?elementName=Assessment Item Response Start Time &amp;elementID=9959", "Click here to submit comment")</f>
        <v>Click here to submit comment</v>
      </c>
    </row>
    <row r="3598" spans="1:17" ht="60" x14ac:dyDescent="0.25">
      <c r="A3598" s="12" t="s">
        <v>7327</v>
      </c>
      <c r="B3598" s="12" t="s">
        <v>7333</v>
      </c>
      <c r="C3598" s="12" t="s">
        <v>7335</v>
      </c>
      <c r="D3598" s="12" t="s">
        <v>7172</v>
      </c>
      <c r="E3598" s="12" t="s">
        <v>863</v>
      </c>
      <c r="F3598" s="12" t="s">
        <v>864</v>
      </c>
      <c r="G3598" s="12" t="s">
        <v>12</v>
      </c>
      <c r="H3598" s="12" t="s">
        <v>6409</v>
      </c>
      <c r="I3598" s="12"/>
      <c r="J3598" s="12" t="s">
        <v>865</v>
      </c>
      <c r="K3598" s="12"/>
      <c r="L3598" s="12"/>
      <c r="M3598" s="12" t="s">
        <v>866</v>
      </c>
      <c r="N3598" s="12"/>
      <c r="O3598" s="12" t="s">
        <v>867</v>
      </c>
      <c r="P3598" s="12" t="str">
        <f>HYPERLINK("https://ceds.ed.gov/cedselementdetails.aspx?termid=9394")</f>
        <v>https://ceds.ed.gov/cedselementdetails.aspx?termid=9394</v>
      </c>
      <c r="Q3598" s="12" t="str">
        <f>HYPERLINK("https://ceds.ed.gov/elementComment.aspx?elementName=Assessment Item Response Duration &amp;elementID=9394", "Click here to submit comment")</f>
        <v>Click here to submit comment</v>
      </c>
    </row>
    <row r="3599" spans="1:17" ht="180" x14ac:dyDescent="0.25">
      <c r="A3599" s="12" t="s">
        <v>7327</v>
      </c>
      <c r="B3599" s="12" t="s">
        <v>7333</v>
      </c>
      <c r="C3599" s="12" t="s">
        <v>7335</v>
      </c>
      <c r="D3599" s="12" t="s">
        <v>7172</v>
      </c>
      <c r="E3599" s="12" t="s">
        <v>907</v>
      </c>
      <c r="F3599" s="12" t="s">
        <v>908</v>
      </c>
      <c r="G3599" s="13" t="s">
        <v>6762</v>
      </c>
      <c r="H3599" s="12" t="s">
        <v>6409</v>
      </c>
      <c r="I3599" s="12"/>
      <c r="J3599" s="12"/>
      <c r="K3599" s="12"/>
      <c r="L3599" s="12"/>
      <c r="M3599" s="12" t="s">
        <v>909</v>
      </c>
      <c r="N3599" s="12"/>
      <c r="O3599" s="12" t="s">
        <v>910</v>
      </c>
      <c r="P3599" s="12" t="str">
        <f>HYPERLINK("https://ceds.ed.gov/cedselementdetails.aspx?termid=9396")</f>
        <v>https://ceds.ed.gov/cedselementdetails.aspx?termid=9396</v>
      </c>
      <c r="Q3599" s="12" t="str">
        <f>HYPERLINK("https://ceds.ed.gov/elementComment.aspx?elementName=Assessment Item Response Status &amp;elementID=9396", "Click here to submit comment")</f>
        <v>Click here to submit comment</v>
      </c>
    </row>
    <row r="3600" spans="1:17" ht="60" x14ac:dyDescent="0.25">
      <c r="A3600" s="12" t="s">
        <v>7327</v>
      </c>
      <c r="B3600" s="12" t="s">
        <v>7333</v>
      </c>
      <c r="C3600" s="12" t="s">
        <v>7335</v>
      </c>
      <c r="D3600" s="12" t="s">
        <v>7172</v>
      </c>
      <c r="E3600" s="12" t="s">
        <v>844</v>
      </c>
      <c r="F3600" s="12" t="s">
        <v>845</v>
      </c>
      <c r="G3600" s="12" t="s">
        <v>12</v>
      </c>
      <c r="H3600" s="12" t="s">
        <v>6409</v>
      </c>
      <c r="I3600" s="12"/>
      <c r="J3600" s="12" t="s">
        <v>92</v>
      </c>
      <c r="K3600" s="12"/>
      <c r="L3600" s="12" t="s">
        <v>847</v>
      </c>
      <c r="M3600" s="12" t="s">
        <v>848</v>
      </c>
      <c r="N3600" s="12"/>
      <c r="O3600" s="12" t="s">
        <v>849</v>
      </c>
      <c r="P3600" s="12" t="str">
        <f>HYPERLINK("https://ceds.ed.gov/cedselementdetails.aspx?termid=9397")</f>
        <v>https://ceds.ed.gov/cedselementdetails.aspx?termid=9397</v>
      </c>
      <c r="Q3600" s="12" t="str">
        <f>HYPERLINK("https://ceds.ed.gov/elementComment.aspx?elementName=Assessment Item Response Aid Set Used &amp;elementID=9397", "Click here to submit comment")</f>
        <v>Click here to submit comment</v>
      </c>
    </row>
    <row r="3601" spans="1:17" ht="30" x14ac:dyDescent="0.25">
      <c r="A3601" s="12" t="s">
        <v>7327</v>
      </c>
      <c r="B3601" s="12" t="s">
        <v>7333</v>
      </c>
      <c r="C3601" s="12" t="s">
        <v>7335</v>
      </c>
      <c r="D3601" s="12" t="s">
        <v>7172</v>
      </c>
      <c r="E3601" s="12" t="s">
        <v>890</v>
      </c>
      <c r="F3601" s="12" t="s">
        <v>891</v>
      </c>
      <c r="G3601" s="12" t="s">
        <v>12</v>
      </c>
      <c r="H3601" s="12" t="s">
        <v>827</v>
      </c>
      <c r="I3601" s="12"/>
      <c r="J3601" s="12" t="s">
        <v>99</v>
      </c>
      <c r="K3601" s="12"/>
      <c r="L3601" s="12"/>
      <c r="M3601" s="12" t="s">
        <v>892</v>
      </c>
      <c r="N3601" s="12"/>
      <c r="O3601" s="12" t="s">
        <v>893</v>
      </c>
      <c r="P3601" s="12" t="str">
        <f>HYPERLINK("https://ceds.ed.gov/cedselementdetails.aspx?termid=9700")</f>
        <v>https://ceds.ed.gov/cedselementdetails.aspx?termid=9700</v>
      </c>
      <c r="Q3601" s="12" t="str">
        <f>HYPERLINK("https://ceds.ed.gov/elementComment.aspx?elementName=Assessment Item Response Score Value &amp;elementID=9700", "Click here to submit comment")</f>
        <v>Click here to submit comment</v>
      </c>
    </row>
    <row r="3602" spans="1:17" ht="30" x14ac:dyDescent="0.25">
      <c r="A3602" s="12" t="s">
        <v>7327</v>
      </c>
      <c r="B3602" s="12" t="s">
        <v>7333</v>
      </c>
      <c r="C3602" s="12" t="s">
        <v>7335</v>
      </c>
      <c r="D3602" s="12" t="s">
        <v>7172</v>
      </c>
      <c r="E3602" s="12" t="s">
        <v>850</v>
      </c>
      <c r="F3602" s="12" t="s">
        <v>851</v>
      </c>
      <c r="G3602" s="12" t="s">
        <v>12</v>
      </c>
      <c r="H3602" s="12" t="s">
        <v>6409</v>
      </c>
      <c r="I3602" s="12"/>
      <c r="J3602" s="12" t="s">
        <v>794</v>
      </c>
      <c r="K3602" s="12"/>
      <c r="L3602" s="12"/>
      <c r="M3602" s="12" t="s">
        <v>852</v>
      </c>
      <c r="N3602" s="12"/>
      <c r="O3602" s="12" t="s">
        <v>853</v>
      </c>
      <c r="P3602" s="12" t="str">
        <f>HYPERLINK("https://ceds.ed.gov/cedselementdetails.aspx?termid=9385")</f>
        <v>https://ceds.ed.gov/cedselementdetails.aspx?termid=9385</v>
      </c>
      <c r="Q3602" s="12" t="str">
        <f>HYPERLINK("https://ceds.ed.gov/elementComment.aspx?elementName=Assessment Item Response Choice Pattern &amp;elementID=9385", "Click here to submit comment")</f>
        <v>Click here to submit comment</v>
      </c>
    </row>
    <row r="3603" spans="1:17" ht="60" x14ac:dyDescent="0.25">
      <c r="A3603" s="12" t="s">
        <v>7327</v>
      </c>
      <c r="B3603" s="12" t="s">
        <v>7333</v>
      </c>
      <c r="C3603" s="12" t="s">
        <v>7335</v>
      </c>
      <c r="D3603" s="12" t="s">
        <v>7172</v>
      </c>
      <c r="E3603" s="12" t="s">
        <v>854</v>
      </c>
      <c r="F3603" s="12" t="s">
        <v>855</v>
      </c>
      <c r="G3603" s="12" t="s">
        <v>12</v>
      </c>
      <c r="H3603" s="12" t="s">
        <v>827</v>
      </c>
      <c r="I3603" s="12"/>
      <c r="J3603" s="12" t="s">
        <v>68</v>
      </c>
      <c r="K3603" s="12"/>
      <c r="L3603" s="12"/>
      <c r="M3603" s="12" t="s">
        <v>856</v>
      </c>
      <c r="N3603" s="12"/>
      <c r="O3603" s="12" t="s">
        <v>857</v>
      </c>
      <c r="P3603" s="12" t="str">
        <f>HYPERLINK("https://ceds.ed.gov/cedselementdetails.aspx?termid=9891")</f>
        <v>https://ceds.ed.gov/cedselementdetails.aspx?termid=9891</v>
      </c>
      <c r="Q3603" s="12" t="str">
        <f>HYPERLINK("https://ceds.ed.gov/elementComment.aspx?elementName=Assessment Item Response Descriptive Feedback &amp;elementID=9891", "Click here to submit comment")</f>
        <v>Click here to submit comment</v>
      </c>
    </row>
    <row r="3604" spans="1:17" ht="135" x14ac:dyDescent="0.25">
      <c r="A3604" s="12" t="s">
        <v>7327</v>
      </c>
      <c r="B3604" s="12" t="s">
        <v>7333</v>
      </c>
      <c r="C3604" s="12" t="s">
        <v>7335</v>
      </c>
      <c r="D3604" s="12" t="s">
        <v>7172</v>
      </c>
      <c r="E3604" s="12" t="s">
        <v>882</v>
      </c>
      <c r="F3604" s="12" t="s">
        <v>883</v>
      </c>
      <c r="G3604" s="12" t="s">
        <v>6364</v>
      </c>
      <c r="H3604" s="12"/>
      <c r="I3604" s="12"/>
      <c r="J3604" s="12"/>
      <c r="K3604" s="12"/>
      <c r="L3604" s="12"/>
      <c r="M3604" s="12" t="s">
        <v>884</v>
      </c>
      <c r="N3604" s="12"/>
      <c r="O3604" s="12" t="s">
        <v>885</v>
      </c>
      <c r="P3604" s="12" t="str">
        <f>HYPERLINK("https://ceds.ed.gov/cedselementdetails.aspx?termid=9955")</f>
        <v>https://ceds.ed.gov/cedselementdetails.aspx?termid=9955</v>
      </c>
      <c r="Q3604" s="12" t="str">
        <f>HYPERLINK("https://ceds.ed.gov/elementComment.aspx?elementName=Assessment Item Response Scaffolding Item Flag &amp;elementID=9955", "Click here to submit comment")</f>
        <v>Click here to submit comment</v>
      </c>
    </row>
    <row r="3605" spans="1:17" ht="135" x14ac:dyDescent="0.25">
      <c r="A3605" s="12" t="s">
        <v>7327</v>
      </c>
      <c r="B3605" s="12" t="s">
        <v>7333</v>
      </c>
      <c r="C3605" s="12" t="s">
        <v>7335</v>
      </c>
      <c r="D3605" s="12" t="s">
        <v>7172</v>
      </c>
      <c r="E3605" s="12" t="s">
        <v>873</v>
      </c>
      <c r="F3605" s="12" t="s">
        <v>874</v>
      </c>
      <c r="G3605" s="12" t="s">
        <v>12</v>
      </c>
      <c r="H3605" s="12"/>
      <c r="I3605" s="12"/>
      <c r="J3605" s="12" t="s">
        <v>317</v>
      </c>
      <c r="K3605" s="12"/>
      <c r="L3605" s="12"/>
      <c r="M3605" s="12" t="s">
        <v>875</v>
      </c>
      <c r="N3605" s="12"/>
      <c r="O3605" s="12" t="s">
        <v>876</v>
      </c>
      <c r="P3605" s="12" t="str">
        <f>HYPERLINK("https://ceds.ed.gov/cedselementdetails.aspx?termid=9956")</f>
        <v>https://ceds.ed.gov/cedselementdetails.aspx?termid=9956</v>
      </c>
      <c r="Q3605" s="12" t="str">
        <f>HYPERLINK("https://ceds.ed.gov/elementComment.aspx?elementName=Assessment Item Response Hint Count &amp;elementID=9956", "Click here to submit comment")</f>
        <v>Click here to submit comment</v>
      </c>
    </row>
    <row r="3606" spans="1:17" ht="135" x14ac:dyDescent="0.25">
      <c r="A3606" s="12" t="s">
        <v>7327</v>
      </c>
      <c r="B3606" s="12" t="s">
        <v>7333</v>
      </c>
      <c r="C3606" s="12" t="s">
        <v>7335</v>
      </c>
      <c r="D3606" s="12" t="s">
        <v>7172</v>
      </c>
      <c r="E3606" s="12" t="s">
        <v>877</v>
      </c>
      <c r="F3606" s="12" t="s">
        <v>878</v>
      </c>
      <c r="G3606" s="12" t="s">
        <v>6364</v>
      </c>
      <c r="H3606" s="12"/>
      <c r="I3606" s="12"/>
      <c r="J3606" s="12"/>
      <c r="K3606" s="12"/>
      <c r="L3606" s="12" t="s">
        <v>879</v>
      </c>
      <c r="M3606" s="12" t="s">
        <v>880</v>
      </c>
      <c r="N3606" s="12"/>
      <c r="O3606" s="12" t="s">
        <v>881</v>
      </c>
      <c r="P3606" s="12" t="str">
        <f>HYPERLINK("https://ceds.ed.gov/cedselementdetails.aspx?termid=9957")</f>
        <v>https://ceds.ed.gov/cedselementdetails.aspx?termid=9957</v>
      </c>
      <c r="Q3606" s="12" t="str">
        <f>HYPERLINK("https://ceds.ed.gov/elementComment.aspx?elementName=Assessment Item Response Hint Included Answer &amp;elementID=9957", "Click here to submit comment")</f>
        <v>Click here to submit comment</v>
      </c>
    </row>
    <row r="3607" spans="1:17" ht="105" x14ac:dyDescent="0.25">
      <c r="A3607" s="12" t="s">
        <v>7327</v>
      </c>
      <c r="B3607" s="12" t="s">
        <v>7333</v>
      </c>
      <c r="C3607" s="12" t="s">
        <v>7335</v>
      </c>
      <c r="D3607" s="12" t="s">
        <v>7172</v>
      </c>
      <c r="E3607" s="12" t="s">
        <v>868</v>
      </c>
      <c r="F3607" s="12" t="s">
        <v>869</v>
      </c>
      <c r="G3607" s="12" t="s">
        <v>12</v>
      </c>
      <c r="H3607" s="12"/>
      <c r="I3607" s="12"/>
      <c r="J3607" s="12" t="s">
        <v>865</v>
      </c>
      <c r="K3607" s="12"/>
      <c r="L3607" s="12" t="s">
        <v>870</v>
      </c>
      <c r="M3607" s="12" t="s">
        <v>871</v>
      </c>
      <c r="N3607" s="12"/>
      <c r="O3607" s="12" t="s">
        <v>872</v>
      </c>
      <c r="P3607" s="12" t="str">
        <f>HYPERLINK("https://ceds.ed.gov/cedselementdetails.aspx?termid=9958")</f>
        <v>https://ceds.ed.gov/cedselementdetails.aspx?termid=9958</v>
      </c>
      <c r="Q3607" s="12" t="str">
        <f>HYPERLINK("https://ceds.ed.gov/elementComment.aspx?elementName=Assessment Item Response First Attempt Duration &amp;elementID=9958", "Click here to submit comment")</f>
        <v>Click here to submit comment</v>
      </c>
    </row>
    <row r="3608" spans="1:17" ht="45" x14ac:dyDescent="0.25">
      <c r="A3608" s="12" t="s">
        <v>7327</v>
      </c>
      <c r="B3608" s="12" t="s">
        <v>7333</v>
      </c>
      <c r="C3608" s="12" t="s">
        <v>7335</v>
      </c>
      <c r="D3608" s="12" t="s">
        <v>7172</v>
      </c>
      <c r="E3608" s="12" t="s">
        <v>5111</v>
      </c>
      <c r="F3608" s="12" t="s">
        <v>5112</v>
      </c>
      <c r="G3608" s="13" t="s">
        <v>7077</v>
      </c>
      <c r="H3608" s="12" t="s">
        <v>222</v>
      </c>
      <c r="I3608" s="12"/>
      <c r="J3608" s="12"/>
      <c r="K3608" s="12"/>
      <c r="L3608" s="12"/>
      <c r="M3608" s="12" t="s">
        <v>5113</v>
      </c>
      <c r="N3608" s="12"/>
      <c r="O3608" s="12" t="s">
        <v>5114</v>
      </c>
      <c r="P3608" s="12" t="str">
        <f>HYPERLINK("https://ceds.ed.gov/cedselementdetails.aspx?termid=9565")</f>
        <v>https://ceds.ed.gov/cedselementdetails.aspx?termid=9565</v>
      </c>
      <c r="Q3608" s="12" t="str">
        <f>HYPERLINK("https://ceds.ed.gov/elementComment.aspx?elementName=Proficiency Status &amp;elementID=9565", "Click here to submit comment")</f>
        <v>Click here to submit comment</v>
      </c>
    </row>
    <row r="3609" spans="1:17" ht="60" x14ac:dyDescent="0.25">
      <c r="A3609" s="12" t="s">
        <v>7327</v>
      </c>
      <c r="B3609" s="12" t="s">
        <v>7333</v>
      </c>
      <c r="C3609" s="12" t="s">
        <v>7335</v>
      </c>
      <c r="D3609" s="12" t="s">
        <v>7172</v>
      </c>
      <c r="E3609" s="12" t="s">
        <v>858</v>
      </c>
      <c r="F3609" s="12" t="s">
        <v>859</v>
      </c>
      <c r="G3609" s="12" t="s">
        <v>12</v>
      </c>
      <c r="H3609" s="12"/>
      <c r="I3609" s="12"/>
      <c r="J3609" s="12" t="s">
        <v>860</v>
      </c>
      <c r="K3609" s="12"/>
      <c r="L3609" s="12"/>
      <c r="M3609" s="12" t="s">
        <v>861</v>
      </c>
      <c r="N3609" s="12"/>
      <c r="O3609" s="12" t="s">
        <v>862</v>
      </c>
      <c r="P3609" s="12" t="str">
        <f>HYPERLINK("https://ceds.ed.gov/cedselementdetails.aspx?termid=10512")</f>
        <v>https://ceds.ed.gov/cedselementdetails.aspx?termid=10512</v>
      </c>
      <c r="Q3609" s="12" t="str">
        <f>HYPERLINK("https://ceds.ed.gov/elementComment.aspx?elementName=Assessment Item Response Descriptive Feedback Date &amp;elementID=10512", "Click here to submit comment")</f>
        <v>Click here to submit comment</v>
      </c>
    </row>
    <row r="3610" spans="1:17" ht="90" x14ac:dyDescent="0.25">
      <c r="A3610" s="12" t="s">
        <v>7327</v>
      </c>
      <c r="B3610" s="12" t="s">
        <v>7333</v>
      </c>
      <c r="C3610" s="12" t="s">
        <v>7335</v>
      </c>
      <c r="D3610" s="12" t="s">
        <v>7172</v>
      </c>
      <c r="E3610" s="12" t="s">
        <v>886</v>
      </c>
      <c r="F3610" s="12" t="s">
        <v>887</v>
      </c>
      <c r="G3610" s="13" t="s">
        <v>6761</v>
      </c>
      <c r="H3610" s="12"/>
      <c r="I3610" s="12"/>
      <c r="J3610" s="12"/>
      <c r="K3610" s="12"/>
      <c r="L3610" s="12"/>
      <c r="M3610" s="12" t="s">
        <v>888</v>
      </c>
      <c r="N3610" s="12"/>
      <c r="O3610" s="12" t="s">
        <v>889</v>
      </c>
      <c r="P3610" s="12" t="str">
        <f>HYPERLINK("https://ceds.ed.gov/cedselementdetails.aspx?termid=10513")</f>
        <v>https://ceds.ed.gov/cedselementdetails.aspx?termid=10513</v>
      </c>
      <c r="Q3610" s="12" t="str">
        <f>HYPERLINK("https://ceds.ed.gov/elementComment.aspx?elementName=Assessment Item Response Score Status &amp;elementID=10513", "Click here to submit comment")</f>
        <v>Click here to submit comment</v>
      </c>
    </row>
    <row r="3611" spans="1:17" ht="60" x14ac:dyDescent="0.25">
      <c r="A3611" s="12" t="s">
        <v>7327</v>
      </c>
      <c r="B3611" s="12" t="s">
        <v>7333</v>
      </c>
      <c r="C3611" s="12" t="s">
        <v>7335</v>
      </c>
      <c r="D3611" s="12" t="s">
        <v>7172</v>
      </c>
      <c r="E3611" s="12" t="s">
        <v>1309</v>
      </c>
      <c r="F3611" s="12" t="s">
        <v>1310</v>
      </c>
      <c r="G3611" s="12" t="s">
        <v>12</v>
      </c>
      <c r="H3611" s="12"/>
      <c r="I3611" s="12"/>
      <c r="J3611" s="12" t="s">
        <v>860</v>
      </c>
      <c r="K3611" s="12"/>
      <c r="L3611" s="12"/>
      <c r="M3611" s="12" t="s">
        <v>1311</v>
      </c>
      <c r="N3611" s="12"/>
      <c r="O3611" s="12" t="s">
        <v>1312</v>
      </c>
      <c r="P3611" s="12" t="str">
        <f>HYPERLINK("https://ceds.ed.gov/cedselementdetails.aspx?termid=10520")</f>
        <v>https://ceds.ed.gov/cedselementdetails.aspx?termid=10520</v>
      </c>
      <c r="Q3611" s="12" t="str">
        <f>HYPERLINK("https://ceds.ed.gov/elementComment.aspx?elementName=Assessment Result Descriptive Feedback Date Time &amp;elementID=10520", "Click here to submit comment")</f>
        <v>Click here to submit comment</v>
      </c>
    </row>
    <row r="3612" spans="1:17" ht="120" x14ac:dyDescent="0.25">
      <c r="A3612" s="12" t="s">
        <v>7327</v>
      </c>
      <c r="B3612" s="12" t="s">
        <v>7333</v>
      </c>
      <c r="C3612" s="12" t="s">
        <v>7336</v>
      </c>
      <c r="D3612" s="12" t="s">
        <v>7172</v>
      </c>
      <c r="E3612" s="12" t="s">
        <v>924</v>
      </c>
      <c r="F3612" s="12" t="s">
        <v>925</v>
      </c>
      <c r="G3612" s="12" t="s">
        <v>12</v>
      </c>
      <c r="H3612" s="12"/>
      <c r="I3612" s="12"/>
      <c r="J3612" s="12" t="s">
        <v>157</v>
      </c>
      <c r="K3612" s="12"/>
      <c r="L3612" s="12"/>
      <c r="M3612" s="12" t="s">
        <v>926</v>
      </c>
      <c r="N3612" s="12"/>
      <c r="O3612" s="12" t="s">
        <v>927</v>
      </c>
      <c r="P3612" s="12" t="str">
        <f>HYPERLINK("https://ceds.ed.gov/cedselementdetails.aspx?termid=10217")</f>
        <v>https://ceds.ed.gov/cedselementdetails.aspx?termid=10217</v>
      </c>
      <c r="Q3612" s="12" t="str">
        <f>HYPERLINK("https://ceds.ed.gov/elementComment.aspx?elementName=Assessment Item Response Theory Parameter A &amp;elementID=10217", "Click here to submit comment")</f>
        <v>Click here to submit comment</v>
      </c>
    </row>
    <row r="3613" spans="1:17" ht="75" x14ac:dyDescent="0.25">
      <c r="A3613" s="12" t="s">
        <v>7327</v>
      </c>
      <c r="B3613" s="12" t="s">
        <v>7333</v>
      </c>
      <c r="C3613" s="12" t="s">
        <v>7336</v>
      </c>
      <c r="D3613" s="12" t="s">
        <v>7172</v>
      </c>
      <c r="E3613" s="12" t="s">
        <v>928</v>
      </c>
      <c r="F3613" s="12" t="s">
        <v>929</v>
      </c>
      <c r="G3613" s="12" t="s">
        <v>12</v>
      </c>
      <c r="H3613" s="12"/>
      <c r="I3613" s="12"/>
      <c r="J3613" s="12" t="s">
        <v>157</v>
      </c>
      <c r="K3613" s="12"/>
      <c r="L3613" s="12"/>
      <c r="M3613" s="12" t="s">
        <v>930</v>
      </c>
      <c r="N3613" s="12"/>
      <c r="O3613" s="12" t="s">
        <v>931</v>
      </c>
      <c r="P3613" s="12" t="str">
        <f>HYPERLINK("https://ceds.ed.gov/cedselementdetails.aspx?termid=10218")</f>
        <v>https://ceds.ed.gov/cedselementdetails.aspx?termid=10218</v>
      </c>
      <c r="Q3613" s="12" t="str">
        <f>HYPERLINK("https://ceds.ed.gov/elementComment.aspx?elementName=Assessment Item Response Theory Parameter B &amp;elementID=10218", "Click here to submit comment")</f>
        <v>Click here to submit comment</v>
      </c>
    </row>
    <row r="3614" spans="1:17" ht="120" x14ac:dyDescent="0.25">
      <c r="A3614" s="12" t="s">
        <v>7327</v>
      </c>
      <c r="B3614" s="12" t="s">
        <v>7333</v>
      </c>
      <c r="C3614" s="12" t="s">
        <v>7336</v>
      </c>
      <c r="D3614" s="12" t="s">
        <v>7172</v>
      </c>
      <c r="E3614" s="12" t="s">
        <v>960</v>
      </c>
      <c r="F3614" s="12" t="s">
        <v>961</v>
      </c>
      <c r="G3614" s="13" t="s">
        <v>6764</v>
      </c>
      <c r="H3614" s="12"/>
      <c r="I3614" s="12"/>
      <c r="J3614" s="12"/>
      <c r="K3614" s="12"/>
      <c r="L3614" s="12"/>
      <c r="M3614" s="12" t="s">
        <v>962</v>
      </c>
      <c r="N3614" s="12"/>
      <c r="O3614" s="12" t="s">
        <v>963</v>
      </c>
      <c r="P3614" s="12" t="str">
        <f>HYPERLINK("https://ceds.ed.gov/cedselementdetails.aspx?termid=10219")</f>
        <v>https://ceds.ed.gov/cedselementdetails.aspx?termid=10219</v>
      </c>
      <c r="Q3614" s="12" t="str">
        <f>HYPERLINK("https://ceds.ed.gov/elementComment.aspx?elementName=Assessment Item Response Theory Parameter Difficulty Category &amp;elementID=10219", "Click here to submit comment")</f>
        <v>Click here to submit comment</v>
      </c>
    </row>
    <row r="3615" spans="1:17" ht="120" x14ac:dyDescent="0.25">
      <c r="A3615" s="12" t="s">
        <v>7327</v>
      </c>
      <c r="B3615" s="12" t="s">
        <v>7333</v>
      </c>
      <c r="C3615" s="12" t="s">
        <v>7336</v>
      </c>
      <c r="D3615" s="12" t="s">
        <v>7172</v>
      </c>
      <c r="E3615" s="12" t="s">
        <v>932</v>
      </c>
      <c r="F3615" s="12" t="s">
        <v>933</v>
      </c>
      <c r="G3615" s="12" t="s">
        <v>12</v>
      </c>
      <c r="H3615" s="12"/>
      <c r="I3615" s="12"/>
      <c r="J3615" s="12" t="s">
        <v>157</v>
      </c>
      <c r="K3615" s="12"/>
      <c r="L3615" s="12"/>
      <c r="M3615" s="12" t="s">
        <v>934</v>
      </c>
      <c r="N3615" s="12"/>
      <c r="O3615" s="12" t="s">
        <v>935</v>
      </c>
      <c r="P3615" s="12" t="str">
        <f>HYPERLINK("https://ceds.ed.gov/cedselementdetails.aspx?termid=10220")</f>
        <v>https://ceds.ed.gov/cedselementdetails.aspx?termid=10220</v>
      </c>
      <c r="Q3615" s="12" t="str">
        <f>HYPERLINK("https://ceds.ed.gov/elementComment.aspx?elementName=Assessment Item Response Theory Parameter C &amp;elementID=10220", "Click here to submit comment")</f>
        <v>Click here to submit comment</v>
      </c>
    </row>
    <row r="3616" spans="1:17" ht="90" x14ac:dyDescent="0.25">
      <c r="A3616" s="12" t="s">
        <v>7327</v>
      </c>
      <c r="B3616" s="12" t="s">
        <v>7333</v>
      </c>
      <c r="C3616" s="12" t="s">
        <v>7336</v>
      </c>
      <c r="D3616" s="12" t="s">
        <v>7172</v>
      </c>
      <c r="E3616" s="12" t="s">
        <v>936</v>
      </c>
      <c r="F3616" s="12" t="s">
        <v>937</v>
      </c>
      <c r="G3616" s="12" t="s">
        <v>12</v>
      </c>
      <c r="H3616" s="12"/>
      <c r="I3616" s="12"/>
      <c r="J3616" s="12" t="s">
        <v>157</v>
      </c>
      <c r="K3616" s="12"/>
      <c r="L3616" s="12"/>
      <c r="M3616" s="12" t="s">
        <v>938</v>
      </c>
      <c r="N3616" s="12"/>
      <c r="O3616" s="12" t="s">
        <v>939</v>
      </c>
      <c r="P3616" s="12" t="str">
        <f>HYPERLINK("https://ceds.ed.gov/cedselementdetails.aspx?termid=10221")</f>
        <v>https://ceds.ed.gov/cedselementdetails.aspx?termid=10221</v>
      </c>
      <c r="Q3616" s="12" t="str">
        <f>HYPERLINK("https://ceds.ed.gov/elementComment.aspx?elementName=Assessment Item Response Theory Parameter D1 &amp;elementID=10221", "Click here to submit comment")</f>
        <v>Click here to submit comment</v>
      </c>
    </row>
    <row r="3617" spans="1:17" ht="90" x14ac:dyDescent="0.25">
      <c r="A3617" s="12" t="s">
        <v>7327</v>
      </c>
      <c r="B3617" s="12" t="s">
        <v>7333</v>
      </c>
      <c r="C3617" s="12" t="s">
        <v>7336</v>
      </c>
      <c r="D3617" s="12" t="s">
        <v>7172</v>
      </c>
      <c r="E3617" s="12" t="s">
        <v>940</v>
      </c>
      <c r="F3617" s="12" t="s">
        <v>941</v>
      </c>
      <c r="G3617" s="12" t="s">
        <v>12</v>
      </c>
      <c r="H3617" s="12"/>
      <c r="I3617" s="12"/>
      <c r="J3617" s="12" t="s">
        <v>157</v>
      </c>
      <c r="K3617" s="12"/>
      <c r="L3617" s="12"/>
      <c r="M3617" s="12" t="s">
        <v>942</v>
      </c>
      <c r="N3617" s="12"/>
      <c r="O3617" s="12" t="s">
        <v>943</v>
      </c>
      <c r="P3617" s="12" t="str">
        <f>HYPERLINK("https://ceds.ed.gov/cedselementdetails.aspx?termid=10222")</f>
        <v>https://ceds.ed.gov/cedselementdetails.aspx?termid=10222</v>
      </c>
      <c r="Q3617" s="12" t="str">
        <f>HYPERLINK("https://ceds.ed.gov/elementComment.aspx?elementName=Assessment Item Response Theory Parameter D2 &amp;elementID=10222", "Click here to submit comment")</f>
        <v>Click here to submit comment</v>
      </c>
    </row>
    <row r="3618" spans="1:17" ht="90" x14ac:dyDescent="0.25">
      <c r="A3618" s="12" t="s">
        <v>7327</v>
      </c>
      <c r="B3618" s="12" t="s">
        <v>7333</v>
      </c>
      <c r="C3618" s="12" t="s">
        <v>7336</v>
      </c>
      <c r="D3618" s="12" t="s">
        <v>7172</v>
      </c>
      <c r="E3618" s="12" t="s">
        <v>944</v>
      </c>
      <c r="F3618" s="12" t="s">
        <v>945</v>
      </c>
      <c r="G3618" s="12" t="s">
        <v>12</v>
      </c>
      <c r="H3618" s="12"/>
      <c r="I3618" s="12"/>
      <c r="J3618" s="12" t="s">
        <v>157</v>
      </c>
      <c r="K3618" s="12"/>
      <c r="L3618" s="12"/>
      <c r="M3618" s="12" t="s">
        <v>946</v>
      </c>
      <c r="N3618" s="12"/>
      <c r="O3618" s="12" t="s">
        <v>947</v>
      </c>
      <c r="P3618" s="12" t="str">
        <f>HYPERLINK("https://ceds.ed.gov/cedselementdetails.aspx?termid=10223")</f>
        <v>https://ceds.ed.gov/cedselementdetails.aspx?termid=10223</v>
      </c>
      <c r="Q3618" s="12" t="str">
        <f>HYPERLINK("https://ceds.ed.gov/elementComment.aspx?elementName=Assessment Item Response Theory Parameter D3 &amp;elementID=10223", "Click here to submit comment")</f>
        <v>Click here to submit comment</v>
      </c>
    </row>
    <row r="3619" spans="1:17" ht="90" x14ac:dyDescent="0.25">
      <c r="A3619" s="12" t="s">
        <v>7327</v>
      </c>
      <c r="B3619" s="12" t="s">
        <v>7333</v>
      </c>
      <c r="C3619" s="12" t="s">
        <v>7336</v>
      </c>
      <c r="D3619" s="12" t="s">
        <v>7172</v>
      </c>
      <c r="E3619" s="12" t="s">
        <v>948</v>
      </c>
      <c r="F3619" s="12" t="s">
        <v>949</v>
      </c>
      <c r="G3619" s="12" t="s">
        <v>12</v>
      </c>
      <c r="H3619" s="12"/>
      <c r="I3619" s="12"/>
      <c r="J3619" s="12" t="s">
        <v>157</v>
      </c>
      <c r="K3619" s="12"/>
      <c r="L3619" s="12"/>
      <c r="M3619" s="12" t="s">
        <v>950</v>
      </c>
      <c r="N3619" s="12"/>
      <c r="O3619" s="12" t="s">
        <v>951</v>
      </c>
      <c r="P3619" s="12" t="str">
        <f>HYPERLINK("https://ceds.ed.gov/cedselementdetails.aspx?termid=10224")</f>
        <v>https://ceds.ed.gov/cedselementdetails.aspx?termid=10224</v>
      </c>
      <c r="Q3619" s="12" t="str">
        <f>HYPERLINK("https://ceds.ed.gov/elementComment.aspx?elementName=Assessment Item Response Theory Parameter D4 &amp;elementID=10224", "Click here to submit comment")</f>
        <v>Click here to submit comment</v>
      </c>
    </row>
    <row r="3620" spans="1:17" ht="90" x14ac:dyDescent="0.25">
      <c r="A3620" s="12" t="s">
        <v>7327</v>
      </c>
      <c r="B3620" s="12" t="s">
        <v>7333</v>
      </c>
      <c r="C3620" s="12" t="s">
        <v>7336</v>
      </c>
      <c r="D3620" s="12" t="s">
        <v>7172</v>
      </c>
      <c r="E3620" s="12" t="s">
        <v>952</v>
      </c>
      <c r="F3620" s="12" t="s">
        <v>953</v>
      </c>
      <c r="G3620" s="12" t="s">
        <v>12</v>
      </c>
      <c r="H3620" s="12"/>
      <c r="I3620" s="12"/>
      <c r="J3620" s="12" t="s">
        <v>157</v>
      </c>
      <c r="K3620" s="12"/>
      <c r="L3620" s="12"/>
      <c r="M3620" s="12" t="s">
        <v>954</v>
      </c>
      <c r="N3620" s="12"/>
      <c r="O3620" s="12" t="s">
        <v>955</v>
      </c>
      <c r="P3620" s="12" t="str">
        <f>HYPERLINK("https://ceds.ed.gov/cedselementdetails.aspx?termid=10225")</f>
        <v>https://ceds.ed.gov/cedselementdetails.aspx?termid=10225</v>
      </c>
      <c r="Q3620" s="12" t="str">
        <f>HYPERLINK("https://ceds.ed.gov/elementComment.aspx?elementName=Assessment Item Response Theory Parameter D5 &amp;elementID=10225", "Click here to submit comment")</f>
        <v>Click here to submit comment</v>
      </c>
    </row>
    <row r="3621" spans="1:17" ht="90" x14ac:dyDescent="0.25">
      <c r="A3621" s="12" t="s">
        <v>7327</v>
      </c>
      <c r="B3621" s="12" t="s">
        <v>7333</v>
      </c>
      <c r="C3621" s="12" t="s">
        <v>7336</v>
      </c>
      <c r="D3621" s="12" t="s">
        <v>7172</v>
      </c>
      <c r="E3621" s="12" t="s">
        <v>956</v>
      </c>
      <c r="F3621" s="12" t="s">
        <v>957</v>
      </c>
      <c r="G3621" s="12" t="s">
        <v>12</v>
      </c>
      <c r="H3621" s="12"/>
      <c r="I3621" s="12"/>
      <c r="J3621" s="12" t="s">
        <v>157</v>
      </c>
      <c r="K3621" s="12"/>
      <c r="L3621" s="12"/>
      <c r="M3621" s="12" t="s">
        <v>958</v>
      </c>
      <c r="N3621" s="12"/>
      <c r="O3621" s="12" t="s">
        <v>959</v>
      </c>
      <c r="P3621" s="12" t="str">
        <f>HYPERLINK("https://ceds.ed.gov/cedselementdetails.aspx?termid=10226")</f>
        <v>https://ceds.ed.gov/cedselementdetails.aspx?termid=10226</v>
      </c>
      <c r="Q3621" s="12" t="str">
        <f>HYPERLINK("https://ceds.ed.gov/elementComment.aspx?elementName=Assessment Item Response Theory Parameter D6 &amp;elementID=10226", "Click here to submit comment")</f>
        <v>Click here to submit comment</v>
      </c>
    </row>
    <row r="3622" spans="1:17" ht="60" x14ac:dyDescent="0.25">
      <c r="A3622" s="12" t="s">
        <v>7327</v>
      </c>
      <c r="B3622" s="12" t="s">
        <v>7333</v>
      </c>
      <c r="C3622" s="12" t="s">
        <v>7336</v>
      </c>
      <c r="D3622" s="12" t="s">
        <v>7172</v>
      </c>
      <c r="E3622" s="12" t="s">
        <v>964</v>
      </c>
      <c r="F3622" s="12" t="s">
        <v>965</v>
      </c>
      <c r="G3622" s="12" t="s">
        <v>12</v>
      </c>
      <c r="H3622" s="12"/>
      <c r="I3622" s="12"/>
      <c r="J3622" s="12" t="s">
        <v>157</v>
      </c>
      <c r="K3622" s="12"/>
      <c r="L3622" s="12"/>
      <c r="M3622" s="12" t="s">
        <v>966</v>
      </c>
      <c r="N3622" s="12"/>
      <c r="O3622" s="12" t="s">
        <v>967</v>
      </c>
      <c r="P3622" s="12" t="str">
        <f>HYPERLINK("https://ceds.ed.gov/cedselementdetails.aspx?termid=10228")</f>
        <v>https://ceds.ed.gov/cedselementdetails.aspx?termid=10228</v>
      </c>
      <c r="Q3622" s="12" t="str">
        <f>HYPERLINK("https://ceds.ed.gov/elementComment.aspx?elementName=Assessment Item Response Theory Point Biserial Correlation Value &amp;elementID=10228", "Click here to submit comment")</f>
        <v>Click here to submit comment</v>
      </c>
    </row>
    <row r="3623" spans="1:17" ht="165" x14ac:dyDescent="0.25">
      <c r="A3623" s="12" t="s">
        <v>7327</v>
      </c>
      <c r="B3623" s="12" t="s">
        <v>7333</v>
      </c>
      <c r="C3623" s="12" t="s">
        <v>7336</v>
      </c>
      <c r="D3623" s="12" t="s">
        <v>7172</v>
      </c>
      <c r="E3623" s="12" t="s">
        <v>911</v>
      </c>
      <c r="F3623" s="12" t="s">
        <v>912</v>
      </c>
      <c r="G3623" s="12" t="s">
        <v>12</v>
      </c>
      <c r="H3623" s="12"/>
      <c r="I3623" s="12"/>
      <c r="J3623" s="12" t="s">
        <v>157</v>
      </c>
      <c r="K3623" s="12"/>
      <c r="L3623" s="12"/>
      <c r="M3623" s="12" t="s">
        <v>914</v>
      </c>
      <c r="N3623" s="12"/>
      <c r="O3623" s="12" t="s">
        <v>915</v>
      </c>
      <c r="P3623" s="12" t="str">
        <f>HYPERLINK("https://ceds.ed.gov/cedselementdetails.aspx?termid=10230")</f>
        <v>https://ceds.ed.gov/cedselementdetails.aspx?termid=10230</v>
      </c>
      <c r="Q3623" s="12" t="str">
        <f>HYPERLINK("https://ceds.ed.gov/elementComment.aspx?elementName=Assessment Item Response Theory DIF Value &amp;elementID=10230", "Click here to submit comment")</f>
        <v>Click here to submit comment</v>
      </c>
    </row>
    <row r="3624" spans="1:17" ht="30" x14ac:dyDescent="0.25">
      <c r="A3624" s="12" t="s">
        <v>7327</v>
      </c>
      <c r="B3624" s="12" t="s">
        <v>7333</v>
      </c>
      <c r="C3624" s="12" t="s">
        <v>7336</v>
      </c>
      <c r="D3624" s="12" t="s">
        <v>7172</v>
      </c>
      <c r="E3624" s="12" t="s">
        <v>920</v>
      </c>
      <c r="F3624" s="12" t="s">
        <v>921</v>
      </c>
      <c r="G3624" s="12" t="s">
        <v>12</v>
      </c>
      <c r="H3624" s="12"/>
      <c r="I3624" s="12"/>
      <c r="J3624" s="12" t="s">
        <v>157</v>
      </c>
      <c r="K3624" s="12"/>
      <c r="L3624" s="12"/>
      <c r="M3624" s="12" t="s">
        <v>922</v>
      </c>
      <c r="N3624" s="12"/>
      <c r="O3624" s="12" t="s">
        <v>923</v>
      </c>
      <c r="P3624" s="12" t="str">
        <f>HYPERLINK("https://ceds.ed.gov/cedselementdetails.aspx?termid=10231")</f>
        <v>https://ceds.ed.gov/cedselementdetails.aspx?termid=10231</v>
      </c>
      <c r="Q3624" s="12" t="str">
        <f>HYPERLINK("https://ceds.ed.gov/elementComment.aspx?elementName=Assessment Item Response Theory Kappa Value &amp;elementID=10231", "Click here to submit comment")</f>
        <v>Click here to submit comment</v>
      </c>
    </row>
    <row r="3625" spans="1:17" ht="90" x14ac:dyDescent="0.25">
      <c r="A3625" s="12" t="s">
        <v>7327</v>
      </c>
      <c r="B3625" s="12" t="s">
        <v>7333</v>
      </c>
      <c r="C3625" s="12" t="s">
        <v>7336</v>
      </c>
      <c r="D3625" s="12" t="s">
        <v>7172</v>
      </c>
      <c r="E3625" s="12" t="s">
        <v>916</v>
      </c>
      <c r="F3625" s="12" t="s">
        <v>917</v>
      </c>
      <c r="G3625" s="13" t="s">
        <v>6763</v>
      </c>
      <c r="H3625" s="12"/>
      <c r="I3625" s="12"/>
      <c r="J3625" s="12"/>
      <c r="K3625" s="12"/>
      <c r="L3625" s="12"/>
      <c r="M3625" s="12" t="s">
        <v>918</v>
      </c>
      <c r="N3625" s="12"/>
      <c r="O3625" s="12" t="s">
        <v>919</v>
      </c>
      <c r="P3625" s="12" t="str">
        <f>HYPERLINK("https://ceds.ed.gov/cedselementdetails.aspx?termid=10232")</f>
        <v>https://ceds.ed.gov/cedselementdetails.aspx?termid=10232</v>
      </c>
      <c r="Q3625" s="12" t="str">
        <f>HYPERLINK("https://ceds.ed.gov/elementComment.aspx?elementName=Assessment Item Response Theory Kappa Algorithm &amp;elementID=10232", "Click here to submit comment")</f>
        <v>Click here to submit comment</v>
      </c>
    </row>
    <row r="3626" spans="1:17" ht="90" x14ac:dyDescent="0.25">
      <c r="A3626" s="12" t="s">
        <v>7327</v>
      </c>
      <c r="B3626" s="12" t="s">
        <v>7333</v>
      </c>
      <c r="C3626" s="12" t="s">
        <v>7337</v>
      </c>
      <c r="D3626" s="12" t="s">
        <v>7172</v>
      </c>
      <c r="E3626" s="12" t="s">
        <v>697</v>
      </c>
      <c r="F3626" s="12" t="s">
        <v>698</v>
      </c>
      <c r="G3626" s="12" t="s">
        <v>12</v>
      </c>
      <c r="H3626" s="12"/>
      <c r="I3626" s="12"/>
      <c r="J3626" s="12" t="s">
        <v>327</v>
      </c>
      <c r="K3626" s="12"/>
      <c r="L3626" s="12"/>
      <c r="M3626" s="12" t="s">
        <v>700</v>
      </c>
      <c r="N3626" s="12"/>
      <c r="O3626" s="12" t="s">
        <v>701</v>
      </c>
      <c r="P3626" s="12" t="str">
        <f>HYPERLINK("https://ceds.ed.gov/cedselementdetails.aspx?termid=10079")</f>
        <v>https://ceds.ed.gov/cedselementdetails.aspx?termid=10079</v>
      </c>
      <c r="Q3626" s="12" t="str">
        <f>HYPERLINK("https://ceds.ed.gov/elementComment.aspx?elementName=Assessment Item Body Custom Interaction XML &amp;elementID=10079", "Click here to submit comment")</f>
        <v>Click here to submit comment</v>
      </c>
    </row>
    <row r="3627" spans="1:17" ht="390" x14ac:dyDescent="0.25">
      <c r="A3627" s="12" t="s">
        <v>7327</v>
      </c>
      <c r="B3627" s="12" t="s">
        <v>7333</v>
      </c>
      <c r="C3627" s="12" t="s">
        <v>7338</v>
      </c>
      <c r="D3627" s="12" t="s">
        <v>7172</v>
      </c>
      <c r="E3627" s="12" t="s">
        <v>778</v>
      </c>
      <c r="F3627" s="12" t="s">
        <v>779</v>
      </c>
      <c r="G3627" s="13" t="s">
        <v>6759</v>
      </c>
      <c r="H3627" s="12" t="s">
        <v>6409</v>
      </c>
      <c r="I3627" s="12"/>
      <c r="J3627" s="12"/>
      <c r="K3627" s="12"/>
      <c r="L3627" s="12"/>
      <c r="M3627" s="12" t="s">
        <v>781</v>
      </c>
      <c r="N3627" s="12"/>
      <c r="O3627" s="12" t="s">
        <v>782</v>
      </c>
      <c r="P3627" s="12" t="str">
        <f>HYPERLINK("https://ceds.ed.gov/cedselementdetails.aspx?termid=9384")</f>
        <v>https://ceds.ed.gov/cedselementdetails.aspx?termid=9384</v>
      </c>
      <c r="Q3627" s="12" t="str">
        <f>HYPERLINK("https://ceds.ed.gov/elementComment.aspx?elementName=Assessment Item Characteristic Type &amp;elementID=9384", "Click here to submit comment")</f>
        <v>Click here to submit comment</v>
      </c>
    </row>
    <row r="3628" spans="1:17" ht="30" x14ac:dyDescent="0.25">
      <c r="A3628" s="12" t="s">
        <v>7327</v>
      </c>
      <c r="B3628" s="12" t="s">
        <v>7333</v>
      </c>
      <c r="C3628" s="12" t="s">
        <v>7338</v>
      </c>
      <c r="D3628" s="12" t="s">
        <v>7172</v>
      </c>
      <c r="E3628" s="12" t="s">
        <v>783</v>
      </c>
      <c r="F3628" s="12" t="s">
        <v>784</v>
      </c>
      <c r="G3628" s="12" t="s">
        <v>12</v>
      </c>
      <c r="H3628" s="12"/>
      <c r="I3628" s="12"/>
      <c r="J3628" s="12" t="s">
        <v>92</v>
      </c>
      <c r="K3628" s="12"/>
      <c r="L3628" s="12"/>
      <c r="M3628" s="12" t="s">
        <v>785</v>
      </c>
      <c r="N3628" s="12"/>
      <c r="O3628" s="12" t="s">
        <v>786</v>
      </c>
      <c r="P3628" s="12" t="str">
        <f>HYPERLINK("https://ceds.ed.gov/cedselementdetails.aspx?termid=9685")</f>
        <v>https://ceds.ed.gov/cedselementdetails.aspx?termid=9685</v>
      </c>
      <c r="Q3628" s="12" t="str">
        <f>HYPERLINK("https://ceds.ed.gov/elementComment.aspx?elementName=Assessment Item Characteristic Value &amp;elementID=9685", "Click here to submit comment")</f>
        <v>Click here to submit comment</v>
      </c>
    </row>
    <row r="3629" spans="1:17" ht="105" x14ac:dyDescent="0.25">
      <c r="A3629" s="18" t="s">
        <v>7327</v>
      </c>
      <c r="B3629" s="18" t="s">
        <v>7333</v>
      </c>
      <c r="C3629" s="18" t="s">
        <v>7339</v>
      </c>
      <c r="D3629" s="18" t="s">
        <v>7172</v>
      </c>
      <c r="E3629" s="18" t="s">
        <v>5469</v>
      </c>
      <c r="F3629" s="18" t="s">
        <v>5470</v>
      </c>
      <c r="G3629" s="18" t="s">
        <v>12</v>
      </c>
      <c r="H3629" s="18" t="s">
        <v>6409</v>
      </c>
      <c r="I3629" s="18"/>
      <c r="J3629" s="18" t="s">
        <v>142</v>
      </c>
      <c r="K3629" s="18"/>
      <c r="L3629" s="12" t="s">
        <v>143</v>
      </c>
      <c r="M3629" s="18" t="s">
        <v>5471</v>
      </c>
      <c r="N3629" s="18"/>
      <c r="O3629" s="18" t="s">
        <v>5472</v>
      </c>
      <c r="P3629" s="18" t="str">
        <f>HYPERLINK("https://ceds.ed.gov/cedselementdetails.aspx?termid=9412")</f>
        <v>https://ceds.ed.gov/cedselementdetails.aspx?termid=9412</v>
      </c>
      <c r="Q3629" s="18" t="str">
        <f>HYPERLINK("https://ceds.ed.gov/elementComment.aspx?elementName=Rubric Identifier &amp;elementID=9412", "Click here to submit comment")</f>
        <v>Click here to submit comment</v>
      </c>
    </row>
    <row r="3630" spans="1:17" x14ac:dyDescent="0.25">
      <c r="A3630" s="18"/>
      <c r="B3630" s="18"/>
      <c r="C3630" s="18"/>
      <c r="D3630" s="18"/>
      <c r="E3630" s="18"/>
      <c r="F3630" s="18"/>
      <c r="G3630" s="18"/>
      <c r="H3630" s="18"/>
      <c r="I3630" s="18"/>
      <c r="J3630" s="18"/>
      <c r="K3630" s="18"/>
      <c r="L3630" s="12"/>
      <c r="M3630" s="18"/>
      <c r="N3630" s="18"/>
      <c r="O3630" s="18"/>
      <c r="P3630" s="18"/>
      <c r="Q3630" s="18"/>
    </row>
    <row r="3631" spans="1:17" ht="90" x14ac:dyDescent="0.25">
      <c r="A3631" s="18"/>
      <c r="B3631" s="18"/>
      <c r="C3631" s="18"/>
      <c r="D3631" s="18"/>
      <c r="E3631" s="18"/>
      <c r="F3631" s="18"/>
      <c r="G3631" s="18"/>
      <c r="H3631" s="18"/>
      <c r="I3631" s="18"/>
      <c r="J3631" s="18"/>
      <c r="K3631" s="18"/>
      <c r="L3631" s="12" t="s">
        <v>144</v>
      </c>
      <c r="M3631" s="18"/>
      <c r="N3631" s="18"/>
      <c r="O3631" s="18"/>
      <c r="P3631" s="18"/>
      <c r="Q3631" s="18"/>
    </row>
    <row r="3632" spans="1:17" ht="30" x14ac:dyDescent="0.25">
      <c r="A3632" s="12" t="s">
        <v>7327</v>
      </c>
      <c r="B3632" s="12" t="s">
        <v>7333</v>
      </c>
      <c r="C3632" s="12" t="s">
        <v>7339</v>
      </c>
      <c r="D3632" s="12" t="s">
        <v>7172</v>
      </c>
      <c r="E3632" s="12" t="s">
        <v>5473</v>
      </c>
      <c r="F3632" s="12" t="s">
        <v>5474</v>
      </c>
      <c r="G3632" s="12" t="s">
        <v>12</v>
      </c>
      <c r="H3632" s="12" t="s">
        <v>6409</v>
      </c>
      <c r="I3632" s="12"/>
      <c r="J3632" s="12" t="s">
        <v>92</v>
      </c>
      <c r="K3632" s="12"/>
      <c r="L3632" s="12"/>
      <c r="M3632" s="12" t="s">
        <v>5475</v>
      </c>
      <c r="N3632" s="12"/>
      <c r="O3632" s="12" t="s">
        <v>5476</v>
      </c>
      <c r="P3632" s="12" t="str">
        <f>HYPERLINK("https://ceds.ed.gov/cedselementdetails.aspx?termid=9411")</f>
        <v>https://ceds.ed.gov/cedselementdetails.aspx?termid=9411</v>
      </c>
      <c r="Q3632" s="12" t="str">
        <f>HYPERLINK("https://ceds.ed.gov/elementComment.aspx?elementName=Rubric Title &amp;elementID=9411", "Click here to submit comment")</f>
        <v>Click here to submit comment</v>
      </c>
    </row>
    <row r="3633" spans="1:17" ht="30" x14ac:dyDescent="0.25">
      <c r="A3633" s="12" t="s">
        <v>7327</v>
      </c>
      <c r="B3633" s="12" t="s">
        <v>7333</v>
      </c>
      <c r="C3633" s="12" t="s">
        <v>7339</v>
      </c>
      <c r="D3633" s="12" t="s">
        <v>7172</v>
      </c>
      <c r="E3633" s="12" t="s">
        <v>5477</v>
      </c>
      <c r="F3633" s="12" t="s">
        <v>5478</v>
      </c>
      <c r="G3633" s="12" t="s">
        <v>12</v>
      </c>
      <c r="H3633" s="12" t="s">
        <v>6409</v>
      </c>
      <c r="I3633" s="12"/>
      <c r="J3633" s="12" t="s">
        <v>68</v>
      </c>
      <c r="K3633" s="12"/>
      <c r="L3633" s="12"/>
      <c r="M3633" s="12" t="s">
        <v>5479</v>
      </c>
      <c r="N3633" s="12"/>
      <c r="O3633" s="12" t="s">
        <v>5480</v>
      </c>
      <c r="P3633" s="12" t="str">
        <f>HYPERLINK("https://ceds.ed.gov/cedselementdetails.aspx?termid=9413")</f>
        <v>https://ceds.ed.gov/cedselementdetails.aspx?termid=9413</v>
      </c>
      <c r="Q3633" s="12" t="str">
        <f>HYPERLINK("https://ceds.ed.gov/elementComment.aspx?elementName=Rubric URL Reference &amp;elementID=9413", "Click here to submit comment")</f>
        <v>Click here to submit comment</v>
      </c>
    </row>
    <row r="3634" spans="1:17" ht="30" x14ac:dyDescent="0.25">
      <c r="A3634" s="12" t="s">
        <v>7327</v>
      </c>
      <c r="B3634" s="12" t="s">
        <v>7333</v>
      </c>
      <c r="C3634" s="12" t="s">
        <v>7339</v>
      </c>
      <c r="D3634" s="12" t="s">
        <v>7172</v>
      </c>
      <c r="E3634" s="12" t="s">
        <v>5425</v>
      </c>
      <c r="F3634" s="12" t="s">
        <v>5426</v>
      </c>
      <c r="G3634" s="12" t="s">
        <v>12</v>
      </c>
      <c r="H3634" s="12"/>
      <c r="I3634" s="12"/>
      <c r="J3634" s="12" t="s">
        <v>92</v>
      </c>
      <c r="K3634" s="12"/>
      <c r="L3634" s="12"/>
      <c r="M3634" s="12" t="s">
        <v>5427</v>
      </c>
      <c r="N3634" s="12"/>
      <c r="O3634" s="12" t="s">
        <v>5428</v>
      </c>
      <c r="P3634" s="12" t="str">
        <f>HYPERLINK("https://ceds.ed.gov/cedselementdetails.aspx?termid=10441")</f>
        <v>https://ceds.ed.gov/cedselementdetails.aspx?termid=10441</v>
      </c>
      <c r="Q3634" s="12" t="str">
        <f>HYPERLINK("https://ceds.ed.gov/elementComment.aspx?elementName=Rubric Criterion Category &amp;elementID=10441", "Click here to submit comment")</f>
        <v>Click here to submit comment</v>
      </c>
    </row>
    <row r="3635" spans="1:17" ht="45" x14ac:dyDescent="0.25">
      <c r="A3635" s="12" t="s">
        <v>7327</v>
      </c>
      <c r="B3635" s="12" t="s">
        <v>7333</v>
      </c>
      <c r="C3635" s="12" t="s">
        <v>7339</v>
      </c>
      <c r="D3635" s="12" t="s">
        <v>7172</v>
      </c>
      <c r="E3635" s="12" t="s">
        <v>5429</v>
      </c>
      <c r="F3635" s="12" t="s">
        <v>5430</v>
      </c>
      <c r="G3635" s="12" t="s">
        <v>12</v>
      </c>
      <c r="H3635" s="12"/>
      <c r="I3635" s="12"/>
      <c r="J3635" s="12" t="s">
        <v>327</v>
      </c>
      <c r="K3635" s="12"/>
      <c r="L3635" s="12"/>
      <c r="M3635" s="12" t="s">
        <v>5431</v>
      </c>
      <c r="N3635" s="12"/>
      <c r="O3635" s="12" t="s">
        <v>5432</v>
      </c>
      <c r="P3635" s="12" t="str">
        <f>HYPERLINK("https://ceds.ed.gov/cedselementdetails.aspx?termid=10442")</f>
        <v>https://ceds.ed.gov/cedselementdetails.aspx?termid=10442</v>
      </c>
      <c r="Q3635" s="12" t="str">
        <f>HYPERLINK("https://ceds.ed.gov/elementComment.aspx?elementName=Rubric Criterion Description &amp;elementID=10442", "Click here to submit comment")</f>
        <v>Click here to submit comment</v>
      </c>
    </row>
    <row r="3636" spans="1:17" ht="60" x14ac:dyDescent="0.25">
      <c r="A3636" s="12" t="s">
        <v>7327</v>
      </c>
      <c r="B3636" s="12" t="s">
        <v>7333</v>
      </c>
      <c r="C3636" s="12" t="s">
        <v>7339</v>
      </c>
      <c r="D3636" s="12" t="s">
        <v>7172</v>
      </c>
      <c r="E3636" s="12" t="s">
        <v>5433</v>
      </c>
      <c r="F3636" s="12" t="s">
        <v>5434</v>
      </c>
      <c r="G3636" s="12" t="s">
        <v>12</v>
      </c>
      <c r="H3636" s="12"/>
      <c r="I3636" s="12"/>
      <c r="J3636" s="12" t="s">
        <v>327</v>
      </c>
      <c r="K3636" s="12"/>
      <c r="L3636" s="12"/>
      <c r="M3636" s="12" t="s">
        <v>5435</v>
      </c>
      <c r="N3636" s="12"/>
      <c r="O3636" s="12" t="s">
        <v>5436</v>
      </c>
      <c r="P3636" s="12" t="str">
        <f>HYPERLINK("https://ceds.ed.gov/cedselementdetails.aspx?termid=10443")</f>
        <v>https://ceds.ed.gov/cedselementdetails.aspx?termid=10443</v>
      </c>
      <c r="Q3636" s="12" t="str">
        <f>HYPERLINK("https://ceds.ed.gov/elementComment.aspx?elementName=Rubric Criterion Level Description &amp;elementID=10443", "Click here to submit comment")</f>
        <v>Click here to submit comment</v>
      </c>
    </row>
    <row r="3637" spans="1:17" ht="75" x14ac:dyDescent="0.25">
      <c r="A3637" s="12" t="s">
        <v>7327</v>
      </c>
      <c r="B3637" s="12" t="s">
        <v>7333</v>
      </c>
      <c r="C3637" s="12" t="s">
        <v>7339</v>
      </c>
      <c r="D3637" s="12" t="s">
        <v>7172</v>
      </c>
      <c r="E3637" s="12" t="s">
        <v>5437</v>
      </c>
      <c r="F3637" s="12" t="s">
        <v>5438</v>
      </c>
      <c r="G3637" s="12" t="s">
        <v>12</v>
      </c>
      <c r="H3637" s="12"/>
      <c r="I3637" s="12"/>
      <c r="J3637" s="12" t="s">
        <v>327</v>
      </c>
      <c r="K3637" s="12"/>
      <c r="L3637" s="12"/>
      <c r="M3637" s="12" t="s">
        <v>5439</v>
      </c>
      <c r="N3637" s="12"/>
      <c r="O3637" s="12" t="s">
        <v>5440</v>
      </c>
      <c r="P3637" s="12" t="str">
        <f>HYPERLINK("https://ceds.ed.gov/cedselementdetails.aspx?termid=10444")</f>
        <v>https://ceds.ed.gov/cedselementdetails.aspx?termid=10444</v>
      </c>
      <c r="Q3637" s="12" t="str">
        <f>HYPERLINK("https://ceds.ed.gov/elementComment.aspx?elementName=Rubric Criterion Level Feedback &amp;elementID=10444", "Click here to submit comment")</f>
        <v>Click here to submit comment</v>
      </c>
    </row>
    <row r="3638" spans="1:17" ht="45" x14ac:dyDescent="0.25">
      <c r="A3638" s="12" t="s">
        <v>7327</v>
      </c>
      <c r="B3638" s="12" t="s">
        <v>7333</v>
      </c>
      <c r="C3638" s="12" t="s">
        <v>7339</v>
      </c>
      <c r="D3638" s="12" t="s">
        <v>7172</v>
      </c>
      <c r="E3638" s="12" t="s">
        <v>5441</v>
      </c>
      <c r="F3638" s="12" t="s">
        <v>5442</v>
      </c>
      <c r="G3638" s="12" t="s">
        <v>12</v>
      </c>
      <c r="H3638" s="12"/>
      <c r="I3638" s="12"/>
      <c r="J3638" s="12" t="s">
        <v>157</v>
      </c>
      <c r="K3638" s="12"/>
      <c r="L3638" s="12"/>
      <c r="M3638" s="12" t="s">
        <v>5443</v>
      </c>
      <c r="N3638" s="12"/>
      <c r="O3638" s="12" t="s">
        <v>5444</v>
      </c>
      <c r="P3638" s="12" t="str">
        <f>HYPERLINK("https://ceds.ed.gov/cedselementdetails.aspx?termid=10445")</f>
        <v>https://ceds.ed.gov/cedselementdetails.aspx?termid=10445</v>
      </c>
      <c r="Q3638" s="12" t="str">
        <f>HYPERLINK("https://ceds.ed.gov/elementComment.aspx?elementName=Rubric Criterion Level Position &amp;elementID=10445", "Click here to submit comment")</f>
        <v>Click here to submit comment</v>
      </c>
    </row>
    <row r="3639" spans="1:17" ht="60" x14ac:dyDescent="0.25">
      <c r="A3639" s="12" t="s">
        <v>7327</v>
      </c>
      <c r="B3639" s="12" t="s">
        <v>7333</v>
      </c>
      <c r="C3639" s="12" t="s">
        <v>7339</v>
      </c>
      <c r="D3639" s="12" t="s">
        <v>7172</v>
      </c>
      <c r="E3639" s="12" t="s">
        <v>5445</v>
      </c>
      <c r="F3639" s="12" t="s">
        <v>5446</v>
      </c>
      <c r="G3639" s="12" t="s">
        <v>12</v>
      </c>
      <c r="H3639" s="12"/>
      <c r="I3639" s="12"/>
      <c r="J3639" s="12" t="s">
        <v>99</v>
      </c>
      <c r="K3639" s="12"/>
      <c r="L3639" s="12"/>
      <c r="M3639" s="12" t="s">
        <v>5447</v>
      </c>
      <c r="N3639" s="12"/>
      <c r="O3639" s="12" t="s">
        <v>5448</v>
      </c>
      <c r="P3639" s="12" t="str">
        <f>HYPERLINK("https://ceds.ed.gov/cedselementdetails.aspx?termid=10446")</f>
        <v>https://ceds.ed.gov/cedselementdetails.aspx?termid=10446</v>
      </c>
      <c r="Q3639" s="12" t="str">
        <f>HYPERLINK("https://ceds.ed.gov/elementComment.aspx?elementName=Rubric Criterion Level Quality Label &amp;elementID=10446", "Click here to submit comment")</f>
        <v>Click here to submit comment</v>
      </c>
    </row>
    <row r="3640" spans="1:17" ht="30" x14ac:dyDescent="0.25">
      <c r="A3640" s="12" t="s">
        <v>7327</v>
      </c>
      <c r="B3640" s="12" t="s">
        <v>7333</v>
      </c>
      <c r="C3640" s="12" t="s">
        <v>7339</v>
      </c>
      <c r="D3640" s="12" t="s">
        <v>7172</v>
      </c>
      <c r="E3640" s="12" t="s">
        <v>5449</v>
      </c>
      <c r="F3640" s="12" t="s">
        <v>5450</v>
      </c>
      <c r="G3640" s="12" t="s">
        <v>12</v>
      </c>
      <c r="H3640" s="12"/>
      <c r="I3640" s="12"/>
      <c r="J3640" s="12" t="s">
        <v>157</v>
      </c>
      <c r="K3640" s="12"/>
      <c r="L3640" s="12"/>
      <c r="M3640" s="12" t="s">
        <v>5451</v>
      </c>
      <c r="N3640" s="12"/>
      <c r="O3640" s="12" t="s">
        <v>5452</v>
      </c>
      <c r="P3640" s="12" t="str">
        <f>HYPERLINK("https://ceds.ed.gov/cedselementdetails.aspx?termid=10447")</f>
        <v>https://ceds.ed.gov/cedselementdetails.aspx?termid=10447</v>
      </c>
      <c r="Q3640" s="12" t="str">
        <f>HYPERLINK("https://ceds.ed.gov/elementComment.aspx?elementName=Rubric Criterion Level Score &amp;elementID=10447", "Click here to submit comment")</f>
        <v>Click here to submit comment</v>
      </c>
    </row>
    <row r="3641" spans="1:17" ht="45" x14ac:dyDescent="0.25">
      <c r="A3641" s="12" t="s">
        <v>7327</v>
      </c>
      <c r="B3641" s="12" t="s">
        <v>7333</v>
      </c>
      <c r="C3641" s="12" t="s">
        <v>7339</v>
      </c>
      <c r="D3641" s="12" t="s">
        <v>7172</v>
      </c>
      <c r="E3641" s="12" t="s">
        <v>5453</v>
      </c>
      <c r="F3641" s="12" t="s">
        <v>5454</v>
      </c>
      <c r="G3641" s="12" t="s">
        <v>12</v>
      </c>
      <c r="H3641" s="12"/>
      <c r="I3641" s="12"/>
      <c r="J3641" s="12" t="s">
        <v>157</v>
      </c>
      <c r="K3641" s="12"/>
      <c r="L3641" s="12"/>
      <c r="M3641" s="12" t="s">
        <v>5455</v>
      </c>
      <c r="N3641" s="12"/>
      <c r="O3641" s="12" t="s">
        <v>5456</v>
      </c>
      <c r="P3641" s="12" t="str">
        <f>HYPERLINK("https://ceds.ed.gov/cedselementdetails.aspx?termid=10448")</f>
        <v>https://ceds.ed.gov/cedselementdetails.aspx?termid=10448</v>
      </c>
      <c r="Q3641" s="12" t="str">
        <f>HYPERLINK("https://ceds.ed.gov/elementComment.aspx?elementName=Rubric Criterion Position &amp;elementID=10448", "Click here to submit comment")</f>
        <v>Click here to submit comment</v>
      </c>
    </row>
    <row r="3642" spans="1:17" ht="30" x14ac:dyDescent="0.25">
      <c r="A3642" s="12" t="s">
        <v>7327</v>
      </c>
      <c r="B3642" s="12" t="s">
        <v>7333</v>
      </c>
      <c r="C3642" s="12" t="s">
        <v>7339</v>
      </c>
      <c r="D3642" s="12" t="s">
        <v>7172</v>
      </c>
      <c r="E3642" s="12" t="s">
        <v>5457</v>
      </c>
      <c r="F3642" s="12" t="s">
        <v>5458</v>
      </c>
      <c r="G3642" s="12" t="s">
        <v>12</v>
      </c>
      <c r="H3642" s="12"/>
      <c r="I3642" s="12"/>
      <c r="J3642" s="12" t="s">
        <v>99</v>
      </c>
      <c r="K3642" s="12"/>
      <c r="L3642" s="12"/>
      <c r="M3642" s="12" t="s">
        <v>5459</v>
      </c>
      <c r="N3642" s="12"/>
      <c r="O3642" s="12" t="s">
        <v>5460</v>
      </c>
      <c r="P3642" s="12" t="str">
        <f>HYPERLINK("https://ceds.ed.gov/cedselementdetails.aspx?termid=10449")</f>
        <v>https://ceds.ed.gov/cedselementdetails.aspx?termid=10449</v>
      </c>
      <c r="Q3642" s="12" t="str">
        <f>HYPERLINK("https://ceds.ed.gov/elementComment.aspx?elementName=Rubric Criterion Title &amp;elementID=10449", "Click here to submit comment")</f>
        <v>Click here to submit comment</v>
      </c>
    </row>
    <row r="3643" spans="1:17" ht="45" x14ac:dyDescent="0.25">
      <c r="A3643" s="12" t="s">
        <v>7327</v>
      </c>
      <c r="B3643" s="12" t="s">
        <v>7333</v>
      </c>
      <c r="C3643" s="12" t="s">
        <v>7339</v>
      </c>
      <c r="D3643" s="12" t="s">
        <v>7172</v>
      </c>
      <c r="E3643" s="12" t="s">
        <v>5461</v>
      </c>
      <c r="F3643" s="12" t="s">
        <v>5462</v>
      </c>
      <c r="G3643" s="12" t="s">
        <v>12</v>
      </c>
      <c r="H3643" s="12"/>
      <c r="I3643" s="12"/>
      <c r="J3643" s="12" t="s">
        <v>157</v>
      </c>
      <c r="K3643" s="12"/>
      <c r="L3643" s="12"/>
      <c r="M3643" s="12" t="s">
        <v>5463</v>
      </c>
      <c r="N3643" s="12"/>
      <c r="O3643" s="12" t="s">
        <v>5464</v>
      </c>
      <c r="P3643" s="12" t="str">
        <f>HYPERLINK("https://ceds.ed.gov/cedselementdetails.aspx?termid=10450")</f>
        <v>https://ceds.ed.gov/cedselementdetails.aspx?termid=10450</v>
      </c>
      <c r="Q3643" s="12" t="str">
        <f>HYPERLINK("https://ceds.ed.gov/elementComment.aspx?elementName=Rubric Criterion Weight &amp;elementID=10450", "Click here to submit comment")</f>
        <v>Click here to submit comment</v>
      </c>
    </row>
    <row r="3644" spans="1:17" ht="30" x14ac:dyDescent="0.25">
      <c r="A3644" s="12" t="s">
        <v>7327</v>
      </c>
      <c r="B3644" s="12" t="s">
        <v>7333</v>
      </c>
      <c r="C3644" s="12" t="s">
        <v>7339</v>
      </c>
      <c r="D3644" s="12" t="s">
        <v>7172</v>
      </c>
      <c r="E3644" s="12" t="s">
        <v>5465</v>
      </c>
      <c r="F3644" s="12" t="s">
        <v>5466</v>
      </c>
      <c r="G3644" s="12" t="s">
        <v>12</v>
      </c>
      <c r="H3644" s="12"/>
      <c r="I3644" s="12"/>
      <c r="J3644" s="12" t="s">
        <v>327</v>
      </c>
      <c r="K3644" s="12"/>
      <c r="L3644" s="12"/>
      <c r="M3644" s="12" t="s">
        <v>5467</v>
      </c>
      <c r="N3644" s="12"/>
      <c r="O3644" s="12" t="s">
        <v>5468</v>
      </c>
      <c r="P3644" s="12" t="str">
        <f>HYPERLINK("https://ceds.ed.gov/cedselementdetails.aspx?termid=10451")</f>
        <v>https://ceds.ed.gov/cedselementdetails.aspx?termid=10451</v>
      </c>
      <c r="Q3644" s="12" t="str">
        <f>HYPERLINK("https://ceds.ed.gov/elementComment.aspx?elementName=Rubric Description &amp;elementID=10451", "Click here to submit comment")</f>
        <v>Click here to submit comment</v>
      </c>
    </row>
    <row r="3645" spans="1:17" ht="45" x14ac:dyDescent="0.25">
      <c r="A3645" s="12" t="s">
        <v>7327</v>
      </c>
      <c r="B3645" s="12" t="s">
        <v>7333</v>
      </c>
      <c r="C3645" s="12" t="s">
        <v>7340</v>
      </c>
      <c r="D3645" s="12" t="s">
        <v>7172</v>
      </c>
      <c r="E3645" s="12" t="s">
        <v>639</v>
      </c>
      <c r="F3645" s="12" t="s">
        <v>640</v>
      </c>
      <c r="G3645" s="12" t="s">
        <v>6364</v>
      </c>
      <c r="H3645" s="12"/>
      <c r="I3645" s="12"/>
      <c r="J3645" s="12"/>
      <c r="K3645" s="12"/>
      <c r="L3645" s="12"/>
      <c r="M3645" s="12" t="s">
        <v>642</v>
      </c>
      <c r="N3645" s="12"/>
      <c r="O3645" s="12" t="s">
        <v>643</v>
      </c>
      <c r="P3645" s="12" t="str">
        <f>HYPERLINK("https://ceds.ed.gov/cedselementdetails.aspx?termid=10111")</f>
        <v>https://ceds.ed.gov/cedselementdetails.aspx?termid=10111</v>
      </c>
      <c r="Q3645" s="12" t="str">
        <f>HYPERLINK("https://ceds.ed.gov/elementComment.aspx?elementName=Assessment Item Adaptive Indicator &amp;elementID=10111", "Click here to submit comment")</f>
        <v>Click here to submit comment</v>
      </c>
    </row>
    <row r="3646" spans="1:17" ht="195" x14ac:dyDescent="0.25">
      <c r="A3646" s="12" t="s">
        <v>7327</v>
      </c>
      <c r="B3646" s="12" t="s">
        <v>7333</v>
      </c>
      <c r="C3646" s="12" t="s">
        <v>7340</v>
      </c>
      <c r="D3646" s="12" t="s">
        <v>7172</v>
      </c>
      <c r="E3646" s="12" t="s">
        <v>649</v>
      </c>
      <c r="F3646" s="12" t="s">
        <v>650</v>
      </c>
      <c r="G3646" s="12" t="s">
        <v>12</v>
      </c>
      <c r="H3646" s="12"/>
      <c r="I3646" s="12"/>
      <c r="J3646" s="12" t="s">
        <v>327</v>
      </c>
      <c r="K3646" s="12"/>
      <c r="L3646" s="12"/>
      <c r="M3646" s="12" t="s">
        <v>651</v>
      </c>
      <c r="N3646" s="12"/>
      <c r="O3646" s="12" t="s">
        <v>652</v>
      </c>
      <c r="P3646" s="12" t="str">
        <f>HYPERLINK("https://ceds.ed.gov/cedselementdetails.aspx?termid=10110")</f>
        <v>https://ceds.ed.gov/cedselementdetails.aspx?termid=10110</v>
      </c>
      <c r="Q3646" s="12" t="str">
        <f>HYPERLINK("https://ceds.ed.gov/elementComment.aspx?elementName=Assessment Item APIP Item Body XML &amp;elementID=10110", "Click here to submit comment")</f>
        <v>Click here to submit comment</v>
      </c>
    </row>
    <row r="3647" spans="1:17" ht="150" x14ac:dyDescent="0.25">
      <c r="A3647" s="12" t="s">
        <v>7327</v>
      </c>
      <c r="B3647" s="12" t="s">
        <v>7333</v>
      </c>
      <c r="C3647" s="12" t="s">
        <v>7340</v>
      </c>
      <c r="D3647" s="12" t="s">
        <v>7172</v>
      </c>
      <c r="E3647" s="12" t="s">
        <v>653</v>
      </c>
      <c r="F3647" s="12" t="s">
        <v>654</v>
      </c>
      <c r="G3647" s="12" t="s">
        <v>12</v>
      </c>
      <c r="H3647" s="12"/>
      <c r="I3647" s="12"/>
      <c r="J3647" s="12" t="s">
        <v>327</v>
      </c>
      <c r="K3647" s="12"/>
      <c r="L3647" s="12"/>
      <c r="M3647" s="12" t="s">
        <v>655</v>
      </c>
      <c r="N3647" s="12"/>
      <c r="O3647" s="12" t="s">
        <v>656</v>
      </c>
      <c r="P3647" s="12" t="str">
        <f>HYPERLINK("https://ceds.ed.gov/cedselementdetails.aspx?termid=10109")</f>
        <v>https://ceds.ed.gov/cedselementdetails.aspx?termid=10109</v>
      </c>
      <c r="Q3647" s="12" t="str">
        <f>HYPERLINK("https://ceds.ed.gov/elementComment.aspx?elementName=Assessment Item APIP Modal Feedback XML &amp;elementID=10109", "Click here to submit comment")</f>
        <v>Click here to submit comment</v>
      </c>
    </row>
    <row r="3648" spans="1:17" ht="105" x14ac:dyDescent="0.25">
      <c r="A3648" s="12" t="s">
        <v>7327</v>
      </c>
      <c r="B3648" s="12" t="s">
        <v>7333</v>
      </c>
      <c r="C3648" s="12" t="s">
        <v>7340</v>
      </c>
      <c r="D3648" s="12" t="s">
        <v>7172</v>
      </c>
      <c r="E3648" s="12" t="s">
        <v>657</v>
      </c>
      <c r="F3648" s="12" t="s">
        <v>658</v>
      </c>
      <c r="G3648" s="12" t="s">
        <v>12</v>
      </c>
      <c r="H3648" s="12"/>
      <c r="I3648" s="12"/>
      <c r="J3648" s="12" t="s">
        <v>327</v>
      </c>
      <c r="K3648" s="12"/>
      <c r="L3648" s="12"/>
      <c r="M3648" s="12" t="s">
        <v>659</v>
      </c>
      <c r="N3648" s="12"/>
      <c r="O3648" s="12" t="s">
        <v>660</v>
      </c>
      <c r="P3648" s="12" t="str">
        <f>HYPERLINK("https://ceds.ed.gov/cedselementdetails.aspx?termid=10106")</f>
        <v>https://ceds.ed.gov/cedselementdetails.aspx?termid=10106</v>
      </c>
      <c r="Q3648" s="12" t="str">
        <f>HYPERLINK("https://ceds.ed.gov/elementComment.aspx?elementName=Assessment Item APIP Outcome Declaration XML &amp;elementID=10106", "Click here to submit comment")</f>
        <v>Click here to submit comment</v>
      </c>
    </row>
    <row r="3649" spans="1:17" ht="90" x14ac:dyDescent="0.25">
      <c r="A3649" s="12" t="s">
        <v>7327</v>
      </c>
      <c r="B3649" s="12" t="s">
        <v>7333</v>
      </c>
      <c r="C3649" s="12" t="s">
        <v>7340</v>
      </c>
      <c r="D3649" s="12" t="s">
        <v>7172</v>
      </c>
      <c r="E3649" s="12" t="s">
        <v>661</v>
      </c>
      <c r="F3649" s="12" t="s">
        <v>662</v>
      </c>
      <c r="G3649" s="12" t="s">
        <v>12</v>
      </c>
      <c r="H3649" s="12"/>
      <c r="I3649" s="12"/>
      <c r="J3649" s="12" t="s">
        <v>327</v>
      </c>
      <c r="K3649" s="12"/>
      <c r="L3649" s="12"/>
      <c r="M3649" s="12" t="s">
        <v>663</v>
      </c>
      <c r="N3649" s="12"/>
      <c r="O3649" s="12" t="s">
        <v>664</v>
      </c>
      <c r="P3649" s="12" t="str">
        <f>HYPERLINK("https://ceds.ed.gov/cedselementdetails.aspx?termid=10105")</f>
        <v>https://ceds.ed.gov/cedselementdetails.aspx?termid=10105</v>
      </c>
      <c r="Q3649" s="12" t="str">
        <f>HYPERLINK("https://ceds.ed.gov/elementComment.aspx?elementName=Assessment Item APIP Response Declaration XML &amp;elementID=10105", "Click here to submit comment")</f>
        <v>Click here to submit comment</v>
      </c>
    </row>
    <row r="3650" spans="1:17" ht="180" x14ac:dyDescent="0.25">
      <c r="A3650" s="12" t="s">
        <v>7327</v>
      </c>
      <c r="B3650" s="12" t="s">
        <v>7333</v>
      </c>
      <c r="C3650" s="12" t="s">
        <v>7340</v>
      </c>
      <c r="D3650" s="12" t="s">
        <v>7172</v>
      </c>
      <c r="E3650" s="12" t="s">
        <v>665</v>
      </c>
      <c r="F3650" s="12" t="s">
        <v>666</v>
      </c>
      <c r="G3650" s="12" t="s">
        <v>12</v>
      </c>
      <c r="H3650" s="12"/>
      <c r="I3650" s="12"/>
      <c r="J3650" s="12" t="s">
        <v>68</v>
      </c>
      <c r="K3650" s="12"/>
      <c r="L3650" s="12"/>
      <c r="M3650" s="12" t="s">
        <v>667</v>
      </c>
      <c r="N3650" s="12"/>
      <c r="O3650" s="12" t="s">
        <v>668</v>
      </c>
      <c r="P3650" s="12" t="str">
        <f>HYPERLINK("https://ceds.ed.gov/cedselementdetails.aspx?termid=10103")</f>
        <v>https://ceds.ed.gov/cedselementdetails.aspx?termid=10103</v>
      </c>
      <c r="Q3650" s="12" t="str">
        <f>HYPERLINK("https://ceds.ed.gov/elementComment.aspx?elementName=Assessment Item APIP Response Processing Template URL &amp;elementID=10103", "Click here to submit comment")</f>
        <v>Click here to submit comment</v>
      </c>
    </row>
    <row r="3651" spans="1:17" ht="180" x14ac:dyDescent="0.25">
      <c r="A3651" s="12" t="s">
        <v>7327</v>
      </c>
      <c r="B3651" s="12" t="s">
        <v>7333</v>
      </c>
      <c r="C3651" s="12" t="s">
        <v>7340</v>
      </c>
      <c r="D3651" s="12" t="s">
        <v>7172</v>
      </c>
      <c r="E3651" s="12" t="s">
        <v>669</v>
      </c>
      <c r="F3651" s="12" t="s">
        <v>670</v>
      </c>
      <c r="G3651" s="12" t="s">
        <v>12</v>
      </c>
      <c r="H3651" s="12"/>
      <c r="I3651" s="12"/>
      <c r="J3651" s="12" t="s">
        <v>327</v>
      </c>
      <c r="K3651" s="12"/>
      <c r="L3651" s="12"/>
      <c r="M3651" s="12" t="s">
        <v>671</v>
      </c>
      <c r="N3651" s="12"/>
      <c r="O3651" s="12" t="s">
        <v>672</v>
      </c>
      <c r="P3651" s="12" t="str">
        <f>HYPERLINK("https://ceds.ed.gov/cedselementdetails.aspx?termid=10104")</f>
        <v>https://ceds.ed.gov/cedselementdetails.aspx?termid=10104</v>
      </c>
      <c r="Q3651" s="12" t="str">
        <f>HYPERLINK("https://ceds.ed.gov/elementComment.aspx?elementName=Assessment Item APIP Response Processing XML &amp;elementID=10104", "Click here to submit comment")</f>
        <v>Click here to submit comment</v>
      </c>
    </row>
    <row r="3652" spans="1:17" ht="180" x14ac:dyDescent="0.25">
      <c r="A3652" s="12" t="s">
        <v>7327</v>
      </c>
      <c r="B3652" s="12" t="s">
        <v>7333</v>
      </c>
      <c r="C3652" s="12" t="s">
        <v>7340</v>
      </c>
      <c r="D3652" s="12" t="s">
        <v>7172</v>
      </c>
      <c r="E3652" s="12" t="s">
        <v>673</v>
      </c>
      <c r="F3652" s="12" t="s">
        <v>674</v>
      </c>
      <c r="G3652" s="12" t="s">
        <v>12</v>
      </c>
      <c r="H3652" s="12"/>
      <c r="I3652" s="12"/>
      <c r="J3652" s="12" t="s">
        <v>327</v>
      </c>
      <c r="K3652" s="12"/>
      <c r="L3652" s="12"/>
      <c r="M3652" s="12" t="s">
        <v>675</v>
      </c>
      <c r="N3652" s="12"/>
      <c r="O3652" s="12" t="s">
        <v>676</v>
      </c>
      <c r="P3652" s="12" t="str">
        <f>HYPERLINK("https://ceds.ed.gov/cedselementdetails.aspx?termid=10107")</f>
        <v>https://ceds.ed.gov/cedselementdetails.aspx?termid=10107</v>
      </c>
      <c r="Q3652" s="12" t="str">
        <f>HYPERLINK("https://ceds.ed.gov/elementComment.aspx?elementName=Assessment Item APIP Template Declaration XML &amp;elementID=10107", "Click here to submit comment")</f>
        <v>Click here to submit comment</v>
      </c>
    </row>
    <row r="3653" spans="1:17" ht="165" x14ac:dyDescent="0.25">
      <c r="A3653" s="12" t="s">
        <v>7327</v>
      </c>
      <c r="B3653" s="12" t="s">
        <v>7333</v>
      </c>
      <c r="C3653" s="12" t="s">
        <v>7340</v>
      </c>
      <c r="D3653" s="12" t="s">
        <v>7172</v>
      </c>
      <c r="E3653" s="12" t="s">
        <v>677</v>
      </c>
      <c r="F3653" s="12" t="s">
        <v>678</v>
      </c>
      <c r="G3653" s="12" t="s">
        <v>12</v>
      </c>
      <c r="H3653" s="12"/>
      <c r="I3653" s="12"/>
      <c r="J3653" s="12" t="s">
        <v>327</v>
      </c>
      <c r="K3653" s="12"/>
      <c r="L3653" s="12"/>
      <c r="M3653" s="12" t="s">
        <v>679</v>
      </c>
      <c r="N3653" s="12"/>
      <c r="O3653" s="12" t="s">
        <v>680</v>
      </c>
      <c r="P3653" s="12" t="str">
        <f>HYPERLINK("https://ceds.ed.gov/cedselementdetails.aspx?termid=10108")</f>
        <v>https://ceds.ed.gov/cedselementdetails.aspx?termid=10108</v>
      </c>
      <c r="Q3653" s="12" t="str">
        <f>HYPERLINK("https://ceds.ed.gov/elementComment.aspx?elementName=Assessment Item APIP Template Processing XML &amp;elementID=10108", "Click here to submit comment")</f>
        <v>Click here to submit comment</v>
      </c>
    </row>
    <row r="3654" spans="1:17" ht="60" x14ac:dyDescent="0.25">
      <c r="A3654" s="12" t="s">
        <v>7327</v>
      </c>
      <c r="B3654" s="12" t="s">
        <v>7333</v>
      </c>
      <c r="C3654" s="12" t="s">
        <v>7340</v>
      </c>
      <c r="D3654" s="12" t="s">
        <v>7172</v>
      </c>
      <c r="E3654" s="12" t="s">
        <v>972</v>
      </c>
      <c r="F3654" s="12" t="s">
        <v>973</v>
      </c>
      <c r="G3654" s="12" t="s">
        <v>12</v>
      </c>
      <c r="H3654" s="12"/>
      <c r="I3654" s="12"/>
      <c r="J3654" s="12" t="s">
        <v>327</v>
      </c>
      <c r="K3654" s="12"/>
      <c r="L3654" s="12" t="s">
        <v>974</v>
      </c>
      <c r="M3654" s="12" t="s">
        <v>975</v>
      </c>
      <c r="N3654" s="12"/>
      <c r="O3654" s="12" t="s">
        <v>976</v>
      </c>
      <c r="P3654" s="12" t="str">
        <f>HYPERLINK("https://ceds.ed.gov/cedselementdetails.aspx?termid=10250")</f>
        <v>https://ceds.ed.gov/cedselementdetails.aspx?termid=10250</v>
      </c>
      <c r="Q3654" s="12" t="str">
        <f>HYPERLINK("https://ceds.ed.gov/elementComment.aspx?elementName=Assessment Item Result XML &amp;elementID=10250", "Click here to submit comment")</f>
        <v>Click here to submit comment</v>
      </c>
    </row>
    <row r="3655" spans="1:17" ht="30" x14ac:dyDescent="0.25">
      <c r="A3655" s="12" t="s">
        <v>7327</v>
      </c>
      <c r="B3655" s="12" t="s">
        <v>7333</v>
      </c>
      <c r="C3655" s="12" t="s">
        <v>7341</v>
      </c>
      <c r="D3655" s="12" t="s">
        <v>7172</v>
      </c>
      <c r="E3655" s="12" t="s">
        <v>387</v>
      </c>
      <c r="F3655" s="12" t="s">
        <v>388</v>
      </c>
      <c r="G3655" s="12" t="s">
        <v>12</v>
      </c>
      <c r="H3655" s="12"/>
      <c r="I3655" s="12"/>
      <c r="J3655" s="12" t="s">
        <v>157</v>
      </c>
      <c r="K3655" s="12"/>
      <c r="L3655" s="12"/>
      <c r="M3655" s="12" t="s">
        <v>390</v>
      </c>
      <c r="N3655" s="12"/>
      <c r="O3655" s="12" t="s">
        <v>391</v>
      </c>
      <c r="P3655" s="12" t="str">
        <f>HYPERLINK("https://ceds.ed.gov/cedselementdetails.aspx?termid=10504")</f>
        <v>https://ceds.ed.gov/cedselementdetails.aspx?termid=10504</v>
      </c>
      <c r="Q3655" s="12" t="str">
        <f>HYPERLINK("https://ceds.ed.gov/elementComment.aspx?elementName=APIP Interaction Sequence Number &amp;elementID=10504", "Click here to submit comment")</f>
        <v>Click here to submit comment</v>
      </c>
    </row>
    <row r="3656" spans="1:17" ht="90" x14ac:dyDescent="0.25">
      <c r="A3656" s="12" t="s">
        <v>7327</v>
      </c>
      <c r="B3656" s="12" t="s">
        <v>7333</v>
      </c>
      <c r="C3656" s="12" t="s">
        <v>7341</v>
      </c>
      <c r="D3656" s="12" t="s">
        <v>7172</v>
      </c>
      <c r="E3656" s="12" t="s">
        <v>689</v>
      </c>
      <c r="F3656" s="12" t="s">
        <v>690</v>
      </c>
      <c r="G3656" s="12" t="s">
        <v>12</v>
      </c>
      <c r="H3656" s="12"/>
      <c r="I3656" s="12"/>
      <c r="J3656" s="12" t="s">
        <v>327</v>
      </c>
      <c r="K3656" s="12"/>
      <c r="L3656" s="12"/>
      <c r="M3656" s="12" t="s">
        <v>691</v>
      </c>
      <c r="N3656" s="12"/>
      <c r="O3656" s="12" t="s">
        <v>692</v>
      </c>
      <c r="P3656" s="12" t="str">
        <f>HYPERLINK("https://ceds.ed.gov/cedselementdetails.aspx?termid=10100")</f>
        <v>https://ceds.ed.gov/cedselementdetails.aspx?termid=10100</v>
      </c>
      <c r="Q3656" s="12" t="str">
        <f>HYPERLINK("https://ceds.ed.gov/elementComment.aspx?elementName=Assessment Item Body Associate Interaction XML &amp;elementID=10100", "Click here to submit comment")</f>
        <v>Click here to submit comment</v>
      </c>
    </row>
    <row r="3657" spans="1:17" ht="120" x14ac:dyDescent="0.25">
      <c r="A3657" s="12" t="s">
        <v>7327</v>
      </c>
      <c r="B3657" s="12" t="s">
        <v>7333</v>
      </c>
      <c r="C3657" s="12" t="s">
        <v>7341</v>
      </c>
      <c r="D3657" s="12" t="s">
        <v>7172</v>
      </c>
      <c r="E3657" s="12" t="s">
        <v>693</v>
      </c>
      <c r="F3657" s="12" t="s">
        <v>694</v>
      </c>
      <c r="G3657" s="12" t="s">
        <v>12</v>
      </c>
      <c r="H3657" s="12"/>
      <c r="I3657" s="12"/>
      <c r="J3657" s="12" t="s">
        <v>327</v>
      </c>
      <c r="K3657" s="12"/>
      <c r="L3657" s="12"/>
      <c r="M3657" s="12" t="s">
        <v>695</v>
      </c>
      <c r="N3657" s="12"/>
      <c r="O3657" s="12" t="s">
        <v>696</v>
      </c>
      <c r="P3657" s="12" t="str">
        <f>HYPERLINK("https://ceds.ed.gov/cedselementdetails.aspx?termid=10090")</f>
        <v>https://ceds.ed.gov/cedselementdetails.aspx?termid=10090</v>
      </c>
      <c r="Q3657" s="12" t="str">
        <f>HYPERLINK("https://ceds.ed.gov/elementComment.aspx?elementName=Assessment Item Body Choice Interaction XML &amp;elementID=10090", "Click here to submit comment")</f>
        <v>Click here to submit comment</v>
      </c>
    </row>
    <row r="3658" spans="1:17" ht="150" x14ac:dyDescent="0.25">
      <c r="A3658" s="12" t="s">
        <v>7327</v>
      </c>
      <c r="B3658" s="12" t="s">
        <v>7333</v>
      </c>
      <c r="C3658" s="12" t="s">
        <v>7341</v>
      </c>
      <c r="D3658" s="12" t="s">
        <v>7172</v>
      </c>
      <c r="E3658" s="12" t="s">
        <v>702</v>
      </c>
      <c r="F3658" s="12" t="s">
        <v>703</v>
      </c>
      <c r="G3658" s="12" t="s">
        <v>12</v>
      </c>
      <c r="H3658" s="12"/>
      <c r="I3658" s="12"/>
      <c r="J3658" s="12" t="s">
        <v>327</v>
      </c>
      <c r="K3658" s="12"/>
      <c r="L3658" s="12"/>
      <c r="M3658" s="12" t="s">
        <v>704</v>
      </c>
      <c r="N3658" s="12"/>
      <c r="O3658" s="12" t="s">
        <v>705</v>
      </c>
      <c r="P3658" s="12" t="str">
        <f>HYPERLINK("https://ceds.ed.gov/cedselementdetails.aspx?termid=10080")</f>
        <v>https://ceds.ed.gov/cedselementdetails.aspx?termid=10080</v>
      </c>
      <c r="Q3658" s="12" t="str">
        <f>HYPERLINK("https://ceds.ed.gov/elementComment.aspx?elementName=Assessment Item Body Drawing Interaction XML &amp;elementID=10080", "Click here to submit comment")</f>
        <v>Click here to submit comment</v>
      </c>
    </row>
    <row r="3659" spans="1:17" ht="195" x14ac:dyDescent="0.25">
      <c r="A3659" s="12" t="s">
        <v>7327</v>
      </c>
      <c r="B3659" s="12" t="s">
        <v>7333</v>
      </c>
      <c r="C3659" s="12" t="s">
        <v>7341</v>
      </c>
      <c r="D3659" s="12" t="s">
        <v>7172</v>
      </c>
      <c r="E3659" s="12" t="s">
        <v>706</v>
      </c>
      <c r="F3659" s="12" t="s">
        <v>707</v>
      </c>
      <c r="G3659" s="12" t="s">
        <v>12</v>
      </c>
      <c r="H3659" s="12"/>
      <c r="I3659" s="12"/>
      <c r="J3659" s="12" t="s">
        <v>327</v>
      </c>
      <c r="K3659" s="12"/>
      <c r="L3659" s="12"/>
      <c r="M3659" s="12" t="s">
        <v>708</v>
      </c>
      <c r="N3659" s="12"/>
      <c r="O3659" s="12" t="s">
        <v>709</v>
      </c>
      <c r="P3659" s="12" t="str">
        <f>HYPERLINK("https://ceds.ed.gov/cedselementdetails.aspx?termid=10098")</f>
        <v>https://ceds.ed.gov/cedselementdetails.aspx?termid=10098</v>
      </c>
      <c r="Q3659" s="12" t="str">
        <f>HYPERLINK("https://ceds.ed.gov/elementComment.aspx?elementName=Assessment Item Body End Attempt Interaction XML &amp;elementID=10098", "Click here to submit comment")</f>
        <v>Click here to submit comment</v>
      </c>
    </row>
    <row r="3660" spans="1:17" ht="75" x14ac:dyDescent="0.25">
      <c r="A3660" s="12" t="s">
        <v>7327</v>
      </c>
      <c r="B3660" s="12" t="s">
        <v>7333</v>
      </c>
      <c r="C3660" s="12" t="s">
        <v>7341</v>
      </c>
      <c r="D3660" s="12" t="s">
        <v>7172</v>
      </c>
      <c r="E3660" s="12" t="s">
        <v>710</v>
      </c>
      <c r="F3660" s="12" t="s">
        <v>711</v>
      </c>
      <c r="G3660" s="12" t="s">
        <v>12</v>
      </c>
      <c r="H3660" s="12"/>
      <c r="I3660" s="12"/>
      <c r="J3660" s="12" t="s">
        <v>327</v>
      </c>
      <c r="K3660" s="12"/>
      <c r="L3660" s="12"/>
      <c r="M3660" s="12" t="s">
        <v>712</v>
      </c>
      <c r="N3660" s="12"/>
      <c r="O3660" s="12" t="s">
        <v>713</v>
      </c>
      <c r="P3660" s="12" t="str">
        <f>HYPERLINK("https://ceds.ed.gov/cedselementdetails.aspx?termid=10097")</f>
        <v>https://ceds.ed.gov/cedselementdetails.aspx?termid=10097</v>
      </c>
      <c r="Q3660" s="12" t="str">
        <f>HYPERLINK("https://ceds.ed.gov/elementComment.aspx?elementName=Assessment Item Body Extended Text Interaction XML &amp;elementID=10097", "Click here to submit comment")</f>
        <v>Click here to submit comment</v>
      </c>
    </row>
    <row r="3661" spans="1:17" ht="120" x14ac:dyDescent="0.25">
      <c r="A3661" s="12" t="s">
        <v>7327</v>
      </c>
      <c r="B3661" s="12" t="s">
        <v>7333</v>
      </c>
      <c r="C3661" s="12" t="s">
        <v>7341</v>
      </c>
      <c r="D3661" s="12" t="s">
        <v>7172</v>
      </c>
      <c r="E3661" s="12" t="s">
        <v>714</v>
      </c>
      <c r="F3661" s="12" t="s">
        <v>715</v>
      </c>
      <c r="G3661" s="12" t="s">
        <v>12</v>
      </c>
      <c r="H3661" s="12"/>
      <c r="I3661" s="12"/>
      <c r="J3661" s="12" t="s">
        <v>327</v>
      </c>
      <c r="K3661" s="12"/>
      <c r="L3661" s="12"/>
      <c r="M3661" s="12" t="s">
        <v>716</v>
      </c>
      <c r="N3661" s="12"/>
      <c r="O3661" s="12" t="s">
        <v>717</v>
      </c>
      <c r="P3661" s="12" t="str">
        <f>HYPERLINK("https://ceds.ed.gov/cedselementdetails.aspx?termid=10081")</f>
        <v>https://ceds.ed.gov/cedselementdetails.aspx?termid=10081</v>
      </c>
      <c r="Q3661" s="12" t="str">
        <f>HYPERLINK("https://ceds.ed.gov/elementComment.aspx?elementName=Assessment Item Body Gap Match Interaction XML &amp;elementID=10081", "Click here to submit comment")</f>
        <v>Click here to submit comment</v>
      </c>
    </row>
    <row r="3662" spans="1:17" ht="409.5" x14ac:dyDescent="0.25">
      <c r="A3662" s="12" t="s">
        <v>7327</v>
      </c>
      <c r="B3662" s="12" t="s">
        <v>7333</v>
      </c>
      <c r="C3662" s="12" t="s">
        <v>7341</v>
      </c>
      <c r="D3662" s="12" t="s">
        <v>7172</v>
      </c>
      <c r="E3662" s="12" t="s">
        <v>718</v>
      </c>
      <c r="F3662" s="12" t="s">
        <v>719</v>
      </c>
      <c r="G3662" s="12" t="s">
        <v>12</v>
      </c>
      <c r="H3662" s="12"/>
      <c r="I3662" s="12"/>
      <c r="J3662" s="12" t="s">
        <v>327</v>
      </c>
      <c r="K3662" s="12"/>
      <c r="L3662" s="12"/>
      <c r="M3662" s="12" t="s">
        <v>720</v>
      </c>
      <c r="N3662" s="12"/>
      <c r="O3662" s="12" t="s">
        <v>721</v>
      </c>
      <c r="P3662" s="12" t="str">
        <f>HYPERLINK("https://ceds.ed.gov/cedselementdetails.aspx?termid=10083")</f>
        <v>https://ceds.ed.gov/cedselementdetails.aspx?termid=10083</v>
      </c>
      <c r="Q3662" s="12" t="str">
        <f>HYPERLINK("https://ceds.ed.gov/elementComment.aspx?elementName=Assessment Item Body Graphic Gap Match Interaction XML &amp;elementID=10083", "Click here to submit comment")</f>
        <v>Click here to submit comment</v>
      </c>
    </row>
    <row r="3663" spans="1:17" ht="240" x14ac:dyDescent="0.25">
      <c r="A3663" s="12" t="s">
        <v>7327</v>
      </c>
      <c r="B3663" s="12" t="s">
        <v>7333</v>
      </c>
      <c r="C3663" s="12" t="s">
        <v>7341</v>
      </c>
      <c r="D3663" s="12" t="s">
        <v>7172</v>
      </c>
      <c r="E3663" s="12" t="s">
        <v>722</v>
      </c>
      <c r="F3663" s="12" t="s">
        <v>723</v>
      </c>
      <c r="G3663" s="12" t="s">
        <v>12</v>
      </c>
      <c r="H3663" s="12"/>
      <c r="I3663" s="12"/>
      <c r="J3663" s="12" t="s">
        <v>327</v>
      </c>
      <c r="K3663" s="12"/>
      <c r="L3663" s="12"/>
      <c r="M3663" s="12" t="s">
        <v>724</v>
      </c>
      <c r="N3663" s="12"/>
      <c r="O3663" s="12" t="s">
        <v>725</v>
      </c>
      <c r="P3663" s="12" t="str">
        <f>HYPERLINK("https://ceds.ed.gov/cedselementdetails.aspx?termid=10085")</f>
        <v>https://ceds.ed.gov/cedselementdetails.aspx?termid=10085</v>
      </c>
      <c r="Q3663" s="12" t="str">
        <f>HYPERLINK("https://ceds.ed.gov/elementComment.aspx?elementName=Assessment Item Body Graphic Order Interaction XML &amp;elementID=10085", "Click here to submit comment")</f>
        <v>Click here to submit comment</v>
      </c>
    </row>
    <row r="3664" spans="1:17" ht="225" x14ac:dyDescent="0.25">
      <c r="A3664" s="12" t="s">
        <v>7327</v>
      </c>
      <c r="B3664" s="12" t="s">
        <v>7333</v>
      </c>
      <c r="C3664" s="12" t="s">
        <v>7341</v>
      </c>
      <c r="D3664" s="12" t="s">
        <v>7172</v>
      </c>
      <c r="E3664" s="12" t="s">
        <v>726</v>
      </c>
      <c r="F3664" s="12" t="s">
        <v>727</v>
      </c>
      <c r="G3664" s="12" t="s">
        <v>12</v>
      </c>
      <c r="H3664" s="12"/>
      <c r="I3664" s="12"/>
      <c r="J3664" s="12" t="s">
        <v>327</v>
      </c>
      <c r="K3664" s="12"/>
      <c r="L3664" s="12"/>
      <c r="M3664" s="12" t="s">
        <v>728</v>
      </c>
      <c r="N3664" s="12"/>
      <c r="O3664" s="12" t="s">
        <v>729</v>
      </c>
      <c r="P3664" s="12" t="str">
        <f>HYPERLINK("https://ceds.ed.gov/cedselementdetails.aspx?termid=10084")</f>
        <v>https://ceds.ed.gov/cedselementdetails.aspx?termid=10084</v>
      </c>
      <c r="Q3664" s="12" t="str">
        <f>HYPERLINK("https://ceds.ed.gov/elementComment.aspx?elementName=Assessment Item Body Hot Spot Interaction XML &amp;elementID=10084", "Click here to submit comment")</f>
        <v>Click here to submit comment</v>
      </c>
    </row>
    <row r="3665" spans="1:17" ht="225" x14ac:dyDescent="0.25">
      <c r="A3665" s="12" t="s">
        <v>7327</v>
      </c>
      <c r="B3665" s="12" t="s">
        <v>7333</v>
      </c>
      <c r="C3665" s="12" t="s">
        <v>7341</v>
      </c>
      <c r="D3665" s="12" t="s">
        <v>7172</v>
      </c>
      <c r="E3665" s="12" t="s">
        <v>730</v>
      </c>
      <c r="F3665" s="12" t="s">
        <v>731</v>
      </c>
      <c r="G3665" s="12" t="s">
        <v>12</v>
      </c>
      <c r="H3665" s="12"/>
      <c r="I3665" s="12"/>
      <c r="J3665" s="12" t="s">
        <v>327</v>
      </c>
      <c r="K3665" s="12"/>
      <c r="L3665" s="12"/>
      <c r="M3665" s="12" t="s">
        <v>732</v>
      </c>
      <c r="N3665" s="12"/>
      <c r="O3665" s="12" t="s">
        <v>733</v>
      </c>
      <c r="P3665" s="12" t="str">
        <f>HYPERLINK("https://ceds.ed.gov/cedselementdetails.aspx?termid=10093")</f>
        <v>https://ceds.ed.gov/cedselementdetails.aspx?termid=10093</v>
      </c>
      <c r="Q3665" s="12" t="str">
        <f>HYPERLINK("https://ceds.ed.gov/elementComment.aspx?elementName=Assessment Item Body Hottext Interaction XML &amp;elementID=10093", "Click here to submit comment")</f>
        <v>Click here to submit comment</v>
      </c>
    </row>
    <row r="3666" spans="1:17" ht="135" x14ac:dyDescent="0.25">
      <c r="A3666" s="12" t="s">
        <v>7327</v>
      </c>
      <c r="B3666" s="12" t="s">
        <v>7333</v>
      </c>
      <c r="C3666" s="12" t="s">
        <v>7341</v>
      </c>
      <c r="D3666" s="12" t="s">
        <v>7172</v>
      </c>
      <c r="E3666" s="12" t="s">
        <v>734</v>
      </c>
      <c r="F3666" s="12" t="s">
        <v>735</v>
      </c>
      <c r="G3666" s="12" t="s">
        <v>12</v>
      </c>
      <c r="H3666" s="12"/>
      <c r="I3666" s="12"/>
      <c r="J3666" s="12" t="s">
        <v>327</v>
      </c>
      <c r="K3666" s="12"/>
      <c r="L3666" s="12"/>
      <c r="M3666" s="12" t="s">
        <v>736</v>
      </c>
      <c r="N3666" s="12"/>
      <c r="O3666" s="12" t="s">
        <v>737</v>
      </c>
      <c r="P3666" s="12" t="str">
        <f>HYPERLINK("https://ceds.ed.gov/cedselementdetails.aspx?termid=10091")</f>
        <v>https://ceds.ed.gov/cedselementdetails.aspx?termid=10091</v>
      </c>
      <c r="Q3666" s="12" t="str">
        <f>HYPERLINK("https://ceds.ed.gov/elementComment.aspx?elementName=Assessment Item Body Inline Choice Interaction XML &amp;elementID=10091", "Click here to submit comment")</f>
        <v>Click here to submit comment</v>
      </c>
    </row>
    <row r="3667" spans="1:17" ht="165" x14ac:dyDescent="0.25">
      <c r="A3667" s="12" t="s">
        <v>7327</v>
      </c>
      <c r="B3667" s="12" t="s">
        <v>7333</v>
      </c>
      <c r="C3667" s="12" t="s">
        <v>7341</v>
      </c>
      <c r="D3667" s="12" t="s">
        <v>7172</v>
      </c>
      <c r="E3667" s="12" t="s">
        <v>738</v>
      </c>
      <c r="F3667" s="12" t="s">
        <v>739</v>
      </c>
      <c r="G3667" s="12" t="s">
        <v>12</v>
      </c>
      <c r="H3667" s="12"/>
      <c r="I3667" s="12"/>
      <c r="J3667" s="12" t="s">
        <v>327</v>
      </c>
      <c r="K3667" s="12"/>
      <c r="L3667" s="12"/>
      <c r="M3667" s="12" t="s">
        <v>740</v>
      </c>
      <c r="N3667" s="12"/>
      <c r="O3667" s="12" t="s">
        <v>741</v>
      </c>
      <c r="P3667" s="12" t="str">
        <f>HYPERLINK("https://ceds.ed.gov/cedselementdetails.aspx?termid=10082")</f>
        <v>https://ceds.ed.gov/cedselementdetails.aspx?termid=10082</v>
      </c>
      <c r="Q3667" s="12" t="str">
        <f>HYPERLINK("https://ceds.ed.gov/elementComment.aspx?elementName=Assessment Item Body Match Interaction XML &amp;elementID=10082", "Click here to submit comment")</f>
        <v>Click here to submit comment</v>
      </c>
    </row>
    <row r="3668" spans="1:17" ht="165" x14ac:dyDescent="0.25">
      <c r="A3668" s="12" t="s">
        <v>7327</v>
      </c>
      <c r="B3668" s="12" t="s">
        <v>7333</v>
      </c>
      <c r="C3668" s="12" t="s">
        <v>7341</v>
      </c>
      <c r="D3668" s="12" t="s">
        <v>7172</v>
      </c>
      <c r="E3668" s="12" t="s">
        <v>742</v>
      </c>
      <c r="F3668" s="12" t="s">
        <v>743</v>
      </c>
      <c r="G3668" s="12" t="s">
        <v>12</v>
      </c>
      <c r="H3668" s="12"/>
      <c r="I3668" s="12"/>
      <c r="J3668" s="12" t="s">
        <v>327</v>
      </c>
      <c r="K3668" s="12"/>
      <c r="L3668" s="12"/>
      <c r="M3668" s="12" t="s">
        <v>744</v>
      </c>
      <c r="N3668" s="12"/>
      <c r="O3668" s="12" t="s">
        <v>745</v>
      </c>
      <c r="P3668" s="12" t="str">
        <f>HYPERLINK("https://ceds.ed.gov/cedselementdetails.aspx?termid=10092")</f>
        <v>https://ceds.ed.gov/cedselementdetails.aspx?termid=10092</v>
      </c>
      <c r="Q3668" s="12" t="str">
        <f>HYPERLINK("https://ceds.ed.gov/elementComment.aspx?elementName=Assessment Item Body Media Interaction XML &amp;elementID=10092", "Click here to submit comment")</f>
        <v>Click here to submit comment</v>
      </c>
    </row>
    <row r="3669" spans="1:17" ht="195" x14ac:dyDescent="0.25">
      <c r="A3669" s="12" t="s">
        <v>7327</v>
      </c>
      <c r="B3669" s="12" t="s">
        <v>7333</v>
      </c>
      <c r="C3669" s="12" t="s">
        <v>7341</v>
      </c>
      <c r="D3669" s="12" t="s">
        <v>7172</v>
      </c>
      <c r="E3669" s="12" t="s">
        <v>746</v>
      </c>
      <c r="F3669" s="12" t="s">
        <v>747</v>
      </c>
      <c r="G3669" s="12" t="s">
        <v>12</v>
      </c>
      <c r="H3669" s="12"/>
      <c r="I3669" s="12"/>
      <c r="J3669" s="12" t="s">
        <v>327</v>
      </c>
      <c r="K3669" s="12"/>
      <c r="L3669" s="12"/>
      <c r="M3669" s="12" t="s">
        <v>748</v>
      </c>
      <c r="N3669" s="12"/>
      <c r="O3669" s="12" t="s">
        <v>749</v>
      </c>
      <c r="P3669" s="12" t="str">
        <f>HYPERLINK("https://ceds.ed.gov/cedselementdetails.aspx?termid=10094")</f>
        <v>https://ceds.ed.gov/cedselementdetails.aspx?termid=10094</v>
      </c>
      <c r="Q3669" s="12" t="str">
        <f>HYPERLINK("https://ceds.ed.gov/elementComment.aspx?elementName=Assessment Item Body Order Interaction XML &amp;elementID=10094", "Click here to submit comment")</f>
        <v>Click here to submit comment</v>
      </c>
    </row>
    <row r="3670" spans="1:17" ht="210" x14ac:dyDescent="0.25">
      <c r="A3670" s="12" t="s">
        <v>7327</v>
      </c>
      <c r="B3670" s="12" t="s">
        <v>7333</v>
      </c>
      <c r="C3670" s="12" t="s">
        <v>7341</v>
      </c>
      <c r="D3670" s="12" t="s">
        <v>7172</v>
      </c>
      <c r="E3670" s="12" t="s">
        <v>750</v>
      </c>
      <c r="F3670" s="12" t="s">
        <v>751</v>
      </c>
      <c r="G3670" s="12" t="s">
        <v>12</v>
      </c>
      <c r="H3670" s="12"/>
      <c r="I3670" s="12"/>
      <c r="J3670" s="12" t="s">
        <v>327</v>
      </c>
      <c r="K3670" s="12"/>
      <c r="L3670" s="12"/>
      <c r="M3670" s="12" t="s">
        <v>752</v>
      </c>
      <c r="N3670" s="12"/>
      <c r="O3670" s="12" t="s">
        <v>753</v>
      </c>
      <c r="P3670" s="12" t="str">
        <f>HYPERLINK("https://ceds.ed.gov/cedselementdetails.aspx?termid=10095")</f>
        <v>https://ceds.ed.gov/cedselementdetails.aspx?termid=10095</v>
      </c>
      <c r="Q3670" s="12" t="str">
        <f>HYPERLINK("https://ceds.ed.gov/elementComment.aspx?elementName=Assessment Item Body Position Object Interaction XML &amp;elementID=10095", "Click here to submit comment")</f>
        <v>Click here to submit comment</v>
      </c>
    </row>
    <row r="3671" spans="1:17" ht="240" x14ac:dyDescent="0.25">
      <c r="A3671" s="12" t="s">
        <v>7327</v>
      </c>
      <c r="B3671" s="12" t="s">
        <v>7333</v>
      </c>
      <c r="C3671" s="12" t="s">
        <v>7341</v>
      </c>
      <c r="D3671" s="12" t="s">
        <v>7172</v>
      </c>
      <c r="E3671" s="12" t="s">
        <v>754</v>
      </c>
      <c r="F3671" s="12" t="s">
        <v>755</v>
      </c>
      <c r="G3671" s="12" t="s">
        <v>12</v>
      </c>
      <c r="H3671" s="12"/>
      <c r="I3671" s="12"/>
      <c r="J3671" s="12" t="s">
        <v>327</v>
      </c>
      <c r="K3671" s="12"/>
      <c r="L3671" s="12"/>
      <c r="M3671" s="12" t="s">
        <v>756</v>
      </c>
      <c r="N3671" s="12"/>
      <c r="O3671" s="12" t="s">
        <v>757</v>
      </c>
      <c r="P3671" s="12" t="str">
        <f>HYPERLINK("https://ceds.ed.gov/cedselementdetails.aspx?termid=10088")</f>
        <v>https://ceds.ed.gov/cedselementdetails.aspx?termid=10088</v>
      </c>
      <c r="Q3671" s="12" t="str">
        <f>HYPERLINK("https://ceds.ed.gov/elementComment.aspx?elementName=Assessment Item Body Select Point Interaction &amp;elementID=10088", "Click here to submit comment")</f>
        <v>Click here to submit comment</v>
      </c>
    </row>
    <row r="3672" spans="1:17" ht="195" x14ac:dyDescent="0.25">
      <c r="A3672" s="12" t="s">
        <v>7327</v>
      </c>
      <c r="B3672" s="12" t="s">
        <v>7333</v>
      </c>
      <c r="C3672" s="12" t="s">
        <v>7341</v>
      </c>
      <c r="D3672" s="12" t="s">
        <v>7172</v>
      </c>
      <c r="E3672" s="12" t="s">
        <v>758</v>
      </c>
      <c r="F3672" s="12" t="s">
        <v>759</v>
      </c>
      <c r="G3672" s="12" t="s">
        <v>12</v>
      </c>
      <c r="H3672" s="12"/>
      <c r="I3672" s="12"/>
      <c r="J3672" s="12" t="s">
        <v>327</v>
      </c>
      <c r="K3672" s="12"/>
      <c r="L3672" s="12"/>
      <c r="M3672" s="12" t="s">
        <v>760</v>
      </c>
      <c r="N3672" s="12"/>
      <c r="O3672" s="12" t="s">
        <v>761</v>
      </c>
      <c r="P3672" s="12" t="str">
        <f>HYPERLINK("https://ceds.ed.gov/cedselementdetails.aspx?termid=10087")</f>
        <v>https://ceds.ed.gov/cedselementdetails.aspx?termid=10087</v>
      </c>
      <c r="Q3672" s="12" t="str">
        <f>HYPERLINK("https://ceds.ed.gov/elementComment.aspx?elementName=Assessment Item Body Select Point Interaction XML &amp;elementID=10087", "Click here to submit comment")</f>
        <v>Click here to submit comment</v>
      </c>
    </row>
    <row r="3673" spans="1:17" ht="135" x14ac:dyDescent="0.25">
      <c r="A3673" s="12" t="s">
        <v>7327</v>
      </c>
      <c r="B3673" s="12" t="s">
        <v>7333</v>
      </c>
      <c r="C3673" s="12" t="s">
        <v>7341</v>
      </c>
      <c r="D3673" s="12" t="s">
        <v>7172</v>
      </c>
      <c r="E3673" s="12" t="s">
        <v>762</v>
      </c>
      <c r="F3673" s="12" t="s">
        <v>763</v>
      </c>
      <c r="G3673" s="12" t="s">
        <v>12</v>
      </c>
      <c r="H3673" s="12"/>
      <c r="I3673" s="12"/>
      <c r="J3673" s="12" t="s">
        <v>327</v>
      </c>
      <c r="K3673" s="12"/>
      <c r="L3673" s="12"/>
      <c r="M3673" s="12" t="s">
        <v>764</v>
      </c>
      <c r="N3673" s="12"/>
      <c r="O3673" s="12" t="s">
        <v>765</v>
      </c>
      <c r="P3673" s="12" t="str">
        <f>HYPERLINK("https://ceds.ed.gov/cedselementdetails.aspx?termid=10089")</f>
        <v>https://ceds.ed.gov/cedselementdetails.aspx?termid=10089</v>
      </c>
      <c r="Q3673" s="12" t="str">
        <f>HYPERLINK("https://ceds.ed.gov/elementComment.aspx?elementName=Assessment Item Body Slider Interaction XML &amp;elementID=10089", "Click here to submit comment")</f>
        <v>Click here to submit comment</v>
      </c>
    </row>
    <row r="3674" spans="1:17" ht="135" x14ac:dyDescent="0.25">
      <c r="A3674" s="12" t="s">
        <v>7327</v>
      </c>
      <c r="B3674" s="12" t="s">
        <v>7333</v>
      </c>
      <c r="C3674" s="12" t="s">
        <v>7341</v>
      </c>
      <c r="D3674" s="12" t="s">
        <v>7172</v>
      </c>
      <c r="E3674" s="12" t="s">
        <v>770</v>
      </c>
      <c r="F3674" s="12" t="s">
        <v>771</v>
      </c>
      <c r="G3674" s="12" t="s">
        <v>12</v>
      </c>
      <c r="H3674" s="12"/>
      <c r="I3674" s="12"/>
      <c r="J3674" s="12" t="s">
        <v>327</v>
      </c>
      <c r="K3674" s="12"/>
      <c r="L3674" s="12"/>
      <c r="M3674" s="12" t="s">
        <v>772</v>
      </c>
      <c r="N3674" s="12"/>
      <c r="O3674" s="12" t="s">
        <v>773</v>
      </c>
      <c r="P3674" s="12" t="str">
        <f>HYPERLINK("https://ceds.ed.gov/cedselementdetails.aspx?termid=10096")</f>
        <v>https://ceds.ed.gov/cedselementdetails.aspx?termid=10096</v>
      </c>
      <c r="Q3674" s="12" t="str">
        <f>HYPERLINK("https://ceds.ed.gov/elementComment.aspx?elementName=Assessment Item Body Text Entry Interaction XML &amp;elementID=10096", "Click here to submit comment")</f>
        <v>Click here to submit comment</v>
      </c>
    </row>
    <row r="3675" spans="1:17" ht="105" x14ac:dyDescent="0.25">
      <c r="A3675" s="12" t="s">
        <v>7327</v>
      </c>
      <c r="B3675" s="12" t="s">
        <v>7333</v>
      </c>
      <c r="C3675" s="12" t="s">
        <v>7341</v>
      </c>
      <c r="D3675" s="12" t="s">
        <v>7172</v>
      </c>
      <c r="E3675" s="12" t="s">
        <v>774</v>
      </c>
      <c r="F3675" s="12" t="s">
        <v>775</v>
      </c>
      <c r="G3675" s="12" t="s">
        <v>12</v>
      </c>
      <c r="H3675" s="12"/>
      <c r="I3675" s="12"/>
      <c r="J3675" s="12" t="s">
        <v>327</v>
      </c>
      <c r="K3675" s="12"/>
      <c r="L3675" s="12"/>
      <c r="M3675" s="12" t="s">
        <v>776</v>
      </c>
      <c r="N3675" s="12"/>
      <c r="O3675" s="12" t="s">
        <v>777</v>
      </c>
      <c r="P3675" s="12" t="str">
        <f>HYPERLINK("https://ceds.ed.gov/cedselementdetails.aspx?termid=10099")</f>
        <v>https://ceds.ed.gov/cedselementdetails.aspx?termid=10099</v>
      </c>
      <c r="Q3675" s="12" t="str">
        <f>HYPERLINK("https://ceds.ed.gov/elementComment.aspx?elementName=Assessment Item Body Upload Interaction XML &amp;elementID=10099", "Click here to submit comment")</f>
        <v>Click here to submit comment</v>
      </c>
    </row>
    <row r="3676" spans="1:17" ht="409.5" x14ac:dyDescent="0.25">
      <c r="A3676" s="12" t="s">
        <v>7327</v>
      </c>
      <c r="B3676" s="12" t="s">
        <v>7333</v>
      </c>
      <c r="C3676" s="12" t="s">
        <v>7341</v>
      </c>
      <c r="D3676" s="12" t="s">
        <v>7172</v>
      </c>
      <c r="E3676" s="12" t="s">
        <v>801</v>
      </c>
      <c r="F3676" s="12" t="s">
        <v>802</v>
      </c>
      <c r="G3676" s="13" t="s">
        <v>6760</v>
      </c>
      <c r="H3676" s="12"/>
      <c r="I3676" s="12"/>
      <c r="J3676" s="12"/>
      <c r="K3676" s="12"/>
      <c r="L3676" s="12"/>
      <c r="M3676" s="12" t="s">
        <v>803</v>
      </c>
      <c r="N3676" s="12"/>
      <c r="O3676" s="12" t="s">
        <v>804</v>
      </c>
      <c r="P3676" s="12" t="str">
        <f>HYPERLINK("https://ceds.ed.gov/cedselementdetails.aspx?termid=10117")</f>
        <v>https://ceds.ed.gov/cedselementdetails.aspx?termid=10117</v>
      </c>
      <c r="Q3676" s="12" t="str">
        <f>HYPERLINK("https://ceds.ed.gov/elementComment.aspx?elementName=Assessment Item Interaction Type &amp;elementID=10117", "Click here to submit comment")</f>
        <v>Click here to submit comment</v>
      </c>
    </row>
    <row r="3677" spans="1:17" ht="105" x14ac:dyDescent="0.25">
      <c r="A3677" s="18" t="s">
        <v>7327</v>
      </c>
      <c r="B3677" s="18" t="s">
        <v>7342</v>
      </c>
      <c r="C3677" s="18"/>
      <c r="D3677" s="18" t="s">
        <v>7172</v>
      </c>
      <c r="E3677" s="18" t="s">
        <v>473</v>
      </c>
      <c r="F3677" s="18" t="s">
        <v>474</v>
      </c>
      <c r="G3677" s="18" t="s">
        <v>12</v>
      </c>
      <c r="H3677" s="18"/>
      <c r="I3677" s="18"/>
      <c r="J3677" s="18" t="s">
        <v>142</v>
      </c>
      <c r="K3677" s="18"/>
      <c r="L3677" s="12" t="s">
        <v>143</v>
      </c>
      <c r="M3677" s="18" t="s">
        <v>475</v>
      </c>
      <c r="N3677" s="18"/>
      <c r="O3677" s="18" t="s">
        <v>476</v>
      </c>
      <c r="P3677" s="18" t="str">
        <f>HYPERLINK("https://ceds.ed.gov/cedselementdetails.aspx?termid=10149")</f>
        <v>https://ceds.ed.gov/cedselementdetails.aspx?termid=10149</v>
      </c>
      <c r="Q3677" s="18" t="str">
        <f>HYPERLINK("https://ceds.ed.gov/elementComment.aspx?elementName=Assessment Asset Identifier &amp;elementID=10149", "Click here to submit comment")</f>
        <v>Click here to submit comment</v>
      </c>
    </row>
    <row r="3678" spans="1:17" x14ac:dyDescent="0.25">
      <c r="A3678" s="18"/>
      <c r="B3678" s="18"/>
      <c r="C3678" s="18"/>
      <c r="D3678" s="18"/>
      <c r="E3678" s="18"/>
      <c r="F3678" s="18"/>
      <c r="G3678" s="18"/>
      <c r="H3678" s="18"/>
      <c r="I3678" s="18"/>
      <c r="J3678" s="18"/>
      <c r="K3678" s="18"/>
      <c r="L3678" s="12"/>
      <c r="M3678" s="18"/>
      <c r="N3678" s="18"/>
      <c r="O3678" s="18"/>
      <c r="P3678" s="18"/>
      <c r="Q3678" s="18"/>
    </row>
    <row r="3679" spans="1:17" ht="90" x14ac:dyDescent="0.25">
      <c r="A3679" s="18"/>
      <c r="B3679" s="18"/>
      <c r="C3679" s="18"/>
      <c r="D3679" s="18"/>
      <c r="E3679" s="18"/>
      <c r="F3679" s="18"/>
      <c r="G3679" s="18"/>
      <c r="H3679" s="18"/>
      <c r="I3679" s="18"/>
      <c r="J3679" s="18"/>
      <c r="K3679" s="18"/>
      <c r="L3679" s="12" t="s">
        <v>144</v>
      </c>
      <c r="M3679" s="18"/>
      <c r="N3679" s="18"/>
      <c r="O3679" s="18"/>
      <c r="P3679" s="18"/>
      <c r="Q3679" s="18"/>
    </row>
    <row r="3680" spans="1:17" ht="105" x14ac:dyDescent="0.25">
      <c r="A3680" s="12" t="s">
        <v>7327</v>
      </c>
      <c r="B3680" s="12" t="s">
        <v>7342</v>
      </c>
      <c r="C3680" s="12"/>
      <c r="D3680" s="12" t="s">
        <v>7172</v>
      </c>
      <c r="E3680" s="12" t="s">
        <v>477</v>
      </c>
      <c r="F3680" s="12" t="s">
        <v>478</v>
      </c>
      <c r="G3680" s="13" t="s">
        <v>6754</v>
      </c>
      <c r="H3680" s="12"/>
      <c r="I3680" s="12"/>
      <c r="J3680" s="12"/>
      <c r="K3680" s="12"/>
      <c r="L3680" s="12"/>
      <c r="M3680" s="12" t="s">
        <v>479</v>
      </c>
      <c r="N3680" s="12"/>
      <c r="O3680" s="12" t="s">
        <v>480</v>
      </c>
      <c r="P3680" s="12" t="str">
        <f>HYPERLINK("https://ceds.ed.gov/cedselementdetails.aspx?termid=10150")</f>
        <v>https://ceds.ed.gov/cedselementdetails.aspx?termid=10150</v>
      </c>
      <c r="Q3680" s="12" t="str">
        <f>HYPERLINK("https://ceds.ed.gov/elementComment.aspx?elementName=Assessment Asset Identifier Type &amp;elementID=10150", "Click here to submit comment")</f>
        <v>Click here to submit comment</v>
      </c>
    </row>
    <row r="3681" spans="1:17" ht="30" x14ac:dyDescent="0.25">
      <c r="A3681" s="12" t="s">
        <v>7327</v>
      </c>
      <c r="B3681" s="12" t="s">
        <v>7342</v>
      </c>
      <c r="C3681" s="12"/>
      <c r="D3681" s="12" t="s">
        <v>7172</v>
      </c>
      <c r="E3681" s="12" t="s">
        <v>481</v>
      </c>
      <c r="F3681" s="12" t="s">
        <v>482</v>
      </c>
      <c r="G3681" s="12" t="s">
        <v>12</v>
      </c>
      <c r="H3681" s="12"/>
      <c r="I3681" s="12"/>
      <c r="J3681" s="12" t="s">
        <v>99</v>
      </c>
      <c r="K3681" s="12"/>
      <c r="L3681" s="12"/>
      <c r="M3681" s="12" t="s">
        <v>483</v>
      </c>
      <c r="N3681" s="12"/>
      <c r="O3681" s="12" t="s">
        <v>484</v>
      </c>
      <c r="P3681" s="12" t="str">
        <f>HYPERLINK("https://ceds.ed.gov/cedselementdetails.aspx?termid=10151")</f>
        <v>https://ceds.ed.gov/cedselementdetails.aspx?termid=10151</v>
      </c>
      <c r="Q3681" s="12" t="str">
        <f>HYPERLINK("https://ceds.ed.gov/elementComment.aspx?elementName=Assessment Asset Name &amp;elementID=10151", "Click here to submit comment")</f>
        <v>Click here to submit comment</v>
      </c>
    </row>
    <row r="3682" spans="1:17" ht="30" x14ac:dyDescent="0.25">
      <c r="A3682" s="12" t="s">
        <v>7327</v>
      </c>
      <c r="B3682" s="12" t="s">
        <v>7342</v>
      </c>
      <c r="C3682" s="12"/>
      <c r="D3682" s="12" t="s">
        <v>7172</v>
      </c>
      <c r="E3682" s="12" t="s">
        <v>485</v>
      </c>
      <c r="F3682" s="12" t="s">
        <v>486</v>
      </c>
      <c r="G3682" s="12" t="s">
        <v>12</v>
      </c>
      <c r="H3682" s="12"/>
      <c r="I3682" s="12"/>
      <c r="J3682" s="12" t="s">
        <v>99</v>
      </c>
      <c r="K3682" s="12"/>
      <c r="L3682" s="12"/>
      <c r="M3682" s="12" t="s">
        <v>487</v>
      </c>
      <c r="N3682" s="12"/>
      <c r="O3682" s="12" t="s">
        <v>488</v>
      </c>
      <c r="P3682" s="12" t="str">
        <f>HYPERLINK("https://ceds.ed.gov/cedselementdetails.aspx?termid=10152")</f>
        <v>https://ceds.ed.gov/cedselementdetails.aspx?termid=10152</v>
      </c>
      <c r="Q3682" s="12" t="str">
        <f>HYPERLINK("https://ceds.ed.gov/elementComment.aspx?elementName=Assessment Asset Owner &amp;elementID=10152", "Click here to submit comment")</f>
        <v>Click here to submit comment</v>
      </c>
    </row>
    <row r="3683" spans="1:17" ht="409.5" x14ac:dyDescent="0.25">
      <c r="A3683" s="12" t="s">
        <v>7327</v>
      </c>
      <c r="B3683" s="12" t="s">
        <v>7342</v>
      </c>
      <c r="C3683" s="12"/>
      <c r="D3683" s="12" t="s">
        <v>7172</v>
      </c>
      <c r="E3683" s="12" t="s">
        <v>493</v>
      </c>
      <c r="F3683" s="12" t="s">
        <v>494</v>
      </c>
      <c r="G3683" s="13" t="s">
        <v>6755</v>
      </c>
      <c r="H3683" s="12"/>
      <c r="I3683" s="12"/>
      <c r="J3683" s="12"/>
      <c r="K3683" s="12"/>
      <c r="L3683" s="12" t="s">
        <v>495</v>
      </c>
      <c r="M3683" s="12" t="s">
        <v>496</v>
      </c>
      <c r="N3683" s="12"/>
      <c r="O3683" s="12" t="s">
        <v>497</v>
      </c>
      <c r="P3683" s="12" t="str">
        <f>HYPERLINK("https://ceds.ed.gov/cedselementdetails.aspx?termid=10147")</f>
        <v>https://ceds.ed.gov/cedselementdetails.aspx?termid=10147</v>
      </c>
      <c r="Q3683" s="12" t="str">
        <f>HYPERLINK("https://ceds.ed.gov/elementComment.aspx?elementName=Assessment Asset Type &amp;elementID=10147", "Click here to submit comment")</f>
        <v>Click here to submit comment</v>
      </c>
    </row>
    <row r="3684" spans="1:17" ht="30" x14ac:dyDescent="0.25">
      <c r="A3684" s="12" t="s">
        <v>7327</v>
      </c>
      <c r="B3684" s="12" t="s">
        <v>7342</v>
      </c>
      <c r="C3684" s="12"/>
      <c r="D3684" s="12" t="s">
        <v>7172</v>
      </c>
      <c r="E3684" s="12" t="s">
        <v>489</v>
      </c>
      <c r="F3684" s="12" t="s">
        <v>490</v>
      </c>
      <c r="G3684" s="12" t="s">
        <v>12</v>
      </c>
      <c r="H3684" s="12"/>
      <c r="I3684" s="12"/>
      <c r="J3684" s="12" t="s">
        <v>73</v>
      </c>
      <c r="K3684" s="12"/>
      <c r="L3684" s="12"/>
      <c r="M3684" s="12" t="s">
        <v>491</v>
      </c>
      <c r="N3684" s="12"/>
      <c r="O3684" s="12" t="s">
        <v>492</v>
      </c>
      <c r="P3684" s="12" t="str">
        <f>HYPERLINK("https://ceds.ed.gov/cedselementdetails.aspx?termid=10148")</f>
        <v>https://ceds.ed.gov/cedselementdetails.aspx?termid=10148</v>
      </c>
      <c r="Q3684" s="12" t="str">
        <f>HYPERLINK("https://ceds.ed.gov/elementComment.aspx?elementName=Assessment Asset Published Date &amp;elementID=10148", "Click here to submit comment")</f>
        <v>Click here to submit comment</v>
      </c>
    </row>
    <row r="3685" spans="1:17" ht="150" x14ac:dyDescent="0.25">
      <c r="A3685" s="12" t="s">
        <v>7327</v>
      </c>
      <c r="B3685" s="12" t="s">
        <v>7342</v>
      </c>
      <c r="C3685" s="12"/>
      <c r="D3685" s="12" t="s">
        <v>7172</v>
      </c>
      <c r="E3685" s="12" t="s">
        <v>498</v>
      </c>
      <c r="F3685" s="12" t="s">
        <v>499</v>
      </c>
      <c r="G3685" s="12" t="s">
        <v>12</v>
      </c>
      <c r="H3685" s="12"/>
      <c r="I3685" s="12"/>
      <c r="J3685" s="12" t="s">
        <v>92</v>
      </c>
      <c r="K3685" s="12"/>
      <c r="L3685" s="12" t="s">
        <v>500</v>
      </c>
      <c r="M3685" s="12" t="s">
        <v>501</v>
      </c>
      <c r="N3685" s="12"/>
      <c r="O3685" s="12" t="s">
        <v>502</v>
      </c>
      <c r="P3685" s="12" t="str">
        <f>HYPERLINK("https://ceds.ed.gov/cedselementdetails.aspx?termid=10146")</f>
        <v>https://ceds.ed.gov/cedselementdetails.aspx?termid=10146</v>
      </c>
      <c r="Q3685" s="12" t="str">
        <f>HYPERLINK("https://ceds.ed.gov/elementComment.aspx?elementName=Assessment Asset Version &amp;elementID=10146", "Click here to submit comment")</f>
        <v>Click here to submit comment</v>
      </c>
    </row>
    <row r="3686" spans="1:17" ht="30" x14ac:dyDescent="0.25">
      <c r="A3686" s="12" t="s">
        <v>7327</v>
      </c>
      <c r="B3686" s="12" t="s">
        <v>7342</v>
      </c>
      <c r="C3686" s="12"/>
      <c r="D3686" s="12" t="s">
        <v>7172</v>
      </c>
      <c r="E3686" s="12" t="s">
        <v>469</v>
      </c>
      <c r="F3686" s="12" t="s">
        <v>470</v>
      </c>
      <c r="G3686" s="12" t="s">
        <v>12</v>
      </c>
      <c r="H3686" s="12"/>
      <c r="I3686" s="12"/>
      <c r="J3686" s="12" t="s">
        <v>327</v>
      </c>
      <c r="K3686" s="12"/>
      <c r="L3686" s="12"/>
      <c r="M3686" s="12" t="s">
        <v>471</v>
      </c>
      <c r="N3686" s="12"/>
      <c r="O3686" s="12" t="s">
        <v>472</v>
      </c>
      <c r="P3686" s="12" t="str">
        <f>HYPERLINK("https://ceds.ed.gov/cedselementdetails.aspx?termid=10153")</f>
        <v>https://ceds.ed.gov/cedselementdetails.aspx?termid=10153</v>
      </c>
      <c r="Q3686" s="12" t="str">
        <f>HYPERLINK("https://ceds.ed.gov/elementComment.aspx?elementName=Assessment Asset Content XML &amp;elementID=10153", "Click here to submit comment")</f>
        <v>Click here to submit comment</v>
      </c>
    </row>
    <row r="3687" spans="1:17" ht="30" x14ac:dyDescent="0.25">
      <c r="A3687" s="12" t="s">
        <v>7327</v>
      </c>
      <c r="B3687" s="12" t="s">
        <v>7342</v>
      </c>
      <c r="C3687" s="12"/>
      <c r="D3687" s="12" t="s">
        <v>7172</v>
      </c>
      <c r="E3687" s="12" t="s">
        <v>460</v>
      </c>
      <c r="F3687" s="12" t="s">
        <v>461</v>
      </c>
      <c r="G3687" s="12" t="s">
        <v>12</v>
      </c>
      <c r="H3687" s="12"/>
      <c r="I3687" s="12"/>
      <c r="J3687" s="12" t="s">
        <v>327</v>
      </c>
      <c r="K3687" s="12"/>
      <c r="L3687" s="12"/>
      <c r="M3687" s="12" t="s">
        <v>463</v>
      </c>
      <c r="N3687" s="12"/>
      <c r="O3687" s="12" t="s">
        <v>464</v>
      </c>
      <c r="P3687" s="12" t="str">
        <f>HYPERLINK("https://ceds.ed.gov/cedselementdetails.aspx?termid=10154")</f>
        <v>https://ceds.ed.gov/cedselementdetails.aspx?termid=10154</v>
      </c>
      <c r="Q3687" s="12" t="str">
        <f>HYPERLINK("https://ceds.ed.gov/elementComment.aspx?elementName=Assessment Asset Content Mime Type &amp;elementID=10154", "Click here to submit comment")</f>
        <v>Click here to submit comment</v>
      </c>
    </row>
    <row r="3688" spans="1:17" ht="45" x14ac:dyDescent="0.25">
      <c r="A3688" s="12" t="s">
        <v>7327</v>
      </c>
      <c r="B3688" s="12" t="s">
        <v>7342</v>
      </c>
      <c r="C3688" s="12"/>
      <c r="D3688" s="12" t="s">
        <v>7172</v>
      </c>
      <c r="E3688" s="12" t="s">
        <v>465</v>
      </c>
      <c r="F3688" s="12" t="s">
        <v>466</v>
      </c>
      <c r="G3688" s="12" t="s">
        <v>12</v>
      </c>
      <c r="H3688" s="12"/>
      <c r="I3688" s="12"/>
      <c r="J3688" s="12" t="s">
        <v>68</v>
      </c>
      <c r="K3688" s="12"/>
      <c r="L3688" s="12"/>
      <c r="M3688" s="12" t="s">
        <v>467</v>
      </c>
      <c r="N3688" s="12"/>
      <c r="O3688" s="12" t="s">
        <v>468</v>
      </c>
      <c r="P3688" s="12" t="str">
        <f>HYPERLINK("https://ceds.ed.gov/cedselementdetails.aspx?termid=10155")</f>
        <v>https://ceds.ed.gov/cedselementdetails.aspx?termid=10155</v>
      </c>
      <c r="Q3688" s="12" t="str">
        <f>HYPERLINK("https://ceds.ed.gov/elementComment.aspx?elementName=Assessment Asset Content URL &amp;elementID=10155", "Click here to submit comment")</f>
        <v>Click here to submit comment</v>
      </c>
    </row>
    <row r="3689" spans="1:17" ht="330" x14ac:dyDescent="0.25">
      <c r="A3689" s="12" t="s">
        <v>7327</v>
      </c>
      <c r="B3689" s="12" t="s">
        <v>7342</v>
      </c>
      <c r="C3689" s="12"/>
      <c r="D3689" s="12" t="s">
        <v>7172</v>
      </c>
      <c r="E3689" s="12" t="s">
        <v>404</v>
      </c>
      <c r="F3689" s="12" t="s">
        <v>405</v>
      </c>
      <c r="G3689" s="13" t="s">
        <v>6751</v>
      </c>
      <c r="H3689" s="12" t="s">
        <v>6395</v>
      </c>
      <c r="I3689" s="12"/>
      <c r="J3689" s="12"/>
      <c r="K3689" s="12"/>
      <c r="L3689" s="12"/>
      <c r="M3689" s="12" t="s">
        <v>406</v>
      </c>
      <c r="N3689" s="12"/>
      <c r="O3689" s="12" t="s">
        <v>407</v>
      </c>
      <c r="P3689" s="12" t="str">
        <f>HYPERLINK("https://ceds.ed.gov/cedselementdetails.aspx?termid=9021")</f>
        <v>https://ceds.ed.gov/cedselementdetails.aspx?termid=9021</v>
      </c>
      <c r="Q3689" s="12" t="str">
        <f>HYPERLINK("https://ceds.ed.gov/elementComment.aspx?elementName=Assessment Academic Subject &amp;elementID=9021", "Click here to submit comment")</f>
        <v>Click here to submit comment</v>
      </c>
    </row>
    <row r="3690" spans="1:17" ht="360" x14ac:dyDescent="0.25">
      <c r="A3690" s="12" t="s">
        <v>7327</v>
      </c>
      <c r="B3690" s="12" t="s">
        <v>7342</v>
      </c>
      <c r="C3690" s="12"/>
      <c r="D3690" s="12" t="s">
        <v>7172</v>
      </c>
      <c r="E3690" s="12" t="s">
        <v>1003</v>
      </c>
      <c r="F3690" s="12" t="s">
        <v>1004</v>
      </c>
      <c r="G3690" s="13" t="s">
        <v>6767</v>
      </c>
      <c r="H3690" s="12" t="s">
        <v>6411</v>
      </c>
      <c r="I3690" s="12"/>
      <c r="J3690" s="12"/>
      <c r="K3690" s="12"/>
      <c r="L3690" s="12"/>
      <c r="M3690" s="12" t="s">
        <v>1005</v>
      </c>
      <c r="N3690" s="12"/>
      <c r="O3690" s="12" t="s">
        <v>1006</v>
      </c>
      <c r="P3690" s="12" t="str">
        <f>HYPERLINK("https://ceds.ed.gov/cedselementdetails.aspx?termid=9177")</f>
        <v>https://ceds.ed.gov/cedselementdetails.aspx?termid=9177</v>
      </c>
      <c r="Q3690" s="12" t="str">
        <f>HYPERLINK("https://ceds.ed.gov/elementComment.aspx?elementName=Assessment Level for Which Designed &amp;elementID=9177", "Click here to submit comment")</f>
        <v>Click here to submit comment</v>
      </c>
    </row>
    <row r="3691" spans="1:17" ht="90" x14ac:dyDescent="0.25">
      <c r="A3691" s="12" t="s">
        <v>7327</v>
      </c>
      <c r="B3691" s="12" t="s">
        <v>7342</v>
      </c>
      <c r="C3691" s="12"/>
      <c r="D3691" s="12" t="s">
        <v>7172</v>
      </c>
      <c r="E3691" s="12" t="s">
        <v>3631</v>
      </c>
      <c r="F3691" s="12" t="s">
        <v>3632</v>
      </c>
      <c r="G3691" s="14" t="s">
        <v>999</v>
      </c>
      <c r="H3691" s="12" t="s">
        <v>6577</v>
      </c>
      <c r="I3691" s="12" t="s">
        <v>98</v>
      </c>
      <c r="J3691" s="12"/>
      <c r="K3691" s="12"/>
      <c r="L3691" s="14" t="s">
        <v>1000</v>
      </c>
      <c r="M3691" s="12" t="s">
        <v>3633</v>
      </c>
      <c r="N3691" s="12"/>
      <c r="O3691" s="12" t="s">
        <v>3634</v>
      </c>
      <c r="P3691" s="12" t="str">
        <f>HYPERLINK("https://ceds.ed.gov/cedselementdetails.aspx?termid=9317")</f>
        <v>https://ceds.ed.gov/cedselementdetails.aspx?termid=9317</v>
      </c>
      <c r="Q3691" s="12" t="str">
        <f>HYPERLINK("https://ceds.ed.gov/elementComment.aspx?elementName=ISO 639-2 Language Code &amp;elementID=9317", "Click here to submit comment")</f>
        <v>Click here to submit comment</v>
      </c>
    </row>
    <row r="3692" spans="1:17" ht="105" x14ac:dyDescent="0.25">
      <c r="A3692" s="12" t="s">
        <v>7327</v>
      </c>
      <c r="B3692" s="12" t="s">
        <v>7342</v>
      </c>
      <c r="C3692" s="12"/>
      <c r="D3692" s="12" t="s">
        <v>7172</v>
      </c>
      <c r="E3692" s="12" t="s">
        <v>3635</v>
      </c>
      <c r="F3692" s="12" t="s">
        <v>3632</v>
      </c>
      <c r="G3692" s="14" t="s">
        <v>3636</v>
      </c>
      <c r="H3692" s="12"/>
      <c r="I3692" s="12" t="s">
        <v>1498</v>
      </c>
      <c r="J3692" s="12"/>
      <c r="K3692" s="12"/>
      <c r="L3692" s="14" t="s">
        <v>3637</v>
      </c>
      <c r="M3692" s="12" t="s">
        <v>3638</v>
      </c>
      <c r="N3692" s="12"/>
      <c r="O3692" s="12" t="s">
        <v>3639</v>
      </c>
      <c r="P3692" s="12" t="str">
        <f>HYPERLINK("https://ceds.ed.gov/cedselementdetails.aspx?termid=10618")</f>
        <v>https://ceds.ed.gov/cedselementdetails.aspx?termid=10618</v>
      </c>
      <c r="Q3692" s="12" t="str">
        <f>HYPERLINK("https://ceds.ed.gov/elementComment.aspx?elementName=ISO 639-3 Language Code &amp;elementID=10618", "Click here to submit comment")</f>
        <v>Click here to submit comment</v>
      </c>
    </row>
    <row r="3693" spans="1:17" ht="409.5" x14ac:dyDescent="0.25">
      <c r="A3693" s="12" t="s">
        <v>7327</v>
      </c>
      <c r="B3693" s="12" t="s">
        <v>7342</v>
      </c>
      <c r="C3693" s="12"/>
      <c r="D3693" s="12" t="s">
        <v>7172</v>
      </c>
      <c r="E3693" s="12" t="s">
        <v>3640</v>
      </c>
      <c r="F3693" s="12" t="s">
        <v>3641</v>
      </c>
      <c r="G3693" s="13" t="s">
        <v>6983</v>
      </c>
      <c r="H3693" s="12"/>
      <c r="I3693" s="12" t="s">
        <v>1498</v>
      </c>
      <c r="J3693" s="12"/>
      <c r="K3693" s="12"/>
      <c r="L3693" s="14" t="s">
        <v>3642</v>
      </c>
      <c r="M3693" s="12" t="s">
        <v>3643</v>
      </c>
      <c r="N3693" s="12"/>
      <c r="O3693" s="12" t="s">
        <v>3644</v>
      </c>
      <c r="P3693" s="12" t="str">
        <f>HYPERLINK("https://ceds.ed.gov/cedselementdetails.aspx?termid=10619")</f>
        <v>https://ceds.ed.gov/cedselementdetails.aspx?termid=10619</v>
      </c>
      <c r="Q3693" s="12" t="str">
        <f>HYPERLINK("https://ceds.ed.gov/elementComment.aspx?elementName=ISO 639-5 Language Family &amp;elementID=10619", "Click here to submit comment")</f>
        <v>Click here to submit comment</v>
      </c>
    </row>
    <row r="3694" spans="1:17" ht="105" x14ac:dyDescent="0.25">
      <c r="A3694" s="18" t="s">
        <v>7327</v>
      </c>
      <c r="B3694" s="18" t="s">
        <v>7343</v>
      </c>
      <c r="C3694" s="18"/>
      <c r="D3694" s="18" t="s">
        <v>7172</v>
      </c>
      <c r="E3694" s="18" t="s">
        <v>1439</v>
      </c>
      <c r="F3694" s="18" t="s">
        <v>1440</v>
      </c>
      <c r="G3694" s="18" t="s">
        <v>12</v>
      </c>
      <c r="H3694" s="18" t="s">
        <v>6419</v>
      </c>
      <c r="I3694" s="18"/>
      <c r="J3694" s="18" t="s">
        <v>142</v>
      </c>
      <c r="K3694" s="18"/>
      <c r="L3694" s="12" t="s">
        <v>143</v>
      </c>
      <c r="M3694" s="18" t="s">
        <v>1441</v>
      </c>
      <c r="N3694" s="18"/>
      <c r="O3694" s="18" t="s">
        <v>1442</v>
      </c>
      <c r="P3694" s="18" t="str">
        <f>HYPERLINK("https://ceds.ed.gov/cedselementdetails.aspx?termid=9366")</f>
        <v>https://ceds.ed.gov/cedselementdetails.aspx?termid=9366</v>
      </c>
      <c r="Q3694" s="18" t="str">
        <f>HYPERLINK("https://ceds.ed.gov/elementComment.aspx?elementName=Assessment Subtest Identifier &amp;elementID=9366", "Click here to submit comment")</f>
        <v>Click here to submit comment</v>
      </c>
    </row>
    <row r="3695" spans="1:17" x14ac:dyDescent="0.25">
      <c r="A3695" s="18"/>
      <c r="B3695" s="18"/>
      <c r="C3695" s="18"/>
      <c r="D3695" s="18"/>
      <c r="E3695" s="18"/>
      <c r="F3695" s="18"/>
      <c r="G3695" s="18"/>
      <c r="H3695" s="18"/>
      <c r="I3695" s="18"/>
      <c r="J3695" s="18"/>
      <c r="K3695" s="18"/>
      <c r="L3695" s="12"/>
      <c r="M3695" s="18"/>
      <c r="N3695" s="18"/>
      <c r="O3695" s="18"/>
      <c r="P3695" s="18"/>
      <c r="Q3695" s="18"/>
    </row>
    <row r="3696" spans="1:17" ht="90" x14ac:dyDescent="0.25">
      <c r="A3696" s="18"/>
      <c r="B3696" s="18"/>
      <c r="C3696" s="18"/>
      <c r="D3696" s="18"/>
      <c r="E3696" s="18"/>
      <c r="F3696" s="18"/>
      <c r="G3696" s="18"/>
      <c r="H3696" s="18"/>
      <c r="I3696" s="18"/>
      <c r="J3696" s="18"/>
      <c r="K3696" s="18"/>
      <c r="L3696" s="12" t="s">
        <v>144</v>
      </c>
      <c r="M3696" s="18"/>
      <c r="N3696" s="18"/>
      <c r="O3696" s="18"/>
      <c r="P3696" s="18"/>
      <c r="Q3696" s="18"/>
    </row>
    <row r="3697" spans="1:17" ht="75" x14ac:dyDescent="0.25">
      <c r="A3697" s="12" t="s">
        <v>7327</v>
      </c>
      <c r="B3697" s="12" t="s">
        <v>7343</v>
      </c>
      <c r="C3697" s="12"/>
      <c r="D3697" s="12" t="s">
        <v>7172</v>
      </c>
      <c r="E3697" s="12" t="s">
        <v>1443</v>
      </c>
      <c r="F3697" s="12" t="s">
        <v>1444</v>
      </c>
      <c r="G3697" s="13" t="s">
        <v>6795</v>
      </c>
      <c r="H3697" s="12"/>
      <c r="I3697" s="12"/>
      <c r="J3697" s="12"/>
      <c r="K3697" s="12"/>
      <c r="L3697" s="12"/>
      <c r="M3697" s="12" t="s">
        <v>1445</v>
      </c>
      <c r="N3697" s="12"/>
      <c r="O3697" s="12" t="s">
        <v>1446</v>
      </c>
      <c r="P3697" s="12" t="str">
        <f>HYPERLINK("https://ceds.ed.gov/cedselementdetails.aspx?termid=10016")</f>
        <v>https://ceds.ed.gov/cedselementdetails.aspx?termid=10016</v>
      </c>
      <c r="Q3697" s="12" t="str">
        <f>HYPERLINK("https://ceds.ed.gov/elementComment.aspx?elementName=Assessment Subtest Identifier Type &amp;elementID=10016", "Click here to submit comment")</f>
        <v>Click here to submit comment</v>
      </c>
    </row>
    <row r="3698" spans="1:17" ht="165" x14ac:dyDescent="0.25">
      <c r="A3698" s="12" t="s">
        <v>7327</v>
      </c>
      <c r="B3698" s="12" t="s">
        <v>7343</v>
      </c>
      <c r="C3698" s="12"/>
      <c r="D3698" s="12" t="s">
        <v>7172</v>
      </c>
      <c r="E3698" s="12" t="s">
        <v>1468</v>
      </c>
      <c r="F3698" s="12" t="s">
        <v>1469</v>
      </c>
      <c r="G3698" s="12" t="s">
        <v>12</v>
      </c>
      <c r="H3698" s="12" t="s">
        <v>6423</v>
      </c>
      <c r="I3698" s="12"/>
      <c r="J3698" s="12" t="s">
        <v>99</v>
      </c>
      <c r="K3698" s="12"/>
      <c r="L3698" s="12"/>
      <c r="M3698" s="12" t="s">
        <v>1470</v>
      </c>
      <c r="N3698" s="12"/>
      <c r="O3698" s="12" t="s">
        <v>1471</v>
      </c>
      <c r="P3698" s="12" t="str">
        <f>HYPERLINK("https://ceds.ed.gov/cedselementdetails.aspx?termid=9275")</f>
        <v>https://ceds.ed.gov/cedselementdetails.aspx?termid=9275</v>
      </c>
      <c r="Q3698" s="12" t="str">
        <f>HYPERLINK("https://ceds.ed.gov/elementComment.aspx?elementName=Assessment Subtest Title &amp;elementID=9275", "Click here to submit comment")</f>
        <v>Click here to submit comment</v>
      </c>
    </row>
    <row r="3699" spans="1:17" ht="45" x14ac:dyDescent="0.25">
      <c r="A3699" s="12" t="s">
        <v>7327</v>
      </c>
      <c r="B3699" s="12" t="s">
        <v>7343</v>
      </c>
      <c r="C3699" s="12"/>
      <c r="D3699" s="12" t="s">
        <v>7172</v>
      </c>
      <c r="E3699" s="12" t="s">
        <v>1431</v>
      </c>
      <c r="F3699" s="12" t="s">
        <v>1432</v>
      </c>
      <c r="G3699" s="12" t="s">
        <v>12</v>
      </c>
      <c r="H3699" s="12" t="s">
        <v>6422</v>
      </c>
      <c r="I3699" s="12"/>
      <c r="J3699" s="12" t="s">
        <v>92</v>
      </c>
      <c r="K3699" s="12"/>
      <c r="L3699" s="12"/>
      <c r="M3699" s="12" t="s">
        <v>1433</v>
      </c>
      <c r="N3699" s="12"/>
      <c r="O3699" s="12" t="s">
        <v>1434</v>
      </c>
      <c r="P3699" s="12" t="str">
        <f>HYPERLINK("https://ceds.ed.gov/cedselementdetails.aspx?termid=9367")</f>
        <v>https://ceds.ed.gov/cedselementdetails.aspx?termid=9367</v>
      </c>
      <c r="Q3699" s="12" t="str">
        <f>HYPERLINK("https://ceds.ed.gov/elementComment.aspx?elementName=Assessment Subtest Abbreviation &amp;elementID=9367", "Click here to submit comment")</f>
        <v>Click here to submit comment</v>
      </c>
    </row>
    <row r="3700" spans="1:17" ht="150" x14ac:dyDescent="0.25">
      <c r="A3700" s="12" t="s">
        <v>7327</v>
      </c>
      <c r="B3700" s="12" t="s">
        <v>7343</v>
      </c>
      <c r="C3700" s="12"/>
      <c r="D3700" s="12" t="s">
        <v>7172</v>
      </c>
      <c r="E3700" s="12" t="s">
        <v>1435</v>
      </c>
      <c r="F3700" s="12" t="s">
        <v>1436</v>
      </c>
      <c r="G3700" s="12" t="s">
        <v>12</v>
      </c>
      <c r="H3700" s="12" t="s">
        <v>6403</v>
      </c>
      <c r="I3700" s="12"/>
      <c r="J3700" s="12" t="s">
        <v>99</v>
      </c>
      <c r="K3700" s="12"/>
      <c r="L3700" s="12"/>
      <c r="M3700" s="12" t="s">
        <v>1437</v>
      </c>
      <c r="N3700" s="12"/>
      <c r="O3700" s="12" t="s">
        <v>1438</v>
      </c>
      <c r="P3700" s="12" t="str">
        <f>HYPERLINK("https://ceds.ed.gov/cedselementdetails.aspx?termid=9274")</f>
        <v>https://ceds.ed.gov/cedselementdetails.aspx?termid=9274</v>
      </c>
      <c r="Q3700" s="12" t="str">
        <f>HYPERLINK("https://ceds.ed.gov/elementComment.aspx?elementName=Assessment Subtest Description &amp;elementID=9274", "Click here to submit comment")</f>
        <v>Click here to submit comment</v>
      </c>
    </row>
    <row r="3701" spans="1:17" ht="45" x14ac:dyDescent="0.25">
      <c r="A3701" s="12" t="s">
        <v>7327</v>
      </c>
      <c r="B3701" s="12" t="s">
        <v>7343</v>
      </c>
      <c r="C3701" s="12"/>
      <c r="D3701" s="12" t="s">
        <v>7172</v>
      </c>
      <c r="E3701" s="12" t="s">
        <v>1472</v>
      </c>
      <c r="F3701" s="12" t="s">
        <v>1473</v>
      </c>
      <c r="G3701" s="12" t="s">
        <v>12</v>
      </c>
      <c r="H3701" s="12" t="s">
        <v>6419</v>
      </c>
      <c r="I3701" s="12"/>
      <c r="J3701" s="12" t="s">
        <v>92</v>
      </c>
      <c r="K3701" s="12"/>
      <c r="L3701" s="12"/>
      <c r="M3701" s="12" t="s">
        <v>1474</v>
      </c>
      <c r="N3701" s="12"/>
      <c r="O3701" s="12" t="s">
        <v>1475</v>
      </c>
      <c r="P3701" s="12" t="str">
        <f>HYPERLINK("https://ceds.ed.gov/cedselementdetails.aspx?termid=9379")</f>
        <v>https://ceds.ed.gov/cedselementdetails.aspx?termid=9379</v>
      </c>
      <c r="Q3701" s="12" t="str">
        <f>HYPERLINK("https://ceds.ed.gov/elementComment.aspx?elementName=Assessment Subtest Version &amp;elementID=9379", "Click here to submit comment")</f>
        <v>Click here to submit comment</v>
      </c>
    </row>
    <row r="3702" spans="1:17" ht="30" x14ac:dyDescent="0.25">
      <c r="A3702" s="12" t="s">
        <v>7327</v>
      </c>
      <c r="B3702" s="12" t="s">
        <v>7343</v>
      </c>
      <c r="C3702" s="12"/>
      <c r="D3702" s="12" t="s">
        <v>7172</v>
      </c>
      <c r="E3702" s="12" t="s">
        <v>1460</v>
      </c>
      <c r="F3702" s="12" t="s">
        <v>1461</v>
      </c>
      <c r="G3702" s="12" t="s">
        <v>12</v>
      </c>
      <c r="H3702" s="12"/>
      <c r="I3702" s="12"/>
      <c r="J3702" s="12" t="s">
        <v>73</v>
      </c>
      <c r="K3702" s="12"/>
      <c r="L3702" s="12"/>
      <c r="M3702" s="12" t="s">
        <v>1462</v>
      </c>
      <c r="N3702" s="12"/>
      <c r="O3702" s="12" t="s">
        <v>1463</v>
      </c>
      <c r="P3702" s="12" t="str">
        <f>HYPERLINK("https://ceds.ed.gov/cedselementdetails.aspx?termid=10075")</f>
        <v>https://ceds.ed.gov/cedselementdetails.aspx?termid=10075</v>
      </c>
      <c r="Q3702" s="12" t="str">
        <f>HYPERLINK("https://ceds.ed.gov/elementComment.aspx?elementName=Assessment Subtest Published Date &amp;elementID=10075", "Click here to submit comment")</f>
        <v>Click here to submit comment</v>
      </c>
    </row>
    <row r="3703" spans="1:17" ht="45" x14ac:dyDescent="0.25">
      <c r="A3703" s="12" t="s">
        <v>7327</v>
      </c>
      <c r="B3703" s="12" t="s">
        <v>7343</v>
      </c>
      <c r="C3703" s="12"/>
      <c r="D3703" s="12" t="s">
        <v>7172</v>
      </c>
      <c r="E3703" s="12" t="s">
        <v>1451</v>
      </c>
      <c r="F3703" s="12" t="s">
        <v>1452</v>
      </c>
      <c r="G3703" s="12" t="s">
        <v>12</v>
      </c>
      <c r="H3703" s="12" t="s">
        <v>6397</v>
      </c>
      <c r="I3703" s="12"/>
      <c r="J3703" s="12" t="s">
        <v>92</v>
      </c>
      <c r="K3703" s="12"/>
      <c r="L3703" s="12"/>
      <c r="M3703" s="12" t="s">
        <v>1453</v>
      </c>
      <c r="N3703" s="12"/>
      <c r="O3703" s="12" t="s">
        <v>1454</v>
      </c>
      <c r="P3703" s="12" t="str">
        <f>HYPERLINK("https://ceds.ed.gov/cedselementdetails.aspx?termid=9387")</f>
        <v>https://ceds.ed.gov/cedselementdetails.aspx?termid=9387</v>
      </c>
      <c r="Q3703" s="12" t="str">
        <f>HYPERLINK("https://ceds.ed.gov/elementComment.aspx?elementName=Assessment Subtest Minimum Value &amp;elementID=9387", "Click here to submit comment")</f>
        <v>Click here to submit comment</v>
      </c>
    </row>
    <row r="3704" spans="1:17" ht="45" x14ac:dyDescent="0.25">
      <c r="A3704" s="12" t="s">
        <v>7327</v>
      </c>
      <c r="B3704" s="12" t="s">
        <v>7343</v>
      </c>
      <c r="C3704" s="12"/>
      <c r="D3704" s="12" t="s">
        <v>7172</v>
      </c>
      <c r="E3704" s="12" t="s">
        <v>1447</v>
      </c>
      <c r="F3704" s="12" t="s">
        <v>1448</v>
      </c>
      <c r="G3704" s="12" t="s">
        <v>12</v>
      </c>
      <c r="H3704" s="12" t="s">
        <v>6397</v>
      </c>
      <c r="I3704" s="12"/>
      <c r="J3704" s="12" t="s">
        <v>92</v>
      </c>
      <c r="K3704" s="12"/>
      <c r="L3704" s="12"/>
      <c r="M3704" s="12" t="s">
        <v>1449</v>
      </c>
      <c r="N3704" s="12"/>
      <c r="O3704" s="12" t="s">
        <v>1450</v>
      </c>
      <c r="P3704" s="12" t="str">
        <f>HYPERLINK("https://ceds.ed.gov/cedselementdetails.aspx?termid=9388")</f>
        <v>https://ceds.ed.gov/cedselementdetails.aspx?termid=9388</v>
      </c>
      <c r="Q3704" s="12" t="str">
        <f>HYPERLINK("https://ceds.ed.gov/elementComment.aspx?elementName=Assessment Subtest Maximum Value &amp;elementID=9388", "Click here to submit comment")</f>
        <v>Click here to submit comment</v>
      </c>
    </row>
    <row r="3705" spans="1:17" ht="45" x14ac:dyDescent="0.25">
      <c r="A3705" s="12" t="s">
        <v>7327</v>
      </c>
      <c r="B3705" s="12" t="s">
        <v>7343</v>
      </c>
      <c r="C3705" s="12"/>
      <c r="D3705" s="12" t="s">
        <v>7172</v>
      </c>
      <c r="E3705" s="12" t="s">
        <v>1455</v>
      </c>
      <c r="F3705" s="12" t="s">
        <v>1456</v>
      </c>
      <c r="G3705" s="12" t="s">
        <v>12</v>
      </c>
      <c r="H3705" s="12" t="s">
        <v>6409</v>
      </c>
      <c r="I3705" s="12"/>
      <c r="J3705" s="12" t="s">
        <v>92</v>
      </c>
      <c r="K3705" s="12"/>
      <c r="L3705" s="12" t="s">
        <v>1457</v>
      </c>
      <c r="M3705" s="12" t="s">
        <v>1458</v>
      </c>
      <c r="N3705" s="12"/>
      <c r="O3705" s="12" t="s">
        <v>1459</v>
      </c>
      <c r="P3705" s="12" t="str">
        <f>HYPERLINK("https://ceds.ed.gov/cedselementdetails.aspx?termid=9389")</f>
        <v>https://ceds.ed.gov/cedselementdetails.aspx?termid=9389</v>
      </c>
      <c r="Q3705" s="12" t="str">
        <f>HYPERLINK("https://ceds.ed.gov/elementComment.aspx?elementName=Assessment Subtest Optimal Value &amp;elementID=9389", "Click here to submit comment")</f>
        <v>Click here to submit comment</v>
      </c>
    </row>
    <row r="3706" spans="1:17" ht="330" x14ac:dyDescent="0.25">
      <c r="A3706" s="12" t="s">
        <v>7327</v>
      </c>
      <c r="B3706" s="12" t="s">
        <v>7343</v>
      </c>
      <c r="C3706" s="12"/>
      <c r="D3706" s="12" t="s">
        <v>7172</v>
      </c>
      <c r="E3706" s="12" t="s">
        <v>404</v>
      </c>
      <c r="F3706" s="12" t="s">
        <v>405</v>
      </c>
      <c r="G3706" s="13" t="s">
        <v>6751</v>
      </c>
      <c r="H3706" s="12" t="s">
        <v>6395</v>
      </c>
      <c r="I3706" s="12"/>
      <c r="J3706" s="12"/>
      <c r="K3706" s="12"/>
      <c r="L3706" s="12"/>
      <c r="M3706" s="12" t="s">
        <v>406</v>
      </c>
      <c r="N3706" s="12"/>
      <c r="O3706" s="12" t="s">
        <v>407</v>
      </c>
      <c r="P3706" s="12" t="str">
        <f>HYPERLINK("https://ceds.ed.gov/cedselementdetails.aspx?termid=9021")</f>
        <v>https://ceds.ed.gov/cedselementdetails.aspx?termid=9021</v>
      </c>
      <c r="Q3706" s="12" t="str">
        <f>HYPERLINK("https://ceds.ed.gov/elementComment.aspx?elementName=Assessment Academic Subject &amp;elementID=9021", "Click here to submit comment")</f>
        <v>Click here to submit comment</v>
      </c>
    </row>
    <row r="3707" spans="1:17" ht="390" x14ac:dyDescent="0.25">
      <c r="A3707" s="12" t="s">
        <v>7327</v>
      </c>
      <c r="B3707" s="12" t="s">
        <v>7343</v>
      </c>
      <c r="C3707" s="12"/>
      <c r="D3707" s="12" t="s">
        <v>7172</v>
      </c>
      <c r="E3707" s="12" t="s">
        <v>1230</v>
      </c>
      <c r="F3707" s="12" t="s">
        <v>1231</v>
      </c>
      <c r="G3707" s="13" t="s">
        <v>6784</v>
      </c>
      <c r="H3707" s="12" t="s">
        <v>6399</v>
      </c>
      <c r="I3707" s="12"/>
      <c r="J3707" s="12"/>
      <c r="K3707" s="12"/>
      <c r="L3707" s="12" t="s">
        <v>1232</v>
      </c>
      <c r="M3707" s="12" t="s">
        <v>1233</v>
      </c>
      <c r="N3707" s="12"/>
      <c r="O3707" s="12" t="s">
        <v>1234</v>
      </c>
      <c r="P3707" s="12" t="str">
        <f>HYPERLINK("https://ceds.ed.gov/cedselementdetails.aspx?termid=9026")</f>
        <v>https://ceds.ed.gov/cedselementdetails.aspx?termid=9026</v>
      </c>
      <c r="Q3707" s="12" t="str">
        <f>HYPERLINK("https://ceds.ed.gov/elementComment.aspx?elementName=Assessment Purpose &amp;elementID=9026", "Click here to submit comment")</f>
        <v>Click here to submit comment</v>
      </c>
    </row>
    <row r="3708" spans="1:17" ht="409.5" x14ac:dyDescent="0.25">
      <c r="A3708" s="12" t="s">
        <v>7327</v>
      </c>
      <c r="B3708" s="12" t="s">
        <v>7343</v>
      </c>
      <c r="C3708" s="12"/>
      <c r="D3708" s="12" t="s">
        <v>7172</v>
      </c>
      <c r="E3708" s="12" t="s">
        <v>1357</v>
      </c>
      <c r="F3708" s="12" t="s">
        <v>1358</v>
      </c>
      <c r="G3708" s="13" t="s">
        <v>6783</v>
      </c>
      <c r="H3708" s="12" t="s">
        <v>6419</v>
      </c>
      <c r="I3708" s="12"/>
      <c r="J3708" s="12"/>
      <c r="K3708" s="12"/>
      <c r="L3708" s="12"/>
      <c r="M3708" s="12" t="s">
        <v>1359</v>
      </c>
      <c r="N3708" s="12"/>
      <c r="O3708" s="12" t="s">
        <v>1360</v>
      </c>
      <c r="P3708" s="12" t="str">
        <f>HYPERLINK("https://ceds.ed.gov/cedselementdetails.aspx?termid=9368")</f>
        <v>https://ceds.ed.gov/cedselementdetails.aspx?termid=9368</v>
      </c>
      <c r="Q3708" s="12" t="str">
        <f>HYPERLINK("https://ceds.ed.gov/elementComment.aspx?elementName=Assessment Score Metric Type &amp;elementID=9368", "Click here to submit comment")</f>
        <v>Click here to submit comment</v>
      </c>
    </row>
    <row r="3709" spans="1:17" ht="165" x14ac:dyDescent="0.25">
      <c r="A3709" s="12" t="s">
        <v>7327</v>
      </c>
      <c r="B3709" s="12" t="s">
        <v>7343</v>
      </c>
      <c r="C3709" s="12"/>
      <c r="D3709" s="12" t="s">
        <v>7172</v>
      </c>
      <c r="E3709" s="12" t="s">
        <v>503</v>
      </c>
      <c r="F3709" s="12" t="s">
        <v>504</v>
      </c>
      <c r="G3709" s="13" t="s">
        <v>6756</v>
      </c>
      <c r="H3709" s="12" t="s">
        <v>6399</v>
      </c>
      <c r="I3709" s="12"/>
      <c r="J3709" s="12"/>
      <c r="K3709" s="12"/>
      <c r="L3709" s="12"/>
      <c r="M3709" s="12" t="s">
        <v>506</v>
      </c>
      <c r="N3709" s="12"/>
      <c r="O3709" s="12" t="s">
        <v>507</v>
      </c>
      <c r="P3709" s="12" t="str">
        <f>HYPERLINK("https://ceds.ed.gov/cedselementdetails.aspx?termid=9598")</f>
        <v>https://ceds.ed.gov/cedselementdetails.aspx?termid=9598</v>
      </c>
      <c r="Q3709" s="12" t="str">
        <f>HYPERLINK("https://ceds.ed.gov/elementComment.aspx?elementName=Assessment Content Standard Type &amp;elementID=9598", "Click here to submit comment")</f>
        <v>Click here to submit comment</v>
      </c>
    </row>
    <row r="3710" spans="1:17" ht="45" x14ac:dyDescent="0.25">
      <c r="A3710" s="12" t="s">
        <v>7327</v>
      </c>
      <c r="B3710" s="12" t="s">
        <v>7343</v>
      </c>
      <c r="C3710" s="12"/>
      <c r="D3710" s="12" t="s">
        <v>7172</v>
      </c>
      <c r="E3710" s="12" t="s">
        <v>1464</v>
      </c>
      <c r="F3710" s="12" t="s">
        <v>1465</v>
      </c>
      <c r="G3710" s="12" t="s">
        <v>12</v>
      </c>
      <c r="H3710" s="12"/>
      <c r="I3710" s="12"/>
      <c r="J3710" s="12" t="s">
        <v>327</v>
      </c>
      <c r="K3710" s="12"/>
      <c r="L3710" s="12"/>
      <c r="M3710" s="12" t="s">
        <v>1466</v>
      </c>
      <c r="N3710" s="12"/>
      <c r="O3710" s="12" t="s">
        <v>1467</v>
      </c>
      <c r="P3710" s="12" t="str">
        <f>HYPERLINK("https://ceds.ed.gov/cedselementdetails.aspx?termid=9695")</f>
        <v>https://ceds.ed.gov/cedselementdetails.aspx?termid=9695</v>
      </c>
      <c r="Q3710" s="12" t="str">
        <f>HYPERLINK("https://ceds.ed.gov/elementComment.aspx?elementName=Assessment Subtest Rules &amp;elementID=9695", "Click here to submit comment")</f>
        <v>Click here to submit comment</v>
      </c>
    </row>
    <row r="3711" spans="1:17" ht="60" x14ac:dyDescent="0.25">
      <c r="A3711" s="12" t="s">
        <v>7327</v>
      </c>
      <c r="B3711" s="12" t="s">
        <v>7343</v>
      </c>
      <c r="C3711" s="12"/>
      <c r="D3711" s="12" t="s">
        <v>7172</v>
      </c>
      <c r="E3711" s="12" t="s">
        <v>618</v>
      </c>
      <c r="F3711" s="12" t="s">
        <v>619</v>
      </c>
      <c r="G3711" s="12" t="s">
        <v>12</v>
      </c>
      <c r="H3711" s="12"/>
      <c r="I3711" s="12"/>
      <c r="J3711" s="12" t="s">
        <v>620</v>
      </c>
      <c r="K3711" s="12"/>
      <c r="L3711" s="12"/>
      <c r="M3711" s="12" t="s">
        <v>621</v>
      </c>
      <c r="N3711" s="12"/>
      <c r="O3711" s="12" t="s">
        <v>622</v>
      </c>
      <c r="P3711" s="12" t="str">
        <f>HYPERLINK("https://ceds.ed.gov/cedselementdetails.aspx?termid=10180")</f>
        <v>https://ceds.ed.gov/cedselementdetails.aspx?termid=10180</v>
      </c>
      <c r="Q3711" s="12" t="str">
        <f>HYPERLINK("https://ceds.ed.gov/elementComment.aspx?elementName=Assessment Form Subtest Tier &amp;elementID=10180", "Click here to submit comment")</f>
        <v>Click here to submit comment</v>
      </c>
    </row>
    <row r="3712" spans="1:17" ht="60" x14ac:dyDescent="0.25">
      <c r="A3712" s="12" t="s">
        <v>7327</v>
      </c>
      <c r="B3712" s="12" t="s">
        <v>7343</v>
      </c>
      <c r="C3712" s="12"/>
      <c r="D3712" s="12" t="s">
        <v>7172</v>
      </c>
      <c r="E3712" s="12" t="s">
        <v>601</v>
      </c>
      <c r="F3712" s="12" t="s">
        <v>602</v>
      </c>
      <c r="G3712" s="12" t="s">
        <v>6364</v>
      </c>
      <c r="H3712" s="12"/>
      <c r="I3712" s="12"/>
      <c r="J3712" s="12"/>
      <c r="K3712" s="12"/>
      <c r="L3712" s="12"/>
      <c r="M3712" s="12" t="s">
        <v>603</v>
      </c>
      <c r="N3712" s="12"/>
      <c r="O3712" s="12" t="s">
        <v>604</v>
      </c>
      <c r="P3712" s="12" t="str">
        <f>HYPERLINK("https://ceds.ed.gov/cedselementdetails.aspx?termid=10181")</f>
        <v>https://ceds.ed.gov/cedselementdetails.aspx?termid=10181</v>
      </c>
      <c r="Q3712" s="12" t="str">
        <f>HYPERLINK("https://ceds.ed.gov/elementComment.aspx?elementName=Assessment Form Subtest Container Only &amp;elementID=10181", "Click here to submit comment")</f>
        <v>Click here to submit comment</v>
      </c>
    </row>
    <row r="3713" spans="1:17" ht="360" x14ac:dyDescent="0.25">
      <c r="A3713" s="12" t="s">
        <v>7327</v>
      </c>
      <c r="B3713" s="12" t="s">
        <v>7343</v>
      </c>
      <c r="C3713" s="12"/>
      <c r="D3713" s="12" t="s">
        <v>7172</v>
      </c>
      <c r="E3713" s="12" t="s">
        <v>1003</v>
      </c>
      <c r="F3713" s="12" t="s">
        <v>1004</v>
      </c>
      <c r="G3713" s="13" t="s">
        <v>6767</v>
      </c>
      <c r="H3713" s="12" t="s">
        <v>6411</v>
      </c>
      <c r="I3713" s="12"/>
      <c r="J3713" s="12"/>
      <c r="K3713" s="12"/>
      <c r="L3713" s="12"/>
      <c r="M3713" s="12" t="s">
        <v>1005</v>
      </c>
      <c r="N3713" s="12"/>
      <c r="O3713" s="12" t="s">
        <v>1006</v>
      </c>
      <c r="P3713" s="12" t="str">
        <f>HYPERLINK("https://ceds.ed.gov/cedselementdetails.aspx?termid=9177")</f>
        <v>https://ceds.ed.gov/cedselementdetails.aspx?termid=9177</v>
      </c>
      <c r="Q3713" s="12" t="str">
        <f>HYPERLINK("https://ceds.ed.gov/elementComment.aspx?elementName=Assessment Level for Which Designed &amp;elementID=9177", "Click here to submit comment")</f>
        <v>Click here to submit comment</v>
      </c>
    </row>
    <row r="3714" spans="1:17" ht="60" x14ac:dyDescent="0.25">
      <c r="A3714" s="18" t="s">
        <v>7327</v>
      </c>
      <c r="B3714" s="18" t="s">
        <v>7343</v>
      </c>
      <c r="C3714" s="18"/>
      <c r="D3714" s="18" t="s">
        <v>7176</v>
      </c>
      <c r="E3714" s="18" t="s">
        <v>508</v>
      </c>
      <c r="F3714" s="18" t="s">
        <v>509</v>
      </c>
      <c r="G3714" s="20" t="s">
        <v>6757</v>
      </c>
      <c r="H3714" s="18" t="s">
        <v>6401</v>
      </c>
      <c r="I3714" s="18" t="s">
        <v>98</v>
      </c>
      <c r="J3714" s="18"/>
      <c r="K3714" s="18"/>
      <c r="L3714" s="12" t="s">
        <v>510</v>
      </c>
      <c r="M3714" s="18" t="s">
        <v>515</v>
      </c>
      <c r="N3714" s="18"/>
      <c r="O3714" s="18" t="s">
        <v>516</v>
      </c>
      <c r="P3714" s="18" t="str">
        <f>HYPERLINK("https://ceds.ed.gov/cedselementdetails.aspx?termid=10003")</f>
        <v>https://ceds.ed.gov/cedselementdetails.aspx?termid=10003</v>
      </c>
      <c r="Q3714" s="18" t="str">
        <f>HYPERLINK("https://ceds.ed.gov/elementComment.aspx?elementName=Assessment Early Learning Developmental Domain &amp;elementID=10003", "Click here to submit comment")</f>
        <v>Click here to submit comment</v>
      </c>
    </row>
    <row r="3715" spans="1:17" x14ac:dyDescent="0.25">
      <c r="A3715" s="18"/>
      <c r="B3715" s="18"/>
      <c r="C3715" s="18"/>
      <c r="D3715" s="18"/>
      <c r="E3715" s="18"/>
      <c r="F3715" s="18"/>
      <c r="G3715" s="18"/>
      <c r="H3715" s="18"/>
      <c r="I3715" s="18"/>
      <c r="J3715" s="18"/>
      <c r="K3715" s="18"/>
      <c r="L3715" s="12"/>
      <c r="M3715" s="18"/>
      <c r="N3715" s="18"/>
      <c r="O3715" s="18"/>
      <c r="P3715" s="18"/>
      <c r="Q3715" s="18"/>
    </row>
    <row r="3716" spans="1:17" ht="30" x14ac:dyDescent="0.25">
      <c r="A3716" s="18"/>
      <c r="B3716" s="18"/>
      <c r="C3716" s="18"/>
      <c r="D3716" s="18"/>
      <c r="E3716" s="18"/>
      <c r="F3716" s="18"/>
      <c r="G3716" s="18"/>
      <c r="H3716" s="18"/>
      <c r="I3716" s="18"/>
      <c r="J3716" s="18"/>
      <c r="K3716" s="18"/>
      <c r="L3716" s="12" t="s">
        <v>511</v>
      </c>
      <c r="M3716" s="18"/>
      <c r="N3716" s="18"/>
      <c r="O3716" s="18"/>
      <c r="P3716" s="18"/>
      <c r="Q3716" s="18"/>
    </row>
    <row r="3717" spans="1:17" ht="45" x14ac:dyDescent="0.25">
      <c r="A3717" s="18"/>
      <c r="B3717" s="18"/>
      <c r="C3717" s="18"/>
      <c r="D3717" s="18"/>
      <c r="E3717" s="18"/>
      <c r="F3717" s="18"/>
      <c r="G3717" s="18"/>
      <c r="H3717" s="18"/>
      <c r="I3717" s="18"/>
      <c r="J3717" s="18"/>
      <c r="K3717" s="18"/>
      <c r="L3717" s="12" t="s">
        <v>512</v>
      </c>
      <c r="M3717" s="18"/>
      <c r="N3717" s="18"/>
      <c r="O3717" s="18"/>
      <c r="P3717" s="18"/>
      <c r="Q3717" s="18"/>
    </row>
    <row r="3718" spans="1:17" ht="75" x14ac:dyDescent="0.25">
      <c r="A3718" s="18"/>
      <c r="B3718" s="18"/>
      <c r="C3718" s="18"/>
      <c r="D3718" s="18"/>
      <c r="E3718" s="18"/>
      <c r="F3718" s="18"/>
      <c r="G3718" s="18"/>
      <c r="H3718" s="18"/>
      <c r="I3718" s="18"/>
      <c r="J3718" s="18"/>
      <c r="K3718" s="18"/>
      <c r="L3718" s="12" t="s">
        <v>513</v>
      </c>
      <c r="M3718" s="18"/>
      <c r="N3718" s="18"/>
      <c r="O3718" s="18"/>
      <c r="P3718" s="18"/>
      <c r="Q3718" s="18"/>
    </row>
    <row r="3719" spans="1:17" x14ac:dyDescent="0.25">
      <c r="A3719" s="18"/>
      <c r="B3719" s="18"/>
      <c r="C3719" s="18"/>
      <c r="D3719" s="18"/>
      <c r="E3719" s="18"/>
      <c r="F3719" s="18"/>
      <c r="G3719" s="18"/>
      <c r="H3719" s="18"/>
      <c r="I3719" s="18"/>
      <c r="J3719" s="18"/>
      <c r="K3719" s="18"/>
      <c r="L3719" s="12"/>
      <c r="M3719" s="18"/>
      <c r="N3719" s="18"/>
      <c r="O3719" s="18"/>
      <c r="P3719" s="18"/>
      <c r="Q3719" s="18"/>
    </row>
    <row r="3720" spans="1:17" ht="105" x14ac:dyDescent="0.25">
      <c r="A3720" s="18"/>
      <c r="B3720" s="18"/>
      <c r="C3720" s="18"/>
      <c r="D3720" s="18"/>
      <c r="E3720" s="18"/>
      <c r="F3720" s="18"/>
      <c r="G3720" s="18"/>
      <c r="H3720" s="18"/>
      <c r="I3720" s="18"/>
      <c r="J3720" s="18"/>
      <c r="K3720" s="18"/>
      <c r="L3720" s="12" t="s">
        <v>514</v>
      </c>
      <c r="M3720" s="18"/>
      <c r="N3720" s="18"/>
      <c r="O3720" s="18"/>
      <c r="P3720" s="18"/>
      <c r="Q3720" s="18"/>
    </row>
    <row r="3721" spans="1:17" ht="105" x14ac:dyDescent="0.25">
      <c r="A3721" s="18" t="s">
        <v>7327</v>
      </c>
      <c r="B3721" s="18" t="s">
        <v>7343</v>
      </c>
      <c r="C3721" s="18" t="s">
        <v>7361</v>
      </c>
      <c r="D3721" s="18" t="s">
        <v>7176</v>
      </c>
      <c r="E3721" s="18" t="s">
        <v>1195</v>
      </c>
      <c r="F3721" s="18" t="s">
        <v>1196</v>
      </c>
      <c r="G3721" s="18" t="s">
        <v>12</v>
      </c>
      <c r="H3721" s="18" t="s">
        <v>827</v>
      </c>
      <c r="I3721" s="18"/>
      <c r="J3721" s="18" t="s">
        <v>142</v>
      </c>
      <c r="K3721" s="18"/>
      <c r="L3721" s="12" t="s">
        <v>143</v>
      </c>
      <c r="M3721" s="18" t="s">
        <v>1197</v>
      </c>
      <c r="N3721" s="18"/>
      <c r="O3721" s="18" t="s">
        <v>1198</v>
      </c>
      <c r="P3721" s="18" t="str">
        <f>HYPERLINK("https://ceds.ed.gov/cedselementdetails.aspx?termid=9693")</f>
        <v>https://ceds.ed.gov/cedselementdetails.aspx?termid=9693</v>
      </c>
      <c r="Q3721" s="18" t="str">
        <f>HYPERLINK("https://ceds.ed.gov/elementComment.aspx?elementName=Assessment Performance Level Identifier &amp;elementID=9693", "Click here to submit comment")</f>
        <v>Click here to submit comment</v>
      </c>
    </row>
    <row r="3722" spans="1:17" x14ac:dyDescent="0.25">
      <c r="A3722" s="18"/>
      <c r="B3722" s="18"/>
      <c r="C3722" s="18"/>
      <c r="D3722" s="18"/>
      <c r="E3722" s="18"/>
      <c r="F3722" s="18"/>
      <c r="G3722" s="18"/>
      <c r="H3722" s="18"/>
      <c r="I3722" s="18"/>
      <c r="J3722" s="18"/>
      <c r="K3722" s="18"/>
      <c r="L3722" s="12"/>
      <c r="M3722" s="18"/>
      <c r="N3722" s="18"/>
      <c r="O3722" s="18"/>
      <c r="P3722" s="18"/>
      <c r="Q3722" s="18"/>
    </row>
    <row r="3723" spans="1:17" ht="90" x14ac:dyDescent="0.25">
      <c r="A3723" s="18"/>
      <c r="B3723" s="18"/>
      <c r="C3723" s="18"/>
      <c r="D3723" s="18"/>
      <c r="E3723" s="18"/>
      <c r="F3723" s="18"/>
      <c r="G3723" s="18"/>
      <c r="H3723" s="18"/>
      <c r="I3723" s="18"/>
      <c r="J3723" s="18"/>
      <c r="K3723" s="18"/>
      <c r="L3723" s="12" t="s">
        <v>144</v>
      </c>
      <c r="M3723" s="18"/>
      <c r="N3723" s="18"/>
      <c r="O3723" s="18"/>
      <c r="P3723" s="18"/>
      <c r="Q3723" s="18"/>
    </row>
    <row r="3724" spans="1:17" ht="30" x14ac:dyDescent="0.25">
      <c r="A3724" s="12" t="s">
        <v>7327</v>
      </c>
      <c r="B3724" s="12" t="s">
        <v>7343</v>
      </c>
      <c r="C3724" s="12" t="s">
        <v>7361</v>
      </c>
      <c r="D3724" s="12" t="s">
        <v>7176</v>
      </c>
      <c r="E3724" s="12" t="s">
        <v>1199</v>
      </c>
      <c r="F3724" s="12" t="s">
        <v>1200</v>
      </c>
      <c r="G3724" s="12" t="s">
        <v>12</v>
      </c>
      <c r="H3724" s="12" t="s">
        <v>827</v>
      </c>
      <c r="I3724" s="12"/>
      <c r="J3724" s="12" t="s">
        <v>1201</v>
      </c>
      <c r="K3724" s="12"/>
      <c r="L3724" s="12"/>
      <c r="M3724" s="12" t="s">
        <v>1202</v>
      </c>
      <c r="N3724" s="12"/>
      <c r="O3724" s="12" t="s">
        <v>1203</v>
      </c>
      <c r="P3724" s="12" t="str">
        <f>HYPERLINK("https://ceds.ed.gov/cedselementdetails.aspx?termid=9694")</f>
        <v>https://ceds.ed.gov/cedselementdetails.aspx?termid=9694</v>
      </c>
      <c r="Q3724" s="12" t="str">
        <f>HYPERLINK("https://ceds.ed.gov/elementComment.aspx?elementName=Assessment Performance Level Label &amp;elementID=9694", "Click here to submit comment")</f>
        <v>Click here to submit comment</v>
      </c>
    </row>
    <row r="3725" spans="1:17" ht="45" x14ac:dyDescent="0.25">
      <c r="A3725" s="12" t="s">
        <v>7327</v>
      </c>
      <c r="B3725" s="12" t="s">
        <v>7343</v>
      </c>
      <c r="C3725" s="12" t="s">
        <v>7361</v>
      </c>
      <c r="D3725" s="12" t="s">
        <v>7176</v>
      </c>
      <c r="E3725" s="12" t="s">
        <v>1204</v>
      </c>
      <c r="F3725" s="12" t="s">
        <v>1205</v>
      </c>
      <c r="G3725" s="12" t="s">
        <v>12</v>
      </c>
      <c r="H3725" s="12" t="s">
        <v>6397</v>
      </c>
      <c r="I3725" s="12"/>
      <c r="J3725" s="12" t="s">
        <v>92</v>
      </c>
      <c r="K3725" s="12"/>
      <c r="L3725" s="12"/>
      <c r="M3725" s="12" t="s">
        <v>1206</v>
      </c>
      <c r="N3725" s="12"/>
      <c r="O3725" s="12" t="s">
        <v>1207</v>
      </c>
      <c r="P3725" s="12" t="str">
        <f>HYPERLINK("https://ceds.ed.gov/cedselementdetails.aspx?termid=9408")</f>
        <v>https://ceds.ed.gov/cedselementdetails.aspx?termid=9408</v>
      </c>
      <c r="Q3725" s="12" t="str">
        <f>HYPERLINK("https://ceds.ed.gov/elementComment.aspx?elementName=Assessment Performance Level Lower Cut Score &amp;elementID=9408", "Click here to submit comment")</f>
        <v>Click here to submit comment</v>
      </c>
    </row>
    <row r="3726" spans="1:17" ht="409.5" x14ac:dyDescent="0.25">
      <c r="A3726" s="12" t="s">
        <v>7327</v>
      </c>
      <c r="B3726" s="12" t="s">
        <v>7343</v>
      </c>
      <c r="C3726" s="12" t="s">
        <v>7361</v>
      </c>
      <c r="D3726" s="12" t="s">
        <v>7176</v>
      </c>
      <c r="E3726" s="12" t="s">
        <v>1208</v>
      </c>
      <c r="F3726" s="12" t="s">
        <v>1209</v>
      </c>
      <c r="G3726" s="13" t="s">
        <v>6783</v>
      </c>
      <c r="H3726" s="12" t="s">
        <v>6397</v>
      </c>
      <c r="I3726" s="12"/>
      <c r="J3726" s="12" t="s">
        <v>92</v>
      </c>
      <c r="K3726" s="12"/>
      <c r="L3726" s="12"/>
      <c r="M3726" s="12" t="s">
        <v>1210</v>
      </c>
      <c r="N3726" s="12"/>
      <c r="O3726" s="12" t="s">
        <v>1211</v>
      </c>
      <c r="P3726" s="12" t="str">
        <f>HYPERLINK("https://ceds.ed.gov/cedselementdetails.aspx?termid=9407")</f>
        <v>https://ceds.ed.gov/cedselementdetails.aspx?termid=9407</v>
      </c>
      <c r="Q3726" s="12" t="str">
        <f>HYPERLINK("https://ceds.ed.gov/elementComment.aspx?elementName=Assessment Performance Level Score Metric &amp;elementID=9407", "Click here to submit comment")</f>
        <v>Click here to submit comment</v>
      </c>
    </row>
    <row r="3727" spans="1:17" ht="45" x14ac:dyDescent="0.25">
      <c r="A3727" s="12" t="s">
        <v>7327</v>
      </c>
      <c r="B3727" s="12" t="s">
        <v>7343</v>
      </c>
      <c r="C3727" s="12" t="s">
        <v>7361</v>
      </c>
      <c r="D3727" s="12" t="s">
        <v>7176</v>
      </c>
      <c r="E3727" s="12" t="s">
        <v>1212</v>
      </c>
      <c r="F3727" s="12" t="s">
        <v>1213</v>
      </c>
      <c r="G3727" s="12" t="s">
        <v>12</v>
      </c>
      <c r="H3727" s="12" t="s">
        <v>6397</v>
      </c>
      <c r="I3727" s="12"/>
      <c r="J3727" s="12" t="s">
        <v>92</v>
      </c>
      <c r="K3727" s="12"/>
      <c r="L3727" s="12"/>
      <c r="M3727" s="12" t="s">
        <v>1214</v>
      </c>
      <c r="N3727" s="12"/>
      <c r="O3727" s="12" t="s">
        <v>1215</v>
      </c>
      <c r="P3727" s="12" t="str">
        <f>HYPERLINK("https://ceds.ed.gov/cedselementdetails.aspx?termid=9409")</f>
        <v>https://ceds.ed.gov/cedselementdetails.aspx?termid=9409</v>
      </c>
      <c r="Q3727" s="12" t="str">
        <f>HYPERLINK("https://ceds.ed.gov/elementComment.aspx?elementName=Assessment Performance Level Upper Cut Score &amp;elementID=9409", "Click here to submit comment")</f>
        <v>Click here to submit comment</v>
      </c>
    </row>
    <row r="3728" spans="1:17" ht="45" x14ac:dyDescent="0.25">
      <c r="A3728" s="12" t="s">
        <v>7327</v>
      </c>
      <c r="B3728" s="12" t="s">
        <v>7343</v>
      </c>
      <c r="C3728" s="12" t="s">
        <v>7361</v>
      </c>
      <c r="D3728" s="12" t="s">
        <v>7176</v>
      </c>
      <c r="E3728" s="12" t="s">
        <v>1191</v>
      </c>
      <c r="F3728" s="12" t="s">
        <v>1192</v>
      </c>
      <c r="G3728" s="12" t="s">
        <v>12</v>
      </c>
      <c r="H3728" s="12"/>
      <c r="I3728" s="12"/>
      <c r="J3728" s="12" t="s">
        <v>327</v>
      </c>
      <c r="K3728" s="12"/>
      <c r="L3728" s="12"/>
      <c r="M3728" s="12" t="s">
        <v>1193</v>
      </c>
      <c r="N3728" s="12"/>
      <c r="O3728" s="12" t="s">
        <v>1194</v>
      </c>
      <c r="P3728" s="12" t="str">
        <f>HYPERLINK("https://ceds.ed.gov/cedselementdetails.aspx?termid=10184")</f>
        <v>https://ceds.ed.gov/cedselementdetails.aspx?termid=10184</v>
      </c>
      <c r="Q3728" s="12" t="str">
        <f>HYPERLINK("https://ceds.ed.gov/elementComment.aspx?elementName=Assessment Performance Level Descriptive Feedback &amp;elementID=10184", "Click here to submit comment")</f>
        <v>Click here to submit comment</v>
      </c>
    </row>
    <row r="3729" spans="1:17" ht="60" x14ac:dyDescent="0.25">
      <c r="A3729" s="12" t="s">
        <v>7327</v>
      </c>
      <c r="B3729" s="12" t="s">
        <v>7344</v>
      </c>
      <c r="C3729" s="12"/>
      <c r="D3729" s="12" t="s">
        <v>7172</v>
      </c>
      <c r="E3729" s="12" t="s">
        <v>1334</v>
      </c>
      <c r="F3729" s="12" t="s">
        <v>1335</v>
      </c>
      <c r="G3729" s="13" t="s">
        <v>6790</v>
      </c>
      <c r="H3729" s="12" t="s">
        <v>6416</v>
      </c>
      <c r="I3729" s="12"/>
      <c r="J3729" s="12"/>
      <c r="K3729" s="12"/>
      <c r="L3729" s="12"/>
      <c r="M3729" s="12" t="s">
        <v>1336</v>
      </c>
      <c r="N3729" s="12"/>
      <c r="O3729" s="12" t="s">
        <v>1337</v>
      </c>
      <c r="P3729" s="12" t="str">
        <f>HYPERLINK("https://ceds.ed.gov/cedselementdetails.aspx?termid=9564")</f>
        <v>https://ceds.ed.gov/cedselementdetails.aspx?termid=9564</v>
      </c>
      <c r="Q3729" s="12" t="str">
        <f>HYPERLINK("https://ceds.ed.gov/elementComment.aspx?elementName=Assessment Result Pretest Outcome &amp;elementID=9564", "Click here to submit comment")</f>
        <v>Click here to submit comment</v>
      </c>
    </row>
    <row r="3730" spans="1:17" ht="210" x14ac:dyDescent="0.25">
      <c r="A3730" s="12" t="s">
        <v>7327</v>
      </c>
      <c r="B3730" s="12" t="s">
        <v>7344</v>
      </c>
      <c r="C3730" s="12"/>
      <c r="D3730" s="12" t="s">
        <v>7172</v>
      </c>
      <c r="E3730" s="12" t="s">
        <v>1347</v>
      </c>
      <c r="F3730" s="12" t="s">
        <v>1348</v>
      </c>
      <c r="G3730" s="12" t="s">
        <v>12</v>
      </c>
      <c r="H3730" s="12" t="s">
        <v>6417</v>
      </c>
      <c r="I3730" s="12"/>
      <c r="J3730" s="12" t="s">
        <v>1349</v>
      </c>
      <c r="K3730" s="12"/>
      <c r="L3730" s="12" t="s">
        <v>1350</v>
      </c>
      <c r="M3730" s="12" t="s">
        <v>1351</v>
      </c>
      <c r="N3730" s="12"/>
      <c r="O3730" s="12" t="s">
        <v>1352</v>
      </c>
      <c r="P3730" s="12" t="str">
        <f>HYPERLINK("https://ceds.ed.gov/cedselementdetails.aspx?termid=9245")</f>
        <v>https://ceds.ed.gov/cedselementdetails.aspx?termid=9245</v>
      </c>
      <c r="Q3730" s="12" t="str">
        <f>HYPERLINK("https://ceds.ed.gov/elementComment.aspx?elementName=Assessment Result Score Value &amp;elementID=9245", "Click here to submit comment")</f>
        <v>Click here to submit comment</v>
      </c>
    </row>
    <row r="3731" spans="1:17" ht="409.5" x14ac:dyDescent="0.25">
      <c r="A3731" s="12" t="s">
        <v>7327</v>
      </c>
      <c r="B3731" s="12" t="s">
        <v>7344</v>
      </c>
      <c r="C3731" s="12"/>
      <c r="D3731" s="12" t="s">
        <v>7172</v>
      </c>
      <c r="E3731" s="12" t="s">
        <v>1357</v>
      </c>
      <c r="F3731" s="12" t="s">
        <v>1358</v>
      </c>
      <c r="G3731" s="13" t="s">
        <v>6783</v>
      </c>
      <c r="H3731" s="12" t="s">
        <v>6419</v>
      </c>
      <c r="I3731" s="12"/>
      <c r="J3731" s="12"/>
      <c r="K3731" s="12"/>
      <c r="L3731" s="12"/>
      <c r="M3731" s="12" t="s">
        <v>1359</v>
      </c>
      <c r="N3731" s="12"/>
      <c r="O3731" s="12" t="s">
        <v>1360</v>
      </c>
      <c r="P3731" s="12" t="str">
        <f>HYPERLINK("https://ceds.ed.gov/cedselementdetails.aspx?termid=9368")</f>
        <v>https://ceds.ed.gov/cedselementdetails.aspx?termid=9368</v>
      </c>
      <c r="Q3731" s="12" t="str">
        <f>HYPERLINK("https://ceds.ed.gov/elementComment.aspx?elementName=Assessment Score Metric Type &amp;elementID=9368", "Click here to submit comment")</f>
        <v>Click here to submit comment</v>
      </c>
    </row>
    <row r="3732" spans="1:17" ht="75" x14ac:dyDescent="0.25">
      <c r="A3732" s="12" t="s">
        <v>7327</v>
      </c>
      <c r="B3732" s="12" t="s">
        <v>7344</v>
      </c>
      <c r="C3732" s="12"/>
      <c r="D3732" s="12" t="s">
        <v>7172</v>
      </c>
      <c r="E3732" s="12" t="s">
        <v>1305</v>
      </c>
      <c r="F3732" s="12" t="s">
        <v>1306</v>
      </c>
      <c r="G3732" s="12" t="s">
        <v>12</v>
      </c>
      <c r="H3732" s="12" t="s">
        <v>827</v>
      </c>
      <c r="I3732" s="12"/>
      <c r="J3732" s="12" t="s">
        <v>68</v>
      </c>
      <c r="K3732" s="12"/>
      <c r="L3732" s="12"/>
      <c r="M3732" s="12" t="s">
        <v>1307</v>
      </c>
      <c r="N3732" s="12"/>
      <c r="O3732" s="12" t="s">
        <v>1308</v>
      </c>
      <c r="P3732" s="12" t="str">
        <f>HYPERLINK("https://ceds.ed.gov/cedselementdetails.aspx?termid=9890")</f>
        <v>https://ceds.ed.gov/cedselementdetails.aspx?termid=9890</v>
      </c>
      <c r="Q3732" s="12" t="str">
        <f>HYPERLINK("https://ceds.ed.gov/elementComment.aspx?elementName=Assessment Result Descriptive Feedback &amp;elementID=9890", "Click here to submit comment")</f>
        <v>Click here to submit comment</v>
      </c>
    </row>
    <row r="3733" spans="1:17" ht="135" x14ac:dyDescent="0.25">
      <c r="A3733" s="12" t="s">
        <v>7327</v>
      </c>
      <c r="B3733" s="12" t="s">
        <v>7344</v>
      </c>
      <c r="C3733" s="12"/>
      <c r="D3733" s="12" t="s">
        <v>7172</v>
      </c>
      <c r="E3733" s="12" t="s">
        <v>1300</v>
      </c>
      <c r="F3733" s="12" t="s">
        <v>1301</v>
      </c>
      <c r="G3733" s="12" t="s">
        <v>12</v>
      </c>
      <c r="H3733" s="12"/>
      <c r="I3733" s="12"/>
      <c r="J3733" s="12" t="s">
        <v>73</v>
      </c>
      <c r="K3733" s="12"/>
      <c r="L3733" s="12" t="s">
        <v>1302</v>
      </c>
      <c r="M3733" s="12" t="s">
        <v>1303</v>
      </c>
      <c r="N3733" s="12"/>
      <c r="O3733" s="12" t="s">
        <v>1304</v>
      </c>
      <c r="P3733" s="12" t="str">
        <f>HYPERLINK("https://ceds.ed.gov/cedselementdetails.aspx?termid=9971")</f>
        <v>https://ceds.ed.gov/cedselementdetails.aspx?termid=9971</v>
      </c>
      <c r="Q3733" s="12" t="str">
        <f>HYPERLINK("https://ceds.ed.gov/elementComment.aspx?elementName=Assessment Result Date Updated &amp;elementID=9971", "Click here to submit comment")</f>
        <v>Click here to submit comment</v>
      </c>
    </row>
    <row r="3734" spans="1:17" ht="30" x14ac:dyDescent="0.25">
      <c r="A3734" s="12" t="s">
        <v>7327</v>
      </c>
      <c r="B3734" s="12" t="s">
        <v>7344</v>
      </c>
      <c r="C3734" s="12"/>
      <c r="D3734" s="12" t="s">
        <v>7172</v>
      </c>
      <c r="E3734" s="12" t="s">
        <v>1296</v>
      </c>
      <c r="F3734" s="12" t="s">
        <v>1297</v>
      </c>
      <c r="G3734" s="12" t="s">
        <v>12</v>
      </c>
      <c r="H3734" s="12"/>
      <c r="I3734" s="12"/>
      <c r="J3734" s="12" t="s">
        <v>73</v>
      </c>
      <c r="K3734" s="12"/>
      <c r="L3734" s="12"/>
      <c r="M3734" s="12" t="s">
        <v>1298</v>
      </c>
      <c r="N3734" s="12"/>
      <c r="O3734" s="12" t="s">
        <v>1299</v>
      </c>
      <c r="P3734" s="12" t="str">
        <f>HYPERLINK("https://ceds.ed.gov/cedselementdetails.aspx?termid=9972")</f>
        <v>https://ceds.ed.gov/cedselementdetails.aspx?termid=9972</v>
      </c>
      <c r="Q3734" s="12" t="str">
        <f>HYPERLINK("https://ceds.ed.gov/elementComment.aspx?elementName=Assessment Result Date Created &amp;elementID=9972", "Click here to submit comment")</f>
        <v>Click here to submit comment</v>
      </c>
    </row>
    <row r="3735" spans="1:17" ht="75" x14ac:dyDescent="0.25">
      <c r="A3735" s="12" t="s">
        <v>7327</v>
      </c>
      <c r="B3735" s="12" t="s">
        <v>7344</v>
      </c>
      <c r="C3735" s="12"/>
      <c r="D3735" s="12" t="s">
        <v>7172</v>
      </c>
      <c r="E3735" s="12" t="s">
        <v>1330</v>
      </c>
      <c r="F3735" s="12" t="s">
        <v>1331</v>
      </c>
      <c r="G3735" s="12" t="s">
        <v>6364</v>
      </c>
      <c r="H3735" s="12"/>
      <c r="I3735" s="12"/>
      <c r="J3735" s="12"/>
      <c r="K3735" s="12"/>
      <c r="L3735" s="12"/>
      <c r="M3735" s="12" t="s">
        <v>1332</v>
      </c>
      <c r="N3735" s="12"/>
      <c r="O3735" s="12" t="s">
        <v>1333</v>
      </c>
      <c r="P3735" s="12" t="str">
        <f>HYPERLINK("https://ceds.ed.gov/cedselementdetails.aspx?termid=10010")</f>
        <v>https://ceds.ed.gov/cedselementdetails.aspx?termid=10010</v>
      </c>
      <c r="Q3735" s="12" t="str">
        <f>HYPERLINK("https://ceds.ed.gov/elementComment.aspx?elementName=Assessment Result Preliminary Indicator &amp;elementID=10010", "Click here to submit comment")</f>
        <v>Click here to submit comment</v>
      </c>
    </row>
    <row r="3736" spans="1:17" ht="60" x14ac:dyDescent="0.25">
      <c r="A3736" s="12" t="s">
        <v>7327</v>
      </c>
      <c r="B3736" s="12" t="s">
        <v>7344</v>
      </c>
      <c r="C3736" s="12"/>
      <c r="D3736" s="12" t="s">
        <v>7172</v>
      </c>
      <c r="E3736" s="12" t="s">
        <v>2317</v>
      </c>
      <c r="F3736" s="12" t="s">
        <v>2318</v>
      </c>
      <c r="G3736" s="12" t="s">
        <v>12</v>
      </c>
      <c r="H3736" s="12"/>
      <c r="I3736" s="12"/>
      <c r="J3736" s="12" t="s">
        <v>68</v>
      </c>
      <c r="K3736" s="12"/>
      <c r="L3736" s="12"/>
      <c r="M3736" s="12" t="s">
        <v>2319</v>
      </c>
      <c r="N3736" s="12"/>
      <c r="O3736" s="12" t="s">
        <v>2320</v>
      </c>
      <c r="P3736" s="12" t="str">
        <f>HYPERLINK("https://ceds.ed.gov/cedselementdetails.aspx?termid=10011")</f>
        <v>https://ceds.ed.gov/cedselementdetails.aspx?termid=10011</v>
      </c>
      <c r="Q3736" s="12" t="str">
        <f>HYPERLINK("https://ceds.ed.gov/elementComment.aspx?elementName=Diagnostic Statement Source &amp;elementID=10011", "Click here to submit comment")</f>
        <v>Click here to submit comment</v>
      </c>
    </row>
    <row r="3737" spans="1:17" ht="120" x14ac:dyDescent="0.25">
      <c r="A3737" s="12" t="s">
        <v>7327</v>
      </c>
      <c r="B3737" s="12" t="s">
        <v>7344</v>
      </c>
      <c r="C3737" s="12"/>
      <c r="D3737" s="12" t="s">
        <v>7172</v>
      </c>
      <c r="E3737" s="12" t="s">
        <v>1326</v>
      </c>
      <c r="F3737" s="12" t="s">
        <v>1327</v>
      </c>
      <c r="G3737" s="12" t="s">
        <v>12</v>
      </c>
      <c r="H3737" s="12"/>
      <c r="I3737" s="12"/>
      <c r="J3737" s="12" t="s">
        <v>1255</v>
      </c>
      <c r="K3737" s="12"/>
      <c r="L3737" s="12"/>
      <c r="M3737" s="12" t="s">
        <v>1328</v>
      </c>
      <c r="N3737" s="12"/>
      <c r="O3737" s="12" t="s">
        <v>1329</v>
      </c>
      <c r="P3737" s="12" t="str">
        <f>HYPERLINK("https://ceds.ed.gov/cedselementdetails.aspx?termid=10012")</f>
        <v>https://ceds.ed.gov/cedselementdetails.aspx?termid=10012</v>
      </c>
      <c r="Q3737" s="12" t="str">
        <f>HYPERLINK("https://ceds.ed.gov/elementComment.aspx?elementName=Assessment Result Number of Responses &amp;elementID=10012", "Click here to submit comment")</f>
        <v>Click here to submit comment</v>
      </c>
    </row>
    <row r="3738" spans="1:17" ht="120" x14ac:dyDescent="0.25">
      <c r="A3738" s="12" t="s">
        <v>7327</v>
      </c>
      <c r="B3738" s="12" t="s">
        <v>7344</v>
      </c>
      <c r="C3738" s="12"/>
      <c r="D3738" s="12" t="s">
        <v>7172</v>
      </c>
      <c r="E3738" s="12" t="s">
        <v>1313</v>
      </c>
      <c r="F3738" s="12" t="s">
        <v>1314</v>
      </c>
      <c r="G3738" s="12" t="s">
        <v>12</v>
      </c>
      <c r="H3738" s="12"/>
      <c r="I3738" s="12"/>
      <c r="J3738" s="12" t="s">
        <v>99</v>
      </c>
      <c r="K3738" s="12"/>
      <c r="L3738" s="12"/>
      <c r="M3738" s="12" t="s">
        <v>1315</v>
      </c>
      <c r="N3738" s="12"/>
      <c r="O3738" s="12" t="s">
        <v>1316</v>
      </c>
      <c r="P3738" s="12" t="str">
        <f>HYPERLINK("https://ceds.ed.gov/cedselementdetails.aspx?termid=10076")</f>
        <v>https://ceds.ed.gov/cedselementdetails.aspx?termid=10076</v>
      </c>
      <c r="Q3738" s="12" t="str">
        <f>HYPERLINK("https://ceds.ed.gov/elementComment.aspx?elementName=Assessment Result Descriptive Feedback Source &amp;elementID=10076", "Click here to submit comment")</f>
        <v>Click here to submit comment</v>
      </c>
    </row>
    <row r="3739" spans="1:17" ht="120" x14ac:dyDescent="0.25">
      <c r="A3739" s="12" t="s">
        <v>7327</v>
      </c>
      <c r="B3739" s="12" t="s">
        <v>7344</v>
      </c>
      <c r="C3739" s="12"/>
      <c r="D3739" s="12" t="s">
        <v>7172</v>
      </c>
      <c r="E3739" s="12" t="s">
        <v>1317</v>
      </c>
      <c r="F3739" s="12" t="s">
        <v>1318</v>
      </c>
      <c r="G3739" s="12" t="s">
        <v>12</v>
      </c>
      <c r="H3739" s="12"/>
      <c r="I3739" s="12"/>
      <c r="J3739" s="12" t="s">
        <v>327</v>
      </c>
      <c r="K3739" s="12"/>
      <c r="L3739" s="12"/>
      <c r="M3739" s="12" t="s">
        <v>1319</v>
      </c>
      <c r="N3739" s="12"/>
      <c r="O3739" s="12" t="s">
        <v>1320</v>
      </c>
      <c r="P3739" s="12" t="str">
        <f>HYPERLINK("https://ceds.ed.gov/cedselementdetails.aspx?termid=10185")</f>
        <v>https://ceds.ed.gov/cedselementdetails.aspx?termid=10185</v>
      </c>
      <c r="Q3739" s="12" t="str">
        <f>HYPERLINK("https://ceds.ed.gov/elementComment.aspx?elementName=Assessment Result Diagnostic Statement &amp;elementID=10185", "Click here to submit comment")</f>
        <v>Click here to submit comment</v>
      </c>
    </row>
    <row r="3740" spans="1:17" ht="60" x14ac:dyDescent="0.25">
      <c r="A3740" s="12" t="s">
        <v>7327</v>
      </c>
      <c r="B3740" s="12" t="s">
        <v>7344</v>
      </c>
      <c r="C3740" s="12"/>
      <c r="D3740" s="12" t="s">
        <v>7172</v>
      </c>
      <c r="E3740" s="12" t="s">
        <v>3565</v>
      </c>
      <c r="F3740" s="12" t="s">
        <v>3566</v>
      </c>
      <c r="G3740" s="12" t="s">
        <v>12</v>
      </c>
      <c r="H3740" s="12" t="s">
        <v>6409</v>
      </c>
      <c r="I3740" s="12"/>
      <c r="J3740" s="12" t="s">
        <v>794</v>
      </c>
      <c r="K3740" s="12"/>
      <c r="L3740" s="12"/>
      <c r="M3740" s="12" t="s">
        <v>3567</v>
      </c>
      <c r="N3740" s="12"/>
      <c r="O3740" s="12" t="s">
        <v>3568</v>
      </c>
      <c r="P3740" s="12" t="str">
        <f>HYPERLINK("https://ceds.ed.gov/cedselementdetails.aspx?termid=9369")</f>
        <v>https://ceds.ed.gov/cedselementdetails.aspx?termid=9369</v>
      </c>
      <c r="Q3740" s="12" t="str">
        <f>HYPERLINK("https://ceds.ed.gov/elementComment.aspx?elementName=Instructional Recommendation &amp;elementID=9369", "Click here to submit comment")</f>
        <v>Click here to submit comment</v>
      </c>
    </row>
    <row r="3741" spans="1:17" ht="180" x14ac:dyDescent="0.25">
      <c r="A3741" s="12" t="s">
        <v>7327</v>
      </c>
      <c r="B3741" s="12" t="s">
        <v>7344</v>
      </c>
      <c r="C3741" s="12"/>
      <c r="D3741" s="12" t="s">
        <v>7172</v>
      </c>
      <c r="E3741" s="12" t="s">
        <v>1290</v>
      </c>
      <c r="F3741" s="12" t="s">
        <v>1291</v>
      </c>
      <c r="G3741" s="13" t="s">
        <v>6789</v>
      </c>
      <c r="H3741" s="12"/>
      <c r="I3741" s="12"/>
      <c r="J3741" s="12"/>
      <c r="K3741" s="12"/>
      <c r="L3741" s="12" t="s">
        <v>1293</v>
      </c>
      <c r="M3741" s="12" t="s">
        <v>1294</v>
      </c>
      <c r="N3741" s="12"/>
      <c r="O3741" s="12" t="s">
        <v>1295</v>
      </c>
      <c r="P3741" s="12" t="str">
        <f>HYPERLINK("https://ceds.ed.gov/cedselementdetails.aspx?termid=10518")</f>
        <v>https://ceds.ed.gov/cedselementdetails.aspx?termid=10518</v>
      </c>
      <c r="Q3741" s="12" t="str">
        <f>HYPERLINK("https://ceds.ed.gov/elementComment.aspx?elementName=Assessment Result Data Type &amp;elementID=10518", "Click here to submit comment")</f>
        <v>Click here to submit comment</v>
      </c>
    </row>
    <row r="3742" spans="1:17" ht="60" x14ac:dyDescent="0.25">
      <c r="A3742" s="12" t="s">
        <v>7327</v>
      </c>
      <c r="B3742" s="12" t="s">
        <v>7344</v>
      </c>
      <c r="C3742" s="12"/>
      <c r="D3742" s="12" t="s">
        <v>7172</v>
      </c>
      <c r="E3742" s="12" t="s">
        <v>1309</v>
      </c>
      <c r="F3742" s="12" t="s">
        <v>1310</v>
      </c>
      <c r="G3742" s="12" t="s">
        <v>12</v>
      </c>
      <c r="H3742" s="12"/>
      <c r="I3742" s="12"/>
      <c r="J3742" s="12" t="s">
        <v>860</v>
      </c>
      <c r="K3742" s="12"/>
      <c r="L3742" s="12"/>
      <c r="M3742" s="12" t="s">
        <v>1311</v>
      </c>
      <c r="N3742" s="12"/>
      <c r="O3742" s="12" t="s">
        <v>1312</v>
      </c>
      <c r="P3742" s="12" t="str">
        <f>HYPERLINK("https://ceds.ed.gov/cedselementdetails.aspx?termid=10520")</f>
        <v>https://ceds.ed.gov/cedselementdetails.aspx?termid=10520</v>
      </c>
      <c r="Q3742" s="12" t="str">
        <f>HYPERLINK("https://ceds.ed.gov/elementComment.aspx?elementName=Assessment Result Descriptive Feedback Date Time &amp;elementID=10520", "Click here to submit comment")</f>
        <v>Click here to submit comment</v>
      </c>
    </row>
    <row r="3743" spans="1:17" ht="60" x14ac:dyDescent="0.25">
      <c r="A3743" s="12" t="s">
        <v>7327</v>
      </c>
      <c r="B3743" s="12" t="s">
        <v>7344</v>
      </c>
      <c r="C3743" s="12"/>
      <c r="D3743" s="12" t="s">
        <v>7172</v>
      </c>
      <c r="E3743" s="12" t="s">
        <v>1338</v>
      </c>
      <c r="F3743" s="12" t="s">
        <v>1339</v>
      </c>
      <c r="G3743" s="12" t="s">
        <v>12</v>
      </c>
      <c r="H3743" s="12"/>
      <c r="I3743" s="12"/>
      <c r="J3743" s="12" t="s">
        <v>157</v>
      </c>
      <c r="K3743" s="12"/>
      <c r="L3743" s="12" t="s">
        <v>1340</v>
      </c>
      <c r="M3743" s="12" t="s">
        <v>1341</v>
      </c>
      <c r="N3743" s="12"/>
      <c r="O3743" s="12" t="s">
        <v>1342</v>
      </c>
      <c r="P3743" s="12" t="str">
        <f>HYPERLINK("https://ceds.ed.gov/cedselementdetails.aspx?termid=10522")</f>
        <v>https://ceds.ed.gov/cedselementdetails.aspx?termid=10522</v>
      </c>
      <c r="Q3743" s="12" t="str">
        <f>HYPERLINK("https://ceds.ed.gov/elementComment.aspx?elementName=Assessment Result Score Standard Error &amp;elementID=10522", "Click here to submit comment")</f>
        <v>Click here to submit comment</v>
      </c>
    </row>
    <row r="3744" spans="1:17" ht="240" x14ac:dyDescent="0.25">
      <c r="A3744" s="12" t="s">
        <v>7327</v>
      </c>
      <c r="B3744" s="12" t="s">
        <v>7344</v>
      </c>
      <c r="C3744" s="12"/>
      <c r="D3744" s="12" t="s">
        <v>7172</v>
      </c>
      <c r="E3744" s="12" t="s">
        <v>1343</v>
      </c>
      <c r="F3744" s="12" t="s">
        <v>1344</v>
      </c>
      <c r="G3744" s="13" t="s">
        <v>6791</v>
      </c>
      <c r="H3744" s="12"/>
      <c r="I3744" s="12"/>
      <c r="J3744" s="12"/>
      <c r="K3744" s="12"/>
      <c r="L3744" s="12"/>
      <c r="M3744" s="12" t="s">
        <v>1345</v>
      </c>
      <c r="N3744" s="12"/>
      <c r="O3744" s="12" t="s">
        <v>1346</v>
      </c>
      <c r="P3744" s="12" t="str">
        <f>HYPERLINK("https://ceds.ed.gov/cedselementdetails.aspx?termid=10523")</f>
        <v>https://ceds.ed.gov/cedselementdetails.aspx?termid=10523</v>
      </c>
      <c r="Q3744" s="12" t="str">
        <f>HYPERLINK("https://ceds.ed.gov/elementComment.aspx?elementName=Assessment Result Score Type &amp;elementID=10523", "Click here to submit comment")</f>
        <v>Click here to submit comment</v>
      </c>
    </row>
    <row r="3745" spans="1:17" ht="195" x14ac:dyDescent="0.25">
      <c r="A3745" s="12" t="s">
        <v>7327</v>
      </c>
      <c r="B3745" s="12" t="s">
        <v>7344</v>
      </c>
      <c r="C3745" s="12" t="s">
        <v>7345</v>
      </c>
      <c r="D3745" s="12" t="s">
        <v>7172</v>
      </c>
      <c r="E3745" s="12" t="s">
        <v>3017</v>
      </c>
      <c r="F3745" s="12" t="s">
        <v>3018</v>
      </c>
      <c r="G3745" s="12" t="s">
        <v>12</v>
      </c>
      <c r="H3745" s="12" t="s">
        <v>6540</v>
      </c>
      <c r="I3745" s="12"/>
      <c r="J3745" s="12" t="s">
        <v>1349</v>
      </c>
      <c r="K3745" s="12"/>
      <c r="L3745" s="12" t="s">
        <v>3019</v>
      </c>
      <c r="M3745" s="12" t="s">
        <v>3020</v>
      </c>
      <c r="N3745" s="12"/>
      <c r="O3745" s="12" t="s">
        <v>3021</v>
      </c>
      <c r="P3745" s="12" t="str">
        <f>HYPERLINK("https://ceds.ed.gov/cedselementdetails.aspx?termid=9115")</f>
        <v>https://ceds.ed.gov/cedselementdetails.aspx?termid=9115</v>
      </c>
      <c r="Q3745" s="12" t="str">
        <f>HYPERLINK("https://ceds.ed.gov/elementComment.aspx?elementName=First Name &amp;elementID=9115", "Click here to submit comment")</f>
        <v>Click here to submit comment</v>
      </c>
    </row>
    <row r="3746" spans="1:17" x14ac:dyDescent="0.25">
      <c r="A3746" s="18" t="s">
        <v>7327</v>
      </c>
      <c r="B3746" s="18" t="s">
        <v>7344</v>
      </c>
      <c r="C3746" s="18" t="s">
        <v>7345</v>
      </c>
      <c r="D3746" s="18" t="s">
        <v>7172</v>
      </c>
      <c r="E3746" s="18" t="s">
        <v>3684</v>
      </c>
      <c r="F3746" s="18" t="s">
        <v>3685</v>
      </c>
      <c r="G3746" s="18" t="s">
        <v>12</v>
      </c>
      <c r="H3746" s="18" t="s">
        <v>6540</v>
      </c>
      <c r="I3746" s="18"/>
      <c r="J3746" s="18" t="s">
        <v>1349</v>
      </c>
      <c r="K3746" s="18"/>
      <c r="L3746" s="12" t="s">
        <v>3078</v>
      </c>
      <c r="M3746" s="18" t="s">
        <v>3686</v>
      </c>
      <c r="N3746" s="18" t="s">
        <v>3687</v>
      </c>
      <c r="O3746" s="18" t="s">
        <v>3688</v>
      </c>
      <c r="P3746" s="18" t="str">
        <f>HYPERLINK("https://ceds.ed.gov/cedselementdetails.aspx?termid=9172")</f>
        <v>https://ceds.ed.gov/cedselementdetails.aspx?termid=9172</v>
      </c>
      <c r="Q3746" s="18" t="str">
        <f>HYPERLINK("https://ceds.ed.gov/elementComment.aspx?elementName=Last or Surname &amp;elementID=9172", "Click here to submit comment")</f>
        <v>Click here to submit comment</v>
      </c>
    </row>
    <row r="3747" spans="1:17" ht="90" x14ac:dyDescent="0.25">
      <c r="A3747" s="18"/>
      <c r="B3747" s="18"/>
      <c r="C3747" s="18"/>
      <c r="D3747" s="18"/>
      <c r="E3747" s="18"/>
      <c r="F3747" s="18"/>
      <c r="G3747" s="18"/>
      <c r="H3747" s="18"/>
      <c r="I3747" s="18"/>
      <c r="J3747" s="18"/>
      <c r="K3747" s="18"/>
      <c r="L3747" s="12" t="s">
        <v>3079</v>
      </c>
      <c r="M3747" s="18"/>
      <c r="N3747" s="18"/>
      <c r="O3747" s="18"/>
      <c r="P3747" s="18"/>
      <c r="Q3747" s="18"/>
    </row>
    <row r="3748" spans="1:17" ht="375" x14ac:dyDescent="0.25">
      <c r="A3748" s="12" t="s">
        <v>7327</v>
      </c>
      <c r="B3748" s="12" t="s">
        <v>7344</v>
      </c>
      <c r="C3748" s="12" t="s">
        <v>7345</v>
      </c>
      <c r="D3748" s="12" t="s">
        <v>7172</v>
      </c>
      <c r="E3748" s="12" t="s">
        <v>4807</v>
      </c>
      <c r="F3748" s="12" t="s">
        <v>4808</v>
      </c>
      <c r="G3748" s="13" t="s">
        <v>7051</v>
      </c>
      <c r="H3748" s="12"/>
      <c r="I3748" s="12"/>
      <c r="J3748" s="12"/>
      <c r="K3748" s="12"/>
      <c r="L3748" s="12"/>
      <c r="M3748" s="12" t="s">
        <v>4809</v>
      </c>
      <c r="N3748" s="12"/>
      <c r="O3748" s="12" t="s">
        <v>4810</v>
      </c>
      <c r="P3748" s="12" t="str">
        <f>HYPERLINK("https://ceds.ed.gov/cedselementdetails.aspx?termid=10550")</f>
        <v>https://ceds.ed.gov/cedselementdetails.aspx?termid=10550</v>
      </c>
      <c r="Q3748" s="12" t="str">
        <f>HYPERLINK("https://ceds.ed.gov/elementComment.aspx?elementName=Person Identification System &amp;elementID=10550", "Click here to submit comment")</f>
        <v>Click here to submit comment</v>
      </c>
    </row>
    <row r="3749" spans="1:17" ht="105" x14ac:dyDescent="0.25">
      <c r="A3749" s="18" t="s">
        <v>7327</v>
      </c>
      <c r="B3749" s="18" t="s">
        <v>7344</v>
      </c>
      <c r="C3749" s="18" t="s">
        <v>7345</v>
      </c>
      <c r="D3749" s="18" t="s">
        <v>7172</v>
      </c>
      <c r="E3749" s="18" t="s">
        <v>4811</v>
      </c>
      <c r="F3749" s="18" t="s">
        <v>4812</v>
      </c>
      <c r="G3749" s="18" t="s">
        <v>12</v>
      </c>
      <c r="H3749" s="18"/>
      <c r="I3749" s="18"/>
      <c r="J3749" s="18" t="s">
        <v>142</v>
      </c>
      <c r="K3749" s="18"/>
      <c r="L3749" s="12" t="s">
        <v>143</v>
      </c>
      <c r="M3749" s="18" t="s">
        <v>4813</v>
      </c>
      <c r="N3749" s="18"/>
      <c r="O3749" s="18" t="s">
        <v>4814</v>
      </c>
      <c r="P3749" s="18" t="str">
        <f>HYPERLINK("https://ceds.ed.gov/cedselementdetails.aspx?termid=10551")</f>
        <v>https://ceds.ed.gov/cedselementdetails.aspx?termid=10551</v>
      </c>
      <c r="Q3749" s="18" t="str">
        <f>HYPERLINK("https://ceds.ed.gov/elementComment.aspx?elementName=Person Identifier &amp;elementID=10551", "Click here to submit comment")</f>
        <v>Click here to submit comment</v>
      </c>
    </row>
    <row r="3750" spans="1:17" x14ac:dyDescent="0.25">
      <c r="A3750" s="18"/>
      <c r="B3750" s="18"/>
      <c r="C3750" s="18"/>
      <c r="D3750" s="18"/>
      <c r="E3750" s="18"/>
      <c r="F3750" s="18"/>
      <c r="G3750" s="18"/>
      <c r="H3750" s="18"/>
      <c r="I3750" s="18"/>
      <c r="J3750" s="18"/>
      <c r="K3750" s="18"/>
      <c r="L3750" s="12"/>
      <c r="M3750" s="18"/>
      <c r="N3750" s="18"/>
      <c r="O3750" s="18"/>
      <c r="P3750" s="18"/>
      <c r="Q3750" s="18"/>
    </row>
    <row r="3751" spans="1:17" ht="90" x14ac:dyDescent="0.25">
      <c r="A3751" s="18"/>
      <c r="B3751" s="18"/>
      <c r="C3751" s="18"/>
      <c r="D3751" s="18"/>
      <c r="E3751" s="18"/>
      <c r="F3751" s="18"/>
      <c r="G3751" s="18"/>
      <c r="H3751" s="18"/>
      <c r="I3751" s="18"/>
      <c r="J3751" s="18"/>
      <c r="K3751" s="18"/>
      <c r="L3751" s="12" t="s">
        <v>144</v>
      </c>
      <c r="M3751" s="18"/>
      <c r="N3751" s="18"/>
      <c r="O3751" s="18"/>
      <c r="P3751" s="18"/>
      <c r="Q3751" s="18"/>
    </row>
    <row r="3752" spans="1:17" ht="105" x14ac:dyDescent="0.25">
      <c r="A3752" s="27" t="s">
        <v>7327</v>
      </c>
      <c r="B3752" s="18" t="s">
        <v>7344</v>
      </c>
      <c r="C3752" s="22" t="s">
        <v>7361</v>
      </c>
      <c r="D3752" s="18" t="s">
        <v>7176</v>
      </c>
      <c r="E3752" s="18" t="s">
        <v>1195</v>
      </c>
      <c r="F3752" s="18" t="s">
        <v>1196</v>
      </c>
      <c r="G3752" s="18" t="s">
        <v>12</v>
      </c>
      <c r="H3752" s="18" t="s">
        <v>827</v>
      </c>
      <c r="I3752" s="18"/>
      <c r="J3752" s="18" t="s">
        <v>142</v>
      </c>
      <c r="K3752" s="18"/>
      <c r="L3752" s="12" t="s">
        <v>143</v>
      </c>
      <c r="M3752" s="18" t="s">
        <v>1197</v>
      </c>
      <c r="N3752" s="18"/>
      <c r="O3752" s="18" t="s">
        <v>1198</v>
      </c>
      <c r="P3752" s="18" t="str">
        <f>HYPERLINK("https://ceds.ed.gov/cedselementdetails.aspx?termid=9693")</f>
        <v>https://ceds.ed.gov/cedselementdetails.aspx?termid=9693</v>
      </c>
      <c r="Q3752" s="18" t="str">
        <f>HYPERLINK("https://ceds.ed.gov/elementComment.aspx?elementName=Assessment Performance Level Identifier &amp;elementID=9693", "Click here to submit comment")</f>
        <v>Click here to submit comment</v>
      </c>
    </row>
    <row r="3753" spans="1:17" x14ac:dyDescent="0.25">
      <c r="A3753" s="28"/>
      <c r="B3753" s="18"/>
      <c r="C3753" s="29"/>
      <c r="D3753" s="18"/>
      <c r="E3753" s="18"/>
      <c r="F3753" s="18"/>
      <c r="G3753" s="18"/>
      <c r="H3753" s="18"/>
      <c r="I3753" s="18"/>
      <c r="J3753" s="18"/>
      <c r="K3753" s="18"/>
      <c r="L3753" s="12"/>
      <c r="M3753" s="18"/>
      <c r="N3753" s="18"/>
      <c r="O3753" s="18"/>
      <c r="P3753" s="18"/>
      <c r="Q3753" s="18"/>
    </row>
    <row r="3754" spans="1:17" ht="90" x14ac:dyDescent="0.25">
      <c r="A3754" s="30"/>
      <c r="B3754" s="18"/>
      <c r="C3754" s="31"/>
      <c r="D3754" s="18"/>
      <c r="E3754" s="18"/>
      <c r="F3754" s="18"/>
      <c r="G3754" s="18"/>
      <c r="H3754" s="18"/>
      <c r="I3754" s="18"/>
      <c r="J3754" s="18"/>
      <c r="K3754" s="18"/>
      <c r="L3754" s="12" t="s">
        <v>144</v>
      </c>
      <c r="M3754" s="18"/>
      <c r="N3754" s="18"/>
      <c r="O3754" s="18"/>
      <c r="P3754" s="18"/>
      <c r="Q3754" s="18"/>
    </row>
    <row r="3755" spans="1:17" ht="30" x14ac:dyDescent="0.25">
      <c r="A3755" s="12" t="s">
        <v>7327</v>
      </c>
      <c r="B3755" s="12" t="s">
        <v>7344</v>
      </c>
      <c r="C3755" s="12" t="s">
        <v>7361</v>
      </c>
      <c r="D3755" s="12" t="s">
        <v>7176</v>
      </c>
      <c r="E3755" s="12" t="s">
        <v>1199</v>
      </c>
      <c r="F3755" s="12" t="s">
        <v>1200</v>
      </c>
      <c r="G3755" s="12" t="s">
        <v>12</v>
      </c>
      <c r="H3755" s="12" t="s">
        <v>827</v>
      </c>
      <c r="I3755" s="12"/>
      <c r="J3755" s="12" t="s">
        <v>1201</v>
      </c>
      <c r="K3755" s="12"/>
      <c r="L3755" s="12"/>
      <c r="M3755" s="12" t="s">
        <v>1202</v>
      </c>
      <c r="N3755" s="12"/>
      <c r="O3755" s="12" t="s">
        <v>1203</v>
      </c>
      <c r="P3755" s="12" t="str">
        <f>HYPERLINK("https://ceds.ed.gov/cedselementdetails.aspx?termid=9694")</f>
        <v>https://ceds.ed.gov/cedselementdetails.aspx?termid=9694</v>
      </c>
      <c r="Q3755" s="12" t="str">
        <f>HYPERLINK("https://ceds.ed.gov/elementComment.aspx?elementName=Assessment Performance Level Label &amp;elementID=9694", "Click here to submit comment")</f>
        <v>Click here to submit comment</v>
      </c>
    </row>
    <row r="3756" spans="1:17" ht="45" x14ac:dyDescent="0.25">
      <c r="A3756" s="12" t="s">
        <v>7327</v>
      </c>
      <c r="B3756" s="12" t="s">
        <v>7344</v>
      </c>
      <c r="C3756" s="12" t="s">
        <v>7361</v>
      </c>
      <c r="D3756" s="12" t="s">
        <v>7176</v>
      </c>
      <c r="E3756" s="12" t="s">
        <v>1204</v>
      </c>
      <c r="F3756" s="12" t="s">
        <v>1205</v>
      </c>
      <c r="G3756" s="12" t="s">
        <v>12</v>
      </c>
      <c r="H3756" s="12" t="s">
        <v>6397</v>
      </c>
      <c r="I3756" s="12"/>
      <c r="J3756" s="12" t="s">
        <v>92</v>
      </c>
      <c r="K3756" s="12"/>
      <c r="L3756" s="12"/>
      <c r="M3756" s="12" t="s">
        <v>1206</v>
      </c>
      <c r="N3756" s="12"/>
      <c r="O3756" s="12" t="s">
        <v>1207</v>
      </c>
      <c r="P3756" s="12" t="str">
        <f>HYPERLINK("https://ceds.ed.gov/cedselementdetails.aspx?termid=9408")</f>
        <v>https://ceds.ed.gov/cedselementdetails.aspx?termid=9408</v>
      </c>
      <c r="Q3756" s="12" t="str">
        <f>HYPERLINK("https://ceds.ed.gov/elementComment.aspx?elementName=Assessment Performance Level Lower Cut Score &amp;elementID=9408", "Click here to submit comment")</f>
        <v>Click here to submit comment</v>
      </c>
    </row>
    <row r="3757" spans="1:17" ht="409.5" x14ac:dyDescent="0.25">
      <c r="A3757" s="12" t="s">
        <v>7327</v>
      </c>
      <c r="B3757" s="12" t="s">
        <v>7344</v>
      </c>
      <c r="C3757" s="12" t="s">
        <v>7361</v>
      </c>
      <c r="D3757" s="12" t="s">
        <v>7176</v>
      </c>
      <c r="E3757" s="12" t="s">
        <v>1208</v>
      </c>
      <c r="F3757" s="12" t="s">
        <v>1209</v>
      </c>
      <c r="G3757" s="13" t="s">
        <v>6783</v>
      </c>
      <c r="H3757" s="12" t="s">
        <v>6397</v>
      </c>
      <c r="I3757" s="12"/>
      <c r="J3757" s="12" t="s">
        <v>92</v>
      </c>
      <c r="K3757" s="12"/>
      <c r="L3757" s="12"/>
      <c r="M3757" s="12" t="s">
        <v>1210</v>
      </c>
      <c r="N3757" s="12"/>
      <c r="O3757" s="12" t="s">
        <v>1211</v>
      </c>
      <c r="P3757" s="12" t="str">
        <f>HYPERLINK("https://ceds.ed.gov/cedselementdetails.aspx?termid=9407")</f>
        <v>https://ceds.ed.gov/cedselementdetails.aspx?termid=9407</v>
      </c>
      <c r="Q3757" s="12" t="str">
        <f>HYPERLINK("https://ceds.ed.gov/elementComment.aspx?elementName=Assessment Performance Level Score Metric &amp;elementID=9407", "Click here to submit comment")</f>
        <v>Click here to submit comment</v>
      </c>
    </row>
    <row r="3758" spans="1:17" ht="45" x14ac:dyDescent="0.25">
      <c r="A3758" s="12" t="s">
        <v>7327</v>
      </c>
      <c r="B3758" s="12" t="s">
        <v>7344</v>
      </c>
      <c r="C3758" s="12" t="s">
        <v>7361</v>
      </c>
      <c r="D3758" s="12" t="s">
        <v>7176</v>
      </c>
      <c r="E3758" s="12" t="s">
        <v>1212</v>
      </c>
      <c r="F3758" s="12" t="s">
        <v>1213</v>
      </c>
      <c r="G3758" s="12" t="s">
        <v>12</v>
      </c>
      <c r="H3758" s="12" t="s">
        <v>6397</v>
      </c>
      <c r="I3758" s="12"/>
      <c r="J3758" s="12" t="s">
        <v>92</v>
      </c>
      <c r="K3758" s="12"/>
      <c r="L3758" s="12"/>
      <c r="M3758" s="12" t="s">
        <v>1214</v>
      </c>
      <c r="N3758" s="12"/>
      <c r="O3758" s="12" t="s">
        <v>1215</v>
      </c>
      <c r="P3758" s="12" t="str">
        <f>HYPERLINK("https://ceds.ed.gov/cedselementdetails.aspx?termid=9409")</f>
        <v>https://ceds.ed.gov/cedselementdetails.aspx?termid=9409</v>
      </c>
      <c r="Q3758" s="12" t="str">
        <f>HYPERLINK("https://ceds.ed.gov/elementComment.aspx?elementName=Assessment Performance Level Upper Cut Score &amp;elementID=9409", "Click here to submit comment")</f>
        <v>Click here to submit comment</v>
      </c>
    </row>
    <row r="3759" spans="1:17" ht="45" x14ac:dyDescent="0.25">
      <c r="A3759" s="12" t="s">
        <v>7327</v>
      </c>
      <c r="B3759" s="12" t="s">
        <v>7344</v>
      </c>
      <c r="C3759" s="12" t="s">
        <v>7361</v>
      </c>
      <c r="D3759" s="12" t="s">
        <v>7176</v>
      </c>
      <c r="E3759" s="12" t="s">
        <v>1191</v>
      </c>
      <c r="F3759" s="12" t="s">
        <v>1192</v>
      </c>
      <c r="G3759" s="12" t="s">
        <v>12</v>
      </c>
      <c r="H3759" s="12"/>
      <c r="I3759" s="12"/>
      <c r="J3759" s="12" t="s">
        <v>327</v>
      </c>
      <c r="K3759" s="12"/>
      <c r="L3759" s="12"/>
      <c r="M3759" s="12" t="s">
        <v>1193</v>
      </c>
      <c r="N3759" s="12"/>
      <c r="O3759" s="12" t="s">
        <v>1194</v>
      </c>
      <c r="P3759" s="12" t="str">
        <f>HYPERLINK("https://ceds.ed.gov/cedselementdetails.aspx?termid=10184")</f>
        <v>https://ceds.ed.gov/cedselementdetails.aspx?termid=10184</v>
      </c>
      <c r="Q3759" s="12" t="str">
        <f>HYPERLINK("https://ceds.ed.gov/elementComment.aspx?elementName=Assessment Performance Level Descriptive Feedback &amp;elementID=10184", "Click here to submit comment")</f>
        <v>Click here to submit comment</v>
      </c>
    </row>
    <row r="3760" spans="1:17" ht="45" x14ac:dyDescent="0.25">
      <c r="A3760" s="12" t="s">
        <v>7327</v>
      </c>
      <c r="B3760" s="12" t="s">
        <v>7346</v>
      </c>
      <c r="C3760" s="12"/>
      <c r="D3760" s="12" t="s">
        <v>7172</v>
      </c>
      <c r="E3760" s="12" t="s">
        <v>1263</v>
      </c>
      <c r="F3760" s="12" t="s">
        <v>1264</v>
      </c>
      <c r="G3760" s="13" t="s">
        <v>6787</v>
      </c>
      <c r="H3760" s="12" t="s">
        <v>6413</v>
      </c>
      <c r="I3760" s="12"/>
      <c r="J3760" s="12"/>
      <c r="K3760" s="12"/>
      <c r="L3760" s="12"/>
      <c r="M3760" s="12" t="s">
        <v>1265</v>
      </c>
      <c r="N3760" s="12"/>
      <c r="O3760" s="12" t="s">
        <v>1266</v>
      </c>
      <c r="P3760" s="12" t="str">
        <f>HYPERLINK("https://ceds.ed.gov/cedselementdetails.aspx?termid=9025")</f>
        <v>https://ceds.ed.gov/cedselementdetails.aspx?termid=9025</v>
      </c>
      <c r="Q3760" s="12" t="str">
        <f>HYPERLINK("https://ceds.ed.gov/elementComment.aspx?elementName=Assessment Registration Participation Indicator &amp;elementID=9025", "Click here to submit comment")</f>
        <v>Click here to submit comment</v>
      </c>
    </row>
    <row r="3761" spans="1:17" ht="345" x14ac:dyDescent="0.25">
      <c r="A3761" s="12" t="s">
        <v>7327</v>
      </c>
      <c r="B3761" s="12" t="s">
        <v>7346</v>
      </c>
      <c r="C3761" s="12"/>
      <c r="D3761" s="12" t="s">
        <v>7172</v>
      </c>
      <c r="E3761" s="12" t="s">
        <v>3090</v>
      </c>
      <c r="F3761" s="12" t="s">
        <v>3091</v>
      </c>
      <c r="G3761" s="13" t="s">
        <v>6937</v>
      </c>
      <c r="H3761" s="12" t="s">
        <v>6545</v>
      </c>
      <c r="I3761" s="12"/>
      <c r="J3761" s="12"/>
      <c r="K3761" s="12"/>
      <c r="L3761" s="12"/>
      <c r="M3761" s="12" t="s">
        <v>3092</v>
      </c>
      <c r="N3761" s="12"/>
      <c r="O3761" s="12" t="s">
        <v>3093</v>
      </c>
      <c r="P3761" s="12" t="str">
        <f>HYPERLINK("https://ceds.ed.gov/cedselementdetails.aspx?termid=9126")</f>
        <v>https://ceds.ed.gov/cedselementdetails.aspx?termid=9126</v>
      </c>
      <c r="Q3761" s="12" t="str">
        <f>HYPERLINK("https://ceds.ed.gov/elementComment.aspx?elementName=Grade Level When Assessed &amp;elementID=9126", "Click here to submit comment")</f>
        <v>Click here to submit comment</v>
      </c>
    </row>
    <row r="3762" spans="1:17" ht="240" x14ac:dyDescent="0.25">
      <c r="A3762" s="12" t="s">
        <v>7327</v>
      </c>
      <c r="B3762" s="12" t="s">
        <v>7346</v>
      </c>
      <c r="C3762" s="12"/>
      <c r="D3762" s="12" t="s">
        <v>7172</v>
      </c>
      <c r="E3762" s="12" t="s">
        <v>408</v>
      </c>
      <c r="F3762" s="12" t="s">
        <v>409</v>
      </c>
      <c r="G3762" s="13" t="s">
        <v>6752</v>
      </c>
      <c r="H3762" s="12" t="s">
        <v>6397</v>
      </c>
      <c r="I3762" s="12"/>
      <c r="J3762" s="12"/>
      <c r="K3762" s="12"/>
      <c r="L3762" s="12"/>
      <c r="M3762" s="12" t="s">
        <v>410</v>
      </c>
      <c r="N3762" s="12"/>
      <c r="O3762" s="12" t="s">
        <v>411</v>
      </c>
      <c r="P3762" s="12" t="str">
        <f>HYPERLINK("https://ceds.ed.gov/cedselementdetails.aspx?termid=9374")</f>
        <v>https://ceds.ed.gov/cedselementdetails.aspx?termid=9374</v>
      </c>
      <c r="Q3762" s="12" t="str">
        <f>HYPERLINK("https://ceds.ed.gov/elementComment.aspx?elementName=Assessment Accommodation Category &amp;elementID=9374", "Click here to submit comment")</f>
        <v>Click here to submit comment</v>
      </c>
    </row>
    <row r="3763" spans="1:17" ht="105" x14ac:dyDescent="0.25">
      <c r="A3763" s="18" t="s">
        <v>7327</v>
      </c>
      <c r="B3763" s="18" t="s">
        <v>7346</v>
      </c>
      <c r="C3763" s="18"/>
      <c r="D3763" s="18" t="s">
        <v>7172</v>
      </c>
      <c r="E3763" s="18" t="s">
        <v>4328</v>
      </c>
      <c r="F3763" s="18" t="s">
        <v>4329</v>
      </c>
      <c r="G3763" s="18" t="s">
        <v>12</v>
      </c>
      <c r="H3763" s="18" t="s">
        <v>6596</v>
      </c>
      <c r="I3763" s="18"/>
      <c r="J3763" s="18" t="s">
        <v>142</v>
      </c>
      <c r="K3763" s="18"/>
      <c r="L3763" s="12" t="s">
        <v>143</v>
      </c>
      <c r="M3763" s="18" t="s">
        <v>4330</v>
      </c>
      <c r="N3763" s="18" t="s">
        <v>4331</v>
      </c>
      <c r="O3763" s="18" t="s">
        <v>4332</v>
      </c>
      <c r="P3763" s="18" t="str">
        <f>HYPERLINK("https://ceds.ed.gov/cedselementdetails.aspx?termid=9153")</f>
        <v>https://ceds.ed.gov/cedselementdetails.aspx?termid=9153</v>
      </c>
      <c r="Q3763" s="18" t="str">
        <f>HYPERLINK("https://ceds.ed.gov/elementComment.aspx?elementName=Local Education Agency Identifier &amp;elementID=9153", "Click here to submit comment")</f>
        <v>Click here to submit comment</v>
      </c>
    </row>
    <row r="3764" spans="1:17" x14ac:dyDescent="0.25">
      <c r="A3764" s="18"/>
      <c r="B3764" s="18"/>
      <c r="C3764" s="18"/>
      <c r="D3764" s="18"/>
      <c r="E3764" s="18"/>
      <c r="F3764" s="18"/>
      <c r="G3764" s="18"/>
      <c r="H3764" s="18"/>
      <c r="I3764" s="18"/>
      <c r="J3764" s="18"/>
      <c r="K3764" s="18"/>
      <c r="L3764" s="12"/>
      <c r="M3764" s="18"/>
      <c r="N3764" s="18"/>
      <c r="O3764" s="18"/>
      <c r="P3764" s="18"/>
      <c r="Q3764" s="18"/>
    </row>
    <row r="3765" spans="1:17" ht="90" x14ac:dyDescent="0.25">
      <c r="A3765" s="18"/>
      <c r="B3765" s="18"/>
      <c r="C3765" s="18"/>
      <c r="D3765" s="18"/>
      <c r="E3765" s="18"/>
      <c r="F3765" s="18"/>
      <c r="G3765" s="18"/>
      <c r="H3765" s="18"/>
      <c r="I3765" s="18"/>
      <c r="J3765" s="18"/>
      <c r="K3765" s="18"/>
      <c r="L3765" s="12" t="s">
        <v>144</v>
      </c>
      <c r="M3765" s="18"/>
      <c r="N3765" s="18"/>
      <c r="O3765" s="18"/>
      <c r="P3765" s="18"/>
      <c r="Q3765" s="18"/>
    </row>
    <row r="3766" spans="1:17" ht="105" x14ac:dyDescent="0.25">
      <c r="A3766" s="18" t="s">
        <v>7327</v>
      </c>
      <c r="B3766" s="18" t="s">
        <v>7346</v>
      </c>
      <c r="C3766" s="18"/>
      <c r="D3766" s="18" t="s">
        <v>7172</v>
      </c>
      <c r="E3766" s="18" t="s">
        <v>5583</v>
      </c>
      <c r="F3766" s="18" t="s">
        <v>279</v>
      </c>
      <c r="G3766" s="18" t="s">
        <v>12</v>
      </c>
      <c r="H3766" s="18" t="s">
        <v>6657</v>
      </c>
      <c r="I3766" s="18"/>
      <c r="J3766" s="18" t="s">
        <v>142</v>
      </c>
      <c r="K3766" s="18"/>
      <c r="L3766" s="12" t="s">
        <v>143</v>
      </c>
      <c r="M3766" s="18" t="s">
        <v>5584</v>
      </c>
      <c r="N3766" s="18"/>
      <c r="O3766" s="18" t="s">
        <v>5585</v>
      </c>
      <c r="P3766" s="18" t="str">
        <f>HYPERLINK("https://ceds.ed.gov/cedselementdetails.aspx?termid=9155")</f>
        <v>https://ceds.ed.gov/cedselementdetails.aspx?termid=9155</v>
      </c>
      <c r="Q3766" s="18" t="str">
        <f>HYPERLINK("https://ceds.ed.gov/elementComment.aspx?elementName=School Identifier &amp;elementID=9155", "Click here to submit comment")</f>
        <v>Click here to submit comment</v>
      </c>
    </row>
    <row r="3767" spans="1:17" x14ac:dyDescent="0.25">
      <c r="A3767" s="18"/>
      <c r="B3767" s="18"/>
      <c r="C3767" s="18"/>
      <c r="D3767" s="18"/>
      <c r="E3767" s="18"/>
      <c r="F3767" s="18"/>
      <c r="G3767" s="18"/>
      <c r="H3767" s="18"/>
      <c r="I3767" s="18"/>
      <c r="J3767" s="18"/>
      <c r="K3767" s="18"/>
      <c r="L3767" s="12"/>
      <c r="M3767" s="18"/>
      <c r="N3767" s="18"/>
      <c r="O3767" s="18"/>
      <c r="P3767" s="18"/>
      <c r="Q3767" s="18"/>
    </row>
    <row r="3768" spans="1:17" ht="90" x14ac:dyDescent="0.25">
      <c r="A3768" s="18"/>
      <c r="B3768" s="18"/>
      <c r="C3768" s="18"/>
      <c r="D3768" s="18"/>
      <c r="E3768" s="18"/>
      <c r="F3768" s="18"/>
      <c r="G3768" s="18"/>
      <c r="H3768" s="18"/>
      <c r="I3768" s="18"/>
      <c r="J3768" s="18"/>
      <c r="K3768" s="18"/>
      <c r="L3768" s="12" t="s">
        <v>144</v>
      </c>
      <c r="M3768" s="18"/>
      <c r="N3768" s="18"/>
      <c r="O3768" s="18"/>
      <c r="P3768" s="18"/>
      <c r="Q3768" s="18"/>
    </row>
    <row r="3769" spans="1:17" ht="240" x14ac:dyDescent="0.25">
      <c r="A3769" s="12" t="s">
        <v>7327</v>
      </c>
      <c r="B3769" s="12" t="s">
        <v>7346</v>
      </c>
      <c r="C3769" s="12"/>
      <c r="D3769" s="12" t="s">
        <v>7172</v>
      </c>
      <c r="E3769" s="12" t="s">
        <v>4323</v>
      </c>
      <c r="F3769" s="12" t="s">
        <v>4324</v>
      </c>
      <c r="G3769" s="13" t="s">
        <v>7020</v>
      </c>
      <c r="H3769" s="12" t="s">
        <v>6596</v>
      </c>
      <c r="I3769" s="12" t="s">
        <v>98</v>
      </c>
      <c r="J3769" s="12"/>
      <c r="K3769" s="12"/>
      <c r="L3769" s="12"/>
      <c r="M3769" s="12" t="s">
        <v>4325</v>
      </c>
      <c r="N3769" s="12" t="s">
        <v>4326</v>
      </c>
      <c r="O3769" s="12" t="s">
        <v>4327</v>
      </c>
      <c r="P3769" s="12" t="str">
        <f>HYPERLINK("https://ceds.ed.gov/cedselementdetails.aspx?termid=9159")</f>
        <v>https://ceds.ed.gov/cedselementdetails.aspx?termid=9159</v>
      </c>
      <c r="Q3769" s="12" t="str">
        <f>HYPERLINK("https://ceds.ed.gov/elementComment.aspx?elementName=Local Education Agency Identification System &amp;elementID=9159", "Click here to submit comment")</f>
        <v>Click here to submit comment</v>
      </c>
    </row>
    <row r="3770" spans="1:17" ht="270" x14ac:dyDescent="0.25">
      <c r="A3770" s="12" t="s">
        <v>7327</v>
      </c>
      <c r="B3770" s="12" t="s">
        <v>7346</v>
      </c>
      <c r="C3770" s="12"/>
      <c r="D3770" s="12" t="s">
        <v>7172</v>
      </c>
      <c r="E3770" s="12" t="s">
        <v>5580</v>
      </c>
      <c r="F3770" s="12" t="s">
        <v>275</v>
      </c>
      <c r="G3770" s="13" t="s">
        <v>7103</v>
      </c>
      <c r="H3770" s="12" t="s">
        <v>6657</v>
      </c>
      <c r="I3770" s="12"/>
      <c r="J3770" s="12"/>
      <c r="K3770" s="12"/>
      <c r="L3770" s="12"/>
      <c r="M3770" s="12" t="s">
        <v>5581</v>
      </c>
      <c r="N3770" s="12"/>
      <c r="O3770" s="12" t="s">
        <v>5582</v>
      </c>
      <c r="P3770" s="12" t="str">
        <f>HYPERLINK("https://ceds.ed.gov/cedselementdetails.aspx?termid=9161")</f>
        <v>https://ceds.ed.gov/cedselementdetails.aspx?termid=9161</v>
      </c>
      <c r="Q3770" s="12" t="str">
        <f>HYPERLINK("https://ceds.ed.gov/elementComment.aspx?elementName=School Identification System &amp;elementID=9161", "Click here to submit comment")</f>
        <v>Click here to submit comment</v>
      </c>
    </row>
    <row r="3771" spans="1:17" ht="180" x14ac:dyDescent="0.25">
      <c r="A3771" s="12" t="s">
        <v>7327</v>
      </c>
      <c r="B3771" s="12" t="s">
        <v>7346</v>
      </c>
      <c r="C3771" s="12"/>
      <c r="D3771" s="12" t="s">
        <v>7172</v>
      </c>
      <c r="E3771" s="12" t="s">
        <v>1267</v>
      </c>
      <c r="F3771" s="12" t="s">
        <v>1268</v>
      </c>
      <c r="G3771" s="13" t="s">
        <v>6788</v>
      </c>
      <c r="H3771" s="12" t="s">
        <v>6414</v>
      </c>
      <c r="I3771" s="12"/>
      <c r="J3771" s="12"/>
      <c r="K3771" s="12"/>
      <c r="L3771" s="12" t="s">
        <v>1269</v>
      </c>
      <c r="M3771" s="12" t="s">
        <v>1270</v>
      </c>
      <c r="N3771" s="12"/>
      <c r="O3771" s="12" t="s">
        <v>1271</v>
      </c>
      <c r="P3771" s="12" t="str">
        <f>HYPERLINK("https://ceds.ed.gov/cedselementdetails.aspx?termid=9531")</f>
        <v>https://ceds.ed.gov/cedselementdetails.aspx?termid=9531</v>
      </c>
      <c r="Q3771" s="12" t="str">
        <f>HYPERLINK("https://ceds.ed.gov/elementComment.aspx?elementName=Assessment Registration Reason Not Completing &amp;elementID=9531", "Click here to submit comment")</f>
        <v>Click here to submit comment</v>
      </c>
    </row>
    <row r="3772" spans="1:17" ht="30" x14ac:dyDescent="0.25">
      <c r="A3772" s="18" t="s">
        <v>7327</v>
      </c>
      <c r="B3772" s="18" t="s">
        <v>7346</v>
      </c>
      <c r="C3772" s="18"/>
      <c r="D3772" s="18" t="s">
        <v>7172</v>
      </c>
      <c r="E3772" s="18" t="s">
        <v>1235</v>
      </c>
      <c r="F3772" s="18" t="s">
        <v>1236</v>
      </c>
      <c r="G3772" s="18" t="s">
        <v>12</v>
      </c>
      <c r="H3772" s="18"/>
      <c r="I3772" s="18"/>
      <c r="J3772" s="18" t="s">
        <v>142</v>
      </c>
      <c r="K3772" s="18"/>
      <c r="L3772" s="12" t="s">
        <v>1238</v>
      </c>
      <c r="M3772" s="18" t="s">
        <v>1239</v>
      </c>
      <c r="N3772" s="18"/>
      <c r="O3772" s="18" t="s">
        <v>1240</v>
      </c>
      <c r="P3772" s="18" t="str">
        <f>HYPERLINK("https://ceds.ed.gov/cedselementdetails.aspx?termid=9889")</f>
        <v>https://ceds.ed.gov/cedselementdetails.aspx?termid=9889</v>
      </c>
      <c r="Q3772" s="18" t="str">
        <f>HYPERLINK("https://ceds.ed.gov/elementComment.aspx?elementName=Assessment Registration Assignor Identifier &amp;elementID=9889", "Click here to submit comment")</f>
        <v>Click here to submit comment</v>
      </c>
    </row>
    <row r="3773" spans="1:17" x14ac:dyDescent="0.25">
      <c r="A3773" s="18"/>
      <c r="B3773" s="18"/>
      <c r="C3773" s="18"/>
      <c r="D3773" s="18"/>
      <c r="E3773" s="18"/>
      <c r="F3773" s="18"/>
      <c r="G3773" s="18"/>
      <c r="H3773" s="18"/>
      <c r="I3773" s="18"/>
      <c r="J3773" s="18"/>
      <c r="K3773" s="18"/>
      <c r="L3773" s="12"/>
      <c r="M3773" s="18"/>
      <c r="N3773" s="18"/>
      <c r="O3773" s="18"/>
      <c r="P3773" s="18"/>
      <c r="Q3773" s="18"/>
    </row>
    <row r="3774" spans="1:17" ht="105" x14ac:dyDescent="0.25">
      <c r="A3774" s="18"/>
      <c r="B3774" s="18"/>
      <c r="C3774" s="18"/>
      <c r="D3774" s="18"/>
      <c r="E3774" s="18"/>
      <c r="F3774" s="18"/>
      <c r="G3774" s="18"/>
      <c r="H3774" s="18"/>
      <c r="I3774" s="18"/>
      <c r="J3774" s="18"/>
      <c r="K3774" s="18"/>
      <c r="L3774" s="12" t="s">
        <v>143</v>
      </c>
      <c r="M3774" s="18"/>
      <c r="N3774" s="18"/>
      <c r="O3774" s="18"/>
      <c r="P3774" s="18"/>
      <c r="Q3774" s="18"/>
    </row>
    <row r="3775" spans="1:17" x14ac:dyDescent="0.25">
      <c r="A3775" s="18"/>
      <c r="B3775" s="18"/>
      <c r="C3775" s="18"/>
      <c r="D3775" s="18"/>
      <c r="E3775" s="18"/>
      <c r="F3775" s="18"/>
      <c r="G3775" s="18"/>
      <c r="H3775" s="18"/>
      <c r="I3775" s="18"/>
      <c r="J3775" s="18"/>
      <c r="K3775" s="18"/>
      <c r="L3775" s="12"/>
      <c r="M3775" s="18"/>
      <c r="N3775" s="18"/>
      <c r="O3775" s="18"/>
      <c r="P3775" s="18"/>
      <c r="Q3775" s="18"/>
    </row>
    <row r="3776" spans="1:17" ht="90" x14ac:dyDescent="0.25">
      <c r="A3776" s="18"/>
      <c r="B3776" s="18"/>
      <c r="C3776" s="18"/>
      <c r="D3776" s="18"/>
      <c r="E3776" s="18"/>
      <c r="F3776" s="18"/>
      <c r="G3776" s="18"/>
      <c r="H3776" s="18"/>
      <c r="I3776" s="18"/>
      <c r="J3776" s="18"/>
      <c r="K3776" s="18"/>
      <c r="L3776" s="12" t="s">
        <v>144</v>
      </c>
      <c r="M3776" s="18"/>
      <c r="N3776" s="18"/>
      <c r="O3776" s="18"/>
      <c r="P3776" s="18"/>
      <c r="Q3776" s="18"/>
    </row>
    <row r="3777" spans="1:17" ht="30" x14ac:dyDescent="0.25">
      <c r="A3777" s="12" t="s">
        <v>7327</v>
      </c>
      <c r="B3777" s="12" t="s">
        <v>7346</v>
      </c>
      <c r="C3777" s="12"/>
      <c r="D3777" s="12" t="s">
        <v>7172</v>
      </c>
      <c r="E3777" s="12" t="s">
        <v>1253</v>
      </c>
      <c r="F3777" s="12" t="s">
        <v>1254</v>
      </c>
      <c r="G3777" s="12" t="s">
        <v>12</v>
      </c>
      <c r="H3777" s="12"/>
      <c r="I3777" s="12"/>
      <c r="J3777" s="12" t="s">
        <v>1255</v>
      </c>
      <c r="K3777" s="12"/>
      <c r="L3777" s="12"/>
      <c r="M3777" s="12" t="s">
        <v>1256</v>
      </c>
      <c r="N3777" s="12"/>
      <c r="O3777" s="12" t="s">
        <v>1257</v>
      </c>
      <c r="P3777" s="12" t="str">
        <f>HYPERLINK("https://ceds.ed.gov/cedselementdetails.aspx?termid=10017")</f>
        <v>https://ceds.ed.gov/cedselementdetails.aspx?termid=10017</v>
      </c>
      <c r="Q3777" s="12" t="str">
        <f>HYPERLINK("https://ceds.ed.gov/elementComment.aspx?elementName=Assessment Registration Days of Instruction &amp;elementID=10017", "Click here to submit comment")</f>
        <v>Click here to submit comment</v>
      </c>
    </row>
    <row r="3778" spans="1:17" ht="75" x14ac:dyDescent="0.25">
      <c r="A3778" s="12" t="s">
        <v>7327</v>
      </c>
      <c r="B3778" s="12" t="s">
        <v>7346</v>
      </c>
      <c r="C3778" s="12"/>
      <c r="D3778" s="12" t="s">
        <v>7172</v>
      </c>
      <c r="E3778" s="12" t="s">
        <v>1272</v>
      </c>
      <c r="F3778" s="12" t="s">
        <v>1273</v>
      </c>
      <c r="G3778" s="12" t="s">
        <v>6364</v>
      </c>
      <c r="H3778" s="12"/>
      <c r="I3778" s="12"/>
      <c r="J3778" s="12"/>
      <c r="K3778" s="12"/>
      <c r="L3778" s="12"/>
      <c r="M3778" s="12" t="s">
        <v>1274</v>
      </c>
      <c r="N3778" s="12"/>
      <c r="O3778" s="12" t="s">
        <v>1275</v>
      </c>
      <c r="P3778" s="12" t="str">
        <f>HYPERLINK("https://ceds.ed.gov/cedselementdetails.aspx?termid=10018")</f>
        <v>https://ceds.ed.gov/cedselementdetails.aspx?termid=10018</v>
      </c>
      <c r="Q3778" s="12" t="str">
        <f>HYPERLINK("https://ceds.ed.gov/elementComment.aspx?elementName=Assessment Registration Retest Indicator &amp;elementID=10018", "Click here to submit comment")</f>
        <v>Click here to submit comment</v>
      </c>
    </row>
    <row r="3779" spans="1:17" ht="30" x14ac:dyDescent="0.25">
      <c r="A3779" s="12" t="s">
        <v>7327</v>
      </c>
      <c r="B3779" s="12" t="s">
        <v>7346</v>
      </c>
      <c r="C3779" s="12"/>
      <c r="D3779" s="12" t="s">
        <v>7172</v>
      </c>
      <c r="E3779" s="12" t="s">
        <v>1249</v>
      </c>
      <c r="F3779" s="12" t="s">
        <v>1250</v>
      </c>
      <c r="G3779" s="12" t="s">
        <v>12</v>
      </c>
      <c r="H3779" s="12"/>
      <c r="I3779" s="12"/>
      <c r="J3779" s="12" t="s">
        <v>860</v>
      </c>
      <c r="K3779" s="12"/>
      <c r="L3779" s="12"/>
      <c r="M3779" s="12" t="s">
        <v>1251</v>
      </c>
      <c r="N3779" s="12"/>
      <c r="O3779" s="12" t="s">
        <v>1252</v>
      </c>
      <c r="P3779" s="12" t="str">
        <f>HYPERLINK("https://ceds.ed.gov/cedselementdetails.aspx?termid=10019")</f>
        <v>https://ceds.ed.gov/cedselementdetails.aspx?termid=10019</v>
      </c>
      <c r="Q3779" s="12" t="str">
        <f>HYPERLINK("https://ceds.ed.gov/elementComment.aspx?elementName=Assessment Registration Creation Date &amp;elementID=10019", "Click here to submit comment")</f>
        <v>Click here to submit comment</v>
      </c>
    </row>
    <row r="3780" spans="1:17" ht="75" x14ac:dyDescent="0.25">
      <c r="A3780" s="12" t="s">
        <v>7327</v>
      </c>
      <c r="B3780" s="12" t="s">
        <v>7346</v>
      </c>
      <c r="C3780" s="12"/>
      <c r="D3780" s="12" t="s">
        <v>7172</v>
      </c>
      <c r="E3780" s="12" t="s">
        <v>1285</v>
      </c>
      <c r="F3780" s="12" t="s">
        <v>1286</v>
      </c>
      <c r="G3780" s="12" t="s">
        <v>12</v>
      </c>
      <c r="H3780" s="12"/>
      <c r="I3780" s="12"/>
      <c r="J3780" s="12" t="s">
        <v>68</v>
      </c>
      <c r="K3780" s="12"/>
      <c r="L3780" s="12" t="s">
        <v>1287</v>
      </c>
      <c r="M3780" s="12" t="s">
        <v>1288</v>
      </c>
      <c r="N3780" s="12"/>
      <c r="O3780" s="12" t="s">
        <v>1289</v>
      </c>
      <c r="P3780" s="12" t="str">
        <f>HYPERLINK("https://ceds.ed.gov/cedselementdetails.aspx?termid=10061")</f>
        <v>https://ceds.ed.gov/cedselementdetails.aspx?termid=10061</v>
      </c>
      <c r="Q3780" s="12" t="str">
        <f>HYPERLINK("https://ceds.ed.gov/elementComment.aspx?elementName=Assessment Registration Testing Indicator &amp;elementID=10061", "Click here to submit comment")</f>
        <v>Click here to submit comment</v>
      </c>
    </row>
    <row r="3781" spans="1:17" ht="135" x14ac:dyDescent="0.25">
      <c r="A3781" s="12" t="s">
        <v>7327</v>
      </c>
      <c r="B3781" s="12" t="s">
        <v>7346</v>
      </c>
      <c r="C3781" s="12"/>
      <c r="D3781" s="12" t="s">
        <v>7172</v>
      </c>
      <c r="E3781" s="12" t="s">
        <v>1276</v>
      </c>
      <c r="F3781" s="12" t="s">
        <v>1277</v>
      </c>
      <c r="G3781" s="12" t="s">
        <v>12</v>
      </c>
      <c r="H3781" s="12"/>
      <c r="I3781" s="12"/>
      <c r="J3781" s="12" t="s">
        <v>73</v>
      </c>
      <c r="K3781" s="12"/>
      <c r="L3781" s="12"/>
      <c r="M3781" s="12" t="s">
        <v>1278</v>
      </c>
      <c r="N3781" s="12"/>
      <c r="O3781" s="12" t="s">
        <v>1279</v>
      </c>
      <c r="P3781" s="12" t="str">
        <f>HYPERLINK("https://ceds.ed.gov/cedselementdetails.aspx?termid=10062")</f>
        <v>https://ceds.ed.gov/cedselementdetails.aspx?termid=10062</v>
      </c>
      <c r="Q3781" s="12" t="str">
        <f>HYPERLINK("https://ceds.ed.gov/elementComment.aspx?elementName=Assessment Registration Score Publish Date &amp;elementID=10062", "Click here to submit comment")</f>
        <v>Click here to submit comment</v>
      </c>
    </row>
    <row r="3782" spans="1:17" ht="409.5" x14ac:dyDescent="0.25">
      <c r="A3782" s="12" t="s">
        <v>7327</v>
      </c>
      <c r="B3782" s="12" t="s">
        <v>7346</v>
      </c>
      <c r="C3782" s="12"/>
      <c r="D3782" s="12" t="s">
        <v>7172</v>
      </c>
      <c r="E3782" s="12" t="s">
        <v>1258</v>
      </c>
      <c r="F3782" s="12" t="s">
        <v>1259</v>
      </c>
      <c r="G3782" s="13" t="s">
        <v>6786</v>
      </c>
      <c r="H3782" s="12"/>
      <c r="I3782" s="12"/>
      <c r="J3782" s="12"/>
      <c r="K3782" s="12"/>
      <c r="L3782" s="12" t="s">
        <v>1260</v>
      </c>
      <c r="M3782" s="12" t="s">
        <v>1261</v>
      </c>
      <c r="N3782" s="12"/>
      <c r="O3782" s="12" t="s">
        <v>1262</v>
      </c>
      <c r="P3782" s="12" t="str">
        <f>HYPERLINK("https://ceds.ed.gov/cedselementdetails.aspx?termid=10063")</f>
        <v>https://ceds.ed.gov/cedselementdetails.aspx?termid=10063</v>
      </c>
      <c r="Q3782" s="12" t="str">
        <f>HYPERLINK("https://ceds.ed.gov/elementComment.aspx?elementName=Assessment Registration Grade Level To Be Assessed &amp;elementID=10063", "Click here to submit comment")</f>
        <v>Click here to submit comment</v>
      </c>
    </row>
    <row r="3783" spans="1:17" ht="45" x14ac:dyDescent="0.25">
      <c r="A3783" s="12" t="s">
        <v>7327</v>
      </c>
      <c r="B3783" s="12" t="s">
        <v>7346</v>
      </c>
      <c r="C3783" s="12"/>
      <c r="D3783" s="12" t="s">
        <v>7172</v>
      </c>
      <c r="E3783" s="12" t="s">
        <v>412</v>
      </c>
      <c r="F3783" s="12" t="s">
        <v>413</v>
      </c>
      <c r="G3783" s="12" t="s">
        <v>12</v>
      </c>
      <c r="H3783" s="12"/>
      <c r="I3783" s="12"/>
      <c r="J3783" s="12" t="s">
        <v>92</v>
      </c>
      <c r="K3783" s="12"/>
      <c r="L3783" s="12"/>
      <c r="M3783" s="12" t="s">
        <v>414</v>
      </c>
      <c r="N3783" s="12"/>
      <c r="O3783" s="12" t="s">
        <v>415</v>
      </c>
      <c r="P3783" s="12" t="str">
        <f>HYPERLINK("https://ceds.ed.gov/cedselementdetails.aspx?termid=10116")</f>
        <v>https://ceds.ed.gov/cedselementdetails.aspx?termid=10116</v>
      </c>
      <c r="Q3783" s="12" t="str">
        <f>HYPERLINK("https://ceds.ed.gov/elementComment.aspx?elementName=Assessment Accommodation Other Description &amp;elementID=10116", "Click here to submit comment")</f>
        <v>Click here to submit comment</v>
      </c>
    </row>
    <row r="3784" spans="1:17" ht="75" x14ac:dyDescent="0.25">
      <c r="A3784" s="18" t="s">
        <v>7327</v>
      </c>
      <c r="B3784" s="18" t="s">
        <v>7346</v>
      </c>
      <c r="C3784" s="18"/>
      <c r="D3784" s="18" t="s">
        <v>7172</v>
      </c>
      <c r="E3784" s="18" t="s">
        <v>1280</v>
      </c>
      <c r="F3784" s="18" t="s">
        <v>1281</v>
      </c>
      <c r="G3784" s="18" t="s">
        <v>12</v>
      </c>
      <c r="H3784" s="18"/>
      <c r="I3784" s="18"/>
      <c r="J3784" s="18" t="s">
        <v>142</v>
      </c>
      <c r="K3784" s="18"/>
      <c r="L3784" s="12" t="s">
        <v>1282</v>
      </c>
      <c r="M3784" s="18" t="s">
        <v>1283</v>
      </c>
      <c r="N3784" s="18"/>
      <c r="O3784" s="18" t="s">
        <v>1284</v>
      </c>
      <c r="P3784" s="18" t="str">
        <f>HYPERLINK("https://ceds.ed.gov/cedselementdetails.aspx?termid=10119")</f>
        <v>https://ceds.ed.gov/cedselementdetails.aspx?termid=10119</v>
      </c>
      <c r="Q3784" s="18" t="str">
        <f>HYPERLINK("https://ceds.ed.gov/elementComment.aspx?elementName=Assessment Registration Test Attempt Identifier &amp;elementID=10119", "Click here to submit comment")</f>
        <v>Click here to submit comment</v>
      </c>
    </row>
    <row r="3785" spans="1:17" x14ac:dyDescent="0.25">
      <c r="A3785" s="18"/>
      <c r="B3785" s="18"/>
      <c r="C3785" s="18"/>
      <c r="D3785" s="18"/>
      <c r="E3785" s="18"/>
      <c r="F3785" s="18"/>
      <c r="G3785" s="18"/>
      <c r="H3785" s="18"/>
      <c r="I3785" s="18"/>
      <c r="J3785" s="18"/>
      <c r="K3785" s="18"/>
      <c r="L3785" s="12"/>
      <c r="M3785" s="18"/>
      <c r="N3785" s="18"/>
      <c r="O3785" s="18"/>
      <c r="P3785" s="18"/>
      <c r="Q3785" s="18"/>
    </row>
    <row r="3786" spans="1:17" ht="105" x14ac:dyDescent="0.25">
      <c r="A3786" s="18"/>
      <c r="B3786" s="18"/>
      <c r="C3786" s="18"/>
      <c r="D3786" s="18"/>
      <c r="E3786" s="18"/>
      <c r="F3786" s="18"/>
      <c r="G3786" s="18"/>
      <c r="H3786" s="18"/>
      <c r="I3786" s="18"/>
      <c r="J3786" s="18"/>
      <c r="K3786" s="18"/>
      <c r="L3786" s="12" t="s">
        <v>143</v>
      </c>
      <c r="M3786" s="18"/>
      <c r="N3786" s="18"/>
      <c r="O3786" s="18"/>
      <c r="P3786" s="18"/>
      <c r="Q3786" s="18"/>
    </row>
    <row r="3787" spans="1:17" x14ac:dyDescent="0.25">
      <c r="A3787" s="18"/>
      <c r="B3787" s="18"/>
      <c r="C3787" s="18"/>
      <c r="D3787" s="18"/>
      <c r="E3787" s="18"/>
      <c r="F3787" s="18"/>
      <c r="G3787" s="18"/>
      <c r="H3787" s="18"/>
      <c r="I3787" s="18"/>
      <c r="J3787" s="18"/>
      <c r="K3787" s="18"/>
      <c r="L3787" s="12"/>
      <c r="M3787" s="18"/>
      <c r="N3787" s="18"/>
      <c r="O3787" s="18"/>
      <c r="P3787" s="18"/>
      <c r="Q3787" s="18"/>
    </row>
    <row r="3788" spans="1:17" ht="90" x14ac:dyDescent="0.25">
      <c r="A3788" s="18"/>
      <c r="B3788" s="18"/>
      <c r="C3788" s="18"/>
      <c r="D3788" s="18"/>
      <c r="E3788" s="18"/>
      <c r="F3788" s="18"/>
      <c r="G3788" s="18"/>
      <c r="H3788" s="18"/>
      <c r="I3788" s="18"/>
      <c r="J3788" s="18"/>
      <c r="K3788" s="18"/>
      <c r="L3788" s="12" t="s">
        <v>144</v>
      </c>
      <c r="M3788" s="18"/>
      <c r="N3788" s="18"/>
      <c r="O3788" s="18"/>
      <c r="P3788" s="18"/>
      <c r="Q3788" s="18"/>
    </row>
    <row r="3789" spans="1:17" ht="135" x14ac:dyDescent="0.25">
      <c r="A3789" s="12" t="s">
        <v>7327</v>
      </c>
      <c r="B3789" s="12" t="s">
        <v>7346</v>
      </c>
      <c r="C3789" s="12"/>
      <c r="D3789" s="12" t="s">
        <v>7172</v>
      </c>
      <c r="E3789" s="12" t="s">
        <v>5313</v>
      </c>
      <c r="F3789" s="12" t="s">
        <v>5314</v>
      </c>
      <c r="G3789" s="13" t="s">
        <v>7092</v>
      </c>
      <c r="H3789" s="12"/>
      <c r="I3789" s="12"/>
      <c r="J3789" s="12"/>
      <c r="K3789" s="12"/>
      <c r="L3789" s="12"/>
      <c r="M3789" s="12" t="s">
        <v>5315</v>
      </c>
      <c r="N3789" s="12"/>
      <c r="O3789" s="12" t="s">
        <v>5316</v>
      </c>
      <c r="P3789" s="12" t="str">
        <f>HYPERLINK("https://ceds.ed.gov/cedselementdetails.aspx?termid=9228")</f>
        <v>https://ceds.ed.gov/cedselementdetails.aspx?termid=9228</v>
      </c>
      <c r="Q3789" s="12" t="str">
        <f>HYPERLINK("https://ceds.ed.gov/elementComment.aspx?elementName=Reason Not Tested &amp;elementID=9228", "Click here to submit comment")</f>
        <v>Click here to submit comment</v>
      </c>
    </row>
    <row r="3790" spans="1:17" ht="45" x14ac:dyDescent="0.25">
      <c r="A3790" s="12" t="s">
        <v>7327</v>
      </c>
      <c r="B3790" s="12" t="s">
        <v>7346</v>
      </c>
      <c r="C3790" s="12"/>
      <c r="D3790" s="12" t="s">
        <v>7172</v>
      </c>
      <c r="E3790" s="12" t="s">
        <v>559</v>
      </c>
      <c r="F3790" s="12" t="s">
        <v>560</v>
      </c>
      <c r="G3790" s="12" t="s">
        <v>12</v>
      </c>
      <c r="H3790" s="12" t="s">
        <v>6397</v>
      </c>
      <c r="I3790" s="12"/>
      <c r="J3790" s="12" t="s">
        <v>92</v>
      </c>
      <c r="K3790" s="12"/>
      <c r="L3790" s="12"/>
      <c r="M3790" s="12" t="s">
        <v>561</v>
      </c>
      <c r="N3790" s="12"/>
      <c r="O3790" s="12" t="s">
        <v>562</v>
      </c>
      <c r="P3790" s="12" t="str">
        <f>HYPERLINK("https://ceds.ed.gov/cedselementdetails.aspx?termid=9365")</f>
        <v>https://ceds.ed.gov/cedselementdetails.aspx?termid=9365</v>
      </c>
      <c r="Q3790" s="12" t="str">
        <f>HYPERLINK("https://ceds.ed.gov/elementComment.aspx?elementName=Assessment Form Number &amp;elementID=9365", "Click here to submit comment")</f>
        <v>Click here to submit comment</v>
      </c>
    </row>
    <row r="3791" spans="1:17" ht="165" x14ac:dyDescent="0.25">
      <c r="A3791" s="12" t="s">
        <v>7327</v>
      </c>
      <c r="B3791" s="12" t="s">
        <v>7346</v>
      </c>
      <c r="C3791" s="12"/>
      <c r="D3791" s="12" t="s">
        <v>7172</v>
      </c>
      <c r="E3791" s="12" t="s">
        <v>631</v>
      </c>
      <c r="F3791" s="12" t="s">
        <v>632</v>
      </c>
      <c r="G3791" s="13" t="s">
        <v>6758</v>
      </c>
      <c r="H3791" s="12" t="s">
        <v>6406</v>
      </c>
      <c r="I3791" s="12"/>
      <c r="J3791" s="12"/>
      <c r="K3791" s="12"/>
      <c r="L3791" s="12"/>
      <c r="M3791" s="12" t="s">
        <v>633</v>
      </c>
      <c r="N3791" s="12"/>
      <c r="O3791" s="12" t="s">
        <v>634</v>
      </c>
      <c r="P3791" s="12" t="str">
        <f>HYPERLINK("https://ceds.ed.gov/cedselementdetails.aspx?termid=9158")</f>
        <v>https://ceds.ed.gov/cedselementdetails.aspx?termid=9158</v>
      </c>
      <c r="Q3791" s="12" t="str">
        <f>HYPERLINK("https://ceds.ed.gov/elementComment.aspx?elementName=Assessment Identification System &amp;elementID=9158", "Click here to submit comment")</f>
        <v>Click here to submit comment</v>
      </c>
    </row>
    <row r="3792" spans="1:17" ht="120" x14ac:dyDescent="0.25">
      <c r="A3792" s="12" t="s">
        <v>7327</v>
      </c>
      <c r="B3792" s="12" t="s">
        <v>7346</v>
      </c>
      <c r="C3792" s="12"/>
      <c r="D3792" s="12" t="s">
        <v>7172</v>
      </c>
      <c r="E3792" s="12" t="s">
        <v>1173</v>
      </c>
      <c r="F3792" s="12" t="s">
        <v>1174</v>
      </c>
      <c r="G3792" s="13" t="s">
        <v>6782</v>
      </c>
      <c r="H3792" s="12" t="s">
        <v>6409</v>
      </c>
      <c r="I3792" s="12"/>
      <c r="J3792" s="12"/>
      <c r="K3792" s="12"/>
      <c r="L3792" s="12"/>
      <c r="M3792" s="12" t="s">
        <v>1175</v>
      </c>
      <c r="N3792" s="12"/>
      <c r="O3792" s="12" t="s">
        <v>1176</v>
      </c>
      <c r="P3792" s="12" t="str">
        <f>HYPERLINK("https://ceds.ed.gov/cedselementdetails.aspx?termid=9377")</f>
        <v>https://ceds.ed.gov/cedselementdetails.aspx?termid=9377</v>
      </c>
      <c r="Q3792" s="12" t="str">
        <f>HYPERLINK("https://ceds.ed.gov/elementComment.aspx?elementName=Assessment Participant Session Platform Type &amp;elementID=9377", "Click here to submit comment")</f>
        <v>Click here to submit comment</v>
      </c>
    </row>
    <row r="3793" spans="1:17" ht="165" x14ac:dyDescent="0.25">
      <c r="A3793" s="12" t="s">
        <v>7327</v>
      </c>
      <c r="B3793" s="12" t="s">
        <v>7346</v>
      </c>
      <c r="C3793" s="12"/>
      <c r="D3793" s="12" t="s">
        <v>7172</v>
      </c>
      <c r="E3793" s="12" t="s">
        <v>1241</v>
      </c>
      <c r="F3793" s="12" t="s">
        <v>1242</v>
      </c>
      <c r="G3793" s="13" t="s">
        <v>6785</v>
      </c>
      <c r="H3793" s="12"/>
      <c r="I3793" s="12"/>
      <c r="J3793" s="12"/>
      <c r="K3793" s="12"/>
      <c r="L3793" s="12"/>
      <c r="M3793" s="12" t="s">
        <v>1243</v>
      </c>
      <c r="N3793" s="12"/>
      <c r="O3793" s="12" t="s">
        <v>1244</v>
      </c>
      <c r="P3793" s="12" t="str">
        <f>HYPERLINK("https://ceds.ed.gov/cedselementdetails.aspx?termid=10516")</f>
        <v>https://ceds.ed.gov/cedselementdetails.aspx?termid=10516</v>
      </c>
      <c r="Q3793" s="12" t="str">
        <f>HYPERLINK("https://ceds.ed.gov/elementComment.aspx?elementName=Assessment Registration Completion Status &amp;elementID=10516", "Click here to submit comment")</f>
        <v>Click here to submit comment</v>
      </c>
    </row>
    <row r="3794" spans="1:17" ht="60" x14ac:dyDescent="0.25">
      <c r="A3794" s="12" t="s">
        <v>7327</v>
      </c>
      <c r="B3794" s="12" t="s">
        <v>7346</v>
      </c>
      <c r="C3794" s="12"/>
      <c r="D3794" s="12" t="s">
        <v>7172</v>
      </c>
      <c r="E3794" s="12" t="s">
        <v>1245</v>
      </c>
      <c r="F3794" s="12" t="s">
        <v>1246</v>
      </c>
      <c r="G3794" s="12" t="s">
        <v>12</v>
      </c>
      <c r="H3794" s="12"/>
      <c r="I3794" s="12"/>
      <c r="J3794" s="12" t="s">
        <v>860</v>
      </c>
      <c r="K3794" s="12"/>
      <c r="L3794" s="12"/>
      <c r="M3794" s="12" t="s">
        <v>1247</v>
      </c>
      <c r="N3794" s="12"/>
      <c r="O3794" s="12" t="s">
        <v>1248</v>
      </c>
      <c r="P3794" s="12" t="str">
        <f>HYPERLINK("https://ceds.ed.gov/cedselementdetails.aspx?termid=10517")</f>
        <v>https://ceds.ed.gov/cedselementdetails.aspx?termid=10517</v>
      </c>
      <c r="Q3794" s="12" t="str">
        <f>HYPERLINK("https://ceds.ed.gov/elementComment.aspx?elementName=Assessment Registration Completion Status Date Time &amp;elementID=10517", "Click here to submit comment")</f>
        <v>Click here to submit comment</v>
      </c>
    </row>
    <row r="3795" spans="1:17" ht="60" x14ac:dyDescent="0.25">
      <c r="A3795" s="12" t="s">
        <v>7327</v>
      </c>
      <c r="B3795" s="12" t="s">
        <v>7346</v>
      </c>
      <c r="C3795" s="12"/>
      <c r="D3795" s="12" t="s">
        <v>7172</v>
      </c>
      <c r="E3795" s="12" t="s">
        <v>5902</v>
      </c>
      <c r="F3795" s="12" t="s">
        <v>5903</v>
      </c>
      <c r="G3795" s="13" t="s">
        <v>7121</v>
      </c>
      <c r="H3795" s="12"/>
      <c r="I3795" s="12"/>
      <c r="J3795" s="12"/>
      <c r="K3795" s="12"/>
      <c r="L3795" s="12"/>
      <c r="M3795" s="12" t="s">
        <v>5904</v>
      </c>
      <c r="N3795" s="12"/>
      <c r="O3795" s="12" t="s">
        <v>5905</v>
      </c>
      <c r="P3795" s="12" t="str">
        <f>HYPERLINK("https://ceds.ed.gov/cedselementdetails.aspx?termid=10463")</f>
        <v>https://ceds.ed.gov/cedselementdetails.aspx?termid=10463</v>
      </c>
      <c r="Q3795" s="12" t="str">
        <f>HYPERLINK("https://ceds.ed.gov/elementComment.aspx?elementName=State Agency Identification System &amp;elementID=10463", "Click here to submit comment")</f>
        <v>Click here to submit comment</v>
      </c>
    </row>
    <row r="3796" spans="1:17" ht="105" x14ac:dyDescent="0.25">
      <c r="A3796" s="18" t="s">
        <v>7327</v>
      </c>
      <c r="B3796" s="18" t="s">
        <v>7346</v>
      </c>
      <c r="C3796" s="18"/>
      <c r="D3796" s="18" t="s">
        <v>7172</v>
      </c>
      <c r="E3796" s="18" t="s">
        <v>5906</v>
      </c>
      <c r="F3796" s="18" t="s">
        <v>5907</v>
      </c>
      <c r="G3796" s="18" t="s">
        <v>12</v>
      </c>
      <c r="H3796" s="18"/>
      <c r="I3796" s="18"/>
      <c r="J3796" s="18" t="s">
        <v>142</v>
      </c>
      <c r="K3796" s="18"/>
      <c r="L3796" s="12" t="s">
        <v>143</v>
      </c>
      <c r="M3796" s="18" t="s">
        <v>5908</v>
      </c>
      <c r="N3796" s="18"/>
      <c r="O3796" s="18" t="s">
        <v>5909</v>
      </c>
      <c r="P3796" s="18" t="str">
        <f>HYPERLINK("https://ceds.ed.gov/cedselementdetails.aspx?termid=10462")</f>
        <v>https://ceds.ed.gov/cedselementdetails.aspx?termid=10462</v>
      </c>
      <c r="Q3796" s="18" t="str">
        <f>HYPERLINK("https://ceds.ed.gov/elementComment.aspx?elementName=State Agency Identifier &amp;elementID=10462", "Click here to submit comment")</f>
        <v>Click here to submit comment</v>
      </c>
    </row>
    <row r="3797" spans="1:17" x14ac:dyDescent="0.25">
      <c r="A3797" s="18"/>
      <c r="B3797" s="18"/>
      <c r="C3797" s="18"/>
      <c r="D3797" s="18"/>
      <c r="E3797" s="18"/>
      <c r="F3797" s="18"/>
      <c r="G3797" s="18"/>
      <c r="H3797" s="18"/>
      <c r="I3797" s="18"/>
      <c r="J3797" s="18"/>
      <c r="K3797" s="18"/>
      <c r="L3797" s="12"/>
      <c r="M3797" s="18"/>
      <c r="N3797" s="18"/>
      <c r="O3797" s="18"/>
      <c r="P3797" s="18"/>
      <c r="Q3797" s="18"/>
    </row>
    <row r="3798" spans="1:17" ht="90" x14ac:dyDescent="0.25">
      <c r="A3798" s="18"/>
      <c r="B3798" s="18"/>
      <c r="C3798" s="18"/>
      <c r="D3798" s="18"/>
      <c r="E3798" s="18"/>
      <c r="F3798" s="18"/>
      <c r="G3798" s="18"/>
      <c r="H3798" s="18"/>
      <c r="I3798" s="18"/>
      <c r="J3798" s="18"/>
      <c r="K3798" s="18"/>
      <c r="L3798" s="12" t="s">
        <v>144</v>
      </c>
      <c r="M3798" s="18"/>
      <c r="N3798" s="18"/>
      <c r="O3798" s="18"/>
      <c r="P3798" s="18"/>
      <c r="Q3798" s="18"/>
    </row>
    <row r="3799" spans="1:17" ht="105" x14ac:dyDescent="0.25">
      <c r="A3799" s="18" t="s">
        <v>7327</v>
      </c>
      <c r="B3799" s="18" t="s">
        <v>7347</v>
      </c>
      <c r="C3799" s="18"/>
      <c r="D3799" s="18" t="s">
        <v>7172</v>
      </c>
      <c r="E3799" s="18" t="s">
        <v>635</v>
      </c>
      <c r="F3799" s="18" t="s">
        <v>636</v>
      </c>
      <c r="G3799" s="18" t="s">
        <v>12</v>
      </c>
      <c r="H3799" s="18" t="s">
        <v>6408</v>
      </c>
      <c r="I3799" s="18"/>
      <c r="J3799" s="18" t="s">
        <v>142</v>
      </c>
      <c r="K3799" s="18"/>
      <c r="L3799" s="12" t="s">
        <v>143</v>
      </c>
      <c r="M3799" s="18" t="s">
        <v>637</v>
      </c>
      <c r="N3799" s="18"/>
      <c r="O3799" s="18" t="s">
        <v>638</v>
      </c>
      <c r="P3799" s="18" t="str">
        <f>HYPERLINK("https://ceds.ed.gov/cedselementdetails.aspx?termid=9152")</f>
        <v>https://ceds.ed.gov/cedselementdetails.aspx?termid=9152</v>
      </c>
      <c r="Q3799" s="18" t="str">
        <f>HYPERLINK("https://ceds.ed.gov/elementComment.aspx?elementName=Assessment Identifier &amp;elementID=9152", "Click here to submit comment")</f>
        <v>Click here to submit comment</v>
      </c>
    </row>
    <row r="3800" spans="1:17" x14ac:dyDescent="0.25">
      <c r="A3800" s="18"/>
      <c r="B3800" s="18"/>
      <c r="C3800" s="18"/>
      <c r="D3800" s="18"/>
      <c r="E3800" s="18"/>
      <c r="F3800" s="18"/>
      <c r="G3800" s="18"/>
      <c r="H3800" s="18"/>
      <c r="I3800" s="18"/>
      <c r="J3800" s="18"/>
      <c r="K3800" s="18"/>
      <c r="L3800" s="12"/>
      <c r="M3800" s="18"/>
      <c r="N3800" s="18"/>
      <c r="O3800" s="18"/>
      <c r="P3800" s="18"/>
      <c r="Q3800" s="18"/>
    </row>
    <row r="3801" spans="1:17" ht="90" x14ac:dyDescent="0.25">
      <c r="A3801" s="18"/>
      <c r="B3801" s="18"/>
      <c r="C3801" s="18"/>
      <c r="D3801" s="18"/>
      <c r="E3801" s="18"/>
      <c r="F3801" s="18"/>
      <c r="G3801" s="18"/>
      <c r="H3801" s="18"/>
      <c r="I3801" s="18"/>
      <c r="J3801" s="18"/>
      <c r="K3801" s="18"/>
      <c r="L3801" s="12" t="s">
        <v>144</v>
      </c>
      <c r="M3801" s="18"/>
      <c r="N3801" s="18"/>
      <c r="O3801" s="18"/>
      <c r="P3801" s="18"/>
      <c r="Q3801" s="18"/>
    </row>
    <row r="3802" spans="1:17" ht="165" x14ac:dyDescent="0.25">
      <c r="A3802" s="12" t="s">
        <v>7327</v>
      </c>
      <c r="B3802" s="12" t="s">
        <v>7347</v>
      </c>
      <c r="C3802" s="12"/>
      <c r="D3802" s="12" t="s">
        <v>7172</v>
      </c>
      <c r="E3802" s="12" t="s">
        <v>631</v>
      </c>
      <c r="F3802" s="12" t="s">
        <v>632</v>
      </c>
      <c r="G3802" s="13" t="s">
        <v>6758</v>
      </c>
      <c r="H3802" s="12" t="s">
        <v>6406</v>
      </c>
      <c r="I3802" s="12"/>
      <c r="J3802" s="12"/>
      <c r="K3802" s="12"/>
      <c r="L3802" s="12"/>
      <c r="M3802" s="12" t="s">
        <v>633</v>
      </c>
      <c r="N3802" s="12"/>
      <c r="O3802" s="12" t="s">
        <v>634</v>
      </c>
      <c r="P3802" s="12" t="str">
        <f>HYPERLINK("https://ceds.ed.gov/cedselementdetails.aspx?termid=9158")</f>
        <v>https://ceds.ed.gov/cedselementdetails.aspx?termid=9158</v>
      </c>
      <c r="Q3802" s="12" t="str">
        <f>HYPERLINK("https://ceds.ed.gov/elementComment.aspx?elementName=Assessment Identification System &amp;elementID=9158", "Click here to submit comment")</f>
        <v>Click here to submit comment</v>
      </c>
    </row>
    <row r="3803" spans="1:17" ht="30" x14ac:dyDescent="0.25">
      <c r="A3803" s="12" t="s">
        <v>7327</v>
      </c>
      <c r="B3803" s="12" t="s">
        <v>7347</v>
      </c>
      <c r="C3803" s="12"/>
      <c r="D3803" s="12" t="s">
        <v>7172</v>
      </c>
      <c r="E3803" s="12" t="s">
        <v>440</v>
      </c>
      <c r="F3803" s="12" t="s">
        <v>441</v>
      </c>
      <c r="G3803" s="12" t="s">
        <v>12</v>
      </c>
      <c r="H3803" s="12"/>
      <c r="I3803" s="12"/>
      <c r="J3803" s="12" t="s">
        <v>92</v>
      </c>
      <c r="K3803" s="12"/>
      <c r="L3803" s="12"/>
      <c r="M3803" s="12" t="s">
        <v>442</v>
      </c>
      <c r="N3803" s="12"/>
      <c r="O3803" s="12" t="s">
        <v>443</v>
      </c>
      <c r="P3803" s="12" t="str">
        <f>HYPERLINK("https://ceds.ed.gov/cedselementdetails.aspx?termid=9978")</f>
        <v>https://ceds.ed.gov/cedselementdetails.aspx?termid=9978</v>
      </c>
      <c r="Q3803" s="12" t="str">
        <f>HYPERLINK("https://ceds.ed.gov/elementComment.aspx?elementName=Assessment Administration Name &amp;elementID=9978", "Click here to submit comment")</f>
        <v>Click here to submit comment</v>
      </c>
    </row>
    <row r="3804" spans="1:17" ht="45" x14ac:dyDescent="0.25">
      <c r="A3804" s="12" t="s">
        <v>7327</v>
      </c>
      <c r="B3804" s="12" t="s">
        <v>7347</v>
      </c>
      <c r="C3804" s="12"/>
      <c r="D3804" s="12" t="s">
        <v>7172</v>
      </c>
      <c r="E3804" s="12" t="s">
        <v>444</v>
      </c>
      <c r="F3804" s="12" t="s">
        <v>445</v>
      </c>
      <c r="G3804" s="12" t="s">
        <v>12</v>
      </c>
      <c r="H3804" s="12"/>
      <c r="I3804" s="12"/>
      <c r="J3804" s="12" t="s">
        <v>99</v>
      </c>
      <c r="K3804" s="12"/>
      <c r="L3804" s="12"/>
      <c r="M3804" s="12" t="s">
        <v>446</v>
      </c>
      <c r="N3804" s="12"/>
      <c r="O3804" s="12" t="s">
        <v>447</v>
      </c>
      <c r="P3804" s="12" t="str">
        <f>HYPERLINK("https://ceds.ed.gov/cedselementdetails.aspx?termid=9967")</f>
        <v>https://ceds.ed.gov/cedselementdetails.aspx?termid=9967</v>
      </c>
      <c r="Q3804" s="12" t="str">
        <f>HYPERLINK("https://ceds.ed.gov/elementComment.aspx?elementName=Assessment Administration Organization Name &amp;elementID=9967", "Click here to submit comment")</f>
        <v>Click here to submit comment</v>
      </c>
    </row>
    <row r="3805" spans="1:17" ht="45" x14ac:dyDescent="0.25">
      <c r="A3805" s="12" t="s">
        <v>7327</v>
      </c>
      <c r="B3805" s="12" t="s">
        <v>7347</v>
      </c>
      <c r="C3805" s="12"/>
      <c r="D3805" s="12" t="s">
        <v>7172</v>
      </c>
      <c r="E3805" s="12" t="s">
        <v>427</v>
      </c>
      <c r="F3805" s="12" t="s">
        <v>428</v>
      </c>
      <c r="G3805" s="12" t="s">
        <v>12</v>
      </c>
      <c r="H3805" s="12"/>
      <c r="I3805" s="12"/>
      <c r="J3805" s="12" t="s">
        <v>92</v>
      </c>
      <c r="K3805" s="12"/>
      <c r="L3805" s="12"/>
      <c r="M3805" s="12" t="s">
        <v>429</v>
      </c>
      <c r="N3805" s="12"/>
      <c r="O3805" s="12" t="s">
        <v>430</v>
      </c>
      <c r="P3805" s="12" t="str">
        <f>HYPERLINK("https://ceds.ed.gov/cedselementdetails.aspx?termid=9962")</f>
        <v>https://ceds.ed.gov/cedselementdetails.aspx?termid=9962</v>
      </c>
      <c r="Q3805" s="12" t="str">
        <f>HYPERLINK("https://ceds.ed.gov/elementComment.aspx?elementName=Assessment Administration Code &amp;elementID=9962", "Click here to submit comment")</f>
        <v>Click here to submit comment</v>
      </c>
    </row>
    <row r="3806" spans="1:17" ht="45" x14ac:dyDescent="0.25">
      <c r="A3806" s="12" t="s">
        <v>7327</v>
      </c>
      <c r="B3806" s="12" t="s">
        <v>7347</v>
      </c>
      <c r="C3806" s="12"/>
      <c r="D3806" s="12" t="s">
        <v>7172</v>
      </c>
      <c r="E3806" s="12" t="s">
        <v>452</v>
      </c>
      <c r="F3806" s="12" t="s">
        <v>453</v>
      </c>
      <c r="G3806" s="12" t="s">
        <v>12</v>
      </c>
      <c r="H3806" s="12"/>
      <c r="I3806" s="12"/>
      <c r="J3806" s="12" t="s">
        <v>73</v>
      </c>
      <c r="K3806" s="12"/>
      <c r="L3806" s="12"/>
      <c r="M3806" s="12" t="s">
        <v>454</v>
      </c>
      <c r="N3806" s="12"/>
      <c r="O3806" s="12" t="s">
        <v>455</v>
      </c>
      <c r="P3806" s="12" t="str">
        <f>HYPERLINK("https://ceds.ed.gov/cedselementdetails.aspx?termid=9963")</f>
        <v>https://ceds.ed.gov/cedselementdetails.aspx?termid=9963</v>
      </c>
      <c r="Q3806" s="12" t="str">
        <f>HYPERLINK("https://ceds.ed.gov/elementComment.aspx?elementName=Assessment Administration Start Date &amp;elementID=9963", "Click here to submit comment")</f>
        <v>Click here to submit comment</v>
      </c>
    </row>
    <row r="3807" spans="1:17" ht="45" x14ac:dyDescent="0.25">
      <c r="A3807" s="12" t="s">
        <v>7327</v>
      </c>
      <c r="B3807" s="12" t="s">
        <v>7347</v>
      </c>
      <c r="C3807" s="12"/>
      <c r="D3807" s="12" t="s">
        <v>7172</v>
      </c>
      <c r="E3807" s="12" t="s">
        <v>456</v>
      </c>
      <c r="F3807" s="12" t="s">
        <v>457</v>
      </c>
      <c r="G3807" s="12" t="s">
        <v>12</v>
      </c>
      <c r="H3807" s="12"/>
      <c r="I3807" s="12"/>
      <c r="J3807" s="12" t="s">
        <v>437</v>
      </c>
      <c r="K3807" s="12"/>
      <c r="L3807" s="12"/>
      <c r="M3807" s="12" t="s">
        <v>458</v>
      </c>
      <c r="N3807" s="12"/>
      <c r="O3807" s="12" t="s">
        <v>459</v>
      </c>
      <c r="P3807" s="12" t="str">
        <f>HYPERLINK("https://ceds.ed.gov/cedselementdetails.aspx?termid=9964")</f>
        <v>https://ceds.ed.gov/cedselementdetails.aspx?termid=9964</v>
      </c>
      <c r="Q3807" s="12" t="str">
        <f>HYPERLINK("https://ceds.ed.gov/elementComment.aspx?elementName=Assessment Administration Start Time &amp;elementID=9964", "Click here to submit comment")</f>
        <v>Click here to submit comment</v>
      </c>
    </row>
    <row r="3808" spans="1:17" ht="45" x14ac:dyDescent="0.25">
      <c r="A3808" s="12" t="s">
        <v>7327</v>
      </c>
      <c r="B3808" s="12" t="s">
        <v>7347</v>
      </c>
      <c r="C3808" s="12"/>
      <c r="D3808" s="12" t="s">
        <v>7172</v>
      </c>
      <c r="E3808" s="12" t="s">
        <v>431</v>
      </c>
      <c r="F3808" s="12" t="s">
        <v>432</v>
      </c>
      <c r="G3808" s="12" t="s">
        <v>12</v>
      </c>
      <c r="H3808" s="12"/>
      <c r="I3808" s="12"/>
      <c r="J3808" s="12" t="s">
        <v>73</v>
      </c>
      <c r="K3808" s="12"/>
      <c r="L3808" s="12"/>
      <c r="M3808" s="12" t="s">
        <v>433</v>
      </c>
      <c r="N3808" s="12"/>
      <c r="O3808" s="12" t="s">
        <v>434</v>
      </c>
      <c r="P3808" s="12" t="str">
        <f>HYPERLINK("https://ceds.ed.gov/cedselementdetails.aspx?termid=9965")</f>
        <v>https://ceds.ed.gov/cedselementdetails.aspx?termid=9965</v>
      </c>
      <c r="Q3808" s="12" t="str">
        <f>HYPERLINK("https://ceds.ed.gov/elementComment.aspx?elementName=Assessment Administration Finish Date &amp;elementID=9965", "Click here to submit comment")</f>
        <v>Click here to submit comment</v>
      </c>
    </row>
    <row r="3809" spans="1:17" ht="45" x14ac:dyDescent="0.25">
      <c r="A3809" s="12" t="s">
        <v>7327</v>
      </c>
      <c r="B3809" s="12" t="s">
        <v>7347</v>
      </c>
      <c r="C3809" s="12"/>
      <c r="D3809" s="12" t="s">
        <v>7172</v>
      </c>
      <c r="E3809" s="12" t="s">
        <v>435</v>
      </c>
      <c r="F3809" s="12" t="s">
        <v>436</v>
      </c>
      <c r="G3809" s="12" t="s">
        <v>12</v>
      </c>
      <c r="H3809" s="12"/>
      <c r="I3809" s="12"/>
      <c r="J3809" s="12" t="s">
        <v>437</v>
      </c>
      <c r="K3809" s="12"/>
      <c r="L3809" s="12"/>
      <c r="M3809" s="12" t="s">
        <v>438</v>
      </c>
      <c r="N3809" s="12"/>
      <c r="O3809" s="12" t="s">
        <v>439</v>
      </c>
      <c r="P3809" s="12" t="str">
        <f>HYPERLINK("https://ceds.ed.gov/cedselementdetails.aspx?termid=9966")</f>
        <v>https://ceds.ed.gov/cedselementdetails.aspx?termid=9966</v>
      </c>
      <c r="Q3809" s="12" t="str">
        <f>HYPERLINK("https://ceds.ed.gov/elementComment.aspx?elementName=Assessment Administration Finish Time &amp;elementID=9966", "Click here to submit comment")</f>
        <v>Click here to submit comment</v>
      </c>
    </row>
    <row r="3810" spans="1:17" ht="45" x14ac:dyDescent="0.25">
      <c r="A3810" s="12" t="s">
        <v>7327</v>
      </c>
      <c r="B3810" s="12" t="s">
        <v>7347</v>
      </c>
      <c r="C3810" s="12"/>
      <c r="D3810" s="12" t="s">
        <v>7172</v>
      </c>
      <c r="E3810" s="12" t="s">
        <v>1361</v>
      </c>
      <c r="F3810" s="12" t="s">
        <v>1362</v>
      </c>
      <c r="G3810" s="12" t="s">
        <v>6364</v>
      </c>
      <c r="H3810" s="12" t="s">
        <v>6397</v>
      </c>
      <c r="I3810" s="12"/>
      <c r="J3810" s="12"/>
      <c r="K3810" s="12"/>
      <c r="L3810" s="12"/>
      <c r="M3810" s="12" t="s">
        <v>1363</v>
      </c>
      <c r="N3810" s="12"/>
      <c r="O3810" s="12" t="s">
        <v>1364</v>
      </c>
      <c r="P3810" s="12" t="str">
        <f>HYPERLINK("https://ceds.ed.gov/cedselementdetails.aspx?termid=9375")</f>
        <v>https://ceds.ed.gov/cedselementdetails.aspx?termid=9375</v>
      </c>
      <c r="Q3810" s="12" t="str">
        <f>HYPERLINK("https://ceds.ed.gov/elementComment.aspx?elementName=Assessment Secure Indicator &amp;elementID=9375", "Click here to submit comment")</f>
        <v>Click here to submit comment</v>
      </c>
    </row>
    <row r="3811" spans="1:17" ht="240" x14ac:dyDescent="0.25">
      <c r="A3811" s="12" t="s">
        <v>7327</v>
      </c>
      <c r="B3811" s="12" t="s">
        <v>7347</v>
      </c>
      <c r="C3811" s="12"/>
      <c r="D3811" s="12" t="s">
        <v>7172</v>
      </c>
      <c r="E3811" s="12" t="s">
        <v>4323</v>
      </c>
      <c r="F3811" s="12" t="s">
        <v>4324</v>
      </c>
      <c r="G3811" s="13" t="s">
        <v>7020</v>
      </c>
      <c r="H3811" s="12" t="s">
        <v>6596</v>
      </c>
      <c r="I3811" s="12" t="s">
        <v>98</v>
      </c>
      <c r="J3811" s="12"/>
      <c r="K3811" s="12"/>
      <c r="L3811" s="12"/>
      <c r="M3811" s="12" t="s">
        <v>4325</v>
      </c>
      <c r="N3811" s="12" t="s">
        <v>4326</v>
      </c>
      <c r="O3811" s="12" t="s">
        <v>4327</v>
      </c>
      <c r="P3811" s="12" t="str">
        <f>HYPERLINK("https://ceds.ed.gov/cedselementdetails.aspx?termid=9159")</f>
        <v>https://ceds.ed.gov/cedselementdetails.aspx?termid=9159</v>
      </c>
      <c r="Q3811" s="12" t="str">
        <f>HYPERLINK("https://ceds.ed.gov/elementComment.aspx?elementName=Local Education Agency Identification System &amp;elementID=9159", "Click here to submit comment")</f>
        <v>Click here to submit comment</v>
      </c>
    </row>
    <row r="3812" spans="1:17" ht="105" x14ac:dyDescent="0.25">
      <c r="A3812" s="18" t="s">
        <v>7327</v>
      </c>
      <c r="B3812" s="18" t="s">
        <v>7347</v>
      </c>
      <c r="C3812" s="18"/>
      <c r="D3812" s="18" t="s">
        <v>7172</v>
      </c>
      <c r="E3812" s="18" t="s">
        <v>4328</v>
      </c>
      <c r="F3812" s="18" t="s">
        <v>4329</v>
      </c>
      <c r="G3812" s="18" t="s">
        <v>12</v>
      </c>
      <c r="H3812" s="18" t="s">
        <v>6596</v>
      </c>
      <c r="I3812" s="18"/>
      <c r="J3812" s="18" t="s">
        <v>142</v>
      </c>
      <c r="K3812" s="18"/>
      <c r="L3812" s="12" t="s">
        <v>143</v>
      </c>
      <c r="M3812" s="18" t="s">
        <v>4330</v>
      </c>
      <c r="N3812" s="18" t="s">
        <v>4331</v>
      </c>
      <c r="O3812" s="18" t="s">
        <v>4332</v>
      </c>
      <c r="P3812" s="18" t="str">
        <f>HYPERLINK("https://ceds.ed.gov/cedselementdetails.aspx?termid=9153")</f>
        <v>https://ceds.ed.gov/cedselementdetails.aspx?termid=9153</v>
      </c>
      <c r="Q3812" s="18" t="str">
        <f>HYPERLINK("https://ceds.ed.gov/elementComment.aspx?elementName=Local Education Agency Identifier &amp;elementID=9153", "Click here to submit comment")</f>
        <v>Click here to submit comment</v>
      </c>
    </row>
    <row r="3813" spans="1:17" x14ac:dyDescent="0.25">
      <c r="A3813" s="18"/>
      <c r="B3813" s="18"/>
      <c r="C3813" s="18"/>
      <c r="D3813" s="18"/>
      <c r="E3813" s="18"/>
      <c r="F3813" s="18"/>
      <c r="G3813" s="18"/>
      <c r="H3813" s="18"/>
      <c r="I3813" s="18"/>
      <c r="J3813" s="18"/>
      <c r="K3813" s="18"/>
      <c r="L3813" s="12"/>
      <c r="M3813" s="18"/>
      <c r="N3813" s="18"/>
      <c r="O3813" s="18"/>
      <c r="P3813" s="18"/>
      <c r="Q3813" s="18"/>
    </row>
    <row r="3814" spans="1:17" ht="90" x14ac:dyDescent="0.25">
      <c r="A3814" s="18"/>
      <c r="B3814" s="18"/>
      <c r="C3814" s="18"/>
      <c r="D3814" s="18"/>
      <c r="E3814" s="18"/>
      <c r="F3814" s="18"/>
      <c r="G3814" s="18"/>
      <c r="H3814" s="18"/>
      <c r="I3814" s="18"/>
      <c r="J3814" s="18"/>
      <c r="K3814" s="18"/>
      <c r="L3814" s="12" t="s">
        <v>144</v>
      </c>
      <c r="M3814" s="18"/>
      <c r="N3814" s="18"/>
      <c r="O3814" s="18"/>
      <c r="P3814" s="18"/>
      <c r="Q3814" s="18"/>
    </row>
    <row r="3815" spans="1:17" ht="270" x14ac:dyDescent="0.25">
      <c r="A3815" s="12" t="s">
        <v>7327</v>
      </c>
      <c r="B3815" s="12" t="s">
        <v>7347</v>
      </c>
      <c r="C3815" s="12"/>
      <c r="D3815" s="12" t="s">
        <v>7172</v>
      </c>
      <c r="E3815" s="12" t="s">
        <v>5580</v>
      </c>
      <c r="F3815" s="12" t="s">
        <v>275</v>
      </c>
      <c r="G3815" s="13" t="s">
        <v>7103</v>
      </c>
      <c r="H3815" s="12" t="s">
        <v>6657</v>
      </c>
      <c r="I3815" s="12"/>
      <c r="J3815" s="12"/>
      <c r="K3815" s="12"/>
      <c r="L3815" s="12"/>
      <c r="M3815" s="12" t="s">
        <v>5581</v>
      </c>
      <c r="N3815" s="12"/>
      <c r="O3815" s="12" t="s">
        <v>5582</v>
      </c>
      <c r="P3815" s="12" t="str">
        <f>HYPERLINK("https://ceds.ed.gov/cedselementdetails.aspx?termid=9161")</f>
        <v>https://ceds.ed.gov/cedselementdetails.aspx?termid=9161</v>
      </c>
      <c r="Q3815" s="12" t="str">
        <f>HYPERLINK("https://ceds.ed.gov/elementComment.aspx?elementName=School Identification System &amp;elementID=9161", "Click here to submit comment")</f>
        <v>Click here to submit comment</v>
      </c>
    </row>
    <row r="3816" spans="1:17" ht="105" x14ac:dyDescent="0.25">
      <c r="A3816" s="18" t="s">
        <v>7327</v>
      </c>
      <c r="B3816" s="18" t="s">
        <v>7347</v>
      </c>
      <c r="C3816" s="18"/>
      <c r="D3816" s="18" t="s">
        <v>7172</v>
      </c>
      <c r="E3816" s="18" t="s">
        <v>5583</v>
      </c>
      <c r="F3816" s="18" t="s">
        <v>279</v>
      </c>
      <c r="G3816" s="18" t="s">
        <v>12</v>
      </c>
      <c r="H3816" s="18" t="s">
        <v>6657</v>
      </c>
      <c r="I3816" s="18"/>
      <c r="J3816" s="18" t="s">
        <v>142</v>
      </c>
      <c r="K3816" s="18"/>
      <c r="L3816" s="12" t="s">
        <v>143</v>
      </c>
      <c r="M3816" s="18" t="s">
        <v>5584</v>
      </c>
      <c r="N3816" s="18"/>
      <c r="O3816" s="18" t="s">
        <v>5585</v>
      </c>
      <c r="P3816" s="18" t="str">
        <f>HYPERLINK("https://ceds.ed.gov/cedselementdetails.aspx?termid=9155")</f>
        <v>https://ceds.ed.gov/cedselementdetails.aspx?termid=9155</v>
      </c>
      <c r="Q3816" s="18" t="str">
        <f>HYPERLINK("https://ceds.ed.gov/elementComment.aspx?elementName=School Identifier &amp;elementID=9155", "Click here to submit comment")</f>
        <v>Click here to submit comment</v>
      </c>
    </row>
    <row r="3817" spans="1:17" x14ac:dyDescent="0.25">
      <c r="A3817" s="18"/>
      <c r="B3817" s="18"/>
      <c r="C3817" s="18"/>
      <c r="D3817" s="18"/>
      <c r="E3817" s="18"/>
      <c r="F3817" s="18"/>
      <c r="G3817" s="18"/>
      <c r="H3817" s="18"/>
      <c r="I3817" s="18"/>
      <c r="J3817" s="18"/>
      <c r="K3817" s="18"/>
      <c r="L3817" s="12"/>
      <c r="M3817" s="18"/>
      <c r="N3817" s="18"/>
      <c r="O3817" s="18"/>
      <c r="P3817" s="18"/>
      <c r="Q3817" s="18"/>
    </row>
    <row r="3818" spans="1:17" ht="90" x14ac:dyDescent="0.25">
      <c r="A3818" s="18"/>
      <c r="B3818" s="18"/>
      <c r="C3818" s="18"/>
      <c r="D3818" s="18"/>
      <c r="E3818" s="18"/>
      <c r="F3818" s="18"/>
      <c r="G3818" s="18"/>
      <c r="H3818" s="18"/>
      <c r="I3818" s="18"/>
      <c r="J3818" s="18"/>
      <c r="K3818" s="18"/>
      <c r="L3818" s="12" t="s">
        <v>144</v>
      </c>
      <c r="M3818" s="18"/>
      <c r="N3818" s="18"/>
      <c r="O3818" s="18"/>
      <c r="P3818" s="18"/>
      <c r="Q3818" s="18"/>
    </row>
    <row r="3819" spans="1:17" ht="75" x14ac:dyDescent="0.25">
      <c r="A3819" s="12" t="s">
        <v>7327</v>
      </c>
      <c r="B3819" s="12" t="s">
        <v>7347</v>
      </c>
      <c r="C3819" s="12"/>
      <c r="D3819" s="12" t="s">
        <v>7172</v>
      </c>
      <c r="E3819" s="12" t="s">
        <v>421</v>
      </c>
      <c r="F3819" s="12" t="s">
        <v>422</v>
      </c>
      <c r="G3819" s="12" t="s">
        <v>12</v>
      </c>
      <c r="H3819" s="12"/>
      <c r="I3819" s="12"/>
      <c r="J3819" s="12" t="s">
        <v>99</v>
      </c>
      <c r="K3819" s="12"/>
      <c r="L3819" s="12" t="s">
        <v>424</v>
      </c>
      <c r="M3819" s="12" t="s">
        <v>425</v>
      </c>
      <c r="N3819" s="12"/>
      <c r="O3819" s="12" t="s">
        <v>426</v>
      </c>
      <c r="P3819" s="12" t="str">
        <f>HYPERLINK("https://ceds.ed.gov/cedselementdetails.aspx?termid=9968")</f>
        <v>https://ceds.ed.gov/cedselementdetails.aspx?termid=9968</v>
      </c>
      <c r="Q3819" s="12" t="str">
        <f>HYPERLINK("https://ceds.ed.gov/elementComment.aspx?elementName=Assessment Administration Assessment Family &amp;elementID=9968", "Click here to submit comment")</f>
        <v>Click here to submit comment</v>
      </c>
    </row>
    <row r="3820" spans="1:17" ht="45" x14ac:dyDescent="0.25">
      <c r="A3820" s="12" t="s">
        <v>7327</v>
      </c>
      <c r="B3820" s="12" t="s">
        <v>7347</v>
      </c>
      <c r="C3820" s="12"/>
      <c r="D3820" s="12" t="s">
        <v>7172</v>
      </c>
      <c r="E3820" s="12" t="s">
        <v>448</v>
      </c>
      <c r="F3820" s="12" t="s">
        <v>449</v>
      </c>
      <c r="G3820" s="12" t="s">
        <v>12</v>
      </c>
      <c r="H3820" s="12"/>
      <c r="I3820" s="12"/>
      <c r="J3820" s="12" t="s">
        <v>68</v>
      </c>
      <c r="K3820" s="12"/>
      <c r="L3820" s="12"/>
      <c r="M3820" s="12" t="s">
        <v>450</v>
      </c>
      <c r="N3820" s="12"/>
      <c r="O3820" s="12" t="s">
        <v>451</v>
      </c>
      <c r="P3820" s="12" t="str">
        <f>HYPERLINK("https://ceds.ed.gov/cedselementdetails.aspx?termid=10506")</f>
        <v>https://ceds.ed.gov/cedselementdetails.aspx?termid=10506</v>
      </c>
      <c r="Q3820" s="12" t="str">
        <f>HYPERLINK("https://ceds.ed.gov/elementComment.aspx?elementName=Assessment Administration Period Description &amp;elementID=10506", "Click here to submit comment")</f>
        <v>Click here to submit comment</v>
      </c>
    </row>
    <row r="3821" spans="1:17" ht="90" x14ac:dyDescent="0.25">
      <c r="A3821" s="12" t="s">
        <v>7327</v>
      </c>
      <c r="B3821" s="12" t="s">
        <v>7348</v>
      </c>
      <c r="C3821" s="12"/>
      <c r="D3821" s="12" t="s">
        <v>7172</v>
      </c>
      <c r="E3821" s="12" t="s">
        <v>1064</v>
      </c>
      <c r="F3821" s="12" t="s">
        <v>1065</v>
      </c>
      <c r="G3821" s="14" t="s">
        <v>999</v>
      </c>
      <c r="H3821" s="12"/>
      <c r="I3821" s="12" t="s">
        <v>98</v>
      </c>
      <c r="J3821" s="12"/>
      <c r="K3821" s="12"/>
      <c r="L3821" s="14" t="s">
        <v>1000</v>
      </c>
      <c r="M3821" s="12" t="s">
        <v>1067</v>
      </c>
      <c r="N3821" s="12"/>
      <c r="O3821" s="12" t="s">
        <v>1068</v>
      </c>
      <c r="P3821" s="12" t="str">
        <f>HYPERLINK("https://ceds.ed.gov/cedselementdetails.aspx?termid=10025")</f>
        <v>https://ceds.ed.gov/cedselementdetails.aspx?termid=10025</v>
      </c>
      <c r="Q3821" s="12" t="str">
        <f>HYPERLINK("https://ceds.ed.gov/elementComment.aspx?elementName=Assessment Need Language Type &amp;elementID=10025", "Click here to submit comment")</f>
        <v>Click here to submit comment</v>
      </c>
    </row>
    <row r="3822" spans="1:17" ht="30" x14ac:dyDescent="0.25">
      <c r="A3822" s="12" t="s">
        <v>7327</v>
      </c>
      <c r="B3822" s="12" t="s">
        <v>7348</v>
      </c>
      <c r="C3822" s="12"/>
      <c r="D3822" s="12" t="s">
        <v>7172</v>
      </c>
      <c r="E3822" s="12" t="s">
        <v>1136</v>
      </c>
      <c r="F3822" s="12" t="s">
        <v>1137</v>
      </c>
      <c r="G3822" s="12" t="s">
        <v>12</v>
      </c>
      <c r="H3822" s="12"/>
      <c r="I3822" s="12"/>
      <c r="J3822" s="12" t="s">
        <v>327</v>
      </c>
      <c r="K3822" s="12"/>
      <c r="L3822" s="12"/>
      <c r="M3822" s="12" t="s">
        <v>1138</v>
      </c>
      <c r="N3822" s="12"/>
      <c r="O3822" s="12" t="s">
        <v>1139</v>
      </c>
      <c r="P3822" s="12" t="str">
        <f>HYPERLINK("https://ceds.ed.gov/cedselementdetails.aspx?termid=10101")</f>
        <v>https://ceds.ed.gov/cedselementdetails.aspx?termid=10101</v>
      </c>
      <c r="Q3822" s="12" t="str">
        <f>HYPERLINK("https://ceds.ed.gov/elementComment.aspx?elementName=Assessment Need Type &amp;elementID=10101", "Click here to submit comment")</f>
        <v>Click here to submit comment</v>
      </c>
    </row>
    <row r="3823" spans="1:17" ht="45" x14ac:dyDescent="0.25">
      <c r="A3823" s="12" t="s">
        <v>7327</v>
      </c>
      <c r="B3823" s="12" t="s">
        <v>7348</v>
      </c>
      <c r="C3823" s="12"/>
      <c r="D3823" s="12" t="s">
        <v>7172</v>
      </c>
      <c r="E3823" s="12" t="s">
        <v>1216</v>
      </c>
      <c r="F3823" s="12" t="s">
        <v>1217</v>
      </c>
      <c r="G3823" s="12" t="s">
        <v>6364</v>
      </c>
      <c r="H3823" s="12"/>
      <c r="I3823" s="12"/>
      <c r="J3823" s="12"/>
      <c r="K3823" s="12"/>
      <c r="L3823" s="12" t="s">
        <v>1218</v>
      </c>
      <c r="M3823" s="12" t="s">
        <v>1219</v>
      </c>
      <c r="N3823" s="12"/>
      <c r="O3823" s="12" t="s">
        <v>1220</v>
      </c>
      <c r="P3823" s="12" t="str">
        <f>HYPERLINK("https://ceds.ed.gov/cedselementdetails.aspx?termid=10008")</f>
        <v>https://ceds.ed.gov/cedselementdetails.aspx?termid=10008</v>
      </c>
      <c r="Q3823" s="12" t="str">
        <f>HYPERLINK("https://ceds.ed.gov/elementComment.aspx?elementName=Assessment Personal Needs Profile Activate By Default &amp;elementID=10008", "Click here to submit comment")</f>
        <v>Click here to submit comment</v>
      </c>
    </row>
    <row r="3824" spans="1:17" ht="45" x14ac:dyDescent="0.25">
      <c r="A3824" s="12" t="s">
        <v>7327</v>
      </c>
      <c r="B3824" s="12" t="s">
        <v>7348</v>
      </c>
      <c r="C3824" s="12"/>
      <c r="D3824" s="12" t="s">
        <v>7172</v>
      </c>
      <c r="E3824" s="12" t="s">
        <v>1221</v>
      </c>
      <c r="F3824" s="12" t="s">
        <v>1222</v>
      </c>
      <c r="G3824" s="12" t="s">
        <v>6364</v>
      </c>
      <c r="H3824" s="12"/>
      <c r="I3824" s="12"/>
      <c r="J3824" s="12"/>
      <c r="K3824" s="12"/>
      <c r="L3824" s="12" t="s">
        <v>1218</v>
      </c>
      <c r="M3824" s="12" t="s">
        <v>1223</v>
      </c>
      <c r="N3824" s="12"/>
      <c r="O3824" s="12" t="s">
        <v>1224</v>
      </c>
      <c r="P3824" s="12" t="str">
        <f>HYPERLINK("https://ceds.ed.gov/cedselementdetails.aspx?termid=10007")</f>
        <v>https://ceds.ed.gov/cedselementdetails.aspx?termid=10007</v>
      </c>
      <c r="Q3824" s="12" t="str">
        <f>HYPERLINK("https://ceds.ed.gov/elementComment.aspx?elementName=Assessment Personal Needs Profile Assigned Support &amp;elementID=10007", "Click here to submit comment")</f>
        <v>Click here to submit comment</v>
      </c>
    </row>
    <row r="3825" spans="1:17" ht="90" x14ac:dyDescent="0.25">
      <c r="A3825" s="12" t="s">
        <v>7327</v>
      </c>
      <c r="B3825" s="12" t="s">
        <v>7348</v>
      </c>
      <c r="C3825" s="12" t="s">
        <v>7349</v>
      </c>
      <c r="D3825" s="12" t="s">
        <v>7172</v>
      </c>
      <c r="E3825" s="12" t="s">
        <v>1007</v>
      </c>
      <c r="F3825" s="12" t="s">
        <v>1008</v>
      </c>
      <c r="G3825" s="13" t="s">
        <v>6768</v>
      </c>
      <c r="H3825" s="12"/>
      <c r="I3825" s="12"/>
      <c r="J3825" s="12"/>
      <c r="K3825" s="12"/>
      <c r="L3825" s="12"/>
      <c r="M3825" s="12" t="s">
        <v>1010</v>
      </c>
      <c r="N3825" s="12"/>
      <c r="O3825" s="12" t="s">
        <v>1011</v>
      </c>
      <c r="P3825" s="12" t="str">
        <f>HYPERLINK("https://ceds.ed.gov/cedselementdetails.aspx?termid=10045")</f>
        <v>https://ceds.ed.gov/cedselementdetails.aspx?termid=10045</v>
      </c>
      <c r="Q3825" s="12" t="str">
        <f>HYPERLINK("https://ceds.ed.gov/elementComment.aspx?elementName=Assessment Need Alternative Representation Type &amp;elementID=10045", "Click here to submit comment")</f>
        <v>Click here to submit comment</v>
      </c>
    </row>
    <row r="3826" spans="1:17" ht="75" x14ac:dyDescent="0.25">
      <c r="A3826" s="12" t="s">
        <v>7327</v>
      </c>
      <c r="B3826" s="12" t="s">
        <v>7348</v>
      </c>
      <c r="C3826" s="12" t="s">
        <v>7349</v>
      </c>
      <c r="D3826" s="12" t="s">
        <v>7172</v>
      </c>
      <c r="E3826" s="12" t="s">
        <v>1036</v>
      </c>
      <c r="F3826" s="12" t="s">
        <v>1037</v>
      </c>
      <c r="G3826" s="12" t="s">
        <v>6364</v>
      </c>
      <c r="H3826" s="12"/>
      <c r="I3826" s="12"/>
      <c r="J3826" s="12"/>
      <c r="K3826" s="12"/>
      <c r="L3826" s="12"/>
      <c r="M3826" s="12" t="s">
        <v>1038</v>
      </c>
      <c r="N3826" s="12"/>
      <c r="O3826" s="12" t="s">
        <v>1039</v>
      </c>
      <c r="P3826" s="12" t="str">
        <f>HYPERLINK("https://ceds.ed.gov/cedselementdetails.aspx?termid=10050")</f>
        <v>https://ceds.ed.gov/cedselementdetails.aspx?termid=10050</v>
      </c>
      <c r="Q3826" s="12" t="str">
        <f>HYPERLINK("https://ceds.ed.gov/elementComment.aspx?elementName=Assessment Need Directions Only &amp;elementID=10050", "Click here to submit comment")</f>
        <v>Click here to submit comment</v>
      </c>
    </row>
    <row r="3827" spans="1:17" ht="75" x14ac:dyDescent="0.25">
      <c r="A3827" s="12" t="s">
        <v>7327</v>
      </c>
      <c r="B3827" s="12" t="s">
        <v>7348</v>
      </c>
      <c r="C3827" s="12" t="s">
        <v>7349</v>
      </c>
      <c r="D3827" s="12" t="s">
        <v>7172</v>
      </c>
      <c r="E3827" s="12" t="s">
        <v>1044</v>
      </c>
      <c r="F3827" s="12" t="s">
        <v>1045</v>
      </c>
      <c r="G3827" s="13" t="s">
        <v>6772</v>
      </c>
      <c r="H3827" s="12"/>
      <c r="I3827" s="12"/>
      <c r="J3827" s="12"/>
      <c r="K3827" s="12"/>
      <c r="L3827" s="12"/>
      <c r="M3827" s="12" t="s">
        <v>1046</v>
      </c>
      <c r="N3827" s="12"/>
      <c r="O3827" s="12" t="s">
        <v>1047</v>
      </c>
      <c r="P3827" s="12" t="str">
        <f>HYPERLINK("https://ceds.ed.gov/cedselementdetails.aspx?termid=10026")</f>
        <v>https://ceds.ed.gov/cedselementdetails.aspx?termid=10026</v>
      </c>
      <c r="Q3827" s="12" t="str">
        <f>HYPERLINK("https://ceds.ed.gov/elementComment.aspx?elementName=Assessment Need Hazard Type &amp;elementID=10026", "Click here to submit comment")</f>
        <v>Click here to submit comment</v>
      </c>
    </row>
    <row r="3828" spans="1:17" ht="90" x14ac:dyDescent="0.25">
      <c r="A3828" s="12" t="s">
        <v>7327</v>
      </c>
      <c r="B3828" s="12" t="s">
        <v>7348</v>
      </c>
      <c r="C3828" s="12" t="s">
        <v>7349</v>
      </c>
      <c r="D3828" s="12" t="s">
        <v>7172</v>
      </c>
      <c r="E3828" s="12" t="s">
        <v>1056</v>
      </c>
      <c r="F3828" s="12" t="s">
        <v>1057</v>
      </c>
      <c r="G3828" s="14" t="s">
        <v>999</v>
      </c>
      <c r="H3828" s="12"/>
      <c r="I3828" s="12" t="s">
        <v>98</v>
      </c>
      <c r="J3828" s="12"/>
      <c r="K3828" s="12"/>
      <c r="L3828" s="14" t="s">
        <v>1000</v>
      </c>
      <c r="M3828" s="12" t="s">
        <v>1058</v>
      </c>
      <c r="N3828" s="12"/>
      <c r="O3828" s="12" t="s">
        <v>1059</v>
      </c>
      <c r="P3828" s="12" t="str">
        <f>HYPERLINK("https://ceds.ed.gov/cedselementdetails.aspx?termid=10042")</f>
        <v>https://ceds.ed.gov/cedselementdetails.aspx?termid=10042</v>
      </c>
      <c r="Q3828" s="12" t="str">
        <f>HYPERLINK("https://ceds.ed.gov/elementComment.aspx?elementName=Assessment Need Item Translation Display Language Type &amp;elementID=10042", "Click here to submit comment")</f>
        <v>Click here to submit comment</v>
      </c>
    </row>
    <row r="3829" spans="1:17" ht="90" x14ac:dyDescent="0.25">
      <c r="A3829" s="12" t="s">
        <v>7327</v>
      </c>
      <c r="B3829" s="12" t="s">
        <v>7348</v>
      </c>
      <c r="C3829" s="12" t="s">
        <v>7349</v>
      </c>
      <c r="D3829" s="12" t="s">
        <v>7172</v>
      </c>
      <c r="E3829" s="12" t="s">
        <v>1060</v>
      </c>
      <c r="F3829" s="12" t="s">
        <v>1061</v>
      </c>
      <c r="G3829" s="14" t="s">
        <v>999</v>
      </c>
      <c r="H3829" s="12"/>
      <c r="I3829" s="12" t="s">
        <v>98</v>
      </c>
      <c r="J3829" s="12"/>
      <c r="K3829" s="12"/>
      <c r="L3829" s="14" t="s">
        <v>1000</v>
      </c>
      <c r="M3829" s="12" t="s">
        <v>1062</v>
      </c>
      <c r="N3829" s="12"/>
      <c r="O3829" s="12" t="s">
        <v>1063</v>
      </c>
      <c r="P3829" s="12" t="str">
        <f>HYPERLINK("https://ceds.ed.gov/cedselementdetails.aspx?termid=10043")</f>
        <v>https://ceds.ed.gov/cedselementdetails.aspx?termid=10043</v>
      </c>
      <c r="Q3829" s="12" t="str">
        <f>HYPERLINK("https://ceds.ed.gov/elementComment.aspx?elementName=Assessment Need Keyword Translation Language Type &amp;elementID=10043", "Click here to submit comment")</f>
        <v>Click here to submit comment</v>
      </c>
    </row>
    <row r="3830" spans="1:17" ht="180" x14ac:dyDescent="0.25">
      <c r="A3830" s="12" t="s">
        <v>7327</v>
      </c>
      <c r="B3830" s="12" t="s">
        <v>7348</v>
      </c>
      <c r="C3830" s="12" t="s">
        <v>7349</v>
      </c>
      <c r="D3830" s="12" t="s">
        <v>7172</v>
      </c>
      <c r="E3830" s="12" t="s">
        <v>1122</v>
      </c>
      <c r="F3830" s="12" t="s">
        <v>1123</v>
      </c>
      <c r="G3830" s="13" t="s">
        <v>6779</v>
      </c>
      <c r="H3830" s="12"/>
      <c r="I3830" s="12"/>
      <c r="J3830" s="12"/>
      <c r="K3830" s="12"/>
      <c r="L3830" s="12"/>
      <c r="M3830" s="12" t="s">
        <v>1124</v>
      </c>
      <c r="N3830" s="12"/>
      <c r="O3830" s="12" t="s">
        <v>1125</v>
      </c>
      <c r="P3830" s="12" t="str">
        <f>HYPERLINK("https://ceds.ed.gov/cedselementdetails.aspx?termid=10027")</f>
        <v>https://ceds.ed.gov/cedselementdetails.aspx?termid=10027</v>
      </c>
      <c r="Q3830" s="12" t="str">
        <f>HYPERLINK("https://ceds.ed.gov/elementComment.aspx?elementName=Assessment Need Support Tool Type &amp;elementID=10027", "Click here to submit comment")</f>
        <v>Click here to submit comment</v>
      </c>
    </row>
    <row r="3831" spans="1:17" ht="75" x14ac:dyDescent="0.25">
      <c r="A3831" s="12" t="s">
        <v>7327</v>
      </c>
      <c r="B3831" s="12" t="s">
        <v>7348</v>
      </c>
      <c r="C3831" s="12" t="s">
        <v>7349</v>
      </c>
      <c r="D3831" s="12" t="s">
        <v>7172</v>
      </c>
      <c r="E3831" s="12" t="s">
        <v>1144</v>
      </c>
      <c r="F3831" s="12" t="s">
        <v>1145</v>
      </c>
      <c r="G3831" s="13" t="s">
        <v>6781</v>
      </c>
      <c r="H3831" s="12"/>
      <c r="I3831" s="12"/>
      <c r="J3831" s="12"/>
      <c r="K3831" s="12"/>
      <c r="L3831" s="12"/>
      <c r="M3831" s="12" t="s">
        <v>1146</v>
      </c>
      <c r="N3831" s="12"/>
      <c r="O3831" s="12" t="s">
        <v>1147</v>
      </c>
      <c r="P3831" s="12" t="str">
        <f>HYPERLINK("https://ceds.ed.gov/cedselementdetails.aspx?termid=10049")</f>
        <v>https://ceds.ed.gov/cedselementdetails.aspx?termid=10049</v>
      </c>
      <c r="Q3831" s="12" t="str">
        <f>HYPERLINK("https://ceds.ed.gov/elementComment.aspx?elementName=Assessment Need User Spoken Preference Type &amp;elementID=10049", "Click here to submit comment")</f>
        <v>Click here to submit comment</v>
      </c>
    </row>
    <row r="3832" spans="1:17" ht="105" x14ac:dyDescent="0.25">
      <c r="A3832" s="12" t="s">
        <v>7327</v>
      </c>
      <c r="B3832" s="12" t="s">
        <v>7348</v>
      </c>
      <c r="C3832" s="12" t="s">
        <v>7350</v>
      </c>
      <c r="D3832" s="12" t="s">
        <v>7172</v>
      </c>
      <c r="E3832" s="12" t="s">
        <v>1130</v>
      </c>
      <c r="F3832" s="12" t="s">
        <v>1131</v>
      </c>
      <c r="G3832" s="12" t="s">
        <v>12</v>
      </c>
      <c r="H3832" s="12"/>
      <c r="I3832" s="12"/>
      <c r="J3832" s="12" t="s">
        <v>1133</v>
      </c>
      <c r="K3832" s="12"/>
      <c r="L3832" s="12"/>
      <c r="M3832" s="12" t="s">
        <v>1134</v>
      </c>
      <c r="N3832" s="12"/>
      <c r="O3832" s="12" t="s">
        <v>1135</v>
      </c>
      <c r="P3832" s="12" t="str">
        <f>HYPERLINK("https://ceds.ed.gov/cedselementdetails.aspx?termid=10055")</f>
        <v>https://ceds.ed.gov/cedselementdetails.aspx?termid=10055</v>
      </c>
      <c r="Q3832" s="12" t="str">
        <f>HYPERLINK("https://ceds.ed.gov/elementComment.aspx?elementName=Assessment Need Time Multiplier &amp;elementID=10055", "Click here to submit comment")</f>
        <v>Click here to submit comment</v>
      </c>
    </row>
    <row r="3833" spans="1:17" ht="45" x14ac:dyDescent="0.25">
      <c r="A3833" s="12" t="s">
        <v>7327</v>
      </c>
      <c r="B3833" s="12" t="s">
        <v>7348</v>
      </c>
      <c r="C3833" s="12" t="s">
        <v>7351</v>
      </c>
      <c r="D3833" s="12" t="s">
        <v>7172</v>
      </c>
      <c r="E3833" s="12" t="s">
        <v>1018</v>
      </c>
      <c r="F3833" s="12" t="s">
        <v>1019</v>
      </c>
      <c r="G3833" s="12" t="s">
        <v>12</v>
      </c>
      <c r="H3833" s="12"/>
      <c r="I3833" s="12"/>
      <c r="J3833" s="12" t="s">
        <v>1021</v>
      </c>
      <c r="K3833" s="12"/>
      <c r="L3833" s="12"/>
      <c r="M3833" s="12" t="s">
        <v>1022</v>
      </c>
      <c r="N3833" s="12"/>
      <c r="O3833" s="12" t="s">
        <v>1023</v>
      </c>
      <c r="P3833" s="12" t="str">
        <f>HYPERLINK("https://ceds.ed.gov/cedselementdetails.aspx?termid=10040")</f>
        <v>https://ceds.ed.gov/cedselementdetails.aspx?termid=10040</v>
      </c>
      <c r="Q3833" s="12" t="str">
        <f>HYPERLINK("https://ceds.ed.gov/elementComment.aspx?elementName=Assessment Need Braille Dot Pressure &amp;elementID=10040", "Click here to submit comment")</f>
        <v>Click here to submit comment</v>
      </c>
    </row>
    <row r="3834" spans="1:17" ht="60" x14ac:dyDescent="0.25">
      <c r="A3834" s="12" t="s">
        <v>7327</v>
      </c>
      <c r="B3834" s="12" t="s">
        <v>7348</v>
      </c>
      <c r="C3834" s="12" t="s">
        <v>7351</v>
      </c>
      <c r="D3834" s="12" t="s">
        <v>7172</v>
      </c>
      <c r="E3834" s="12" t="s">
        <v>1024</v>
      </c>
      <c r="F3834" s="12" t="s">
        <v>1025</v>
      </c>
      <c r="G3834" s="13" t="s">
        <v>6769</v>
      </c>
      <c r="H3834" s="12"/>
      <c r="I3834" s="12"/>
      <c r="J3834" s="12"/>
      <c r="K3834" s="12"/>
      <c r="L3834" s="12"/>
      <c r="M3834" s="12" t="s">
        <v>1026</v>
      </c>
      <c r="N3834" s="12"/>
      <c r="O3834" s="12" t="s">
        <v>1027</v>
      </c>
      <c r="P3834" s="12" t="str">
        <f>HYPERLINK("https://ceds.ed.gov/cedselementdetails.aspx?termid=10035")</f>
        <v>https://ceds.ed.gov/cedselementdetails.aspx?termid=10035</v>
      </c>
      <c r="Q3834" s="12" t="str">
        <f>HYPERLINK("https://ceds.ed.gov/elementComment.aspx?elementName=Assessment Need Braille Grade Type &amp;elementID=10035", "Click here to submit comment")</f>
        <v>Click here to submit comment</v>
      </c>
    </row>
    <row r="3835" spans="1:17" ht="105" x14ac:dyDescent="0.25">
      <c r="A3835" s="12" t="s">
        <v>7327</v>
      </c>
      <c r="B3835" s="12" t="s">
        <v>7348</v>
      </c>
      <c r="C3835" s="12" t="s">
        <v>7351</v>
      </c>
      <c r="D3835" s="12" t="s">
        <v>7172</v>
      </c>
      <c r="E3835" s="12" t="s">
        <v>1028</v>
      </c>
      <c r="F3835" s="12" t="s">
        <v>1029</v>
      </c>
      <c r="G3835" s="13" t="s">
        <v>6770</v>
      </c>
      <c r="H3835" s="12"/>
      <c r="I3835" s="12"/>
      <c r="J3835" s="12"/>
      <c r="K3835" s="12"/>
      <c r="L3835" s="12"/>
      <c r="M3835" s="12" t="s">
        <v>1030</v>
      </c>
      <c r="N3835" s="12"/>
      <c r="O3835" s="12" t="s">
        <v>1031</v>
      </c>
      <c r="P3835" s="12" t="str">
        <f>HYPERLINK("https://ceds.ed.gov/cedselementdetails.aspx?termid=10038")</f>
        <v>https://ceds.ed.gov/cedselementdetails.aspx?termid=10038</v>
      </c>
      <c r="Q3835" s="12" t="str">
        <f>HYPERLINK("https://ceds.ed.gov/elementComment.aspx?elementName=Assessment Need Braille Mark Type &amp;elementID=10038", "Click here to submit comment")</f>
        <v>Click here to submit comment</v>
      </c>
    </row>
    <row r="3836" spans="1:17" ht="60" x14ac:dyDescent="0.25">
      <c r="A3836" s="12" t="s">
        <v>7327</v>
      </c>
      <c r="B3836" s="12" t="s">
        <v>7348</v>
      </c>
      <c r="C3836" s="12" t="s">
        <v>7351</v>
      </c>
      <c r="D3836" s="12" t="s">
        <v>7172</v>
      </c>
      <c r="E3836" s="12" t="s">
        <v>1032</v>
      </c>
      <c r="F3836" s="12" t="s">
        <v>1033</v>
      </c>
      <c r="G3836" s="13" t="s">
        <v>6771</v>
      </c>
      <c r="H3836" s="12"/>
      <c r="I3836" s="12"/>
      <c r="J3836" s="12"/>
      <c r="K3836" s="12"/>
      <c r="L3836" s="12"/>
      <c r="M3836" s="12" t="s">
        <v>1034</v>
      </c>
      <c r="N3836" s="12"/>
      <c r="O3836" s="12" t="s">
        <v>1035</v>
      </c>
      <c r="P3836" s="12" t="str">
        <f>HYPERLINK("https://ceds.ed.gov/cedselementdetails.aspx?termid=10041")</f>
        <v>https://ceds.ed.gov/cedselementdetails.aspx?termid=10041</v>
      </c>
      <c r="Q3836" s="12" t="str">
        <f>HYPERLINK("https://ceds.ed.gov/elementComment.aspx?elementName=Assessment Need Braille Status Cell Type &amp;elementID=10041", "Click here to submit comment")</f>
        <v>Click here to submit comment</v>
      </c>
    </row>
    <row r="3837" spans="1:17" ht="60" x14ac:dyDescent="0.25">
      <c r="A3837" s="12" t="s">
        <v>7327</v>
      </c>
      <c r="B3837" s="12" t="s">
        <v>7348</v>
      </c>
      <c r="C3837" s="12" t="s">
        <v>7351</v>
      </c>
      <c r="D3837" s="12" t="s">
        <v>7172</v>
      </c>
      <c r="E3837" s="12" t="s">
        <v>1052</v>
      </c>
      <c r="F3837" s="12" t="s">
        <v>1053</v>
      </c>
      <c r="G3837" s="12" t="s">
        <v>6364</v>
      </c>
      <c r="H3837" s="12"/>
      <c r="I3837" s="12"/>
      <c r="J3837" s="12"/>
      <c r="K3837" s="12"/>
      <c r="L3837" s="12"/>
      <c r="M3837" s="12" t="s">
        <v>1054</v>
      </c>
      <c r="N3837" s="12"/>
      <c r="O3837" s="12" t="s">
        <v>1055</v>
      </c>
      <c r="P3837" s="12" t="str">
        <f>HYPERLINK("https://ceds.ed.gov/cedselementdetails.aspx?termid=10033")</f>
        <v>https://ceds.ed.gov/cedselementdetails.aspx?termid=10033</v>
      </c>
      <c r="Q3837" s="12" t="str">
        <f>HYPERLINK("https://ceds.ed.gov/elementComment.aspx?elementName=Assessment Need Invert Color Choice &amp;elementID=10033", "Click here to submit comment")</f>
        <v>Click here to submit comment</v>
      </c>
    </row>
    <row r="3838" spans="1:17" ht="60" x14ac:dyDescent="0.25">
      <c r="A3838" s="12" t="s">
        <v>7327</v>
      </c>
      <c r="B3838" s="12" t="s">
        <v>7348</v>
      </c>
      <c r="C3838" s="12" t="s">
        <v>7351</v>
      </c>
      <c r="D3838" s="12" t="s">
        <v>7172</v>
      </c>
      <c r="E3838" s="12" t="s">
        <v>1069</v>
      </c>
      <c r="F3838" s="12" t="s">
        <v>1070</v>
      </c>
      <c r="G3838" s="12" t="s">
        <v>12</v>
      </c>
      <c r="H3838" s="12"/>
      <c r="I3838" s="12"/>
      <c r="J3838" s="12" t="s">
        <v>1015</v>
      </c>
      <c r="K3838" s="12"/>
      <c r="L3838" s="12"/>
      <c r="M3838" s="12" t="s">
        <v>1071</v>
      </c>
      <c r="N3838" s="12"/>
      <c r="O3838" s="12" t="s">
        <v>1072</v>
      </c>
      <c r="P3838" s="12" t="str">
        <f>HYPERLINK("https://ceds.ed.gov/cedselementdetails.aspx?termid=10056")</f>
        <v>https://ceds.ed.gov/cedselementdetails.aspx?termid=10056</v>
      </c>
      <c r="Q3838" s="12" t="str">
        <f>HYPERLINK("https://ceds.ed.gov/elementComment.aspx?elementName=Assessment Need Line Reader Highlight Color &amp;elementID=10056", "Click here to submit comment")</f>
        <v>Click here to submit comment</v>
      </c>
    </row>
    <row r="3839" spans="1:17" ht="75" x14ac:dyDescent="0.25">
      <c r="A3839" s="12" t="s">
        <v>7327</v>
      </c>
      <c r="B3839" s="12" t="s">
        <v>7348</v>
      </c>
      <c r="C3839" s="12" t="s">
        <v>7351</v>
      </c>
      <c r="D3839" s="12" t="s">
        <v>7172</v>
      </c>
      <c r="E3839" s="12" t="s">
        <v>1073</v>
      </c>
      <c r="F3839" s="12" t="s">
        <v>1074</v>
      </c>
      <c r="G3839" s="13" t="s">
        <v>6774</v>
      </c>
      <c r="H3839" s="12"/>
      <c r="I3839" s="12"/>
      <c r="J3839" s="12"/>
      <c r="K3839" s="12"/>
      <c r="L3839" s="12"/>
      <c r="M3839" s="12" t="s">
        <v>1075</v>
      </c>
      <c r="N3839" s="12"/>
      <c r="O3839" s="12" t="s">
        <v>1076</v>
      </c>
      <c r="P3839" s="12" t="str">
        <f>HYPERLINK("https://ceds.ed.gov/cedselementdetails.aspx?termid=10029")</f>
        <v>https://ceds.ed.gov/cedselementdetails.aspx?termid=10029</v>
      </c>
      <c r="Q3839" s="12" t="str">
        <f>HYPERLINK("https://ceds.ed.gov/elementComment.aspx?elementName=Assessment Need Link Indication Type &amp;elementID=10029", "Click here to submit comment")</f>
        <v>Click here to submit comment</v>
      </c>
    </row>
    <row r="3840" spans="1:17" ht="60" x14ac:dyDescent="0.25">
      <c r="A3840" s="12" t="s">
        <v>7327</v>
      </c>
      <c r="B3840" s="12" t="s">
        <v>7348</v>
      </c>
      <c r="C3840" s="12" t="s">
        <v>7351</v>
      </c>
      <c r="D3840" s="12" t="s">
        <v>7172</v>
      </c>
      <c r="E3840" s="12" t="s">
        <v>1077</v>
      </c>
      <c r="F3840" s="12" t="s">
        <v>1078</v>
      </c>
      <c r="G3840" s="12" t="s">
        <v>12</v>
      </c>
      <c r="H3840" s="12"/>
      <c r="I3840" s="12"/>
      <c r="J3840" s="12" t="s">
        <v>1021</v>
      </c>
      <c r="K3840" s="12"/>
      <c r="L3840" s="12"/>
      <c r="M3840" s="12" t="s">
        <v>1079</v>
      </c>
      <c r="N3840" s="12"/>
      <c r="O3840" s="12" t="s">
        <v>1080</v>
      </c>
      <c r="P3840" s="12" t="str">
        <f>HYPERLINK("https://ceds.ed.gov/cedselementdetails.aspx?termid=10034")</f>
        <v>https://ceds.ed.gov/cedselementdetails.aspx?termid=10034</v>
      </c>
      <c r="Q3840" s="12" t="str">
        <f>HYPERLINK("https://ceds.ed.gov/elementComment.aspx?elementName=Assessment Need Magnification &amp;elementID=10034", "Click here to submit comment")</f>
        <v>Click here to submit comment</v>
      </c>
    </row>
    <row r="3841" spans="1:17" ht="75" x14ac:dyDescent="0.25">
      <c r="A3841" s="12" t="s">
        <v>7327</v>
      </c>
      <c r="B3841" s="12" t="s">
        <v>7348</v>
      </c>
      <c r="C3841" s="12" t="s">
        <v>7351</v>
      </c>
      <c r="D3841" s="12" t="s">
        <v>7172</v>
      </c>
      <c r="E3841" s="12" t="s">
        <v>1081</v>
      </c>
      <c r="F3841" s="12" t="s">
        <v>1082</v>
      </c>
      <c r="G3841" s="13" t="s">
        <v>6775</v>
      </c>
      <c r="H3841" s="12"/>
      <c r="I3841" s="12"/>
      <c r="J3841" s="12"/>
      <c r="K3841" s="12"/>
      <c r="L3841" s="12"/>
      <c r="M3841" s="12" t="s">
        <v>1083</v>
      </c>
      <c r="N3841" s="12"/>
      <c r="O3841" s="12" t="s">
        <v>1084</v>
      </c>
      <c r="P3841" s="12" t="str">
        <f>HYPERLINK("https://ceds.ed.gov/cedselementdetails.aspx?termid=10051")</f>
        <v>https://ceds.ed.gov/cedselementdetails.aspx?termid=10051</v>
      </c>
      <c r="Q3841" s="12" t="str">
        <f>HYPERLINK("https://ceds.ed.gov/elementComment.aspx?elementName=Assessment Need Masking Type &amp;elementID=10051", "Click here to submit comment")</f>
        <v>Click here to submit comment</v>
      </c>
    </row>
    <row r="3842" spans="1:17" ht="45" x14ac:dyDescent="0.25">
      <c r="A3842" s="12" t="s">
        <v>7327</v>
      </c>
      <c r="B3842" s="12" t="s">
        <v>7348</v>
      </c>
      <c r="C3842" s="12" t="s">
        <v>7351</v>
      </c>
      <c r="D3842" s="12" t="s">
        <v>7172</v>
      </c>
      <c r="E3842" s="12" t="s">
        <v>1085</v>
      </c>
      <c r="F3842" s="12" t="s">
        <v>1086</v>
      </c>
      <c r="G3842" s="12" t="s">
        <v>12</v>
      </c>
      <c r="H3842" s="12"/>
      <c r="I3842" s="12"/>
      <c r="J3842" s="12" t="s">
        <v>1087</v>
      </c>
      <c r="K3842" s="12"/>
      <c r="L3842" s="12"/>
      <c r="M3842" s="12" t="s">
        <v>1088</v>
      </c>
      <c r="N3842" s="12"/>
      <c r="O3842" s="12" t="s">
        <v>1089</v>
      </c>
      <c r="P3842" s="12" t="str">
        <f>HYPERLINK("https://ceds.ed.gov/cedselementdetails.aspx?termid=10037")</f>
        <v>https://ceds.ed.gov/cedselementdetails.aspx?termid=10037</v>
      </c>
      <c r="Q3842" s="12" t="str">
        <f>HYPERLINK("https://ceds.ed.gov/elementComment.aspx?elementName=Assessment Need Number of Braille Cells &amp;elementID=10037", "Click here to submit comment")</f>
        <v>Click here to submit comment</v>
      </c>
    </row>
    <row r="3843" spans="1:17" ht="45" x14ac:dyDescent="0.25">
      <c r="A3843" s="12" t="s">
        <v>7327</v>
      </c>
      <c r="B3843" s="12" t="s">
        <v>7348</v>
      </c>
      <c r="C3843" s="12" t="s">
        <v>7351</v>
      </c>
      <c r="D3843" s="12" t="s">
        <v>7172</v>
      </c>
      <c r="E3843" s="12" t="s">
        <v>1090</v>
      </c>
      <c r="F3843" s="12" t="s">
        <v>1091</v>
      </c>
      <c r="G3843" s="13" t="s">
        <v>6776</v>
      </c>
      <c r="H3843" s="12"/>
      <c r="I3843" s="12"/>
      <c r="J3843" s="12"/>
      <c r="K3843" s="12"/>
      <c r="L3843" s="12"/>
      <c r="M3843" s="12" t="s">
        <v>1092</v>
      </c>
      <c r="N3843" s="12"/>
      <c r="O3843" s="12" t="s">
        <v>1093</v>
      </c>
      <c r="P3843" s="12" t="str">
        <f>HYPERLINK("https://ceds.ed.gov/cedselementdetails.aspx?termid=10036")</f>
        <v>https://ceds.ed.gov/cedselementdetails.aspx?termid=10036</v>
      </c>
      <c r="Q3843" s="12" t="str">
        <f>HYPERLINK("https://ceds.ed.gov/elementComment.aspx?elementName=Assessment Need Number of Braille Dots Type &amp;elementID=10036", "Click here to submit comment")</f>
        <v>Click here to submit comment</v>
      </c>
    </row>
    <row r="3844" spans="1:17" ht="45" x14ac:dyDescent="0.25">
      <c r="A3844" s="12" t="s">
        <v>7327</v>
      </c>
      <c r="B3844" s="12" t="s">
        <v>7348</v>
      </c>
      <c r="C3844" s="12" t="s">
        <v>7351</v>
      </c>
      <c r="D3844" s="12" t="s">
        <v>7172</v>
      </c>
      <c r="E3844" s="12" t="s">
        <v>1098</v>
      </c>
      <c r="F3844" s="12" t="s">
        <v>1099</v>
      </c>
      <c r="G3844" s="12" t="s">
        <v>12</v>
      </c>
      <c r="H3844" s="12"/>
      <c r="I3844" s="12"/>
      <c r="J3844" s="12" t="s">
        <v>1021</v>
      </c>
      <c r="K3844" s="12"/>
      <c r="L3844" s="12"/>
      <c r="M3844" s="12" t="s">
        <v>1100</v>
      </c>
      <c r="N3844" s="12"/>
      <c r="O3844" s="12" t="s">
        <v>1101</v>
      </c>
      <c r="P3844" s="12" t="str">
        <f>HYPERLINK("https://ceds.ed.gov/cedselementdetails.aspx?termid=10031")</f>
        <v>https://ceds.ed.gov/cedselementdetails.aspx?termid=10031</v>
      </c>
      <c r="Q3844" s="12" t="str">
        <f>HYPERLINK("https://ceds.ed.gov/elementComment.aspx?elementName=Assessment Need Pitch &amp;elementID=10031", "Click here to submit comment")</f>
        <v>Click here to submit comment</v>
      </c>
    </row>
    <row r="3845" spans="1:17" ht="60" x14ac:dyDescent="0.25">
      <c r="A3845" s="12" t="s">
        <v>7327</v>
      </c>
      <c r="B3845" s="12" t="s">
        <v>7348</v>
      </c>
      <c r="C3845" s="12" t="s">
        <v>7351</v>
      </c>
      <c r="D3845" s="12" t="s">
        <v>7172</v>
      </c>
      <c r="E3845" s="12" t="s">
        <v>1102</v>
      </c>
      <c r="F3845" s="12" t="s">
        <v>1103</v>
      </c>
      <c r="G3845" s="12" t="s">
        <v>6364</v>
      </c>
      <c r="H3845" s="12"/>
      <c r="I3845" s="12"/>
      <c r="J3845" s="12"/>
      <c r="K3845" s="12"/>
      <c r="L3845" s="12"/>
      <c r="M3845" s="12" t="s">
        <v>1104</v>
      </c>
      <c r="N3845" s="12"/>
      <c r="O3845" s="12" t="s">
        <v>1105</v>
      </c>
      <c r="P3845" s="12" t="str">
        <f>HYPERLINK("https://ceds.ed.gov/cedselementdetails.aspx?termid=10048")</f>
        <v>https://ceds.ed.gov/cedselementdetails.aspx?termid=10048</v>
      </c>
      <c r="Q3845" s="12" t="str">
        <f>HYPERLINK("https://ceds.ed.gov/elementComment.aspx?elementName=Assessment Need Read At Start Preference &amp;elementID=10048", "Click here to submit comment")</f>
        <v>Click here to submit comment</v>
      </c>
    </row>
    <row r="3846" spans="1:17" ht="45" x14ac:dyDescent="0.25">
      <c r="A3846" s="12" t="s">
        <v>7327</v>
      </c>
      <c r="B3846" s="12" t="s">
        <v>7348</v>
      </c>
      <c r="C3846" s="12" t="s">
        <v>7351</v>
      </c>
      <c r="D3846" s="12" t="s">
        <v>7172</v>
      </c>
      <c r="E3846" s="12" t="s">
        <v>1106</v>
      </c>
      <c r="F3846" s="12" t="s">
        <v>1107</v>
      </c>
      <c r="G3846" s="13" t="s">
        <v>6777</v>
      </c>
      <c r="H3846" s="12"/>
      <c r="I3846" s="12"/>
      <c r="J3846" s="12"/>
      <c r="K3846" s="12"/>
      <c r="L3846" s="12"/>
      <c r="M3846" s="12" t="s">
        <v>1108</v>
      </c>
      <c r="N3846" s="12"/>
      <c r="O3846" s="12" t="s">
        <v>1109</v>
      </c>
      <c r="P3846" s="12" t="str">
        <f>HYPERLINK("https://ceds.ed.gov/cedselementdetails.aspx?termid=10044")</f>
        <v>https://ceds.ed.gov/cedselementdetails.aspx?termid=10044</v>
      </c>
      <c r="Q3846" s="12" t="str">
        <f>HYPERLINK("https://ceds.ed.gov/elementComment.aspx?elementName=Assessment Need Signing Type &amp;elementID=10044", "Click here to submit comment")</f>
        <v>Click here to submit comment</v>
      </c>
    </row>
    <row r="3847" spans="1:17" ht="105" x14ac:dyDescent="0.25">
      <c r="A3847" s="12" t="s">
        <v>7327</v>
      </c>
      <c r="B3847" s="12" t="s">
        <v>7348</v>
      </c>
      <c r="C3847" s="12" t="s">
        <v>7351</v>
      </c>
      <c r="D3847" s="12" t="s">
        <v>7172</v>
      </c>
      <c r="E3847" s="12" t="s">
        <v>1110</v>
      </c>
      <c r="F3847" s="12" t="s">
        <v>1111</v>
      </c>
      <c r="G3847" s="12" t="s">
        <v>12</v>
      </c>
      <c r="H3847" s="12"/>
      <c r="I3847" s="12"/>
      <c r="J3847" s="12" t="s">
        <v>68</v>
      </c>
      <c r="K3847" s="12"/>
      <c r="L3847" s="12"/>
      <c r="M3847" s="12" t="s">
        <v>1112</v>
      </c>
      <c r="N3847" s="12"/>
      <c r="O3847" s="12" t="s">
        <v>1113</v>
      </c>
      <c r="P3847" s="12" t="str">
        <f>HYPERLINK("https://ceds.ed.gov/cedselementdetails.aspx?termid=10053")</f>
        <v>https://ceds.ed.gov/cedselementdetails.aspx?termid=10053</v>
      </c>
      <c r="Q3847" s="12" t="str">
        <f>HYPERLINK("https://ceds.ed.gov/elementComment.aspx?elementName=Assessment Need Sound File URL &amp;elementID=10053", "Click here to submit comment")</f>
        <v>Click here to submit comment</v>
      </c>
    </row>
    <row r="3848" spans="1:17" ht="45" x14ac:dyDescent="0.25">
      <c r="A3848" s="12" t="s">
        <v>7327</v>
      </c>
      <c r="B3848" s="12" t="s">
        <v>7348</v>
      </c>
      <c r="C3848" s="12" t="s">
        <v>7351</v>
      </c>
      <c r="D3848" s="12" t="s">
        <v>7172</v>
      </c>
      <c r="E3848" s="12" t="s">
        <v>1114</v>
      </c>
      <c r="F3848" s="12" t="s">
        <v>1115</v>
      </c>
      <c r="G3848" s="12" t="s">
        <v>12</v>
      </c>
      <c r="H3848" s="12"/>
      <c r="I3848" s="12"/>
      <c r="J3848" s="12" t="s">
        <v>1087</v>
      </c>
      <c r="K3848" s="12"/>
      <c r="L3848" s="12"/>
      <c r="M3848" s="12" t="s">
        <v>1116</v>
      </c>
      <c r="N3848" s="12"/>
      <c r="O3848" s="12" t="s">
        <v>1117</v>
      </c>
      <c r="P3848" s="12" t="str">
        <f>HYPERLINK("https://ceds.ed.gov/cedselementdetails.aspx?termid=10030")</f>
        <v>https://ceds.ed.gov/cedselementdetails.aspx?termid=10030</v>
      </c>
      <c r="Q3848" s="12" t="str">
        <f>HYPERLINK("https://ceds.ed.gov/elementComment.aspx?elementName=Assessment Need Speech Rate &amp;elementID=10030", "Click here to submit comment")</f>
        <v>Click here to submit comment</v>
      </c>
    </row>
    <row r="3849" spans="1:17" ht="45" x14ac:dyDescent="0.25">
      <c r="A3849" s="12" t="s">
        <v>7327</v>
      </c>
      <c r="B3849" s="12" t="s">
        <v>7348</v>
      </c>
      <c r="C3849" s="12" t="s">
        <v>7351</v>
      </c>
      <c r="D3849" s="12" t="s">
        <v>7172</v>
      </c>
      <c r="E3849" s="12" t="s">
        <v>1118</v>
      </c>
      <c r="F3849" s="12" t="s">
        <v>1119</v>
      </c>
      <c r="G3849" s="13" t="s">
        <v>6778</v>
      </c>
      <c r="H3849" s="12"/>
      <c r="I3849" s="12"/>
      <c r="J3849" s="12"/>
      <c r="K3849" s="12"/>
      <c r="L3849" s="12"/>
      <c r="M3849" s="12" t="s">
        <v>1120</v>
      </c>
      <c r="N3849" s="12"/>
      <c r="O3849" s="12" t="s">
        <v>1121</v>
      </c>
      <c r="P3849" s="12" t="str">
        <f>HYPERLINK("https://ceds.ed.gov/cedselementdetails.aspx?termid=10046")</f>
        <v>https://ceds.ed.gov/cedselementdetails.aspx?termid=10046</v>
      </c>
      <c r="Q3849" s="12" t="str">
        <f>HYPERLINK("https://ceds.ed.gov/elementComment.aspx?elementName=Assessment Need Spoken Source Preference Type &amp;elementID=10046", "Click here to submit comment")</f>
        <v>Click here to submit comment</v>
      </c>
    </row>
    <row r="3850" spans="1:17" ht="105" x14ac:dyDescent="0.25">
      <c r="A3850" s="12" t="s">
        <v>7327</v>
      </c>
      <c r="B3850" s="12" t="s">
        <v>7348</v>
      </c>
      <c r="C3850" s="12" t="s">
        <v>7351</v>
      </c>
      <c r="D3850" s="12" t="s">
        <v>7172</v>
      </c>
      <c r="E3850" s="12" t="s">
        <v>1126</v>
      </c>
      <c r="F3850" s="12" t="s">
        <v>1127</v>
      </c>
      <c r="G3850" s="12" t="s">
        <v>12</v>
      </c>
      <c r="H3850" s="12"/>
      <c r="I3850" s="12"/>
      <c r="J3850" s="12" t="s">
        <v>327</v>
      </c>
      <c r="K3850" s="12"/>
      <c r="L3850" s="12"/>
      <c r="M3850" s="12" t="s">
        <v>1128</v>
      </c>
      <c r="N3850" s="12"/>
      <c r="O3850" s="12" t="s">
        <v>1129</v>
      </c>
      <c r="P3850" s="12" t="str">
        <f>HYPERLINK("https://ceds.ed.gov/cedselementdetails.aspx?termid=10052")</f>
        <v>https://ceds.ed.gov/cedselementdetails.aspx?termid=10052</v>
      </c>
      <c r="Q3850" s="12" t="str">
        <f>HYPERLINK("https://ceds.ed.gov/elementComment.aspx?elementName=Assessment Need Text Messaging String &amp;elementID=10052", "Click here to submit comment")</f>
        <v>Click here to submit comment</v>
      </c>
    </row>
    <row r="3851" spans="1:17" ht="75" x14ac:dyDescent="0.25">
      <c r="A3851" s="12" t="s">
        <v>7327</v>
      </c>
      <c r="B3851" s="12" t="s">
        <v>7348</v>
      </c>
      <c r="C3851" s="12" t="s">
        <v>7351</v>
      </c>
      <c r="D3851" s="12" t="s">
        <v>7172</v>
      </c>
      <c r="E3851" s="12" t="s">
        <v>1140</v>
      </c>
      <c r="F3851" s="12" t="s">
        <v>1141</v>
      </c>
      <c r="G3851" s="13" t="s">
        <v>6780</v>
      </c>
      <c r="H3851" s="12"/>
      <c r="I3851" s="12"/>
      <c r="J3851" s="12"/>
      <c r="K3851" s="12"/>
      <c r="L3851" s="12"/>
      <c r="M3851" s="12" t="s">
        <v>1142</v>
      </c>
      <c r="N3851" s="12"/>
      <c r="O3851" s="12" t="s">
        <v>1143</v>
      </c>
      <c r="P3851" s="12" t="str">
        <f>HYPERLINK("https://ceds.ed.gov/cedselementdetails.aspx?termid=10028")</f>
        <v>https://ceds.ed.gov/cedselementdetails.aspx?termid=10028</v>
      </c>
      <c r="Q3851" s="12" t="str">
        <f>HYPERLINK("https://ceds.ed.gov/elementComment.aspx?elementName=Assessment Need Usage Type &amp;elementID=10028", "Click here to submit comment")</f>
        <v>Click here to submit comment</v>
      </c>
    </row>
    <row r="3852" spans="1:17" ht="45" x14ac:dyDescent="0.25">
      <c r="A3852" s="12" t="s">
        <v>7327</v>
      </c>
      <c r="B3852" s="12" t="s">
        <v>7348</v>
      </c>
      <c r="C3852" s="12" t="s">
        <v>7351</v>
      </c>
      <c r="D3852" s="12" t="s">
        <v>7172</v>
      </c>
      <c r="E3852" s="12" t="s">
        <v>1148</v>
      </c>
      <c r="F3852" s="12" t="s">
        <v>1149</v>
      </c>
      <c r="G3852" s="12" t="s">
        <v>12</v>
      </c>
      <c r="H3852" s="12"/>
      <c r="I3852" s="12"/>
      <c r="J3852" s="12" t="s">
        <v>1021</v>
      </c>
      <c r="K3852" s="12"/>
      <c r="L3852" s="12"/>
      <c r="M3852" s="12" t="s">
        <v>1150</v>
      </c>
      <c r="N3852" s="12"/>
      <c r="O3852" s="12" t="s">
        <v>1151</v>
      </c>
      <c r="P3852" s="12" t="str">
        <f>HYPERLINK("https://ceds.ed.gov/cedselementdetails.aspx?termid=10032")</f>
        <v>https://ceds.ed.gov/cedselementdetails.aspx?termid=10032</v>
      </c>
      <c r="Q3852" s="12" t="str">
        <f>HYPERLINK("https://ceds.ed.gov/elementComment.aspx?elementName=Assessment Need Volume &amp;elementID=10032", "Click here to submit comment")</f>
        <v>Click here to submit comment</v>
      </c>
    </row>
    <row r="3853" spans="1:17" ht="60" x14ac:dyDescent="0.25">
      <c r="A3853" s="12" t="s">
        <v>7327</v>
      </c>
      <c r="B3853" s="12" t="s">
        <v>7348</v>
      </c>
      <c r="C3853" s="12" t="s">
        <v>7352</v>
      </c>
      <c r="D3853" s="12" t="s">
        <v>7172</v>
      </c>
      <c r="E3853" s="12" t="s">
        <v>1012</v>
      </c>
      <c r="F3853" s="12" t="s">
        <v>1013</v>
      </c>
      <c r="G3853" s="12" t="s">
        <v>12</v>
      </c>
      <c r="H3853" s="12"/>
      <c r="I3853" s="12"/>
      <c r="J3853" s="12" t="s">
        <v>1015</v>
      </c>
      <c r="K3853" s="12"/>
      <c r="L3853" s="12"/>
      <c r="M3853" s="12" t="s">
        <v>1016</v>
      </c>
      <c r="N3853" s="12"/>
      <c r="O3853" s="12" t="s">
        <v>1017</v>
      </c>
      <c r="P3853" s="12" t="str">
        <f>HYPERLINK("https://ceds.ed.gov/cedselementdetails.aspx?termid=10059")</f>
        <v>https://ceds.ed.gov/cedselementdetails.aspx?termid=10059</v>
      </c>
      <c r="Q3853" s="12" t="str">
        <f>HYPERLINK("https://ceds.ed.gov/elementComment.aspx?elementName=Assessment Need Background Color &amp;elementID=10059", "Click here to submit comment")</f>
        <v>Click here to submit comment</v>
      </c>
    </row>
    <row r="3854" spans="1:17" ht="60" x14ac:dyDescent="0.25">
      <c r="A3854" s="12" t="s">
        <v>7327</v>
      </c>
      <c r="B3854" s="12" t="s">
        <v>7348</v>
      </c>
      <c r="C3854" s="12" t="s">
        <v>7352</v>
      </c>
      <c r="D3854" s="12" t="s">
        <v>7172</v>
      </c>
      <c r="E3854" s="12" t="s">
        <v>1040</v>
      </c>
      <c r="F3854" s="12" t="s">
        <v>1041</v>
      </c>
      <c r="G3854" s="12" t="s">
        <v>12</v>
      </c>
      <c r="H3854" s="12"/>
      <c r="I3854" s="12"/>
      <c r="J3854" s="12" t="s">
        <v>1015</v>
      </c>
      <c r="K3854" s="12"/>
      <c r="L3854" s="12"/>
      <c r="M3854" s="12" t="s">
        <v>1042</v>
      </c>
      <c r="N3854" s="12"/>
      <c r="O3854" s="12" t="s">
        <v>1043</v>
      </c>
      <c r="P3854" s="12" t="str">
        <f>HYPERLINK("https://ceds.ed.gov/cedselementdetails.aspx?termid=10058")</f>
        <v>https://ceds.ed.gov/cedselementdetails.aspx?termid=10058</v>
      </c>
      <c r="Q3854" s="12" t="str">
        <f>HYPERLINK("https://ceds.ed.gov/elementComment.aspx?elementName=Assessment Need Foreground Color &amp;elementID=10058", "Click here to submit comment")</f>
        <v>Click here to submit comment</v>
      </c>
    </row>
    <row r="3855" spans="1:17" ht="60" x14ac:dyDescent="0.25">
      <c r="A3855" s="12" t="s">
        <v>7327</v>
      </c>
      <c r="B3855" s="12" t="s">
        <v>7348</v>
      </c>
      <c r="C3855" s="12" t="s">
        <v>7352</v>
      </c>
      <c r="D3855" s="12" t="s">
        <v>7172</v>
      </c>
      <c r="E3855" s="12" t="s">
        <v>1048</v>
      </c>
      <c r="F3855" s="12" t="s">
        <v>1049</v>
      </c>
      <c r="G3855" s="13" t="s">
        <v>6773</v>
      </c>
      <c r="H3855" s="12"/>
      <c r="I3855" s="12"/>
      <c r="J3855" s="12"/>
      <c r="K3855" s="12"/>
      <c r="L3855" s="12"/>
      <c r="M3855" s="12" t="s">
        <v>1050</v>
      </c>
      <c r="N3855" s="12"/>
      <c r="O3855" s="12" t="s">
        <v>1051</v>
      </c>
      <c r="P3855" s="12" t="str">
        <f>HYPERLINK("https://ceds.ed.gov/cedselementdetails.aspx?termid=10060")</f>
        <v>https://ceds.ed.gov/cedselementdetails.aspx?termid=10060</v>
      </c>
      <c r="Q3855" s="12" t="str">
        <f>HYPERLINK("https://ceds.ed.gov/elementComment.aspx?elementName=Assessment Need Increased Whitespacing Type &amp;elementID=10060", "Click here to submit comment")</f>
        <v>Click here to submit comment</v>
      </c>
    </row>
    <row r="3856" spans="1:17" ht="60" x14ac:dyDescent="0.25">
      <c r="A3856" s="12" t="s">
        <v>7327</v>
      </c>
      <c r="B3856" s="12" t="s">
        <v>7348</v>
      </c>
      <c r="C3856" s="12" t="s">
        <v>7352</v>
      </c>
      <c r="D3856" s="12" t="s">
        <v>7172</v>
      </c>
      <c r="E3856" s="12" t="s">
        <v>1094</v>
      </c>
      <c r="F3856" s="12" t="s">
        <v>1095</v>
      </c>
      <c r="G3856" s="12" t="s">
        <v>12</v>
      </c>
      <c r="H3856" s="12"/>
      <c r="I3856" s="12"/>
      <c r="J3856" s="12" t="s">
        <v>1015</v>
      </c>
      <c r="K3856" s="12"/>
      <c r="L3856" s="12"/>
      <c r="M3856" s="12" t="s">
        <v>1096</v>
      </c>
      <c r="N3856" s="12"/>
      <c r="O3856" s="12" t="s">
        <v>1097</v>
      </c>
      <c r="P3856" s="12" t="str">
        <f>HYPERLINK("https://ceds.ed.gov/cedselementdetails.aspx?termid=10057")</f>
        <v>https://ceds.ed.gov/cedselementdetails.aspx?termid=10057</v>
      </c>
      <c r="Q3856" s="12" t="str">
        <f>HYPERLINK("https://ceds.ed.gov/elementComment.aspx?elementName=Assessment Need Overlay Color &amp;elementID=10057", "Click here to submit comment")</f>
        <v>Click here to submit comment</v>
      </c>
    </row>
    <row r="3857" spans="1:17" ht="240" x14ac:dyDescent="0.25">
      <c r="A3857" s="12" t="s">
        <v>7327</v>
      </c>
      <c r="B3857" s="12" t="s">
        <v>7353</v>
      </c>
      <c r="C3857" s="12"/>
      <c r="D3857" s="12" t="s">
        <v>7172</v>
      </c>
      <c r="E3857" s="12" t="s">
        <v>408</v>
      </c>
      <c r="F3857" s="12" t="s">
        <v>409</v>
      </c>
      <c r="G3857" s="13" t="s">
        <v>6752</v>
      </c>
      <c r="H3857" s="12" t="s">
        <v>6397</v>
      </c>
      <c r="I3857" s="12"/>
      <c r="J3857" s="12"/>
      <c r="K3857" s="12"/>
      <c r="L3857" s="12"/>
      <c r="M3857" s="12" t="s">
        <v>410</v>
      </c>
      <c r="N3857" s="12"/>
      <c r="O3857" s="12" t="s">
        <v>411</v>
      </c>
      <c r="P3857" s="12" t="str">
        <f>HYPERLINK("https://ceds.ed.gov/cedselementdetails.aspx?termid=9374")</f>
        <v>https://ceds.ed.gov/cedselementdetails.aspx?termid=9374</v>
      </c>
      <c r="Q3857" s="12" t="str">
        <f>HYPERLINK("https://ceds.ed.gov/elementComment.aspx?elementName=Assessment Accommodation Category &amp;elementID=9374", "Click here to submit comment")</f>
        <v>Click here to submit comment</v>
      </c>
    </row>
    <row r="3858" spans="1:17" ht="45" x14ac:dyDescent="0.25">
      <c r="A3858" s="12" t="s">
        <v>7327</v>
      </c>
      <c r="B3858" s="12" t="s">
        <v>7353</v>
      </c>
      <c r="C3858" s="12"/>
      <c r="D3858" s="12" t="s">
        <v>7172</v>
      </c>
      <c r="E3858" s="12" t="s">
        <v>412</v>
      </c>
      <c r="F3858" s="12" t="s">
        <v>413</v>
      </c>
      <c r="G3858" s="12" t="s">
        <v>12</v>
      </c>
      <c r="H3858" s="12"/>
      <c r="I3858" s="12"/>
      <c r="J3858" s="12" t="s">
        <v>92</v>
      </c>
      <c r="K3858" s="12"/>
      <c r="L3858" s="12"/>
      <c r="M3858" s="12" t="s">
        <v>414</v>
      </c>
      <c r="N3858" s="12"/>
      <c r="O3858" s="12" t="s">
        <v>415</v>
      </c>
      <c r="P3858" s="12" t="str">
        <f>HYPERLINK("https://ceds.ed.gov/cedselementdetails.aspx?termid=10116")</f>
        <v>https://ceds.ed.gov/cedselementdetails.aspx?termid=10116</v>
      </c>
      <c r="Q3858" s="12" t="str">
        <f>HYPERLINK("https://ceds.ed.gov/elementComment.aspx?elementName=Assessment Accommodation Other Description &amp;elementID=10116", "Click here to submit comment")</f>
        <v>Click here to submit comment</v>
      </c>
    </row>
    <row r="3859" spans="1:17" ht="409.5" x14ac:dyDescent="0.25">
      <c r="A3859" s="12" t="s">
        <v>7327</v>
      </c>
      <c r="B3859" s="12" t="s">
        <v>7353</v>
      </c>
      <c r="C3859" s="12"/>
      <c r="D3859" s="12" t="s">
        <v>7172</v>
      </c>
      <c r="E3859" s="12" t="s">
        <v>416</v>
      </c>
      <c r="F3859" s="12" t="s">
        <v>417</v>
      </c>
      <c r="G3859" s="13" t="s">
        <v>6753</v>
      </c>
      <c r="H3859" s="12" t="s">
        <v>6397</v>
      </c>
      <c r="I3859" s="12"/>
      <c r="J3859" s="12"/>
      <c r="K3859" s="12"/>
      <c r="L3859" s="12"/>
      <c r="M3859" s="12" t="s">
        <v>419</v>
      </c>
      <c r="N3859" s="12"/>
      <c r="O3859" s="12" t="s">
        <v>420</v>
      </c>
      <c r="P3859" s="12" t="str">
        <f>HYPERLINK("https://ceds.ed.gov/cedselementdetails.aspx?termid=9376")</f>
        <v>https://ceds.ed.gov/cedselementdetails.aspx?termid=9376</v>
      </c>
      <c r="Q3859" s="12" t="str">
        <f>HYPERLINK("https://ceds.ed.gov/elementComment.aspx?elementName=Assessment Accommodation Type &amp;elementID=9376", "Click here to submit comment")</f>
        <v>Click here to submit comment</v>
      </c>
    </row>
    <row r="3860" spans="1:17" ht="30" x14ac:dyDescent="0.25">
      <c r="A3860" s="12" t="s">
        <v>7327</v>
      </c>
      <c r="B3860" s="12" t="s">
        <v>7353</v>
      </c>
      <c r="C3860" s="12"/>
      <c r="D3860" s="12" t="s">
        <v>7172</v>
      </c>
      <c r="E3860" s="12" t="s">
        <v>1156</v>
      </c>
      <c r="F3860" s="12" t="s">
        <v>1157</v>
      </c>
      <c r="G3860" s="12" t="s">
        <v>12</v>
      </c>
      <c r="H3860" s="12"/>
      <c r="I3860" s="12"/>
      <c r="J3860" s="12" t="s">
        <v>68</v>
      </c>
      <c r="K3860" s="12"/>
      <c r="L3860" s="12"/>
      <c r="M3860" s="12" t="s">
        <v>1158</v>
      </c>
      <c r="N3860" s="12"/>
      <c r="O3860" s="12" t="s">
        <v>1159</v>
      </c>
      <c r="P3860" s="12" t="str">
        <f>HYPERLINK("https://ceds.ed.gov/cedselementdetails.aspx?termid=10514")</f>
        <v>https://ceds.ed.gov/cedselementdetails.aspx?termid=10514</v>
      </c>
      <c r="Q3860" s="12" t="str">
        <f>HYPERLINK("https://ceds.ed.gov/elementComment.aspx?elementName=Assessment Participant Session Database Name &amp;elementID=10514", "Click here to submit comment")</f>
        <v>Click here to submit comment</v>
      </c>
    </row>
    <row r="3861" spans="1:17" ht="45" x14ac:dyDescent="0.25">
      <c r="A3861" s="12" t="s">
        <v>7327</v>
      </c>
      <c r="B3861" s="12" t="s">
        <v>7353</v>
      </c>
      <c r="C3861" s="12"/>
      <c r="D3861" s="12" t="s">
        <v>7172</v>
      </c>
      <c r="E3861" s="12" t="s">
        <v>1160</v>
      </c>
      <c r="F3861" s="12" t="s">
        <v>1161</v>
      </c>
      <c r="G3861" s="12" t="s">
        <v>12</v>
      </c>
      <c r="H3861" s="12"/>
      <c r="I3861" s="12"/>
      <c r="J3861" s="12" t="s">
        <v>68</v>
      </c>
      <c r="K3861" s="12"/>
      <c r="L3861" s="12" t="s">
        <v>1162</v>
      </c>
      <c r="M3861" s="12" t="s">
        <v>1163</v>
      </c>
      <c r="N3861" s="12"/>
      <c r="O3861" s="12" t="s">
        <v>1164</v>
      </c>
      <c r="P3861" s="12" t="str">
        <f>HYPERLINK("https://ceds.ed.gov/cedselementdetails.aspx?termid=10006")</f>
        <v>https://ceds.ed.gov/cedselementdetails.aspx?termid=10006</v>
      </c>
      <c r="Q3861" s="12" t="str">
        <f>HYPERLINK("https://ceds.ed.gov/elementComment.aspx?elementName=Assessment Participant Session Delivery Device Details &amp;elementID=10006", "Click here to submit comment")</f>
        <v>Click here to submit comment</v>
      </c>
    </row>
    <row r="3862" spans="1:17" ht="75" x14ac:dyDescent="0.25">
      <c r="A3862" s="18" t="s">
        <v>7327</v>
      </c>
      <c r="B3862" s="18" t="s">
        <v>7353</v>
      </c>
      <c r="C3862" s="18"/>
      <c r="D3862" s="18" t="s">
        <v>7172</v>
      </c>
      <c r="E3862" s="18" t="s">
        <v>1165</v>
      </c>
      <c r="F3862" s="18" t="s">
        <v>1166</v>
      </c>
      <c r="G3862" s="18" t="s">
        <v>12</v>
      </c>
      <c r="H3862" s="18"/>
      <c r="I3862" s="18"/>
      <c r="J3862" s="18" t="s">
        <v>142</v>
      </c>
      <c r="K3862" s="18"/>
      <c r="L3862" s="12" t="s">
        <v>547</v>
      </c>
      <c r="M3862" s="18" t="s">
        <v>1167</v>
      </c>
      <c r="N3862" s="18"/>
      <c r="O3862" s="18" t="s">
        <v>1168</v>
      </c>
      <c r="P3862" s="18" t="str">
        <f>HYPERLINK("https://ceds.ed.gov/cedselementdetails.aspx?termid=10515")</f>
        <v>https://ceds.ed.gov/cedselementdetails.aspx?termid=10515</v>
      </c>
      <c r="Q3862" s="18" t="str">
        <f>HYPERLINK("https://ceds.ed.gov/elementComment.aspx?elementName=Assessment Participant Session GUID &amp;elementID=10515", "Click here to submit comment")</f>
        <v>Click here to submit comment</v>
      </c>
    </row>
    <row r="3863" spans="1:17" x14ac:dyDescent="0.25">
      <c r="A3863" s="18"/>
      <c r="B3863" s="18"/>
      <c r="C3863" s="18"/>
      <c r="D3863" s="18"/>
      <c r="E3863" s="18"/>
      <c r="F3863" s="18"/>
      <c r="G3863" s="18"/>
      <c r="H3863" s="18"/>
      <c r="I3863" s="18"/>
      <c r="J3863" s="18"/>
      <c r="K3863" s="18"/>
      <c r="L3863" s="12"/>
      <c r="M3863" s="18"/>
      <c r="N3863" s="18"/>
      <c r="O3863" s="18"/>
      <c r="P3863" s="18"/>
      <c r="Q3863" s="18"/>
    </row>
    <row r="3864" spans="1:17" ht="60" x14ac:dyDescent="0.25">
      <c r="A3864" s="18"/>
      <c r="B3864" s="18"/>
      <c r="C3864" s="18"/>
      <c r="D3864" s="18"/>
      <c r="E3864" s="18"/>
      <c r="F3864" s="18"/>
      <c r="G3864" s="18"/>
      <c r="H3864" s="18"/>
      <c r="I3864" s="18"/>
      <c r="J3864" s="18"/>
      <c r="K3864" s="18"/>
      <c r="L3864" s="12" t="s">
        <v>548</v>
      </c>
      <c r="M3864" s="18"/>
      <c r="N3864" s="18"/>
      <c r="O3864" s="18"/>
      <c r="P3864" s="18"/>
      <c r="Q3864" s="18"/>
    </row>
    <row r="3865" spans="1:17" ht="90" x14ac:dyDescent="0.25">
      <c r="A3865" s="12" t="s">
        <v>7327</v>
      </c>
      <c r="B3865" s="12" t="s">
        <v>7353</v>
      </c>
      <c r="C3865" s="12"/>
      <c r="D3865" s="12" t="s">
        <v>7172</v>
      </c>
      <c r="E3865" s="12" t="s">
        <v>1169</v>
      </c>
      <c r="F3865" s="12" t="s">
        <v>1170</v>
      </c>
      <c r="G3865" s="14" t="s">
        <v>999</v>
      </c>
      <c r="H3865" s="12" t="s">
        <v>6397</v>
      </c>
      <c r="I3865" s="12" t="s">
        <v>98</v>
      </c>
      <c r="J3865" s="12"/>
      <c r="K3865" s="12"/>
      <c r="L3865" s="14" t="s">
        <v>1000</v>
      </c>
      <c r="M3865" s="12" t="s">
        <v>1171</v>
      </c>
      <c r="N3865" s="12"/>
      <c r="O3865" s="12" t="s">
        <v>1172</v>
      </c>
      <c r="P3865" s="12" t="str">
        <f>HYPERLINK("https://ceds.ed.gov/cedselementdetails.aspx?termid=9370")</f>
        <v>https://ceds.ed.gov/cedselementdetails.aspx?termid=9370</v>
      </c>
      <c r="Q3865" s="12" t="str">
        <f>HYPERLINK("https://ceds.ed.gov/elementComment.aspx?elementName=Assessment Participant Session Language &amp;elementID=9370", "Click here to submit comment")</f>
        <v>Click here to submit comment</v>
      </c>
    </row>
    <row r="3866" spans="1:17" ht="120" x14ac:dyDescent="0.25">
      <c r="A3866" s="12" t="s">
        <v>7327</v>
      </c>
      <c r="B3866" s="12" t="s">
        <v>7353</v>
      </c>
      <c r="C3866" s="12"/>
      <c r="D3866" s="12" t="s">
        <v>7172</v>
      </c>
      <c r="E3866" s="12" t="s">
        <v>1173</v>
      </c>
      <c r="F3866" s="12" t="s">
        <v>1174</v>
      </c>
      <c r="G3866" s="13" t="s">
        <v>6782</v>
      </c>
      <c r="H3866" s="12" t="s">
        <v>6409</v>
      </c>
      <c r="I3866" s="12"/>
      <c r="J3866" s="12"/>
      <c r="K3866" s="12"/>
      <c r="L3866" s="12"/>
      <c r="M3866" s="12" t="s">
        <v>1175</v>
      </c>
      <c r="N3866" s="12"/>
      <c r="O3866" s="12" t="s">
        <v>1176</v>
      </c>
      <c r="P3866" s="12" t="str">
        <f>HYPERLINK("https://ceds.ed.gov/cedselementdetails.aspx?termid=9377")</f>
        <v>https://ceds.ed.gov/cedselementdetails.aspx?termid=9377</v>
      </c>
      <c r="Q3866" s="12" t="str">
        <f>HYPERLINK("https://ceds.ed.gov/elementComment.aspx?elementName=Assessment Participant Session Platform Type &amp;elementID=9377", "Click here to submit comment")</f>
        <v>Click here to submit comment</v>
      </c>
    </row>
    <row r="3867" spans="1:17" ht="135" x14ac:dyDescent="0.25">
      <c r="A3867" s="12" t="s">
        <v>7327</v>
      </c>
      <c r="B3867" s="12" t="s">
        <v>7353</v>
      </c>
      <c r="C3867" s="12"/>
      <c r="D3867" s="12" t="s">
        <v>7172</v>
      </c>
      <c r="E3867" s="12" t="s">
        <v>1177</v>
      </c>
      <c r="F3867" s="12" t="s">
        <v>1178</v>
      </c>
      <c r="G3867" s="12" t="s">
        <v>12</v>
      </c>
      <c r="H3867" s="12"/>
      <c r="I3867" s="12"/>
      <c r="J3867" s="12" t="s">
        <v>1179</v>
      </c>
      <c r="K3867" s="12"/>
      <c r="L3867" s="12" t="s">
        <v>1180</v>
      </c>
      <c r="M3867" s="12" t="s">
        <v>1181</v>
      </c>
      <c r="N3867" s="12"/>
      <c r="O3867" s="12" t="s">
        <v>1182</v>
      </c>
      <c r="P3867" s="12" t="str">
        <f>HYPERLINK("https://ceds.ed.gov/cedselementdetails.aspx?termid=10112")</f>
        <v>https://ceds.ed.gov/cedselementdetails.aspx?termid=10112</v>
      </c>
      <c r="Q3867" s="12" t="str">
        <f>HYPERLINK("https://ceds.ed.gov/elementComment.aspx?elementName=Assessment Participant Session Platform User Agent &amp;elementID=10112", "Click here to submit comment")</f>
        <v>Click here to submit comment</v>
      </c>
    </row>
    <row r="3868" spans="1:17" ht="75" x14ac:dyDescent="0.25">
      <c r="A3868" s="12" t="s">
        <v>7327</v>
      </c>
      <c r="B3868" s="12" t="s">
        <v>7353</v>
      </c>
      <c r="C3868" s="12"/>
      <c r="D3868" s="12" t="s">
        <v>7172</v>
      </c>
      <c r="E3868" s="12" t="s">
        <v>1183</v>
      </c>
      <c r="F3868" s="12" t="s">
        <v>1184</v>
      </c>
      <c r="G3868" s="12" t="s">
        <v>12</v>
      </c>
      <c r="H3868" s="12"/>
      <c r="I3868" s="12"/>
      <c r="J3868" s="12" t="s">
        <v>327</v>
      </c>
      <c r="K3868" s="12"/>
      <c r="L3868" s="12"/>
      <c r="M3868" s="12" t="s">
        <v>1185</v>
      </c>
      <c r="N3868" s="12"/>
      <c r="O3868" s="12" t="s">
        <v>1186</v>
      </c>
      <c r="P3868" s="12" t="str">
        <f>HYPERLINK("https://ceds.ed.gov/cedselementdetails.aspx?termid=10102")</f>
        <v>https://ceds.ed.gov/cedselementdetails.aspx?termid=10102</v>
      </c>
      <c r="Q3868" s="12" t="str">
        <f>HYPERLINK("https://ceds.ed.gov/elementComment.aspx?elementName=Assessment Participant Session Security Issue &amp;elementID=10102", "Click here to submit comment")</f>
        <v>Click here to submit comment</v>
      </c>
    </row>
    <row r="3869" spans="1:17" ht="45" x14ac:dyDescent="0.25">
      <c r="A3869" s="12" t="s">
        <v>7327</v>
      </c>
      <c r="B3869" s="12" t="s">
        <v>7353</v>
      </c>
      <c r="C3869" s="12"/>
      <c r="D3869" s="12" t="s">
        <v>7172</v>
      </c>
      <c r="E3869" s="12" t="s">
        <v>1187</v>
      </c>
      <c r="F3869" s="12" t="s">
        <v>1188</v>
      </c>
      <c r="G3869" s="12" t="s">
        <v>12</v>
      </c>
      <c r="H3869" s="12" t="s">
        <v>6397</v>
      </c>
      <c r="I3869" s="12"/>
      <c r="J3869" s="12" t="s">
        <v>92</v>
      </c>
      <c r="K3869" s="12"/>
      <c r="L3869" s="12"/>
      <c r="M3869" s="12" t="s">
        <v>1189</v>
      </c>
      <c r="N3869" s="12"/>
      <c r="O3869" s="12" t="s">
        <v>1190</v>
      </c>
      <c r="P3869" s="12" t="str">
        <f>HYPERLINK("https://ceds.ed.gov/cedselementdetails.aspx?termid=9398")</f>
        <v>https://ceds.ed.gov/cedselementdetails.aspx?termid=9398</v>
      </c>
      <c r="Q3869" s="12" t="str">
        <f>HYPERLINK("https://ceds.ed.gov/elementComment.aspx?elementName=Assessment Participant Session Time Assessed &amp;elementID=9398", "Click here to submit comment")</f>
        <v>Click here to submit comment</v>
      </c>
    </row>
    <row r="3870" spans="1:17" ht="90" x14ac:dyDescent="0.25">
      <c r="A3870" s="12" t="s">
        <v>7327</v>
      </c>
      <c r="B3870" s="12" t="s">
        <v>7353</v>
      </c>
      <c r="C3870" s="12"/>
      <c r="D3870" s="12" t="s">
        <v>7172</v>
      </c>
      <c r="E3870" s="12" t="s">
        <v>1365</v>
      </c>
      <c r="F3870" s="12" t="s">
        <v>1366</v>
      </c>
      <c r="G3870" s="12" t="s">
        <v>12</v>
      </c>
      <c r="H3870" s="12"/>
      <c r="I3870" s="12"/>
      <c r="J3870" s="12" t="s">
        <v>860</v>
      </c>
      <c r="K3870" s="12"/>
      <c r="L3870" s="12" t="s">
        <v>1367</v>
      </c>
      <c r="M3870" s="12" t="s">
        <v>1368</v>
      </c>
      <c r="N3870" s="12"/>
      <c r="O3870" s="12" t="s">
        <v>1369</v>
      </c>
      <c r="P3870" s="12" t="str">
        <f>HYPERLINK("https://ceds.ed.gov/cedselementdetails.aspx?termid=10024")</f>
        <v>https://ceds.ed.gov/cedselementdetails.aspx?termid=10024</v>
      </c>
      <c r="Q3870" s="12" t="str">
        <f>HYPERLINK("https://ceds.ed.gov/elementComment.aspx?elementName=Assessment Session Actual End Date Time &amp;elementID=10024", "Click here to submit comment")</f>
        <v>Click here to submit comment</v>
      </c>
    </row>
    <row r="3871" spans="1:17" ht="90" x14ac:dyDescent="0.25">
      <c r="A3871" s="12" t="s">
        <v>7327</v>
      </c>
      <c r="B3871" s="12" t="s">
        <v>7353</v>
      </c>
      <c r="C3871" s="12"/>
      <c r="D3871" s="12" t="s">
        <v>7172</v>
      </c>
      <c r="E3871" s="12" t="s">
        <v>1370</v>
      </c>
      <c r="F3871" s="12" t="s">
        <v>1371</v>
      </c>
      <c r="G3871" s="12" t="s">
        <v>12</v>
      </c>
      <c r="H3871" s="12"/>
      <c r="I3871" s="12"/>
      <c r="J3871" s="12" t="s">
        <v>860</v>
      </c>
      <c r="K3871" s="12"/>
      <c r="L3871" s="12" t="s">
        <v>1372</v>
      </c>
      <c r="M3871" s="12" t="s">
        <v>1373</v>
      </c>
      <c r="N3871" s="12"/>
      <c r="O3871" s="12" t="s">
        <v>1374</v>
      </c>
      <c r="P3871" s="12" t="str">
        <f>HYPERLINK("https://ceds.ed.gov/cedselementdetails.aspx?termid=10023")</f>
        <v>https://ceds.ed.gov/cedselementdetails.aspx?termid=10023</v>
      </c>
      <c r="Q3871" s="12" t="str">
        <f>HYPERLINK("https://ceds.ed.gov/elementComment.aspx?elementName=Assessment Session Actual Start Date Time &amp;elementID=10023", "Click here to submit comment")</f>
        <v>Click here to submit comment</v>
      </c>
    </row>
    <row r="3872" spans="1:17" ht="45" x14ac:dyDescent="0.25">
      <c r="A3872" s="12" t="s">
        <v>7327</v>
      </c>
      <c r="B3872" s="12" t="s">
        <v>7353</v>
      </c>
      <c r="C3872" s="12"/>
      <c r="D3872" s="12" t="s">
        <v>7172</v>
      </c>
      <c r="E3872" s="12" t="s">
        <v>1384</v>
      </c>
      <c r="F3872" s="12" t="s">
        <v>1385</v>
      </c>
      <c r="G3872" s="12" t="s">
        <v>12</v>
      </c>
      <c r="H3872" s="12" t="s">
        <v>6397</v>
      </c>
      <c r="I3872" s="12"/>
      <c r="J3872" s="12" t="s">
        <v>1386</v>
      </c>
      <c r="K3872" s="12"/>
      <c r="L3872" s="12"/>
      <c r="M3872" s="12" t="s">
        <v>1387</v>
      </c>
      <c r="N3872" s="12"/>
      <c r="O3872" s="12" t="s">
        <v>1388</v>
      </c>
      <c r="P3872" s="12" t="str">
        <f>HYPERLINK("https://ceds.ed.gov/cedselementdetails.aspx?termid=9590")</f>
        <v>https://ceds.ed.gov/cedselementdetails.aspx?termid=9590</v>
      </c>
      <c r="Q3872" s="12" t="str">
        <f>HYPERLINK("https://ceds.ed.gov/elementComment.aspx?elementName=Assessment Session Location &amp;elementID=9590", "Click here to submit comment")</f>
        <v>Click here to submit comment</v>
      </c>
    </row>
    <row r="3873" spans="1:17" ht="150" x14ac:dyDescent="0.25">
      <c r="A3873" s="12" t="s">
        <v>7327</v>
      </c>
      <c r="B3873" s="12" t="s">
        <v>7353</v>
      </c>
      <c r="C3873" s="12"/>
      <c r="D3873" s="12" t="s">
        <v>7172</v>
      </c>
      <c r="E3873" s="12" t="s">
        <v>1402</v>
      </c>
      <c r="F3873" s="12" t="s">
        <v>1403</v>
      </c>
      <c r="G3873" s="12" t="s">
        <v>12</v>
      </c>
      <c r="H3873" s="12"/>
      <c r="I3873" s="12"/>
      <c r="J3873" s="12" t="s">
        <v>68</v>
      </c>
      <c r="K3873" s="12"/>
      <c r="L3873" s="12" t="s">
        <v>896</v>
      </c>
      <c r="M3873" s="12" t="s">
        <v>1404</v>
      </c>
      <c r="N3873" s="12"/>
      <c r="O3873" s="12" t="s">
        <v>1405</v>
      </c>
      <c r="P3873" s="12" t="str">
        <f>HYPERLINK("https://ceds.ed.gov/cedselementdetails.aspx?termid=9969")</f>
        <v>https://ceds.ed.gov/cedselementdetails.aspx?termid=9969</v>
      </c>
      <c r="Q3873" s="12" t="str">
        <f>HYPERLINK("https://ceds.ed.gov/elementComment.aspx?elementName=Assessment Session Security Issue &amp;elementID=9969", "Click here to submit comment")</f>
        <v>Click here to submit comment</v>
      </c>
    </row>
    <row r="3874" spans="1:17" ht="409.5" x14ac:dyDescent="0.25">
      <c r="A3874" s="12" t="s">
        <v>7327</v>
      </c>
      <c r="B3874" s="12" t="s">
        <v>7353</v>
      </c>
      <c r="C3874" s="12"/>
      <c r="D3874" s="12" t="s">
        <v>7172</v>
      </c>
      <c r="E3874" s="12" t="s">
        <v>1406</v>
      </c>
      <c r="F3874" s="12" t="s">
        <v>1407</v>
      </c>
      <c r="G3874" s="13" t="s">
        <v>6792</v>
      </c>
      <c r="H3874" s="12" t="s">
        <v>6397</v>
      </c>
      <c r="I3874" s="12"/>
      <c r="J3874" s="12"/>
      <c r="K3874" s="12"/>
      <c r="L3874" s="12"/>
      <c r="M3874" s="12" t="s">
        <v>1408</v>
      </c>
      <c r="N3874" s="12"/>
      <c r="O3874" s="12" t="s">
        <v>1409</v>
      </c>
      <c r="P3874" s="12" t="str">
        <f>HYPERLINK("https://ceds.ed.gov/cedselementdetails.aspx?termid=9380")</f>
        <v>https://ceds.ed.gov/cedselementdetails.aspx?termid=9380</v>
      </c>
      <c r="Q3874" s="12" t="str">
        <f>HYPERLINK("https://ceds.ed.gov/elementComment.aspx?elementName=Assessment Session Special Circumstance Type &amp;elementID=9380", "Click here to submit comment")</f>
        <v>Click here to submit comment</v>
      </c>
    </row>
    <row r="3875" spans="1:17" ht="90" x14ac:dyDescent="0.25">
      <c r="A3875" s="12" t="s">
        <v>7327</v>
      </c>
      <c r="B3875" s="12" t="s">
        <v>7353</v>
      </c>
      <c r="C3875" s="12"/>
      <c r="D3875" s="12" t="s">
        <v>7172</v>
      </c>
      <c r="E3875" s="12" t="s">
        <v>1410</v>
      </c>
      <c r="F3875" s="12" t="s">
        <v>1411</v>
      </c>
      <c r="G3875" s="12" t="s">
        <v>12</v>
      </c>
      <c r="H3875" s="12"/>
      <c r="I3875" s="12"/>
      <c r="J3875" s="12" t="s">
        <v>99</v>
      </c>
      <c r="K3875" s="12"/>
      <c r="L3875" s="12"/>
      <c r="M3875" s="12" t="s">
        <v>1412</v>
      </c>
      <c r="N3875" s="12"/>
      <c r="O3875" s="12" t="s">
        <v>1413</v>
      </c>
      <c r="P3875" s="12" t="str">
        <f>HYPERLINK("https://ceds.ed.gov/cedselementdetails.aspx?termid=10077")</f>
        <v>https://ceds.ed.gov/cedselementdetails.aspx?termid=10077</v>
      </c>
      <c r="Q3875" s="12" t="str">
        <f>HYPERLINK("https://ceds.ed.gov/elementComment.aspx?elementName=Assessment Session Special Event Description &amp;elementID=10077", "Click here to submit comment")</f>
        <v>Click here to submit comment</v>
      </c>
    </row>
    <row r="3876" spans="1:17" ht="30" x14ac:dyDescent="0.25">
      <c r="A3876" s="12" t="s">
        <v>7327</v>
      </c>
      <c r="B3876" s="12" t="s">
        <v>7294</v>
      </c>
      <c r="C3876" s="12"/>
      <c r="D3876" s="12" t="s">
        <v>7172</v>
      </c>
      <c r="E3876" s="12" t="s">
        <v>132</v>
      </c>
      <c r="F3876" s="12" t="s">
        <v>133</v>
      </c>
      <c r="G3876" s="12" t="s">
        <v>12</v>
      </c>
      <c r="H3876" s="12"/>
      <c r="I3876" s="12"/>
      <c r="J3876" s="12" t="s">
        <v>68</v>
      </c>
      <c r="K3876" s="12"/>
      <c r="L3876" s="12"/>
      <c r="M3876" s="12" t="s">
        <v>134</v>
      </c>
      <c r="N3876" s="12"/>
      <c r="O3876" s="12" t="s">
        <v>135</v>
      </c>
      <c r="P3876" s="12" t="str">
        <f>HYPERLINK("https://ceds.ed.gov/cedselementdetails.aspx?termid=9893")</f>
        <v>https://ceds.ed.gov/cedselementdetails.aspx?termid=9893</v>
      </c>
      <c r="Q3876" s="12" t="str">
        <f>HYPERLINK("https://ceds.ed.gov/elementComment.aspx?elementName=Achievement Title &amp;elementID=9893", "Click here to submit comment")</f>
        <v>Click here to submit comment</v>
      </c>
    </row>
    <row r="3877" spans="1:17" ht="30" x14ac:dyDescent="0.25">
      <c r="A3877" s="12" t="s">
        <v>7327</v>
      </c>
      <c r="B3877" s="12" t="s">
        <v>7294</v>
      </c>
      <c r="C3877" s="12"/>
      <c r="D3877" s="12" t="s">
        <v>7172</v>
      </c>
      <c r="E3877" s="12" t="s">
        <v>111</v>
      </c>
      <c r="F3877" s="12" t="s">
        <v>112</v>
      </c>
      <c r="G3877" s="12" t="s">
        <v>12</v>
      </c>
      <c r="H3877" s="12"/>
      <c r="I3877" s="12"/>
      <c r="J3877" s="12" t="s">
        <v>68</v>
      </c>
      <c r="K3877" s="12"/>
      <c r="L3877" s="12"/>
      <c r="M3877" s="12" t="s">
        <v>113</v>
      </c>
      <c r="N3877" s="12"/>
      <c r="O3877" s="12" t="s">
        <v>114</v>
      </c>
      <c r="P3877" s="12" t="str">
        <f>HYPERLINK("https://ceds.ed.gov/cedselementdetails.aspx?termid=9895")</f>
        <v>https://ceds.ed.gov/cedselementdetails.aspx?termid=9895</v>
      </c>
      <c r="Q3877" s="12" t="str">
        <f>HYPERLINK("https://ceds.ed.gov/elementComment.aspx?elementName=Achievement Description &amp;elementID=9895", "Click here to submit comment")</f>
        <v>Click here to submit comment</v>
      </c>
    </row>
    <row r="3878" spans="1:17" ht="30" x14ac:dyDescent="0.25">
      <c r="A3878" s="12" t="s">
        <v>7327</v>
      </c>
      <c r="B3878" s="12" t="s">
        <v>7294</v>
      </c>
      <c r="C3878" s="12"/>
      <c r="D3878" s="12" t="s">
        <v>7172</v>
      </c>
      <c r="E3878" s="12" t="s">
        <v>128</v>
      </c>
      <c r="F3878" s="12" t="s">
        <v>129</v>
      </c>
      <c r="G3878" s="12" t="s">
        <v>12</v>
      </c>
      <c r="H3878" s="12"/>
      <c r="I3878" s="12"/>
      <c r="J3878" s="12" t="s">
        <v>73</v>
      </c>
      <c r="K3878" s="12"/>
      <c r="L3878" s="12"/>
      <c r="M3878" s="12" t="s">
        <v>130</v>
      </c>
      <c r="N3878" s="12"/>
      <c r="O3878" s="12" t="s">
        <v>131</v>
      </c>
      <c r="P3878" s="12" t="str">
        <f>HYPERLINK("https://ceds.ed.gov/cedselementdetails.aspx?termid=10120")</f>
        <v>https://ceds.ed.gov/cedselementdetails.aspx?termid=10120</v>
      </c>
      <c r="Q3878" s="12" t="str">
        <f>HYPERLINK("https://ceds.ed.gov/elementComment.aspx?elementName=Achievement Start Date &amp;elementID=10120", "Click here to submit comment")</f>
        <v>Click here to submit comment</v>
      </c>
    </row>
    <row r="3879" spans="1:17" ht="45" x14ac:dyDescent="0.25">
      <c r="A3879" s="12" t="s">
        <v>7327</v>
      </c>
      <c r="B3879" s="12" t="s">
        <v>7294</v>
      </c>
      <c r="C3879" s="12"/>
      <c r="D3879" s="12" t="s">
        <v>7172</v>
      </c>
      <c r="E3879" s="12" t="s">
        <v>115</v>
      </c>
      <c r="F3879" s="12" t="s">
        <v>116</v>
      </c>
      <c r="G3879" s="12" t="s">
        <v>12</v>
      </c>
      <c r="H3879" s="12"/>
      <c r="I3879" s="12"/>
      <c r="J3879" s="12" t="s">
        <v>73</v>
      </c>
      <c r="K3879" s="12"/>
      <c r="L3879" s="12"/>
      <c r="M3879" s="12" t="s">
        <v>117</v>
      </c>
      <c r="N3879" s="12"/>
      <c r="O3879" s="12" t="s">
        <v>118</v>
      </c>
      <c r="P3879" s="12" t="str">
        <f>HYPERLINK("https://ceds.ed.gov/cedselementdetails.aspx?termid=10121")</f>
        <v>https://ceds.ed.gov/cedselementdetails.aspx?termid=10121</v>
      </c>
      <c r="Q3879" s="12" t="str">
        <f>HYPERLINK("https://ceds.ed.gov/elementComment.aspx?elementName=Achievement End Date &amp;elementID=10121", "Click here to submit comment")</f>
        <v>Click here to submit comment</v>
      </c>
    </row>
    <row r="3880" spans="1:17" ht="30" x14ac:dyDescent="0.25">
      <c r="A3880" s="12" t="s">
        <v>7327</v>
      </c>
      <c r="B3880" s="12" t="s">
        <v>7294</v>
      </c>
      <c r="C3880" s="12"/>
      <c r="D3880" s="12" t="s">
        <v>7172</v>
      </c>
      <c r="E3880" s="12" t="s">
        <v>80</v>
      </c>
      <c r="F3880" s="12" t="s">
        <v>81</v>
      </c>
      <c r="G3880" s="12" t="s">
        <v>12</v>
      </c>
      <c r="H3880" s="12"/>
      <c r="I3880" s="12"/>
      <c r="J3880" s="12" t="s">
        <v>82</v>
      </c>
      <c r="K3880" s="12"/>
      <c r="L3880" s="12"/>
      <c r="M3880" s="12" t="s">
        <v>83</v>
      </c>
      <c r="N3880" s="12"/>
      <c r="O3880" s="12" t="s">
        <v>84</v>
      </c>
      <c r="P3880" s="12" t="str">
        <f>HYPERLINK("https://ceds.ed.gov/cedselementdetails.aspx?termid=9898")</f>
        <v>https://ceds.ed.gov/cedselementdetails.aspx?termid=9898</v>
      </c>
      <c r="Q3880" s="12" t="str">
        <f>HYPERLINK("https://ceds.ed.gov/elementComment.aspx?elementName=Achievement Award Issuer Name &amp;elementID=9898", "Click here to submit comment")</f>
        <v>Click here to submit comment</v>
      </c>
    </row>
    <row r="3881" spans="1:17" ht="30" x14ac:dyDescent="0.25">
      <c r="A3881" s="12" t="s">
        <v>7327</v>
      </c>
      <c r="B3881" s="12" t="s">
        <v>7294</v>
      </c>
      <c r="C3881" s="12"/>
      <c r="D3881" s="12" t="s">
        <v>7172</v>
      </c>
      <c r="E3881" s="12" t="s">
        <v>85</v>
      </c>
      <c r="F3881" s="12" t="s">
        <v>86</v>
      </c>
      <c r="G3881" s="12" t="s">
        <v>12</v>
      </c>
      <c r="H3881" s="12"/>
      <c r="I3881" s="12"/>
      <c r="J3881" s="12" t="s">
        <v>68</v>
      </c>
      <c r="K3881" s="12"/>
      <c r="L3881" s="12" t="s">
        <v>87</v>
      </c>
      <c r="M3881" s="12" t="s">
        <v>88</v>
      </c>
      <c r="N3881" s="12"/>
      <c r="O3881" s="12" t="s">
        <v>89</v>
      </c>
      <c r="P3881" s="12" t="str">
        <f>HYPERLINK("https://ceds.ed.gov/cedselementdetails.aspx?termid=9900")</f>
        <v>https://ceds.ed.gov/cedselementdetails.aspx?termid=9900</v>
      </c>
      <c r="Q3881" s="12" t="str">
        <f>HYPERLINK("https://ceds.ed.gov/elementComment.aspx?elementName=Achievement Award Issuer Origin URL &amp;elementID=9900", "Click here to submit comment")</f>
        <v>Click here to submit comment</v>
      </c>
    </row>
    <row r="3882" spans="1:17" ht="75" x14ac:dyDescent="0.25">
      <c r="A3882" s="12" t="s">
        <v>7327</v>
      </c>
      <c r="B3882" s="12" t="s">
        <v>7294</v>
      </c>
      <c r="C3882" s="12"/>
      <c r="D3882" s="12" t="s">
        <v>7172</v>
      </c>
      <c r="E3882" s="12" t="s">
        <v>90</v>
      </c>
      <c r="F3882" s="12" t="s">
        <v>91</v>
      </c>
      <c r="G3882" s="12" t="s">
        <v>12</v>
      </c>
      <c r="H3882" s="12"/>
      <c r="I3882" s="12"/>
      <c r="J3882" s="12" t="s">
        <v>92</v>
      </c>
      <c r="K3882" s="12"/>
      <c r="L3882" s="12" t="s">
        <v>93</v>
      </c>
      <c r="M3882" s="12" t="s">
        <v>94</v>
      </c>
      <c r="N3882" s="12"/>
      <c r="O3882" s="12" t="s">
        <v>95</v>
      </c>
      <c r="P3882" s="12" t="str">
        <f>HYPERLINK("https://ceds.ed.gov/cedselementdetails.aspx?termid=10211")</f>
        <v>https://ceds.ed.gov/cedselementdetails.aspx?termid=10211</v>
      </c>
      <c r="Q3882" s="12" t="str">
        <f>HYPERLINK("https://ceds.ed.gov/elementComment.aspx?elementName=Achievement Category System &amp;elementID=10211", "Click here to submit comment")</f>
        <v>Click here to submit comment</v>
      </c>
    </row>
    <row r="3883" spans="1:17" ht="285" x14ac:dyDescent="0.25">
      <c r="A3883" s="12" t="s">
        <v>7327</v>
      </c>
      <c r="B3883" s="12" t="s">
        <v>7294</v>
      </c>
      <c r="C3883" s="12"/>
      <c r="D3883" s="12" t="s">
        <v>7172</v>
      </c>
      <c r="E3883" s="12" t="s">
        <v>96</v>
      </c>
      <c r="F3883" s="12" t="s">
        <v>97</v>
      </c>
      <c r="G3883" s="12" t="s">
        <v>12</v>
      </c>
      <c r="H3883" s="12"/>
      <c r="I3883" s="12" t="s">
        <v>98</v>
      </c>
      <c r="J3883" s="12" t="s">
        <v>99</v>
      </c>
      <c r="K3883" s="12"/>
      <c r="L3883" s="12" t="s">
        <v>100</v>
      </c>
      <c r="M3883" s="12" t="s">
        <v>101</v>
      </c>
      <c r="N3883" s="12"/>
      <c r="O3883" s="12" t="s">
        <v>102</v>
      </c>
      <c r="P3883" s="12" t="str">
        <f>HYPERLINK("https://ceds.ed.gov/cedselementdetails.aspx?termid=9892")</f>
        <v>https://ceds.ed.gov/cedselementdetails.aspx?termid=9892</v>
      </c>
      <c r="Q3883" s="12" t="str">
        <f>HYPERLINK("https://ceds.ed.gov/elementComment.aspx?elementName=Achievement Category Type &amp;elementID=9892", "Click here to submit comment")</f>
        <v>Click here to submit comment</v>
      </c>
    </row>
    <row r="3884" spans="1:17" ht="60" x14ac:dyDescent="0.25">
      <c r="A3884" s="12" t="s">
        <v>7327</v>
      </c>
      <c r="B3884" s="12" t="s">
        <v>7294</v>
      </c>
      <c r="C3884" s="12"/>
      <c r="D3884" s="12" t="s">
        <v>7172</v>
      </c>
      <c r="E3884" s="12" t="s">
        <v>123</v>
      </c>
      <c r="F3884" s="12" t="s">
        <v>124</v>
      </c>
      <c r="G3884" s="12" t="s">
        <v>12</v>
      </c>
      <c r="H3884" s="12"/>
      <c r="I3884" s="12"/>
      <c r="J3884" s="12" t="s">
        <v>68</v>
      </c>
      <c r="K3884" s="12"/>
      <c r="L3884" s="12" t="s">
        <v>125</v>
      </c>
      <c r="M3884" s="12" t="s">
        <v>126</v>
      </c>
      <c r="N3884" s="12"/>
      <c r="O3884" s="12" t="s">
        <v>127</v>
      </c>
      <c r="P3884" s="12" t="str">
        <f>HYPERLINK("https://ceds.ed.gov/cedselementdetails.aspx?termid=9894")</f>
        <v>https://ceds.ed.gov/cedselementdetails.aspx?termid=9894</v>
      </c>
      <c r="Q3884" s="12" t="str">
        <f>HYPERLINK("https://ceds.ed.gov/elementComment.aspx?elementName=Achievement Image URL &amp;elementID=9894", "Click here to submit comment")</f>
        <v>Click here to submit comment</v>
      </c>
    </row>
    <row r="3885" spans="1:17" ht="30" x14ac:dyDescent="0.25">
      <c r="A3885" s="12" t="s">
        <v>7327</v>
      </c>
      <c r="B3885" s="12" t="s">
        <v>7294</v>
      </c>
      <c r="C3885" s="12"/>
      <c r="D3885" s="12" t="s">
        <v>7172</v>
      </c>
      <c r="E3885" s="12" t="s">
        <v>103</v>
      </c>
      <c r="F3885" s="12" t="s">
        <v>104</v>
      </c>
      <c r="G3885" s="12" t="s">
        <v>12</v>
      </c>
      <c r="H3885" s="12"/>
      <c r="I3885" s="12"/>
      <c r="J3885" s="12" t="s">
        <v>68</v>
      </c>
      <c r="K3885" s="12"/>
      <c r="L3885" s="12"/>
      <c r="M3885" s="12" t="s">
        <v>105</v>
      </c>
      <c r="N3885" s="12"/>
      <c r="O3885" s="12" t="s">
        <v>106</v>
      </c>
      <c r="P3885" s="12" t="str">
        <f>HYPERLINK("https://ceds.ed.gov/cedselementdetails.aspx?termid=9896")</f>
        <v>https://ceds.ed.gov/cedselementdetails.aspx?termid=9896</v>
      </c>
      <c r="Q3885" s="12" t="str">
        <f>HYPERLINK("https://ceds.ed.gov/elementComment.aspx?elementName=Achievement Criteria &amp;elementID=9896", "Click here to submit comment")</f>
        <v>Click here to submit comment</v>
      </c>
    </row>
    <row r="3886" spans="1:17" ht="75" x14ac:dyDescent="0.25">
      <c r="A3886" s="12" t="s">
        <v>7327</v>
      </c>
      <c r="B3886" s="12" t="s">
        <v>7294</v>
      </c>
      <c r="C3886" s="12"/>
      <c r="D3886" s="12" t="s">
        <v>7172</v>
      </c>
      <c r="E3886" s="12" t="s">
        <v>107</v>
      </c>
      <c r="F3886" s="12" t="s">
        <v>108</v>
      </c>
      <c r="G3886" s="12" t="s">
        <v>12</v>
      </c>
      <c r="H3886" s="12"/>
      <c r="I3886" s="12"/>
      <c r="J3886" s="12" t="s">
        <v>68</v>
      </c>
      <c r="K3886" s="12"/>
      <c r="L3886" s="12"/>
      <c r="M3886" s="12" t="s">
        <v>109</v>
      </c>
      <c r="N3886" s="12"/>
      <c r="O3886" s="12" t="s">
        <v>110</v>
      </c>
      <c r="P3886" s="12" t="str">
        <f>HYPERLINK("https://ceds.ed.gov/cedselementdetails.aspx?termid=10113")</f>
        <v>https://ceds.ed.gov/cedselementdetails.aspx?termid=10113</v>
      </c>
      <c r="Q3886" s="12" t="str">
        <f>HYPERLINK("https://ceds.ed.gov/elementComment.aspx?elementName=Achievement Criteria URL &amp;elementID=10113", "Click here to submit comment")</f>
        <v>Click here to submit comment</v>
      </c>
    </row>
    <row r="3887" spans="1:17" ht="60" x14ac:dyDescent="0.25">
      <c r="A3887" s="12" t="s">
        <v>7327</v>
      </c>
      <c r="B3887" s="12" t="s">
        <v>7294</v>
      </c>
      <c r="C3887" s="12"/>
      <c r="D3887" s="12" t="s">
        <v>7172</v>
      </c>
      <c r="E3887" s="12" t="s">
        <v>119</v>
      </c>
      <c r="F3887" s="12" t="s">
        <v>120</v>
      </c>
      <c r="G3887" s="12" t="s">
        <v>12</v>
      </c>
      <c r="H3887" s="12"/>
      <c r="I3887" s="12"/>
      <c r="J3887" s="12" t="s">
        <v>68</v>
      </c>
      <c r="K3887" s="12"/>
      <c r="L3887" s="12"/>
      <c r="M3887" s="12" t="s">
        <v>121</v>
      </c>
      <c r="N3887" s="12"/>
      <c r="O3887" s="12" t="s">
        <v>122</v>
      </c>
      <c r="P3887" s="12" t="str">
        <f>HYPERLINK("https://ceds.ed.gov/cedselementdetails.aspx?termid=9901")</f>
        <v>https://ceds.ed.gov/cedselementdetails.aspx?termid=9901</v>
      </c>
      <c r="Q3887" s="12" t="str">
        <f>HYPERLINK("https://ceds.ed.gov/elementComment.aspx?elementName=Achievement Evidence Statement &amp;elementID=9901", "Click here to submit comment")</f>
        <v>Click here to submit comment</v>
      </c>
    </row>
    <row r="3888" spans="1:17" ht="45" x14ac:dyDescent="0.25">
      <c r="A3888" s="12" t="s">
        <v>7327</v>
      </c>
      <c r="B3888" s="12" t="s">
        <v>7293</v>
      </c>
      <c r="C3888" s="12"/>
      <c r="D3888" s="12" t="s">
        <v>7172</v>
      </c>
      <c r="E3888" s="12" t="s">
        <v>3793</v>
      </c>
      <c r="F3888" s="12" t="s">
        <v>3794</v>
      </c>
      <c r="G3888" s="12" t="s">
        <v>12</v>
      </c>
      <c r="H3888" s="12"/>
      <c r="I3888" s="12"/>
      <c r="J3888" s="12" t="s">
        <v>68</v>
      </c>
      <c r="K3888" s="12"/>
      <c r="L3888" s="12"/>
      <c r="M3888" s="12" t="s">
        <v>3795</v>
      </c>
      <c r="N3888" s="12"/>
      <c r="O3888" s="12" t="s">
        <v>3796</v>
      </c>
      <c r="P3888" s="12" t="str">
        <f>HYPERLINK("https://ceds.ed.gov/cedselementdetails.aspx?termid=9903")</f>
        <v>https://ceds.ed.gov/cedselementdetails.aspx?termid=9903</v>
      </c>
      <c r="Q3888" s="12" t="str">
        <f>HYPERLINK("https://ceds.ed.gov/elementComment.aspx?elementName=Learning Goal Description &amp;elementID=9903", "Click here to submit comment")</f>
        <v>Click here to submit comment</v>
      </c>
    </row>
    <row r="3889" spans="1:17" ht="45" x14ac:dyDescent="0.25">
      <c r="A3889" s="12" t="s">
        <v>7327</v>
      </c>
      <c r="B3889" s="12" t="s">
        <v>7293</v>
      </c>
      <c r="C3889" s="12"/>
      <c r="D3889" s="12" t="s">
        <v>7172</v>
      </c>
      <c r="E3889" s="12" t="s">
        <v>3797</v>
      </c>
      <c r="F3889" s="12" t="s">
        <v>3798</v>
      </c>
      <c r="G3889" s="12" t="s">
        <v>12</v>
      </c>
      <c r="H3889" s="12"/>
      <c r="I3889" s="12"/>
      <c r="J3889" s="12" t="s">
        <v>73</v>
      </c>
      <c r="K3889" s="12"/>
      <c r="L3889" s="12" t="s">
        <v>3799</v>
      </c>
      <c r="M3889" s="12" t="s">
        <v>3800</v>
      </c>
      <c r="N3889" s="12"/>
      <c r="O3889" s="12" t="s">
        <v>3801</v>
      </c>
      <c r="P3889" s="12" t="str">
        <f>HYPERLINK("https://ceds.ed.gov/cedselementdetails.aspx?termid=10170")</f>
        <v>https://ceds.ed.gov/cedselementdetails.aspx?termid=10170</v>
      </c>
      <c r="Q3889" s="12" t="str">
        <f>HYPERLINK("https://ceds.ed.gov/elementComment.aspx?elementName=Learning Goal End Date &amp;elementID=10170", "Click here to submit comment")</f>
        <v>Click here to submit comment</v>
      </c>
    </row>
    <row r="3890" spans="1:17" ht="30" x14ac:dyDescent="0.25">
      <c r="A3890" s="12" t="s">
        <v>7327</v>
      </c>
      <c r="B3890" s="12" t="s">
        <v>7293</v>
      </c>
      <c r="C3890" s="12"/>
      <c r="D3890" s="12" t="s">
        <v>7172</v>
      </c>
      <c r="E3890" s="12" t="s">
        <v>3802</v>
      </c>
      <c r="F3890" s="12" t="s">
        <v>3803</v>
      </c>
      <c r="G3890" s="12" t="s">
        <v>12</v>
      </c>
      <c r="H3890" s="12"/>
      <c r="I3890" s="12"/>
      <c r="J3890" s="12" t="s">
        <v>73</v>
      </c>
      <c r="K3890" s="12"/>
      <c r="L3890" s="12"/>
      <c r="M3890" s="12" t="s">
        <v>3804</v>
      </c>
      <c r="N3890" s="12"/>
      <c r="O3890" s="12" t="s">
        <v>3805</v>
      </c>
      <c r="P3890" s="12" t="str">
        <f>HYPERLINK("https://ceds.ed.gov/cedselementdetails.aspx?termid=10169")</f>
        <v>https://ceds.ed.gov/cedselementdetails.aspx?termid=10169</v>
      </c>
      <c r="Q3890" s="12" t="str">
        <f>HYPERLINK("https://ceds.ed.gov/elementComment.aspx?elementName=Learning Goal Start Date &amp;elementID=10169", "Click here to submit comment")</f>
        <v>Click here to submit comment</v>
      </c>
    </row>
    <row r="3891" spans="1:17" ht="135" x14ac:dyDescent="0.25">
      <c r="A3891" s="12" t="s">
        <v>7327</v>
      </c>
      <c r="B3891" s="12" t="s">
        <v>7293</v>
      </c>
      <c r="C3891" s="12"/>
      <c r="D3891" s="12" t="s">
        <v>7172</v>
      </c>
      <c r="E3891" s="12" t="s">
        <v>3806</v>
      </c>
      <c r="F3891" s="12" t="s">
        <v>3807</v>
      </c>
      <c r="G3891" s="12" t="s">
        <v>12</v>
      </c>
      <c r="H3891" s="12"/>
      <c r="I3891" s="12"/>
      <c r="J3891" s="12" t="s">
        <v>68</v>
      </c>
      <c r="K3891" s="12"/>
      <c r="L3891" s="12"/>
      <c r="M3891" s="12" t="s">
        <v>3808</v>
      </c>
      <c r="N3891" s="12"/>
      <c r="O3891" s="12" t="s">
        <v>3809</v>
      </c>
      <c r="P3891" s="12" t="str">
        <f>HYPERLINK("https://ceds.ed.gov/cedselementdetails.aspx?termid=9902")</f>
        <v>https://ceds.ed.gov/cedselementdetails.aspx?termid=9902</v>
      </c>
      <c r="Q3891" s="12" t="str">
        <f>HYPERLINK("https://ceds.ed.gov/elementComment.aspx?elementName=Learning Goal Success Criteria &amp;elementID=9902", "Click here to submit comment")</f>
        <v>Click here to submit comment</v>
      </c>
    </row>
    <row r="3892" spans="1:17" ht="75" x14ac:dyDescent="0.25">
      <c r="A3892" s="12" t="s">
        <v>7327</v>
      </c>
      <c r="B3892" s="12" t="s">
        <v>7354</v>
      </c>
      <c r="C3892" s="12" t="s">
        <v>7355</v>
      </c>
      <c r="D3892" s="12" t="s">
        <v>7172</v>
      </c>
      <c r="E3892" s="12" t="s">
        <v>4024</v>
      </c>
      <c r="F3892" s="12" t="s">
        <v>4025</v>
      </c>
      <c r="G3892" s="12" t="s">
        <v>12</v>
      </c>
      <c r="H3892" s="12"/>
      <c r="I3892" s="12"/>
      <c r="J3892" s="12" t="s">
        <v>1533</v>
      </c>
      <c r="K3892" s="12"/>
      <c r="L3892" s="12" t="s">
        <v>4026</v>
      </c>
      <c r="M3892" s="12" t="s">
        <v>4027</v>
      </c>
      <c r="N3892" s="12"/>
      <c r="O3892" s="12" t="s">
        <v>4028</v>
      </c>
      <c r="P3892" s="12" t="str">
        <f>HYPERLINK("https://ceds.ed.gov/cedselementdetails.aspx?termid=9673")</f>
        <v>https://ceds.ed.gov/cedselementdetails.aspx?termid=9673</v>
      </c>
      <c r="Q3892" s="12" t="str">
        <f>HYPERLINK("https://ceds.ed.gov/elementComment.aspx?elementName=Learning Standard Document Creator &amp;elementID=9673", "Click here to submit comment")</f>
        <v>Click here to submit comment</v>
      </c>
    </row>
    <row r="3893" spans="1:17" ht="45" x14ac:dyDescent="0.25">
      <c r="A3893" s="12" t="s">
        <v>7327</v>
      </c>
      <c r="B3893" s="12" t="s">
        <v>7354</v>
      </c>
      <c r="C3893" s="12" t="s">
        <v>7355</v>
      </c>
      <c r="D3893" s="12" t="s">
        <v>7172</v>
      </c>
      <c r="E3893" s="12" t="s">
        <v>4029</v>
      </c>
      <c r="F3893" s="12" t="s">
        <v>4030</v>
      </c>
      <c r="G3893" s="12" t="s">
        <v>12</v>
      </c>
      <c r="H3893" s="12"/>
      <c r="I3893" s="12"/>
      <c r="J3893" s="12" t="s">
        <v>68</v>
      </c>
      <c r="K3893" s="12"/>
      <c r="L3893" s="12"/>
      <c r="M3893" s="12" t="s">
        <v>4031</v>
      </c>
      <c r="N3893" s="12"/>
      <c r="O3893" s="12" t="s">
        <v>4032</v>
      </c>
      <c r="P3893" s="12" t="str">
        <f>HYPERLINK("https://ceds.ed.gov/cedselementdetails.aspx?termid=9674")</f>
        <v>https://ceds.ed.gov/cedselementdetails.aspx?termid=9674</v>
      </c>
      <c r="Q3893" s="12" t="str">
        <f>HYPERLINK("https://ceds.ed.gov/elementComment.aspx?elementName=Learning Standard Document Description &amp;elementID=9674", "Click here to submit comment")</f>
        <v>Click here to submit comment</v>
      </c>
    </row>
    <row r="3894" spans="1:17" ht="45" x14ac:dyDescent="0.25">
      <c r="A3894" s="12" t="s">
        <v>7327</v>
      </c>
      <c r="B3894" s="12" t="s">
        <v>7354</v>
      </c>
      <c r="C3894" s="12" t="s">
        <v>7355</v>
      </c>
      <c r="D3894" s="12" t="s">
        <v>7172</v>
      </c>
      <c r="E3894" s="12" t="s">
        <v>4033</v>
      </c>
      <c r="F3894" s="12" t="s">
        <v>4034</v>
      </c>
      <c r="G3894" s="12" t="s">
        <v>12</v>
      </c>
      <c r="H3894" s="12" t="s">
        <v>827</v>
      </c>
      <c r="I3894" s="12"/>
      <c r="J3894" s="12" t="s">
        <v>68</v>
      </c>
      <c r="K3894" s="12"/>
      <c r="L3894" s="12"/>
      <c r="M3894" s="12" t="s">
        <v>4035</v>
      </c>
      <c r="N3894" s="12"/>
      <c r="O3894" s="12" t="s">
        <v>4036</v>
      </c>
      <c r="P3894" s="12" t="str">
        <f>HYPERLINK("https://ceds.ed.gov/cedselementdetails.aspx?termid=9670")</f>
        <v>https://ceds.ed.gov/cedselementdetails.aspx?termid=9670</v>
      </c>
      <c r="Q3894" s="12" t="str">
        <f>HYPERLINK("https://ceds.ed.gov/elementComment.aspx?elementName=Learning Standard Document Identifier URI &amp;elementID=9670", "Click here to submit comment")</f>
        <v>Click here to submit comment</v>
      </c>
    </row>
    <row r="3895" spans="1:17" ht="60" x14ac:dyDescent="0.25">
      <c r="A3895" s="12" t="s">
        <v>7327</v>
      </c>
      <c r="B3895" s="12" t="s">
        <v>7354</v>
      </c>
      <c r="C3895" s="12" t="s">
        <v>7355</v>
      </c>
      <c r="D3895" s="12" t="s">
        <v>7172</v>
      </c>
      <c r="E3895" s="12" t="s">
        <v>4037</v>
      </c>
      <c r="F3895" s="12" t="s">
        <v>4038</v>
      </c>
      <c r="G3895" s="12" t="s">
        <v>12</v>
      </c>
      <c r="H3895" s="12"/>
      <c r="I3895" s="12"/>
      <c r="J3895" s="12" t="s">
        <v>1533</v>
      </c>
      <c r="K3895" s="12"/>
      <c r="L3895" s="12"/>
      <c r="M3895" s="12" t="s">
        <v>4039</v>
      </c>
      <c r="N3895" s="12"/>
      <c r="O3895" s="12" t="s">
        <v>4040</v>
      </c>
      <c r="P3895" s="12" t="str">
        <f>HYPERLINK("https://ceds.ed.gov/cedselementdetails.aspx?termid=9676")</f>
        <v>https://ceds.ed.gov/cedselementdetails.aspx?termid=9676</v>
      </c>
      <c r="Q3895" s="12" t="str">
        <f>HYPERLINK("https://ceds.ed.gov/elementComment.aspx?elementName=Learning Standard Document Jurisdiction &amp;elementID=9676", "Click here to submit comment")</f>
        <v>Click here to submit comment</v>
      </c>
    </row>
    <row r="3896" spans="1:17" ht="90" x14ac:dyDescent="0.25">
      <c r="A3896" s="12" t="s">
        <v>7327</v>
      </c>
      <c r="B3896" s="12" t="s">
        <v>7354</v>
      </c>
      <c r="C3896" s="12" t="s">
        <v>7355</v>
      </c>
      <c r="D3896" s="12" t="s">
        <v>7172</v>
      </c>
      <c r="E3896" s="12" t="s">
        <v>4055</v>
      </c>
      <c r="F3896" s="12" t="s">
        <v>4056</v>
      </c>
      <c r="G3896" s="13" t="s">
        <v>7008</v>
      </c>
      <c r="H3896" s="12"/>
      <c r="I3896" s="12"/>
      <c r="J3896" s="12"/>
      <c r="K3896" s="12"/>
      <c r="L3896" s="12"/>
      <c r="M3896" s="12" t="s">
        <v>4057</v>
      </c>
      <c r="N3896" s="12"/>
      <c r="O3896" s="12" t="s">
        <v>4058</v>
      </c>
      <c r="P3896" s="12" t="str">
        <f>HYPERLINK("https://ceds.ed.gov/cedselementdetails.aspx?termid=9675")</f>
        <v>https://ceds.ed.gov/cedselementdetails.aspx?termid=9675</v>
      </c>
      <c r="Q3896" s="12" t="str">
        <f>HYPERLINK("https://ceds.ed.gov/elementComment.aspx?elementName=Learning Standard Document Publication Status &amp;elementID=9675", "Click here to submit comment")</f>
        <v>Click here to submit comment</v>
      </c>
    </row>
    <row r="3897" spans="1:17" ht="30" x14ac:dyDescent="0.25">
      <c r="A3897" s="12" t="s">
        <v>7327</v>
      </c>
      <c r="B3897" s="12" t="s">
        <v>7354</v>
      </c>
      <c r="C3897" s="12" t="s">
        <v>7355</v>
      </c>
      <c r="D3897" s="12" t="s">
        <v>7172</v>
      </c>
      <c r="E3897" s="12" t="s">
        <v>4071</v>
      </c>
      <c r="F3897" s="12" t="s">
        <v>4072</v>
      </c>
      <c r="G3897" s="12" t="s">
        <v>12</v>
      </c>
      <c r="H3897" s="12" t="s">
        <v>827</v>
      </c>
      <c r="I3897" s="12"/>
      <c r="J3897" s="12" t="s">
        <v>92</v>
      </c>
      <c r="K3897" s="12"/>
      <c r="L3897" s="12"/>
      <c r="M3897" s="12" t="s">
        <v>4073</v>
      </c>
      <c r="N3897" s="12"/>
      <c r="O3897" s="12" t="s">
        <v>4074</v>
      </c>
      <c r="P3897" s="12" t="str">
        <f>HYPERLINK("https://ceds.ed.gov/cedselementdetails.aspx?termid=9679")</f>
        <v>https://ceds.ed.gov/cedselementdetails.aspx?termid=9679</v>
      </c>
      <c r="Q3897" s="12" t="str">
        <f>HYPERLINK("https://ceds.ed.gov/elementComment.aspx?elementName=Learning Standard Document Subject &amp;elementID=9679", "Click here to submit comment")</f>
        <v>Click here to submit comment</v>
      </c>
    </row>
    <row r="3898" spans="1:17" ht="30" x14ac:dyDescent="0.25">
      <c r="A3898" s="12" t="s">
        <v>7327</v>
      </c>
      <c r="B3898" s="12" t="s">
        <v>7354</v>
      </c>
      <c r="C3898" s="12" t="s">
        <v>7355</v>
      </c>
      <c r="D3898" s="12" t="s">
        <v>7172</v>
      </c>
      <c r="E3898" s="12" t="s">
        <v>4075</v>
      </c>
      <c r="F3898" s="12" t="s">
        <v>4076</v>
      </c>
      <c r="G3898" s="12" t="s">
        <v>12</v>
      </c>
      <c r="H3898" s="12" t="s">
        <v>827</v>
      </c>
      <c r="I3898" s="12"/>
      <c r="J3898" s="12" t="s">
        <v>1533</v>
      </c>
      <c r="K3898" s="12"/>
      <c r="L3898" s="12"/>
      <c r="M3898" s="12" t="s">
        <v>4077</v>
      </c>
      <c r="N3898" s="12"/>
      <c r="O3898" s="12" t="s">
        <v>4078</v>
      </c>
      <c r="P3898" s="12" t="str">
        <f>HYPERLINK("https://ceds.ed.gov/cedselementdetails.aspx?termid=9671")</f>
        <v>https://ceds.ed.gov/cedselementdetails.aspx?termid=9671</v>
      </c>
      <c r="Q3898" s="12" t="str">
        <f>HYPERLINK("https://ceds.ed.gov/elementComment.aspx?elementName=Learning Standard Document Title &amp;elementID=9671", "Click here to submit comment")</f>
        <v>Click here to submit comment</v>
      </c>
    </row>
    <row r="3899" spans="1:17" ht="60" x14ac:dyDescent="0.25">
      <c r="A3899" s="12" t="s">
        <v>7327</v>
      </c>
      <c r="B3899" s="12" t="s">
        <v>7354</v>
      </c>
      <c r="C3899" s="12" t="s">
        <v>7355</v>
      </c>
      <c r="D3899" s="12" t="s">
        <v>7172</v>
      </c>
      <c r="E3899" s="12" t="s">
        <v>4079</v>
      </c>
      <c r="F3899" s="12" t="s">
        <v>4080</v>
      </c>
      <c r="G3899" s="12" t="s">
        <v>12</v>
      </c>
      <c r="H3899" s="12"/>
      <c r="I3899" s="12"/>
      <c r="J3899" s="12" t="s">
        <v>73</v>
      </c>
      <c r="K3899" s="12"/>
      <c r="L3899" s="12"/>
      <c r="M3899" s="12" t="s">
        <v>4081</v>
      </c>
      <c r="N3899" s="12"/>
      <c r="O3899" s="12" t="s">
        <v>4082</v>
      </c>
      <c r="P3899" s="12" t="str">
        <f>HYPERLINK("https://ceds.ed.gov/cedselementdetails.aspx?termid=9678")</f>
        <v>https://ceds.ed.gov/cedselementdetails.aspx?termid=9678</v>
      </c>
      <c r="Q3899" s="12" t="str">
        <f>HYPERLINK("https://ceds.ed.gov/elementComment.aspx?elementName=Learning Standard Document Valid End Date &amp;elementID=9678", "Click here to submit comment")</f>
        <v>Click here to submit comment</v>
      </c>
    </row>
    <row r="3900" spans="1:17" ht="60" x14ac:dyDescent="0.25">
      <c r="A3900" s="12" t="s">
        <v>7327</v>
      </c>
      <c r="B3900" s="12" t="s">
        <v>7354</v>
      </c>
      <c r="C3900" s="12" t="s">
        <v>7355</v>
      </c>
      <c r="D3900" s="12" t="s">
        <v>7172</v>
      </c>
      <c r="E3900" s="12" t="s">
        <v>4083</v>
      </c>
      <c r="F3900" s="12" t="s">
        <v>4084</v>
      </c>
      <c r="G3900" s="12" t="s">
        <v>12</v>
      </c>
      <c r="H3900" s="12"/>
      <c r="I3900" s="12"/>
      <c r="J3900" s="12" t="s">
        <v>73</v>
      </c>
      <c r="K3900" s="12"/>
      <c r="L3900" s="12"/>
      <c r="M3900" s="12" t="s">
        <v>4085</v>
      </c>
      <c r="N3900" s="12"/>
      <c r="O3900" s="12" t="s">
        <v>4086</v>
      </c>
      <c r="P3900" s="12" t="str">
        <f>HYPERLINK("https://ceds.ed.gov/cedselementdetails.aspx?termid=9677")</f>
        <v>https://ceds.ed.gov/cedselementdetails.aspx?termid=9677</v>
      </c>
      <c r="Q3900" s="12" t="str">
        <f>HYPERLINK("https://ceds.ed.gov/elementComment.aspx?elementName=Learning Standard Document Valid Start Date &amp;elementID=9677", "Click here to submit comment")</f>
        <v>Click here to submit comment</v>
      </c>
    </row>
    <row r="3901" spans="1:17" ht="30" x14ac:dyDescent="0.25">
      <c r="A3901" s="12" t="s">
        <v>7327</v>
      </c>
      <c r="B3901" s="12" t="s">
        <v>7354</v>
      </c>
      <c r="C3901" s="12" t="s">
        <v>7355</v>
      </c>
      <c r="D3901" s="12" t="s">
        <v>7172</v>
      </c>
      <c r="E3901" s="12" t="s">
        <v>4087</v>
      </c>
      <c r="F3901" s="12" t="s">
        <v>4088</v>
      </c>
      <c r="G3901" s="12" t="s">
        <v>12</v>
      </c>
      <c r="H3901" s="12" t="s">
        <v>827</v>
      </c>
      <c r="I3901" s="12"/>
      <c r="J3901" s="12" t="s">
        <v>92</v>
      </c>
      <c r="K3901" s="12"/>
      <c r="L3901" s="12"/>
      <c r="M3901" s="12" t="s">
        <v>4089</v>
      </c>
      <c r="N3901" s="12"/>
      <c r="O3901" s="12" t="s">
        <v>4090</v>
      </c>
      <c r="P3901" s="12" t="str">
        <f>HYPERLINK("https://ceds.ed.gov/cedselementdetails.aspx?termid=9672")</f>
        <v>https://ceds.ed.gov/cedselementdetails.aspx?termid=9672</v>
      </c>
      <c r="Q3901" s="12" t="str">
        <f>HYPERLINK("https://ceds.ed.gov/elementComment.aspx?elementName=Learning Standard Document Version &amp;elementID=9672", "Click here to submit comment")</f>
        <v>Click here to submit comment</v>
      </c>
    </row>
    <row r="3902" spans="1:17" ht="90" x14ac:dyDescent="0.25">
      <c r="A3902" s="12" t="s">
        <v>7327</v>
      </c>
      <c r="B3902" s="12" t="s">
        <v>7354</v>
      </c>
      <c r="C3902" s="12" t="s">
        <v>7355</v>
      </c>
      <c r="D3902" s="12" t="s">
        <v>7172</v>
      </c>
      <c r="E3902" s="12" t="s">
        <v>4041</v>
      </c>
      <c r="F3902" s="12" t="s">
        <v>4042</v>
      </c>
      <c r="G3902" s="14" t="s">
        <v>999</v>
      </c>
      <c r="H3902" s="12"/>
      <c r="I3902" s="12" t="s">
        <v>98</v>
      </c>
      <c r="J3902" s="12"/>
      <c r="K3902" s="12"/>
      <c r="L3902" s="14" t="s">
        <v>1000</v>
      </c>
      <c r="M3902" s="12" t="s">
        <v>4043</v>
      </c>
      <c r="N3902" s="12"/>
      <c r="O3902" s="12" t="s">
        <v>4044</v>
      </c>
      <c r="P3902" s="12" t="str">
        <f>HYPERLINK("https://ceds.ed.gov/cedselementdetails.aspx?termid=9880")</f>
        <v>https://ceds.ed.gov/cedselementdetails.aspx?termid=9880</v>
      </c>
      <c r="Q3902" s="12" t="str">
        <f>HYPERLINK("https://ceds.ed.gov/elementComment.aspx?elementName=Learning Standard Document Language &amp;elementID=9880", "Click here to submit comment")</f>
        <v>Click here to submit comment</v>
      </c>
    </row>
    <row r="3903" spans="1:17" ht="45" x14ac:dyDescent="0.25">
      <c r="A3903" s="12" t="s">
        <v>7327</v>
      </c>
      <c r="B3903" s="12" t="s">
        <v>7354</v>
      </c>
      <c r="C3903" s="12" t="s">
        <v>7355</v>
      </c>
      <c r="D3903" s="12" t="s">
        <v>7172</v>
      </c>
      <c r="E3903" s="12" t="s">
        <v>4045</v>
      </c>
      <c r="F3903" s="12" t="s">
        <v>4046</v>
      </c>
      <c r="G3903" s="12" t="s">
        <v>12</v>
      </c>
      <c r="H3903" s="12"/>
      <c r="I3903" s="12"/>
      <c r="J3903" s="12" t="s">
        <v>68</v>
      </c>
      <c r="K3903" s="12"/>
      <c r="L3903" s="12"/>
      <c r="M3903" s="12" t="s">
        <v>4047</v>
      </c>
      <c r="N3903" s="12"/>
      <c r="O3903" s="12" t="s">
        <v>4048</v>
      </c>
      <c r="P3903" s="12" t="str">
        <f>HYPERLINK("https://ceds.ed.gov/cedselementdetails.aspx?termid=9882")</f>
        <v>https://ceds.ed.gov/cedselementdetails.aspx?termid=9882</v>
      </c>
      <c r="Q3903" s="12" t="str">
        <f>HYPERLINK("https://ceds.ed.gov/elementComment.aspx?elementName=Learning Standard Document License &amp;elementID=9882", "Click here to submit comment")</f>
        <v>Click here to submit comment</v>
      </c>
    </row>
    <row r="3904" spans="1:17" ht="30" x14ac:dyDescent="0.25">
      <c r="A3904" s="12" t="s">
        <v>7327</v>
      </c>
      <c r="B3904" s="12" t="s">
        <v>7354</v>
      </c>
      <c r="C3904" s="12" t="s">
        <v>7355</v>
      </c>
      <c r="D3904" s="12" t="s">
        <v>7172</v>
      </c>
      <c r="E3904" s="12" t="s">
        <v>4059</v>
      </c>
      <c r="F3904" s="12" t="s">
        <v>4060</v>
      </c>
      <c r="G3904" s="12" t="s">
        <v>12</v>
      </c>
      <c r="H3904" s="12"/>
      <c r="I3904" s="12"/>
      <c r="J3904" s="12" t="s">
        <v>92</v>
      </c>
      <c r="K3904" s="12"/>
      <c r="L3904" s="12"/>
      <c r="M3904" s="12" t="s">
        <v>4061</v>
      </c>
      <c r="N3904" s="12"/>
      <c r="O3904" s="12" t="s">
        <v>4062</v>
      </c>
      <c r="P3904" s="12" t="str">
        <f>HYPERLINK("https://ceds.ed.gov/cedselementdetails.aspx?termid=9884")</f>
        <v>https://ceds.ed.gov/cedselementdetails.aspx?termid=9884</v>
      </c>
      <c r="Q3904" s="12" t="str">
        <f>HYPERLINK("https://ceds.ed.gov/elementComment.aspx?elementName=Learning Standard Document Publisher &amp;elementID=9884", "Click here to submit comment")</f>
        <v>Click here to submit comment</v>
      </c>
    </row>
    <row r="3905" spans="1:17" ht="30" x14ac:dyDescent="0.25">
      <c r="A3905" s="12" t="s">
        <v>7327</v>
      </c>
      <c r="B3905" s="12" t="s">
        <v>7354</v>
      </c>
      <c r="C3905" s="12" t="s">
        <v>7355</v>
      </c>
      <c r="D3905" s="12" t="s">
        <v>7172</v>
      </c>
      <c r="E3905" s="12" t="s">
        <v>4063</v>
      </c>
      <c r="F3905" s="12" t="s">
        <v>4064</v>
      </c>
      <c r="G3905" s="12" t="s">
        <v>12</v>
      </c>
      <c r="H3905" s="12"/>
      <c r="I3905" s="12"/>
      <c r="J3905" s="12" t="s">
        <v>68</v>
      </c>
      <c r="K3905" s="12"/>
      <c r="L3905" s="12"/>
      <c r="M3905" s="12" t="s">
        <v>4065</v>
      </c>
      <c r="N3905" s="12"/>
      <c r="O3905" s="12" t="s">
        <v>4066</v>
      </c>
      <c r="P3905" s="12" t="str">
        <f>HYPERLINK("https://ceds.ed.gov/cedselementdetails.aspx?termid=9885")</f>
        <v>https://ceds.ed.gov/cedselementdetails.aspx?termid=9885</v>
      </c>
      <c r="Q3905" s="12" t="str">
        <f>HYPERLINK("https://ceds.ed.gov/elementComment.aspx?elementName=Learning Standard Document Rights &amp;elementID=9885", "Click here to submit comment")</f>
        <v>Click here to submit comment</v>
      </c>
    </row>
    <row r="3906" spans="1:17" ht="45" x14ac:dyDescent="0.25">
      <c r="A3906" s="12" t="s">
        <v>7327</v>
      </c>
      <c r="B3906" s="12" t="s">
        <v>7354</v>
      </c>
      <c r="C3906" s="12" t="s">
        <v>7355</v>
      </c>
      <c r="D3906" s="12" t="s">
        <v>7172</v>
      </c>
      <c r="E3906" s="12" t="s">
        <v>4067</v>
      </c>
      <c r="F3906" s="12" t="s">
        <v>4068</v>
      </c>
      <c r="G3906" s="12" t="s">
        <v>12</v>
      </c>
      <c r="H3906" s="12"/>
      <c r="I3906" s="12"/>
      <c r="J3906" s="12" t="s">
        <v>92</v>
      </c>
      <c r="K3906" s="12"/>
      <c r="L3906" s="12"/>
      <c r="M3906" s="12" t="s">
        <v>4069</v>
      </c>
      <c r="N3906" s="12"/>
      <c r="O3906" s="12" t="s">
        <v>4070</v>
      </c>
      <c r="P3906" s="12" t="str">
        <f>HYPERLINK("https://ceds.ed.gov/cedselementdetails.aspx?termid=9886")</f>
        <v>https://ceds.ed.gov/cedselementdetails.aspx?termid=9886</v>
      </c>
      <c r="Q3906" s="12" t="str">
        <f>HYPERLINK("https://ceds.ed.gov/elementComment.aspx?elementName=Learning Standard Document Rights Holder &amp;elementID=9886", "Click here to submit comment")</f>
        <v>Click here to submit comment</v>
      </c>
    </row>
    <row r="3907" spans="1:17" ht="60" x14ac:dyDescent="0.25">
      <c r="A3907" s="12" t="s">
        <v>7327</v>
      </c>
      <c r="B3907" s="12" t="s">
        <v>7354</v>
      </c>
      <c r="C3907" s="12" t="s">
        <v>7355</v>
      </c>
      <c r="D3907" s="12" t="s">
        <v>7172</v>
      </c>
      <c r="E3907" s="12" t="s">
        <v>4249</v>
      </c>
      <c r="F3907" s="12" t="s">
        <v>4250</v>
      </c>
      <c r="G3907" s="12" t="s">
        <v>12</v>
      </c>
      <c r="H3907" s="12"/>
      <c r="I3907" s="12"/>
      <c r="J3907" s="12" t="s">
        <v>73</v>
      </c>
      <c r="K3907" s="12"/>
      <c r="L3907" s="12" t="s">
        <v>4252</v>
      </c>
      <c r="M3907" s="12" t="s">
        <v>4253</v>
      </c>
      <c r="N3907" s="12"/>
      <c r="O3907" s="12" t="s">
        <v>4254</v>
      </c>
      <c r="P3907" s="12" t="str">
        <f>HYPERLINK("https://ceds.ed.gov/cedselementdetails.aspx?termid=10483")</f>
        <v>https://ceds.ed.gov/cedselementdetails.aspx?termid=10483</v>
      </c>
      <c r="Q3907" s="12" t="str">
        <f>HYPERLINK("https://ceds.ed.gov/elementComment.aspx?elementName=Learning Standard Item Valid End Date &amp;elementID=10483", "Click here to submit comment")</f>
        <v>Click here to submit comment</v>
      </c>
    </row>
    <row r="3908" spans="1:17" ht="45" x14ac:dyDescent="0.25">
      <c r="A3908" s="12" t="s">
        <v>7327</v>
      </c>
      <c r="B3908" s="12" t="s">
        <v>7354</v>
      </c>
      <c r="C3908" s="12" t="s">
        <v>7355</v>
      </c>
      <c r="D3908" s="12" t="s">
        <v>7172</v>
      </c>
      <c r="E3908" s="12" t="s">
        <v>4255</v>
      </c>
      <c r="F3908" s="12" t="s">
        <v>4256</v>
      </c>
      <c r="G3908" s="12" t="s">
        <v>12</v>
      </c>
      <c r="H3908" s="12"/>
      <c r="I3908" s="12"/>
      <c r="J3908" s="12" t="s">
        <v>73</v>
      </c>
      <c r="K3908" s="12"/>
      <c r="L3908" s="12"/>
      <c r="M3908" s="12" t="s">
        <v>4257</v>
      </c>
      <c r="N3908" s="12"/>
      <c r="O3908" s="12" t="s">
        <v>4258</v>
      </c>
      <c r="P3908" s="12" t="str">
        <f>HYPERLINK("https://ceds.ed.gov/cedselementdetails.aspx?termid=10484")</f>
        <v>https://ceds.ed.gov/cedselementdetails.aspx?termid=10484</v>
      </c>
      <c r="Q3908" s="12" t="str">
        <f>HYPERLINK("https://ceds.ed.gov/elementComment.aspx?elementName=Learning Standard Item Valid Start Date &amp;elementID=10484", "Click here to submit comment")</f>
        <v>Click here to submit comment</v>
      </c>
    </row>
    <row r="3909" spans="1:17" ht="135" x14ac:dyDescent="0.25">
      <c r="A3909" s="12" t="s">
        <v>7327</v>
      </c>
      <c r="B3909" s="12" t="s">
        <v>7354</v>
      </c>
      <c r="C3909" s="12" t="s">
        <v>7356</v>
      </c>
      <c r="D3909" s="12" t="s">
        <v>7172</v>
      </c>
      <c r="E3909" s="12" t="s">
        <v>3863</v>
      </c>
      <c r="F3909" s="12" t="s">
        <v>3864</v>
      </c>
      <c r="G3909" s="13" t="s">
        <v>6998</v>
      </c>
      <c r="H3909" s="12"/>
      <c r="I3909" s="12"/>
      <c r="J3909" s="12"/>
      <c r="K3909" s="12"/>
      <c r="L3909" s="12" t="s">
        <v>3865</v>
      </c>
      <c r="M3909" s="12" t="s">
        <v>3866</v>
      </c>
      <c r="N3909" s="12"/>
      <c r="O3909" s="12" t="s">
        <v>3867</v>
      </c>
      <c r="P3909" s="12" t="str">
        <f>HYPERLINK("https://ceds.ed.gov/cedselementdetails.aspx?termid=9879")</f>
        <v>https://ceds.ed.gov/cedselementdetails.aspx?termid=9879</v>
      </c>
      <c r="Q3909" s="12" t="str">
        <f>HYPERLINK("https://ceds.ed.gov/elementComment.aspx?elementName=Learning Resource Competency Alignment Type &amp;elementID=9879", "Click here to submit comment")</f>
        <v>Click here to submit comment</v>
      </c>
    </row>
    <row r="3910" spans="1:17" ht="90" x14ac:dyDescent="0.25">
      <c r="A3910" s="12" t="s">
        <v>7327</v>
      </c>
      <c r="B3910" s="12" t="s">
        <v>7354</v>
      </c>
      <c r="C3910" s="12" t="s">
        <v>7357</v>
      </c>
      <c r="D3910" s="12" t="s">
        <v>7172</v>
      </c>
      <c r="E3910" s="12" t="s">
        <v>4245</v>
      </c>
      <c r="F3910" s="12" t="s">
        <v>4246</v>
      </c>
      <c r="G3910" s="12" t="s">
        <v>12</v>
      </c>
      <c r="H3910" s="12"/>
      <c r="I3910" s="12"/>
      <c r="J3910" s="12" t="s">
        <v>68</v>
      </c>
      <c r="K3910" s="12"/>
      <c r="L3910" s="12" t="s">
        <v>144</v>
      </c>
      <c r="M3910" s="12" t="s">
        <v>4247</v>
      </c>
      <c r="N3910" s="12"/>
      <c r="O3910" s="12" t="s">
        <v>4248</v>
      </c>
      <c r="P3910" s="12" t="str">
        <f>HYPERLINK("https://ceds.ed.gov/cedselementdetails.aspx?termid=9874")</f>
        <v>https://ceds.ed.gov/cedselementdetails.aspx?termid=9874</v>
      </c>
      <c r="Q3910" s="12" t="str">
        <f>HYPERLINK("https://ceds.ed.gov/elementComment.aspx?elementName=Learning Standard Item URL &amp;elementID=9874", "Click here to submit comment")</f>
        <v>Click here to submit comment</v>
      </c>
    </row>
    <row r="3911" spans="1:17" ht="90" x14ac:dyDescent="0.25">
      <c r="A3911" s="12" t="s">
        <v>7327</v>
      </c>
      <c r="B3911" s="12" t="s">
        <v>7354</v>
      </c>
      <c r="C3911" s="12" t="s">
        <v>7357</v>
      </c>
      <c r="D3911" s="12" t="s">
        <v>7172</v>
      </c>
      <c r="E3911" s="12" t="s">
        <v>4132</v>
      </c>
      <c r="F3911" s="12" t="s">
        <v>4133</v>
      </c>
      <c r="G3911" s="12" t="s">
        <v>12</v>
      </c>
      <c r="H3911" s="12"/>
      <c r="I3911" s="12"/>
      <c r="J3911" s="12" t="s">
        <v>92</v>
      </c>
      <c r="K3911" s="12"/>
      <c r="L3911" s="12" t="s">
        <v>4134</v>
      </c>
      <c r="M3911" s="12" t="s">
        <v>4135</v>
      </c>
      <c r="N3911" s="12" t="s">
        <v>4136</v>
      </c>
      <c r="O3911" s="12" t="s">
        <v>4137</v>
      </c>
      <c r="P3911" s="12" t="str">
        <f>HYPERLINK("https://ceds.ed.gov/cedselementdetails.aspx?termid=9669")</f>
        <v>https://ceds.ed.gov/cedselementdetails.aspx?termid=9669</v>
      </c>
      <c r="Q3911" s="12" t="str">
        <f>HYPERLINK("https://ceds.ed.gov/elementComment.aspx?elementName=Learning Standard Item Code &amp;elementID=9669", "Click here to submit comment")</f>
        <v>Click here to submit comment</v>
      </c>
    </row>
    <row r="3912" spans="1:17" ht="409.5" x14ac:dyDescent="0.25">
      <c r="A3912" s="12" t="s">
        <v>7327</v>
      </c>
      <c r="B3912" s="12" t="s">
        <v>7354</v>
      </c>
      <c r="C3912" s="12" t="s">
        <v>7357</v>
      </c>
      <c r="D3912" s="12" t="s">
        <v>7172</v>
      </c>
      <c r="E3912" s="12" t="s">
        <v>4151</v>
      </c>
      <c r="F3912" s="12" t="s">
        <v>4152</v>
      </c>
      <c r="G3912" s="13" t="s">
        <v>6786</v>
      </c>
      <c r="H3912" s="12"/>
      <c r="I3912" s="12"/>
      <c r="J3912" s="12"/>
      <c r="K3912" s="12"/>
      <c r="L3912" s="12" t="s">
        <v>4153</v>
      </c>
      <c r="M3912" s="12" t="s">
        <v>4154</v>
      </c>
      <c r="N3912" s="12"/>
      <c r="O3912" s="12" t="s">
        <v>4155</v>
      </c>
      <c r="P3912" s="12" t="str">
        <f>HYPERLINK("https://ceds.ed.gov/cedselementdetails.aspx?termid=9701")</f>
        <v>https://ceds.ed.gov/cedselementdetails.aspx?termid=9701</v>
      </c>
      <c r="Q3912" s="12" t="str">
        <f>HYPERLINK("https://ceds.ed.gov/elementComment.aspx?elementName=Learning Standard Item Education Level &amp;elementID=9701", "Click here to submit comment")</f>
        <v>Click here to submit comment</v>
      </c>
    </row>
    <row r="3913" spans="1:17" ht="105" x14ac:dyDescent="0.25">
      <c r="A3913" s="18" t="s">
        <v>7327</v>
      </c>
      <c r="B3913" s="18" t="s">
        <v>7354</v>
      </c>
      <c r="C3913" s="18" t="s">
        <v>7357</v>
      </c>
      <c r="D3913" s="18" t="s">
        <v>7172</v>
      </c>
      <c r="E3913" s="18" t="s">
        <v>4156</v>
      </c>
      <c r="F3913" s="18" t="s">
        <v>4157</v>
      </c>
      <c r="G3913" s="18" t="s">
        <v>12</v>
      </c>
      <c r="H3913" s="18" t="s">
        <v>827</v>
      </c>
      <c r="I3913" s="18"/>
      <c r="J3913" s="18" t="s">
        <v>142</v>
      </c>
      <c r="K3913" s="18"/>
      <c r="L3913" s="12" t="s">
        <v>143</v>
      </c>
      <c r="M3913" s="18" t="s">
        <v>4158</v>
      </c>
      <c r="N3913" s="18" t="s">
        <v>4159</v>
      </c>
      <c r="O3913" s="18" t="s">
        <v>4160</v>
      </c>
      <c r="P3913" s="18" t="str">
        <f>HYPERLINK("https://ceds.ed.gov/cedselementdetails.aspx?termid=9666")</f>
        <v>https://ceds.ed.gov/cedselementdetails.aspx?termid=9666</v>
      </c>
      <c r="Q3913" s="18" t="str">
        <f>HYPERLINK("https://ceds.ed.gov/elementComment.aspx?elementName=Learning Standard Item Identifier &amp;elementID=9666", "Click here to submit comment")</f>
        <v>Click here to submit comment</v>
      </c>
    </row>
    <row r="3914" spans="1:17" x14ac:dyDescent="0.25">
      <c r="A3914" s="18"/>
      <c r="B3914" s="18"/>
      <c r="C3914" s="18"/>
      <c r="D3914" s="18"/>
      <c r="E3914" s="18"/>
      <c r="F3914" s="18"/>
      <c r="G3914" s="18"/>
      <c r="H3914" s="18"/>
      <c r="I3914" s="18"/>
      <c r="J3914" s="18"/>
      <c r="K3914" s="18"/>
      <c r="L3914" s="12"/>
      <c r="M3914" s="18"/>
      <c r="N3914" s="18"/>
      <c r="O3914" s="18"/>
      <c r="P3914" s="18"/>
      <c r="Q3914" s="18"/>
    </row>
    <row r="3915" spans="1:17" ht="90" x14ac:dyDescent="0.25">
      <c r="A3915" s="18"/>
      <c r="B3915" s="18"/>
      <c r="C3915" s="18"/>
      <c r="D3915" s="18"/>
      <c r="E3915" s="18"/>
      <c r="F3915" s="18"/>
      <c r="G3915" s="18"/>
      <c r="H3915" s="18"/>
      <c r="I3915" s="18"/>
      <c r="J3915" s="18"/>
      <c r="K3915" s="18"/>
      <c r="L3915" s="12" t="s">
        <v>144</v>
      </c>
      <c r="M3915" s="18"/>
      <c r="N3915" s="18"/>
      <c r="O3915" s="18"/>
      <c r="P3915" s="18"/>
      <c r="Q3915" s="18"/>
    </row>
    <row r="3916" spans="1:17" ht="105" x14ac:dyDescent="0.25">
      <c r="A3916" s="18" t="s">
        <v>7327</v>
      </c>
      <c r="B3916" s="18" t="s">
        <v>7354</v>
      </c>
      <c r="C3916" s="18" t="s">
        <v>7357</v>
      </c>
      <c r="D3916" s="18" t="s">
        <v>7172</v>
      </c>
      <c r="E3916" s="18" t="s">
        <v>4198</v>
      </c>
      <c r="F3916" s="18" t="s">
        <v>4199</v>
      </c>
      <c r="G3916" s="18" t="s">
        <v>12</v>
      </c>
      <c r="H3916" s="18" t="s">
        <v>827</v>
      </c>
      <c r="I3916" s="18"/>
      <c r="J3916" s="18" t="s">
        <v>142</v>
      </c>
      <c r="K3916" s="18"/>
      <c r="L3916" s="12" t="s">
        <v>4200</v>
      </c>
      <c r="M3916" s="18" t="s">
        <v>4201</v>
      </c>
      <c r="N3916" s="18"/>
      <c r="O3916" s="18" t="s">
        <v>4202</v>
      </c>
      <c r="P3916" s="18" t="str">
        <f>HYPERLINK("https://ceds.ed.gov/cedselementdetails.aspx?termid=9691")</f>
        <v>https://ceds.ed.gov/cedselementdetails.aspx?termid=9691</v>
      </c>
      <c r="Q3916" s="18" t="str">
        <f>HYPERLINK("https://ceds.ed.gov/elementComment.aspx?elementName=Learning Standard Item Prerequisite Identifier &amp;elementID=9691", "Click here to submit comment")</f>
        <v>Click here to submit comment</v>
      </c>
    </row>
    <row r="3917" spans="1:17" x14ac:dyDescent="0.25">
      <c r="A3917" s="18"/>
      <c r="B3917" s="18"/>
      <c r="C3917" s="18"/>
      <c r="D3917" s="18"/>
      <c r="E3917" s="18"/>
      <c r="F3917" s="18"/>
      <c r="G3917" s="18"/>
      <c r="H3917" s="18"/>
      <c r="I3917" s="18"/>
      <c r="J3917" s="18"/>
      <c r="K3917" s="18"/>
      <c r="L3917" s="12"/>
      <c r="M3917" s="18"/>
      <c r="N3917" s="18"/>
      <c r="O3917" s="18"/>
      <c r="P3917" s="18"/>
      <c r="Q3917" s="18"/>
    </row>
    <row r="3918" spans="1:17" x14ac:dyDescent="0.25">
      <c r="A3918" s="18"/>
      <c r="B3918" s="18"/>
      <c r="C3918" s="18"/>
      <c r="D3918" s="18"/>
      <c r="E3918" s="18"/>
      <c r="F3918" s="18"/>
      <c r="G3918" s="18"/>
      <c r="H3918" s="18"/>
      <c r="I3918" s="18"/>
      <c r="J3918" s="18"/>
      <c r="K3918" s="18"/>
      <c r="L3918" s="12"/>
      <c r="M3918" s="18"/>
      <c r="N3918" s="18"/>
      <c r="O3918" s="18"/>
      <c r="P3918" s="18"/>
      <c r="Q3918" s="18"/>
    </row>
    <row r="3919" spans="1:17" x14ac:dyDescent="0.25">
      <c r="A3919" s="18"/>
      <c r="B3919" s="18"/>
      <c r="C3919" s="18"/>
      <c r="D3919" s="18"/>
      <c r="E3919" s="18"/>
      <c r="F3919" s="18"/>
      <c r="G3919" s="18"/>
      <c r="H3919" s="18"/>
      <c r="I3919" s="18"/>
      <c r="J3919" s="18"/>
      <c r="K3919" s="18"/>
      <c r="L3919" s="12"/>
      <c r="M3919" s="18"/>
      <c r="N3919" s="18"/>
      <c r="O3919" s="18"/>
      <c r="P3919" s="18"/>
      <c r="Q3919" s="18"/>
    </row>
    <row r="3920" spans="1:17" ht="105" x14ac:dyDescent="0.25">
      <c r="A3920" s="18"/>
      <c r="B3920" s="18"/>
      <c r="C3920" s="18"/>
      <c r="D3920" s="18"/>
      <c r="E3920" s="18"/>
      <c r="F3920" s="18"/>
      <c r="G3920" s="18"/>
      <c r="H3920" s="18"/>
      <c r="I3920" s="18"/>
      <c r="J3920" s="18"/>
      <c r="K3920" s="18"/>
      <c r="L3920" s="12" t="s">
        <v>143</v>
      </c>
      <c r="M3920" s="18"/>
      <c r="N3920" s="18"/>
      <c r="O3920" s="18"/>
      <c r="P3920" s="18"/>
      <c r="Q3920" s="18"/>
    </row>
    <row r="3921" spans="1:17" x14ac:dyDescent="0.25">
      <c r="A3921" s="18"/>
      <c r="B3921" s="18"/>
      <c r="C3921" s="18"/>
      <c r="D3921" s="18"/>
      <c r="E3921" s="18"/>
      <c r="F3921" s="18"/>
      <c r="G3921" s="18"/>
      <c r="H3921" s="18"/>
      <c r="I3921" s="18"/>
      <c r="J3921" s="18"/>
      <c r="K3921" s="18"/>
      <c r="L3921" s="12"/>
      <c r="M3921" s="18"/>
      <c r="N3921" s="18"/>
      <c r="O3921" s="18"/>
      <c r="P3921" s="18"/>
      <c r="Q3921" s="18"/>
    </row>
    <row r="3922" spans="1:17" x14ac:dyDescent="0.25">
      <c r="A3922" s="18"/>
      <c r="B3922" s="18"/>
      <c r="C3922" s="18"/>
      <c r="D3922" s="18"/>
      <c r="E3922" s="18"/>
      <c r="F3922" s="18"/>
      <c r="G3922" s="18"/>
      <c r="H3922" s="18"/>
      <c r="I3922" s="18"/>
      <c r="J3922" s="18"/>
      <c r="K3922" s="18"/>
      <c r="L3922" s="12"/>
      <c r="M3922" s="18"/>
      <c r="N3922" s="18"/>
      <c r="O3922" s="18"/>
      <c r="P3922" s="18"/>
      <c r="Q3922" s="18"/>
    </row>
    <row r="3923" spans="1:17" x14ac:dyDescent="0.25">
      <c r="A3923" s="18"/>
      <c r="B3923" s="18"/>
      <c r="C3923" s="18"/>
      <c r="D3923" s="18"/>
      <c r="E3923" s="18"/>
      <c r="F3923" s="18"/>
      <c r="G3923" s="18"/>
      <c r="H3923" s="18"/>
      <c r="I3923" s="18"/>
      <c r="J3923" s="18"/>
      <c r="K3923" s="18"/>
      <c r="L3923" s="12"/>
      <c r="M3923" s="18"/>
      <c r="N3923" s="18"/>
      <c r="O3923" s="18"/>
      <c r="P3923" s="18"/>
      <c r="Q3923" s="18"/>
    </row>
    <row r="3924" spans="1:17" ht="90" x14ac:dyDescent="0.25">
      <c r="A3924" s="18"/>
      <c r="B3924" s="18"/>
      <c r="C3924" s="18"/>
      <c r="D3924" s="18"/>
      <c r="E3924" s="18"/>
      <c r="F3924" s="18"/>
      <c r="G3924" s="18"/>
      <c r="H3924" s="18"/>
      <c r="I3924" s="18"/>
      <c r="J3924" s="18"/>
      <c r="K3924" s="18"/>
      <c r="L3924" s="12" t="s">
        <v>144</v>
      </c>
      <c r="M3924" s="18"/>
      <c r="N3924" s="18"/>
      <c r="O3924" s="18"/>
      <c r="P3924" s="18"/>
      <c r="Q3924" s="18"/>
    </row>
    <row r="3925" spans="1:17" ht="225" x14ac:dyDescent="0.25">
      <c r="A3925" s="12" t="s">
        <v>7327</v>
      </c>
      <c r="B3925" s="12" t="s">
        <v>7354</v>
      </c>
      <c r="C3925" s="12" t="s">
        <v>7357</v>
      </c>
      <c r="D3925" s="12" t="s">
        <v>7172</v>
      </c>
      <c r="E3925" s="12" t="s">
        <v>4213</v>
      </c>
      <c r="F3925" s="12" t="s">
        <v>4214</v>
      </c>
      <c r="G3925" s="12" t="s">
        <v>12</v>
      </c>
      <c r="H3925" s="12" t="s">
        <v>827</v>
      </c>
      <c r="I3925" s="12"/>
      <c r="J3925" s="12" t="s">
        <v>327</v>
      </c>
      <c r="K3925" s="12"/>
      <c r="L3925" s="12" t="s">
        <v>4215</v>
      </c>
      <c r="M3925" s="12" t="s">
        <v>4216</v>
      </c>
      <c r="N3925" s="12" t="s">
        <v>4217</v>
      </c>
      <c r="O3925" s="12" t="s">
        <v>4218</v>
      </c>
      <c r="P3925" s="12" t="str">
        <f>HYPERLINK("https://ceds.ed.gov/cedselementdetails.aspx?termid=9667")</f>
        <v>https://ceds.ed.gov/cedselementdetails.aspx?termid=9667</v>
      </c>
      <c r="Q3925" s="12" t="str">
        <f>HYPERLINK("https://ceds.ed.gov/elementComment.aspx?elementName=Learning Standard Item Statement &amp;elementID=9667", "Click here to submit comment")</f>
        <v>Click here to submit comment</v>
      </c>
    </row>
    <row r="3926" spans="1:17" ht="75" x14ac:dyDescent="0.25">
      <c r="A3926" s="12" t="s">
        <v>7327</v>
      </c>
      <c r="B3926" s="12" t="s">
        <v>7354</v>
      </c>
      <c r="C3926" s="12" t="s">
        <v>7357</v>
      </c>
      <c r="D3926" s="12" t="s">
        <v>7172</v>
      </c>
      <c r="E3926" s="12" t="s">
        <v>4235</v>
      </c>
      <c r="F3926" s="12" t="s">
        <v>4236</v>
      </c>
      <c r="G3926" s="12" t="s">
        <v>12</v>
      </c>
      <c r="H3926" s="12" t="s">
        <v>827</v>
      </c>
      <c r="I3926" s="12"/>
      <c r="J3926" s="12" t="s">
        <v>99</v>
      </c>
      <c r="K3926" s="12"/>
      <c r="L3926" s="12"/>
      <c r="M3926" s="12" t="s">
        <v>4237</v>
      </c>
      <c r="N3926" s="12" t="s">
        <v>4238</v>
      </c>
      <c r="O3926" s="12" t="s">
        <v>4239</v>
      </c>
      <c r="P3926" s="12" t="str">
        <f>HYPERLINK("https://ceds.ed.gov/cedselementdetails.aspx?termid=9668")</f>
        <v>https://ceds.ed.gov/cedselementdetails.aspx?termid=9668</v>
      </c>
      <c r="Q3926" s="12" t="str">
        <f>HYPERLINK("https://ceds.ed.gov/elementComment.aspx?elementName=Learning Standard Item Type &amp;elementID=9668", "Click here to submit comment")</f>
        <v>Click here to submit comment</v>
      </c>
    </row>
    <row r="3927" spans="1:17" ht="240" x14ac:dyDescent="0.25">
      <c r="A3927" s="18" t="s">
        <v>7327</v>
      </c>
      <c r="B3927" s="18" t="s">
        <v>7354</v>
      </c>
      <c r="C3927" s="18" t="s">
        <v>7357</v>
      </c>
      <c r="D3927" s="18" t="s">
        <v>7172</v>
      </c>
      <c r="E3927" s="18" t="s">
        <v>4203</v>
      </c>
      <c r="F3927" s="18" t="s">
        <v>4204</v>
      </c>
      <c r="G3927" s="18" t="s">
        <v>12</v>
      </c>
      <c r="H3927" s="18"/>
      <c r="I3927" s="18"/>
      <c r="J3927" s="18" t="s">
        <v>142</v>
      </c>
      <c r="K3927" s="18"/>
      <c r="L3927" s="12" t="s">
        <v>4148</v>
      </c>
      <c r="M3927" s="18" t="s">
        <v>4205</v>
      </c>
      <c r="N3927" s="18"/>
      <c r="O3927" s="18" t="s">
        <v>4206</v>
      </c>
      <c r="P3927" s="18" t="str">
        <f>HYPERLINK("https://ceds.ed.gov/cedselementdetails.aspx?termid=10498")</f>
        <v>https://ceds.ed.gov/cedselementdetails.aspx?termid=10498</v>
      </c>
      <c r="Q3927" s="18" t="str">
        <f>HYPERLINK("https://ceds.ed.gov/elementComment.aspx?elementName=Learning Standard Item Previous Version Identifier &amp;elementID=10498", "Click here to submit comment")</f>
        <v>Click here to submit comment</v>
      </c>
    </row>
    <row r="3928" spans="1:17" x14ac:dyDescent="0.25">
      <c r="A3928" s="18"/>
      <c r="B3928" s="18"/>
      <c r="C3928" s="18"/>
      <c r="D3928" s="18"/>
      <c r="E3928" s="18"/>
      <c r="F3928" s="18"/>
      <c r="G3928" s="18"/>
      <c r="H3928" s="18"/>
      <c r="I3928" s="18"/>
      <c r="J3928" s="18"/>
      <c r="K3928" s="18"/>
      <c r="L3928" s="12"/>
      <c r="M3928" s="18"/>
      <c r="N3928" s="18"/>
      <c r="O3928" s="18"/>
      <c r="P3928" s="18"/>
      <c r="Q3928" s="18"/>
    </row>
    <row r="3929" spans="1:17" x14ac:dyDescent="0.25">
      <c r="A3929" s="18"/>
      <c r="B3929" s="18"/>
      <c r="C3929" s="18"/>
      <c r="D3929" s="18"/>
      <c r="E3929" s="18"/>
      <c r="F3929" s="18"/>
      <c r="G3929" s="18"/>
      <c r="H3929" s="18"/>
      <c r="I3929" s="18"/>
      <c r="J3929" s="18"/>
      <c r="K3929" s="18"/>
      <c r="L3929" s="12"/>
      <c r="M3929" s="18"/>
      <c r="N3929" s="18"/>
      <c r="O3929" s="18"/>
      <c r="P3929" s="18"/>
      <c r="Q3929" s="18"/>
    </row>
    <row r="3930" spans="1:17" ht="105" x14ac:dyDescent="0.25">
      <c r="A3930" s="18"/>
      <c r="B3930" s="18"/>
      <c r="C3930" s="18"/>
      <c r="D3930" s="18"/>
      <c r="E3930" s="18"/>
      <c r="F3930" s="18"/>
      <c r="G3930" s="18"/>
      <c r="H3930" s="18"/>
      <c r="I3930" s="18"/>
      <c r="J3930" s="18"/>
      <c r="K3930" s="18"/>
      <c r="L3930" s="12" t="s">
        <v>143</v>
      </c>
      <c r="M3930" s="18"/>
      <c r="N3930" s="18"/>
      <c r="O3930" s="18"/>
      <c r="P3930" s="18"/>
      <c r="Q3930" s="18"/>
    </row>
    <row r="3931" spans="1:17" x14ac:dyDescent="0.25">
      <c r="A3931" s="18"/>
      <c r="B3931" s="18"/>
      <c r="C3931" s="18"/>
      <c r="D3931" s="18"/>
      <c r="E3931" s="18"/>
      <c r="F3931" s="18"/>
      <c r="G3931" s="18"/>
      <c r="H3931" s="18"/>
      <c r="I3931" s="18"/>
      <c r="J3931" s="18"/>
      <c r="K3931" s="18"/>
      <c r="L3931" s="12"/>
      <c r="M3931" s="18"/>
      <c r="N3931" s="18"/>
      <c r="O3931" s="18"/>
      <c r="P3931" s="18"/>
      <c r="Q3931" s="18"/>
    </row>
    <row r="3932" spans="1:17" x14ac:dyDescent="0.25">
      <c r="A3932" s="18"/>
      <c r="B3932" s="18"/>
      <c r="C3932" s="18"/>
      <c r="D3932" s="18"/>
      <c r="E3932" s="18"/>
      <c r="F3932" s="18"/>
      <c r="G3932" s="18"/>
      <c r="H3932" s="18"/>
      <c r="I3932" s="18"/>
      <c r="J3932" s="18"/>
      <c r="K3932" s="18"/>
      <c r="L3932" s="12"/>
      <c r="M3932" s="18"/>
      <c r="N3932" s="18"/>
      <c r="O3932" s="18"/>
      <c r="P3932" s="18"/>
      <c r="Q3932" s="18"/>
    </row>
    <row r="3933" spans="1:17" ht="90" x14ac:dyDescent="0.25">
      <c r="A3933" s="18"/>
      <c r="B3933" s="18"/>
      <c r="C3933" s="18"/>
      <c r="D3933" s="18"/>
      <c r="E3933" s="18"/>
      <c r="F3933" s="18"/>
      <c r="G3933" s="18"/>
      <c r="H3933" s="18"/>
      <c r="I3933" s="18"/>
      <c r="J3933" s="18"/>
      <c r="K3933" s="18"/>
      <c r="L3933" s="12" t="s">
        <v>144</v>
      </c>
      <c r="M3933" s="18"/>
      <c r="N3933" s="18"/>
      <c r="O3933" s="18"/>
      <c r="P3933" s="18"/>
      <c r="Q3933" s="18"/>
    </row>
    <row r="3934" spans="1:17" ht="60" x14ac:dyDescent="0.25">
      <c r="A3934" s="12" t="s">
        <v>7327</v>
      </c>
      <c r="B3934" s="12" t="s">
        <v>7354</v>
      </c>
      <c r="C3934" s="12" t="s">
        <v>7357</v>
      </c>
      <c r="D3934" s="12" t="s">
        <v>7172</v>
      </c>
      <c r="E3934" s="12" t="s">
        <v>4128</v>
      </c>
      <c r="F3934" s="12" t="s">
        <v>4129</v>
      </c>
      <c r="G3934" s="13" t="s">
        <v>7010</v>
      </c>
      <c r="H3934" s="12"/>
      <c r="I3934" s="12"/>
      <c r="J3934" s="12"/>
      <c r="K3934" s="12"/>
      <c r="L3934" s="12"/>
      <c r="M3934" s="12" t="s">
        <v>4130</v>
      </c>
      <c r="N3934" s="12"/>
      <c r="O3934" s="12" t="s">
        <v>4131</v>
      </c>
      <c r="P3934" s="12" t="str">
        <f>HYPERLINK("https://ceds.ed.gov/cedselementdetails.aspx?termid=9875")</f>
        <v>https://ceds.ed.gov/cedselementdetails.aspx?termid=9875</v>
      </c>
      <c r="Q3934" s="12" t="str">
        <f>HYPERLINK("https://ceds.ed.gov/elementComment.aspx?elementName=Learning Standard Item Blooms Taxonomy Domain &amp;elementID=9875", "Click here to submit comment")</f>
        <v>Click here to submit comment</v>
      </c>
    </row>
    <row r="3935" spans="1:17" ht="45" x14ac:dyDescent="0.25">
      <c r="A3935" s="12" t="s">
        <v>7327</v>
      </c>
      <c r="B3935" s="12" t="s">
        <v>7354</v>
      </c>
      <c r="C3935" s="12" t="s">
        <v>7357</v>
      </c>
      <c r="D3935" s="12" t="s">
        <v>7172</v>
      </c>
      <c r="E3935" s="12" t="s">
        <v>4138</v>
      </c>
      <c r="F3935" s="12" t="s">
        <v>4139</v>
      </c>
      <c r="G3935" s="12" t="s">
        <v>12</v>
      </c>
      <c r="H3935" s="12"/>
      <c r="I3935" s="12"/>
      <c r="J3935" s="12" t="s">
        <v>68</v>
      </c>
      <c r="K3935" s="12"/>
      <c r="L3935" s="12"/>
      <c r="M3935" s="12" t="s">
        <v>4140</v>
      </c>
      <c r="N3935" s="12"/>
      <c r="O3935" s="12" t="s">
        <v>4141</v>
      </c>
      <c r="P3935" s="12" t="str">
        <f>HYPERLINK("https://ceds.ed.gov/cedselementdetails.aspx?termid=9887")</f>
        <v>https://ceds.ed.gov/cedselementdetails.aspx?termid=9887</v>
      </c>
      <c r="Q3935" s="12" t="str">
        <f>HYPERLINK("https://ceds.ed.gov/elementComment.aspx?elementName=Learning Standard Item Concept Keyword &amp;elementID=9887", "Click here to submit comment")</f>
        <v>Click here to submit comment</v>
      </c>
    </row>
    <row r="3936" spans="1:17" ht="75" x14ac:dyDescent="0.25">
      <c r="A3936" s="12" t="s">
        <v>7327</v>
      </c>
      <c r="B3936" s="12" t="s">
        <v>7354</v>
      </c>
      <c r="C3936" s="12" t="s">
        <v>7357</v>
      </c>
      <c r="D3936" s="12" t="s">
        <v>7172</v>
      </c>
      <c r="E3936" s="12" t="s">
        <v>4142</v>
      </c>
      <c r="F3936" s="12" t="s">
        <v>4143</v>
      </c>
      <c r="G3936" s="12" t="s">
        <v>12</v>
      </c>
      <c r="H3936" s="12"/>
      <c r="I3936" s="12"/>
      <c r="J3936" s="12" t="s">
        <v>92</v>
      </c>
      <c r="K3936" s="12"/>
      <c r="L3936" s="12"/>
      <c r="M3936" s="12" t="s">
        <v>4144</v>
      </c>
      <c r="N3936" s="12"/>
      <c r="O3936" s="12" t="s">
        <v>4145</v>
      </c>
      <c r="P3936" s="12" t="str">
        <f>HYPERLINK("https://ceds.ed.gov/cedselementdetails.aspx?termid=9888")</f>
        <v>https://ceds.ed.gov/cedselementdetails.aspx?termid=9888</v>
      </c>
      <c r="Q3936" s="12" t="str">
        <f>HYPERLINK("https://ceds.ed.gov/elementComment.aspx?elementName=Learning Standard Item Concept Term &amp;elementID=9888", "Click here to submit comment")</f>
        <v>Click here to submit comment</v>
      </c>
    </row>
    <row r="3937" spans="1:17" ht="240" x14ac:dyDescent="0.25">
      <c r="A3937" s="12" t="s">
        <v>7327</v>
      </c>
      <c r="B3937" s="12" t="s">
        <v>7354</v>
      </c>
      <c r="C3937" s="12" t="s">
        <v>7357</v>
      </c>
      <c r="D3937" s="12" t="s">
        <v>7172</v>
      </c>
      <c r="E3937" s="12" t="s">
        <v>4146</v>
      </c>
      <c r="F3937" s="12" t="s">
        <v>4147</v>
      </c>
      <c r="G3937" s="12" t="s">
        <v>6364</v>
      </c>
      <c r="H3937" s="12"/>
      <c r="I3937" s="12"/>
      <c r="J3937" s="12"/>
      <c r="K3937" s="12"/>
      <c r="L3937" s="12" t="s">
        <v>4148</v>
      </c>
      <c r="M3937" s="12" t="s">
        <v>4149</v>
      </c>
      <c r="N3937" s="12"/>
      <c r="O3937" s="12" t="s">
        <v>4150</v>
      </c>
      <c r="P3937" s="12" t="str">
        <f>HYPERLINK("https://ceds.ed.gov/cedselementdetails.aspx?termid=10499")</f>
        <v>https://ceds.ed.gov/cedselementdetails.aspx?termid=10499</v>
      </c>
      <c r="Q3937" s="12" t="str">
        <f>HYPERLINK("https://ceds.ed.gov/elementComment.aspx?elementName=Learning Standard Item Current Version Indicator &amp;elementID=10499", "Click here to submit comment")</f>
        <v>Click here to submit comment</v>
      </c>
    </row>
    <row r="3938" spans="1:17" ht="90" x14ac:dyDescent="0.25">
      <c r="A3938" s="12" t="s">
        <v>7327</v>
      </c>
      <c r="B3938" s="12" t="s">
        <v>7354</v>
      </c>
      <c r="C3938" s="12" t="s">
        <v>7357</v>
      </c>
      <c r="D3938" s="12" t="s">
        <v>7172</v>
      </c>
      <c r="E3938" s="12" t="s">
        <v>4161</v>
      </c>
      <c r="F3938" s="12" t="s">
        <v>4162</v>
      </c>
      <c r="G3938" s="14" t="s">
        <v>999</v>
      </c>
      <c r="H3938" s="12"/>
      <c r="I3938" s="12" t="s">
        <v>98</v>
      </c>
      <c r="J3938" s="12"/>
      <c r="K3938" s="12"/>
      <c r="L3938" s="14" t="s">
        <v>1000</v>
      </c>
      <c r="M3938" s="12" t="s">
        <v>4163</v>
      </c>
      <c r="N3938" s="12"/>
      <c r="O3938" s="12" t="s">
        <v>4164</v>
      </c>
      <c r="P3938" s="12" t="str">
        <f>HYPERLINK("https://ceds.ed.gov/cedselementdetails.aspx?termid=9881")</f>
        <v>https://ceds.ed.gov/cedselementdetails.aspx?termid=9881</v>
      </c>
      <c r="Q3938" s="12" t="str">
        <f>HYPERLINK("https://ceds.ed.gov/elementComment.aspx?elementName=Learning Standard Item Language &amp;elementID=9881", "Click here to submit comment")</f>
        <v>Click here to submit comment</v>
      </c>
    </row>
    <row r="3939" spans="1:17" ht="60" x14ac:dyDescent="0.25">
      <c r="A3939" s="12" t="s">
        <v>7327</v>
      </c>
      <c r="B3939" s="12" t="s">
        <v>7354</v>
      </c>
      <c r="C3939" s="12" t="s">
        <v>7357</v>
      </c>
      <c r="D3939" s="12" t="s">
        <v>7172</v>
      </c>
      <c r="E3939" s="12" t="s">
        <v>4165</v>
      </c>
      <c r="F3939" s="12" t="s">
        <v>4166</v>
      </c>
      <c r="G3939" s="12" t="s">
        <v>12</v>
      </c>
      <c r="H3939" s="12"/>
      <c r="I3939" s="12"/>
      <c r="J3939" s="12" t="s">
        <v>68</v>
      </c>
      <c r="K3939" s="12"/>
      <c r="L3939" s="12"/>
      <c r="M3939" s="12" t="s">
        <v>4167</v>
      </c>
      <c r="N3939" s="12"/>
      <c r="O3939" s="12" t="s">
        <v>4168</v>
      </c>
      <c r="P3939" s="12" t="str">
        <f>HYPERLINK("https://ceds.ed.gov/cedselementdetails.aspx?termid=9883")</f>
        <v>https://ceds.ed.gov/cedselementdetails.aspx?termid=9883</v>
      </c>
      <c r="Q3939" s="12" t="str">
        <f>HYPERLINK("https://ceds.ed.gov/elementComment.aspx?elementName=Learning Standard Item License &amp;elementID=9883", "Click here to submit comment")</f>
        <v>Click here to submit comment</v>
      </c>
    </row>
    <row r="3940" spans="1:17" ht="150" x14ac:dyDescent="0.25">
      <c r="A3940" s="12" t="s">
        <v>7327</v>
      </c>
      <c r="B3940" s="12" t="s">
        <v>7354</v>
      </c>
      <c r="C3940" s="12" t="s">
        <v>7357</v>
      </c>
      <c r="D3940" s="12" t="s">
        <v>7172</v>
      </c>
      <c r="E3940" s="12" t="s">
        <v>4169</v>
      </c>
      <c r="F3940" s="12" t="s">
        <v>4170</v>
      </c>
      <c r="G3940" s="13" t="s">
        <v>7011</v>
      </c>
      <c r="H3940" s="12"/>
      <c r="I3940" s="12"/>
      <c r="J3940" s="12"/>
      <c r="K3940" s="12"/>
      <c r="L3940" s="12"/>
      <c r="M3940" s="12" t="s">
        <v>4171</v>
      </c>
      <c r="N3940" s="12"/>
      <c r="O3940" s="12" t="s">
        <v>4172</v>
      </c>
      <c r="P3940" s="12" t="str">
        <f>HYPERLINK("https://ceds.ed.gov/cedselementdetails.aspx?termid=9876")</f>
        <v>https://ceds.ed.gov/cedselementdetails.aspx?termid=9876</v>
      </c>
      <c r="Q3940" s="12" t="str">
        <f>HYPERLINK("https://ceds.ed.gov/elementComment.aspx?elementName=Learning Standard Item Multiple Intelligence &amp;elementID=9876", "Click here to submit comment")</f>
        <v>Click here to submit comment</v>
      </c>
    </row>
    <row r="3941" spans="1:17" ht="30" x14ac:dyDescent="0.25">
      <c r="A3941" s="12" t="s">
        <v>7327</v>
      </c>
      <c r="B3941" s="12" t="s">
        <v>7354</v>
      </c>
      <c r="C3941" s="12" t="s">
        <v>7357</v>
      </c>
      <c r="D3941" s="12" t="s">
        <v>7172</v>
      </c>
      <c r="E3941" s="12" t="s">
        <v>4182</v>
      </c>
      <c r="F3941" s="12" t="s">
        <v>4183</v>
      </c>
      <c r="G3941" s="12" t="s">
        <v>12</v>
      </c>
      <c r="H3941" s="12"/>
      <c r="I3941" s="12"/>
      <c r="J3941" s="12" t="s">
        <v>327</v>
      </c>
      <c r="K3941" s="12"/>
      <c r="L3941" s="12"/>
      <c r="M3941" s="12" t="s">
        <v>4184</v>
      </c>
      <c r="N3941" s="12"/>
      <c r="O3941" s="12" t="s">
        <v>4185</v>
      </c>
      <c r="P3941" s="12" t="str">
        <f>HYPERLINK("https://ceds.ed.gov/cedselementdetails.aspx?termid=10215")</f>
        <v>https://ceds.ed.gov/cedselementdetails.aspx?termid=10215</v>
      </c>
      <c r="Q3941" s="12" t="str">
        <f>HYPERLINK("https://ceds.ed.gov/elementComment.aspx?elementName=Learning Standard Item Notes &amp;elementID=10215", "Click here to submit comment")</f>
        <v>Click here to submit comment</v>
      </c>
    </row>
    <row r="3942" spans="1:17" ht="60" x14ac:dyDescent="0.25">
      <c r="A3942" s="12" t="s">
        <v>7327</v>
      </c>
      <c r="B3942" s="12" t="s">
        <v>7354</v>
      </c>
      <c r="C3942" s="12" t="s">
        <v>7357</v>
      </c>
      <c r="D3942" s="12" t="s">
        <v>7172</v>
      </c>
      <c r="E3942" s="12" t="s">
        <v>4186</v>
      </c>
      <c r="F3942" s="12" t="s">
        <v>4187</v>
      </c>
      <c r="G3942" s="12" t="s">
        <v>12</v>
      </c>
      <c r="H3942" s="12"/>
      <c r="I3942" s="12"/>
      <c r="J3942" s="12" t="s">
        <v>92</v>
      </c>
      <c r="K3942" s="12"/>
      <c r="L3942" s="12"/>
      <c r="M3942" s="12" t="s">
        <v>4188</v>
      </c>
      <c r="N3942" s="12"/>
      <c r="O3942" s="12" t="s">
        <v>4189</v>
      </c>
      <c r="P3942" s="12" t="str">
        <f>HYPERLINK("https://ceds.ed.gov/cedselementdetails.aspx?termid=9873")</f>
        <v>https://ceds.ed.gov/cedselementdetails.aspx?termid=9873</v>
      </c>
      <c r="Q3942" s="12" t="str">
        <f>HYPERLINK("https://ceds.ed.gov/elementComment.aspx?elementName=Learning Standard Item Parent Code &amp;elementID=9873", "Click here to submit comment")</f>
        <v>Click here to submit comment</v>
      </c>
    </row>
    <row r="3943" spans="1:17" ht="105" x14ac:dyDescent="0.25">
      <c r="A3943" s="18" t="s">
        <v>7327</v>
      </c>
      <c r="B3943" s="18" t="s">
        <v>7354</v>
      </c>
      <c r="C3943" s="18" t="s">
        <v>7357</v>
      </c>
      <c r="D3943" s="18" t="s">
        <v>7172</v>
      </c>
      <c r="E3943" s="18" t="s">
        <v>4190</v>
      </c>
      <c r="F3943" s="18" t="s">
        <v>4191</v>
      </c>
      <c r="G3943" s="18" t="s">
        <v>12</v>
      </c>
      <c r="H3943" s="18"/>
      <c r="I3943" s="18"/>
      <c r="J3943" s="18" t="s">
        <v>142</v>
      </c>
      <c r="K3943" s="18"/>
      <c r="L3943" s="12" t="s">
        <v>143</v>
      </c>
      <c r="M3943" s="18" t="s">
        <v>4192</v>
      </c>
      <c r="N3943" s="18"/>
      <c r="O3943" s="18" t="s">
        <v>4193</v>
      </c>
      <c r="P3943" s="18" t="str">
        <f>HYPERLINK("https://ceds.ed.gov/cedselementdetails.aspx?termid=9872")</f>
        <v>https://ceds.ed.gov/cedselementdetails.aspx?termid=9872</v>
      </c>
      <c r="Q3943" s="18" t="str">
        <f>HYPERLINK("https://ceds.ed.gov/elementComment.aspx?elementName=Learning Standard Item Parent Identifier &amp;elementID=9872", "Click here to submit comment")</f>
        <v>Click here to submit comment</v>
      </c>
    </row>
    <row r="3944" spans="1:17" x14ac:dyDescent="0.25">
      <c r="A3944" s="18"/>
      <c r="B3944" s="18"/>
      <c r="C3944" s="18"/>
      <c r="D3944" s="18"/>
      <c r="E3944" s="18"/>
      <c r="F3944" s="18"/>
      <c r="G3944" s="18"/>
      <c r="H3944" s="18"/>
      <c r="I3944" s="18"/>
      <c r="J3944" s="18"/>
      <c r="K3944" s="18"/>
      <c r="L3944" s="12"/>
      <c r="M3944" s="18"/>
      <c r="N3944" s="18"/>
      <c r="O3944" s="18"/>
      <c r="P3944" s="18"/>
      <c r="Q3944" s="18"/>
    </row>
    <row r="3945" spans="1:17" ht="90" x14ac:dyDescent="0.25">
      <c r="A3945" s="18"/>
      <c r="B3945" s="18"/>
      <c r="C3945" s="18"/>
      <c r="D3945" s="18"/>
      <c r="E3945" s="18"/>
      <c r="F3945" s="18"/>
      <c r="G3945" s="18"/>
      <c r="H3945" s="18"/>
      <c r="I3945" s="18"/>
      <c r="J3945" s="18"/>
      <c r="K3945" s="18"/>
      <c r="L3945" s="12" t="s">
        <v>144</v>
      </c>
      <c r="M3945" s="18"/>
      <c r="N3945" s="18"/>
      <c r="O3945" s="18"/>
      <c r="P3945" s="18"/>
      <c r="Q3945" s="18"/>
    </row>
    <row r="3946" spans="1:17" ht="75" x14ac:dyDescent="0.25">
      <c r="A3946" s="12" t="s">
        <v>7327</v>
      </c>
      <c r="B3946" s="12" t="s">
        <v>7354</v>
      </c>
      <c r="C3946" s="12" t="s">
        <v>7357</v>
      </c>
      <c r="D3946" s="12" t="s">
        <v>7172</v>
      </c>
      <c r="E3946" s="12" t="s">
        <v>4194</v>
      </c>
      <c r="F3946" s="12" t="s">
        <v>4195</v>
      </c>
      <c r="G3946" s="12" t="s">
        <v>12</v>
      </c>
      <c r="H3946" s="12"/>
      <c r="I3946" s="12"/>
      <c r="J3946" s="12" t="s">
        <v>68</v>
      </c>
      <c r="K3946" s="12"/>
      <c r="L3946" s="12"/>
      <c r="M3946" s="12" t="s">
        <v>4196</v>
      </c>
      <c r="N3946" s="12"/>
      <c r="O3946" s="12" t="s">
        <v>4197</v>
      </c>
      <c r="P3946" s="12" t="str">
        <f>HYPERLINK("https://ceds.ed.gov/cedselementdetails.aspx?termid=10078")</f>
        <v>https://ceds.ed.gov/cedselementdetails.aspx?termid=10078</v>
      </c>
      <c r="Q3946" s="12" t="str">
        <f>HYPERLINK("https://ceds.ed.gov/elementComment.aspx?elementName=Learning Standard Item Parent URL &amp;elementID=10078", "Click here to submit comment")</f>
        <v>Click here to submit comment</v>
      </c>
    </row>
    <row r="3947" spans="1:17" ht="75" x14ac:dyDescent="0.25">
      <c r="A3947" s="12" t="s">
        <v>7327</v>
      </c>
      <c r="B3947" s="12" t="s">
        <v>7354</v>
      </c>
      <c r="C3947" s="12" t="s">
        <v>7357</v>
      </c>
      <c r="D3947" s="12" t="s">
        <v>7172</v>
      </c>
      <c r="E3947" s="12" t="s">
        <v>4207</v>
      </c>
      <c r="F3947" s="12" t="s">
        <v>4208</v>
      </c>
      <c r="G3947" s="12" t="s">
        <v>12</v>
      </c>
      <c r="H3947" s="12"/>
      <c r="I3947" s="12"/>
      <c r="J3947" s="12" t="s">
        <v>99</v>
      </c>
      <c r="K3947" s="12"/>
      <c r="L3947" s="12" t="s">
        <v>4210</v>
      </c>
      <c r="M3947" s="12" t="s">
        <v>4211</v>
      </c>
      <c r="N3947" s="12"/>
      <c r="O3947" s="12" t="s">
        <v>4212</v>
      </c>
      <c r="P3947" s="12" t="str">
        <f>HYPERLINK("https://ceds.ed.gov/cedselementdetails.aspx?termid=10549")</f>
        <v>https://ceds.ed.gov/cedselementdetails.aspx?termid=10549</v>
      </c>
      <c r="Q3947" s="12" t="str">
        <f>HYPERLINK("https://ceds.ed.gov/elementComment.aspx?elementName=Learning Standard Item Sequence &amp;elementID=10549", "Click here to submit comment")</f>
        <v>Click here to submit comment</v>
      </c>
    </row>
    <row r="3948" spans="1:17" ht="75" x14ac:dyDescent="0.25">
      <c r="A3948" s="12" t="s">
        <v>7327</v>
      </c>
      <c r="B3948" s="12" t="s">
        <v>7354</v>
      </c>
      <c r="C3948" s="12" t="s">
        <v>7357</v>
      </c>
      <c r="D3948" s="12" t="s">
        <v>7172</v>
      </c>
      <c r="E3948" s="12" t="s">
        <v>4223</v>
      </c>
      <c r="F3948" s="12" t="s">
        <v>4224</v>
      </c>
      <c r="G3948" s="12" t="s">
        <v>12</v>
      </c>
      <c r="H3948" s="12"/>
      <c r="I3948" s="12"/>
      <c r="J3948" s="12" t="s">
        <v>157</v>
      </c>
      <c r="K3948" s="12"/>
      <c r="L3948" s="12"/>
      <c r="M3948" s="12" t="s">
        <v>4225</v>
      </c>
      <c r="N3948" s="12"/>
      <c r="O3948" s="12" t="s">
        <v>4226</v>
      </c>
      <c r="P3948" s="12" t="str">
        <f>HYPERLINK("https://ceds.ed.gov/cedselementdetails.aspx?termid=10115")</f>
        <v>https://ceds.ed.gov/cedselementdetails.aspx?termid=10115</v>
      </c>
      <c r="Q3948" s="12" t="str">
        <f>HYPERLINK("https://ceds.ed.gov/elementComment.aspx?elementName=Learning Standard Item Text Complexity Maximum Value &amp;elementID=10115", "Click here to submit comment")</f>
        <v>Click here to submit comment</v>
      </c>
    </row>
    <row r="3949" spans="1:17" ht="75" x14ac:dyDescent="0.25">
      <c r="A3949" s="12" t="s">
        <v>7327</v>
      </c>
      <c r="B3949" s="12" t="s">
        <v>7354</v>
      </c>
      <c r="C3949" s="12" t="s">
        <v>7357</v>
      </c>
      <c r="D3949" s="12" t="s">
        <v>7172</v>
      </c>
      <c r="E3949" s="12" t="s">
        <v>4227</v>
      </c>
      <c r="F3949" s="12" t="s">
        <v>4228</v>
      </c>
      <c r="G3949" s="12" t="s">
        <v>12</v>
      </c>
      <c r="H3949" s="12"/>
      <c r="I3949" s="12"/>
      <c r="J3949" s="12" t="s">
        <v>157</v>
      </c>
      <c r="K3949" s="12"/>
      <c r="L3949" s="12"/>
      <c r="M3949" s="12" t="s">
        <v>4229</v>
      </c>
      <c r="N3949" s="12"/>
      <c r="O3949" s="12" t="s">
        <v>4230</v>
      </c>
      <c r="P3949" s="12" t="str">
        <f>HYPERLINK("https://ceds.ed.gov/cedselementdetails.aspx?termid=10114")</f>
        <v>https://ceds.ed.gov/cedselementdetails.aspx?termid=10114</v>
      </c>
      <c r="Q3949" s="12" t="str">
        <f>HYPERLINK("https://ceds.ed.gov/elementComment.aspx?elementName=Learning Standard Item Text Complexity Minimum Value &amp;elementID=10114", "Click here to submit comment")</f>
        <v>Click here to submit comment</v>
      </c>
    </row>
    <row r="3950" spans="1:17" ht="45" x14ac:dyDescent="0.25">
      <c r="A3950" s="12" t="s">
        <v>7327</v>
      </c>
      <c r="B3950" s="12" t="s">
        <v>7354</v>
      </c>
      <c r="C3950" s="12" t="s">
        <v>7357</v>
      </c>
      <c r="D3950" s="12" t="s">
        <v>7172</v>
      </c>
      <c r="E3950" s="12" t="s">
        <v>4231</v>
      </c>
      <c r="F3950" s="12" t="s">
        <v>4232</v>
      </c>
      <c r="G3950" s="12" t="s">
        <v>12</v>
      </c>
      <c r="H3950" s="12"/>
      <c r="I3950" s="12"/>
      <c r="J3950" s="12" t="s">
        <v>92</v>
      </c>
      <c r="K3950" s="12"/>
      <c r="L3950" s="12"/>
      <c r="M3950" s="12" t="s">
        <v>4233</v>
      </c>
      <c r="N3950" s="12"/>
      <c r="O3950" s="12" t="s">
        <v>4234</v>
      </c>
      <c r="P3950" s="12" t="str">
        <f>HYPERLINK("https://ceds.ed.gov/cedselementdetails.aspx?termid=9910")</f>
        <v>https://ceds.ed.gov/cedselementdetails.aspx?termid=9910</v>
      </c>
      <c r="Q3950" s="12" t="str">
        <f>HYPERLINK("https://ceds.ed.gov/elementComment.aspx?elementName=Learning Standard Item Text Complexity System &amp;elementID=9910", "Click here to submit comment")</f>
        <v>Click here to submit comment</v>
      </c>
    </row>
    <row r="3951" spans="1:17" ht="30" x14ac:dyDescent="0.25">
      <c r="A3951" s="12" t="s">
        <v>7327</v>
      </c>
      <c r="B3951" s="12" t="s">
        <v>7354</v>
      </c>
      <c r="C3951" s="12" t="s">
        <v>7357</v>
      </c>
      <c r="D3951" s="12" t="s">
        <v>7172</v>
      </c>
      <c r="E3951" s="12" t="s">
        <v>4240</v>
      </c>
      <c r="F3951" s="12" t="s">
        <v>4241</v>
      </c>
      <c r="G3951" s="12" t="s">
        <v>12</v>
      </c>
      <c r="H3951" s="12"/>
      <c r="I3951" s="12"/>
      <c r="J3951" s="12" t="s">
        <v>1201</v>
      </c>
      <c r="K3951" s="12"/>
      <c r="L3951" s="12" t="s">
        <v>4242</v>
      </c>
      <c r="M3951" s="12" t="s">
        <v>4243</v>
      </c>
      <c r="N3951" s="12"/>
      <c r="O3951" s="12" t="s">
        <v>4244</v>
      </c>
      <c r="P3951" s="12" t="str">
        <f>HYPERLINK("https://ceds.ed.gov/cedselementdetails.aspx?termid=9870")</f>
        <v>https://ceds.ed.gov/cedselementdetails.aspx?termid=9870</v>
      </c>
      <c r="Q3951" s="12" t="str">
        <f>HYPERLINK("https://ceds.ed.gov/elementComment.aspx?elementName=Learning Standard Item Typical Age Range &amp;elementID=9870", "Click here to submit comment")</f>
        <v>Click here to submit comment</v>
      </c>
    </row>
    <row r="3952" spans="1:17" ht="45" x14ac:dyDescent="0.25">
      <c r="A3952" s="12" t="s">
        <v>7327</v>
      </c>
      <c r="B3952" s="12" t="s">
        <v>7354</v>
      </c>
      <c r="C3952" s="12" t="s">
        <v>7357</v>
      </c>
      <c r="D3952" s="12" t="s">
        <v>7172</v>
      </c>
      <c r="E3952" s="12" t="s">
        <v>4259</v>
      </c>
      <c r="F3952" s="12" t="s">
        <v>4260</v>
      </c>
      <c r="G3952" s="12" t="s">
        <v>12</v>
      </c>
      <c r="H3952" s="12"/>
      <c r="I3952" s="12"/>
      <c r="J3952" s="12" t="s">
        <v>327</v>
      </c>
      <c r="K3952" s="12"/>
      <c r="L3952" s="12"/>
      <c r="M3952" s="12" t="s">
        <v>4261</v>
      </c>
      <c r="N3952" s="12"/>
      <c r="O3952" s="12" t="s">
        <v>4262</v>
      </c>
      <c r="P3952" s="12" t="str">
        <f>HYPERLINK("https://ceds.ed.gov/cedselementdetails.aspx?termid=10216")</f>
        <v>https://ceds.ed.gov/cedselementdetails.aspx?termid=10216</v>
      </c>
      <c r="Q3952" s="12" t="str">
        <f>HYPERLINK("https://ceds.ed.gov/elementComment.aspx?elementName=Learning Standard Item Version &amp;elementID=10216", "Click here to submit comment")</f>
        <v>Click here to submit comment</v>
      </c>
    </row>
    <row r="3953" spans="1:17" ht="75" x14ac:dyDescent="0.25">
      <c r="A3953" s="12" t="s">
        <v>7327</v>
      </c>
      <c r="B3953" s="12" t="s">
        <v>7354</v>
      </c>
      <c r="C3953" s="12" t="s">
        <v>7358</v>
      </c>
      <c r="D3953" s="12" t="s">
        <v>7172</v>
      </c>
      <c r="E3953" s="12" t="s">
        <v>4104</v>
      </c>
      <c r="F3953" s="12" t="s">
        <v>4105</v>
      </c>
      <c r="G3953" s="12" t="s">
        <v>12</v>
      </c>
      <c r="H3953" s="12"/>
      <c r="I3953" s="12"/>
      <c r="J3953" s="12" t="s">
        <v>68</v>
      </c>
      <c r="K3953" s="12"/>
      <c r="L3953" s="12"/>
      <c r="M3953" s="12" t="s">
        <v>4106</v>
      </c>
      <c r="N3953" s="12"/>
      <c r="O3953" s="12" t="s">
        <v>4107</v>
      </c>
      <c r="P3953" s="12" t="str">
        <f>HYPERLINK("https://ceds.ed.gov/cedselementdetails.aspx?termid=9871")</f>
        <v>https://ceds.ed.gov/cedselementdetails.aspx?termid=9871</v>
      </c>
      <c r="Q3953" s="12" t="str">
        <f>HYPERLINK("https://ceds.ed.gov/elementComment.aspx?elementName=Learning Standard Item Association Identifier URI &amp;elementID=9871", "Click here to submit comment")</f>
        <v>Click here to submit comment</v>
      </c>
    </row>
    <row r="3954" spans="1:17" ht="165" x14ac:dyDescent="0.25">
      <c r="A3954" s="18" t="s">
        <v>7327</v>
      </c>
      <c r="B3954" s="18" t="s">
        <v>7354</v>
      </c>
      <c r="C3954" s="18" t="s">
        <v>7358</v>
      </c>
      <c r="D3954" s="18" t="s">
        <v>7172</v>
      </c>
      <c r="E3954" s="18" t="s">
        <v>4116</v>
      </c>
      <c r="F3954" s="18" t="s">
        <v>4117</v>
      </c>
      <c r="G3954" s="20" t="s">
        <v>7009</v>
      </c>
      <c r="H3954" s="18"/>
      <c r="I3954" s="18" t="s">
        <v>98</v>
      </c>
      <c r="J3954" s="18"/>
      <c r="K3954" s="18"/>
      <c r="L3954" s="12" t="s">
        <v>4118</v>
      </c>
      <c r="M3954" s="18" t="s">
        <v>4120</v>
      </c>
      <c r="N3954" s="18"/>
      <c r="O3954" s="18" t="s">
        <v>4121</v>
      </c>
      <c r="P3954" s="18" t="str">
        <f>HYPERLINK("https://ceds.ed.gov/cedselementdetails.aspx?termid=9869")</f>
        <v>https://ceds.ed.gov/cedselementdetails.aspx?termid=9869</v>
      </c>
      <c r="Q3954" s="18" t="str">
        <f>HYPERLINK("https://ceds.ed.gov/elementComment.aspx?elementName=Learning Standard Item Association Type &amp;elementID=9869", "Click here to submit comment")</f>
        <v>Click here to submit comment</v>
      </c>
    </row>
    <row r="3955" spans="1:17" x14ac:dyDescent="0.25">
      <c r="A3955" s="18"/>
      <c r="B3955" s="18"/>
      <c r="C3955" s="18"/>
      <c r="D3955" s="18"/>
      <c r="E3955" s="18"/>
      <c r="F3955" s="18"/>
      <c r="G3955" s="18"/>
      <c r="H3955" s="18"/>
      <c r="I3955" s="18"/>
      <c r="J3955" s="18"/>
      <c r="K3955" s="18"/>
      <c r="L3955" s="12"/>
      <c r="M3955" s="18"/>
      <c r="N3955" s="18"/>
      <c r="O3955" s="18"/>
      <c r="P3955" s="18"/>
      <c r="Q3955" s="18"/>
    </row>
    <row r="3956" spans="1:17" x14ac:dyDescent="0.25">
      <c r="A3956" s="18"/>
      <c r="B3956" s="18"/>
      <c r="C3956" s="18"/>
      <c r="D3956" s="18"/>
      <c r="E3956" s="18"/>
      <c r="F3956" s="18"/>
      <c r="G3956" s="18"/>
      <c r="H3956" s="18"/>
      <c r="I3956" s="18"/>
      <c r="J3956" s="18"/>
      <c r="K3956" s="18"/>
      <c r="L3956" s="12"/>
      <c r="M3956" s="18"/>
      <c r="N3956" s="18"/>
      <c r="O3956" s="18"/>
      <c r="P3956" s="18"/>
      <c r="Q3956" s="18"/>
    </row>
    <row r="3957" spans="1:17" ht="135" x14ac:dyDescent="0.25">
      <c r="A3957" s="18"/>
      <c r="B3957" s="18"/>
      <c r="C3957" s="18"/>
      <c r="D3957" s="18"/>
      <c r="E3957" s="18"/>
      <c r="F3957" s="18"/>
      <c r="G3957" s="18"/>
      <c r="H3957" s="18"/>
      <c r="I3957" s="18"/>
      <c r="J3957" s="18"/>
      <c r="K3957" s="18"/>
      <c r="L3957" s="12" t="s">
        <v>4119</v>
      </c>
      <c r="M3957" s="18"/>
      <c r="N3957" s="18"/>
      <c r="O3957" s="18"/>
      <c r="P3957" s="18"/>
      <c r="Q3957" s="18"/>
    </row>
    <row r="3958" spans="1:17" ht="120" x14ac:dyDescent="0.25">
      <c r="A3958" s="12" t="s">
        <v>7327</v>
      </c>
      <c r="B3958" s="12" t="s">
        <v>7354</v>
      </c>
      <c r="C3958" s="12" t="s">
        <v>7359</v>
      </c>
      <c r="D3958" s="12" t="s">
        <v>7172</v>
      </c>
      <c r="E3958" s="12" t="s">
        <v>1872</v>
      </c>
      <c r="F3958" s="12" t="s">
        <v>1873</v>
      </c>
      <c r="G3958" s="13" t="s">
        <v>6823</v>
      </c>
      <c r="H3958" s="12"/>
      <c r="I3958" s="12"/>
      <c r="J3958" s="12"/>
      <c r="K3958" s="12"/>
      <c r="L3958" s="12" t="s">
        <v>1874</v>
      </c>
      <c r="M3958" s="12" t="s">
        <v>1875</v>
      </c>
      <c r="N3958" s="12"/>
      <c r="O3958" s="12" t="s">
        <v>1876</v>
      </c>
      <c r="P3958" s="12" t="str">
        <f>HYPERLINK("https://ceds.ed.gov/cedselementdetails.aspx?termid=9877")</f>
        <v>https://ceds.ed.gov/cedselementdetails.aspx?termid=9877</v>
      </c>
      <c r="Q3958" s="12" t="str">
        <f>HYPERLINK("https://ceds.ed.gov/elementComment.aspx?elementName=Competency Set Completion Criteria &amp;elementID=9877", "Click here to submit comment")</f>
        <v>Click here to submit comment</v>
      </c>
    </row>
    <row r="3959" spans="1:17" ht="90" x14ac:dyDescent="0.25">
      <c r="A3959" s="12" t="s">
        <v>7327</v>
      </c>
      <c r="B3959" s="12" t="s">
        <v>7354</v>
      </c>
      <c r="C3959" s="12" t="s">
        <v>7359</v>
      </c>
      <c r="D3959" s="12" t="s">
        <v>7172</v>
      </c>
      <c r="E3959" s="12" t="s">
        <v>1877</v>
      </c>
      <c r="F3959" s="12" t="s">
        <v>1878</v>
      </c>
      <c r="G3959" s="12" t="s">
        <v>12</v>
      </c>
      <c r="H3959" s="12"/>
      <c r="I3959" s="12"/>
      <c r="J3959" s="12" t="s">
        <v>317</v>
      </c>
      <c r="K3959" s="12"/>
      <c r="L3959" s="12" t="s">
        <v>1879</v>
      </c>
      <c r="M3959" s="12" t="s">
        <v>1880</v>
      </c>
      <c r="N3959" s="12"/>
      <c r="O3959" s="12" t="s">
        <v>1881</v>
      </c>
      <c r="P3959" s="12" t="str">
        <f>HYPERLINK("https://ceds.ed.gov/cedselementdetails.aspx?termid=9878")</f>
        <v>https://ceds.ed.gov/cedselementdetails.aspx?termid=9878</v>
      </c>
      <c r="Q3959" s="12" t="str">
        <f>HYPERLINK("https://ceds.ed.gov/elementComment.aspx?elementName=Competency Set Completion Criteria Threshold &amp;elementID=9878", "Click here to submit comment")</f>
        <v>Click here to submit comment</v>
      </c>
    </row>
    <row r="3960" spans="1:17" ht="105" x14ac:dyDescent="0.25">
      <c r="A3960" s="18" t="s">
        <v>7327</v>
      </c>
      <c r="B3960" s="18" t="s">
        <v>7276</v>
      </c>
      <c r="C3960" s="18"/>
      <c r="D3960" s="18" t="s">
        <v>7172</v>
      </c>
      <c r="E3960" s="18" t="s">
        <v>3696</v>
      </c>
      <c r="F3960" s="18" t="s">
        <v>3697</v>
      </c>
      <c r="G3960" s="18" t="s">
        <v>12</v>
      </c>
      <c r="H3960" s="18"/>
      <c r="I3960" s="18"/>
      <c r="J3960" s="18" t="s">
        <v>142</v>
      </c>
      <c r="K3960" s="18"/>
      <c r="L3960" s="12" t="s">
        <v>143</v>
      </c>
      <c r="M3960" s="18" t="s">
        <v>3698</v>
      </c>
      <c r="N3960" s="18"/>
      <c r="O3960" s="18" t="s">
        <v>3699</v>
      </c>
      <c r="P3960" s="18" t="str">
        <f>HYPERLINK("https://ceds.ed.gov/cedselementdetails.aspx?termid=10533")</f>
        <v>https://ceds.ed.gov/cedselementdetails.aspx?termid=10533</v>
      </c>
      <c r="Q3960" s="18" t="str">
        <f>HYPERLINK("https://ceds.ed.gov/elementComment.aspx?elementName=Learner Action Actor Identifier &amp;elementID=10533", "Click here to submit comment")</f>
        <v>Click here to submit comment</v>
      </c>
    </row>
    <row r="3961" spans="1:17" x14ac:dyDescent="0.25">
      <c r="A3961" s="18"/>
      <c r="B3961" s="18"/>
      <c r="C3961" s="18"/>
      <c r="D3961" s="18"/>
      <c r="E3961" s="18"/>
      <c r="F3961" s="18"/>
      <c r="G3961" s="18"/>
      <c r="H3961" s="18"/>
      <c r="I3961" s="18"/>
      <c r="J3961" s="18"/>
      <c r="K3961" s="18"/>
      <c r="L3961" s="12"/>
      <c r="M3961" s="18"/>
      <c r="N3961" s="18"/>
      <c r="O3961" s="18"/>
      <c r="P3961" s="18"/>
      <c r="Q3961" s="18"/>
    </row>
    <row r="3962" spans="1:17" ht="90" x14ac:dyDescent="0.25">
      <c r="A3962" s="18"/>
      <c r="B3962" s="18"/>
      <c r="C3962" s="18"/>
      <c r="D3962" s="18"/>
      <c r="E3962" s="18"/>
      <c r="F3962" s="18"/>
      <c r="G3962" s="18"/>
      <c r="H3962" s="18"/>
      <c r="I3962" s="18"/>
      <c r="J3962" s="18"/>
      <c r="K3962" s="18"/>
      <c r="L3962" s="12" t="s">
        <v>144</v>
      </c>
      <c r="M3962" s="18"/>
      <c r="N3962" s="18"/>
      <c r="O3962" s="18"/>
      <c r="P3962" s="18"/>
      <c r="Q3962" s="18"/>
    </row>
    <row r="3963" spans="1:17" ht="105" x14ac:dyDescent="0.25">
      <c r="A3963" s="18" t="s">
        <v>7327</v>
      </c>
      <c r="B3963" s="18" t="s">
        <v>7339</v>
      </c>
      <c r="C3963" s="18"/>
      <c r="D3963" s="18" t="s">
        <v>7172</v>
      </c>
      <c r="E3963" s="18" t="s">
        <v>5469</v>
      </c>
      <c r="F3963" s="18" t="s">
        <v>5470</v>
      </c>
      <c r="G3963" s="18" t="s">
        <v>12</v>
      </c>
      <c r="H3963" s="18" t="s">
        <v>6409</v>
      </c>
      <c r="I3963" s="18"/>
      <c r="J3963" s="18" t="s">
        <v>142</v>
      </c>
      <c r="K3963" s="18"/>
      <c r="L3963" s="12" t="s">
        <v>143</v>
      </c>
      <c r="M3963" s="18" t="s">
        <v>5471</v>
      </c>
      <c r="N3963" s="18"/>
      <c r="O3963" s="18" t="s">
        <v>5472</v>
      </c>
      <c r="P3963" s="18" t="str">
        <f>HYPERLINK("https://ceds.ed.gov/cedselementdetails.aspx?termid=9412")</f>
        <v>https://ceds.ed.gov/cedselementdetails.aspx?termid=9412</v>
      </c>
      <c r="Q3963" s="18" t="str">
        <f>HYPERLINK("https://ceds.ed.gov/elementComment.aspx?elementName=Rubric Identifier &amp;elementID=9412", "Click here to submit comment")</f>
        <v>Click here to submit comment</v>
      </c>
    </row>
    <row r="3964" spans="1:17" x14ac:dyDescent="0.25">
      <c r="A3964" s="18"/>
      <c r="B3964" s="18"/>
      <c r="C3964" s="18"/>
      <c r="D3964" s="18"/>
      <c r="E3964" s="18"/>
      <c r="F3964" s="18"/>
      <c r="G3964" s="18"/>
      <c r="H3964" s="18"/>
      <c r="I3964" s="18"/>
      <c r="J3964" s="18"/>
      <c r="K3964" s="18"/>
      <c r="L3964" s="12"/>
      <c r="M3964" s="18"/>
      <c r="N3964" s="18"/>
      <c r="O3964" s="18"/>
      <c r="P3964" s="18"/>
      <c r="Q3964" s="18"/>
    </row>
    <row r="3965" spans="1:17" ht="90" x14ac:dyDescent="0.25">
      <c r="A3965" s="18"/>
      <c r="B3965" s="18"/>
      <c r="C3965" s="18"/>
      <c r="D3965" s="18"/>
      <c r="E3965" s="18"/>
      <c r="F3965" s="18"/>
      <c r="G3965" s="18"/>
      <c r="H3965" s="18"/>
      <c r="I3965" s="18"/>
      <c r="J3965" s="18"/>
      <c r="K3965" s="18"/>
      <c r="L3965" s="12" t="s">
        <v>144</v>
      </c>
      <c r="M3965" s="18"/>
      <c r="N3965" s="18"/>
      <c r="O3965" s="18"/>
      <c r="P3965" s="18"/>
      <c r="Q3965" s="18"/>
    </row>
    <row r="3966" spans="1:17" ht="30" x14ac:dyDescent="0.25">
      <c r="A3966" s="12" t="s">
        <v>7327</v>
      </c>
      <c r="B3966" s="12" t="s">
        <v>7339</v>
      </c>
      <c r="C3966" s="12"/>
      <c r="D3966" s="12" t="s">
        <v>7172</v>
      </c>
      <c r="E3966" s="12" t="s">
        <v>5473</v>
      </c>
      <c r="F3966" s="12" t="s">
        <v>5474</v>
      </c>
      <c r="G3966" s="12" t="s">
        <v>12</v>
      </c>
      <c r="H3966" s="12" t="s">
        <v>6409</v>
      </c>
      <c r="I3966" s="12"/>
      <c r="J3966" s="12" t="s">
        <v>92</v>
      </c>
      <c r="K3966" s="12"/>
      <c r="L3966" s="12"/>
      <c r="M3966" s="12" t="s">
        <v>5475</v>
      </c>
      <c r="N3966" s="12"/>
      <c r="O3966" s="12" t="s">
        <v>5476</v>
      </c>
      <c r="P3966" s="12" t="str">
        <f>HYPERLINK("https://ceds.ed.gov/cedselementdetails.aspx?termid=9411")</f>
        <v>https://ceds.ed.gov/cedselementdetails.aspx?termid=9411</v>
      </c>
      <c r="Q3966" s="12" t="str">
        <f>HYPERLINK("https://ceds.ed.gov/elementComment.aspx?elementName=Rubric Title &amp;elementID=9411", "Click here to submit comment")</f>
        <v>Click here to submit comment</v>
      </c>
    </row>
    <row r="3967" spans="1:17" ht="30" x14ac:dyDescent="0.25">
      <c r="A3967" s="12" t="s">
        <v>7327</v>
      </c>
      <c r="B3967" s="12" t="s">
        <v>7339</v>
      </c>
      <c r="C3967" s="12"/>
      <c r="D3967" s="12" t="s">
        <v>7172</v>
      </c>
      <c r="E3967" s="12" t="s">
        <v>5477</v>
      </c>
      <c r="F3967" s="12" t="s">
        <v>5478</v>
      </c>
      <c r="G3967" s="12" t="s">
        <v>12</v>
      </c>
      <c r="H3967" s="12" t="s">
        <v>6409</v>
      </c>
      <c r="I3967" s="12"/>
      <c r="J3967" s="12" t="s">
        <v>68</v>
      </c>
      <c r="K3967" s="12"/>
      <c r="L3967" s="12"/>
      <c r="M3967" s="12" t="s">
        <v>5479</v>
      </c>
      <c r="N3967" s="12"/>
      <c r="O3967" s="12" t="s">
        <v>5480</v>
      </c>
      <c r="P3967" s="12" t="str">
        <f>HYPERLINK("https://ceds.ed.gov/cedselementdetails.aspx?termid=9413")</f>
        <v>https://ceds.ed.gov/cedselementdetails.aspx?termid=9413</v>
      </c>
      <c r="Q3967" s="12" t="str">
        <f>HYPERLINK("https://ceds.ed.gov/elementComment.aspx?elementName=Rubric URL Reference &amp;elementID=9413", "Click here to submit comment")</f>
        <v>Click here to submit comment</v>
      </c>
    </row>
    <row r="3968" spans="1:17" ht="30" x14ac:dyDescent="0.25">
      <c r="A3968" s="12" t="s">
        <v>7327</v>
      </c>
      <c r="B3968" s="12" t="s">
        <v>7276</v>
      </c>
      <c r="C3968" s="12"/>
      <c r="D3968" s="12" t="s">
        <v>7172</v>
      </c>
      <c r="E3968" s="12" t="s">
        <v>3700</v>
      </c>
      <c r="F3968" s="12" t="s">
        <v>3701</v>
      </c>
      <c r="G3968" s="12" t="s">
        <v>12</v>
      </c>
      <c r="H3968" s="12"/>
      <c r="I3968" s="12"/>
      <c r="J3968" s="12" t="s">
        <v>860</v>
      </c>
      <c r="K3968" s="12"/>
      <c r="L3968" s="12"/>
      <c r="M3968" s="12" t="s">
        <v>3702</v>
      </c>
      <c r="N3968" s="12"/>
      <c r="O3968" s="12" t="s">
        <v>3703</v>
      </c>
      <c r="P3968" s="12" t="str">
        <f>HYPERLINK("https://ceds.ed.gov/cedselementdetails.aspx?termid=9938")</f>
        <v>https://ceds.ed.gov/cedselementdetails.aspx?termid=9938</v>
      </c>
      <c r="Q3968" s="12" t="str">
        <f>HYPERLINK("https://ceds.ed.gov/elementComment.aspx?elementName=Learner Action Date Time &amp;elementID=9938", "Click here to submit comment")</f>
        <v>Click here to submit comment</v>
      </c>
    </row>
    <row r="3969" spans="1:17" ht="45" x14ac:dyDescent="0.25">
      <c r="A3969" s="12" t="s">
        <v>7327</v>
      </c>
      <c r="B3969" s="12" t="s">
        <v>7276</v>
      </c>
      <c r="C3969" s="12"/>
      <c r="D3969" s="12" t="s">
        <v>7172</v>
      </c>
      <c r="E3969" s="12" t="s">
        <v>3704</v>
      </c>
      <c r="F3969" s="12" t="s">
        <v>3705</v>
      </c>
      <c r="G3969" s="12" t="s">
        <v>12</v>
      </c>
      <c r="H3969" s="12"/>
      <c r="I3969" s="12"/>
      <c r="J3969" s="12" t="s">
        <v>68</v>
      </c>
      <c r="K3969" s="12"/>
      <c r="L3969" s="12"/>
      <c r="M3969" s="12" t="s">
        <v>3706</v>
      </c>
      <c r="N3969" s="12"/>
      <c r="O3969" s="12" t="s">
        <v>3707</v>
      </c>
      <c r="P3969" s="12" t="str">
        <f>HYPERLINK("https://ceds.ed.gov/cedselementdetails.aspx?termid=10534")</f>
        <v>https://ceds.ed.gov/cedselementdetails.aspx?termid=10534</v>
      </c>
      <c r="Q3969" s="12" t="str">
        <f>HYPERLINK("https://ceds.ed.gov/elementComment.aspx?elementName=Learner Action Object Description &amp;elementID=10534", "Click here to submit comment")</f>
        <v>Click here to submit comment</v>
      </c>
    </row>
    <row r="3970" spans="1:17" ht="105" x14ac:dyDescent="0.25">
      <c r="A3970" s="18" t="s">
        <v>7327</v>
      </c>
      <c r="B3970" s="18" t="s">
        <v>7276</v>
      </c>
      <c r="C3970" s="18"/>
      <c r="D3970" s="18" t="s">
        <v>7172</v>
      </c>
      <c r="E3970" s="18" t="s">
        <v>3708</v>
      </c>
      <c r="F3970" s="18" t="s">
        <v>3709</v>
      </c>
      <c r="G3970" s="18" t="s">
        <v>12</v>
      </c>
      <c r="H3970" s="18"/>
      <c r="I3970" s="18"/>
      <c r="J3970" s="18" t="s">
        <v>142</v>
      </c>
      <c r="K3970" s="18"/>
      <c r="L3970" s="12" t="s">
        <v>143</v>
      </c>
      <c r="M3970" s="18" t="s">
        <v>3710</v>
      </c>
      <c r="N3970" s="18"/>
      <c r="O3970" s="18" t="s">
        <v>3711</v>
      </c>
      <c r="P3970" s="18" t="str">
        <f>HYPERLINK("https://ceds.ed.gov/cedselementdetails.aspx?termid=10535")</f>
        <v>https://ceds.ed.gov/cedselementdetails.aspx?termid=10535</v>
      </c>
      <c r="Q3970" s="18" t="str">
        <f>HYPERLINK("https://ceds.ed.gov/elementComment.aspx?elementName=Learner Action Object Identifier &amp;elementID=10535", "Click here to submit comment")</f>
        <v>Click here to submit comment</v>
      </c>
    </row>
    <row r="3971" spans="1:17" x14ac:dyDescent="0.25">
      <c r="A3971" s="18"/>
      <c r="B3971" s="18"/>
      <c r="C3971" s="18"/>
      <c r="D3971" s="18"/>
      <c r="E3971" s="18"/>
      <c r="F3971" s="18"/>
      <c r="G3971" s="18"/>
      <c r="H3971" s="18"/>
      <c r="I3971" s="18"/>
      <c r="J3971" s="18"/>
      <c r="K3971" s="18"/>
      <c r="L3971" s="12"/>
      <c r="M3971" s="18"/>
      <c r="N3971" s="18"/>
      <c r="O3971" s="18"/>
      <c r="P3971" s="18"/>
      <c r="Q3971" s="18"/>
    </row>
    <row r="3972" spans="1:17" ht="90" x14ac:dyDescent="0.25">
      <c r="A3972" s="18"/>
      <c r="B3972" s="18"/>
      <c r="C3972" s="18"/>
      <c r="D3972" s="18"/>
      <c r="E3972" s="18"/>
      <c r="F3972" s="18"/>
      <c r="G3972" s="18"/>
      <c r="H3972" s="18"/>
      <c r="I3972" s="18"/>
      <c r="J3972" s="18"/>
      <c r="K3972" s="18"/>
      <c r="L3972" s="12" t="s">
        <v>144</v>
      </c>
      <c r="M3972" s="18"/>
      <c r="N3972" s="18"/>
      <c r="O3972" s="18"/>
      <c r="P3972" s="18"/>
      <c r="Q3972" s="18"/>
    </row>
    <row r="3973" spans="1:17" ht="30" x14ac:dyDescent="0.25">
      <c r="A3973" s="12" t="s">
        <v>7327</v>
      </c>
      <c r="B3973" s="12" t="s">
        <v>7276</v>
      </c>
      <c r="C3973" s="12"/>
      <c r="D3973" s="12" t="s">
        <v>7172</v>
      </c>
      <c r="E3973" s="12" t="s">
        <v>3712</v>
      </c>
      <c r="F3973" s="12" t="s">
        <v>3713</v>
      </c>
      <c r="G3973" s="12" t="s">
        <v>12</v>
      </c>
      <c r="H3973" s="12"/>
      <c r="I3973" s="12"/>
      <c r="J3973" s="12" t="s">
        <v>99</v>
      </c>
      <c r="K3973" s="12"/>
      <c r="L3973" s="12"/>
      <c r="M3973" s="12" t="s">
        <v>3714</v>
      </c>
      <c r="N3973" s="12"/>
      <c r="O3973" s="12" t="s">
        <v>3715</v>
      </c>
      <c r="P3973" s="12" t="str">
        <f>HYPERLINK("https://ceds.ed.gov/cedselementdetails.aspx?termid=10536")</f>
        <v>https://ceds.ed.gov/cedselementdetails.aspx?termid=10536</v>
      </c>
      <c r="Q3973" s="12" t="str">
        <f>HYPERLINK("https://ceds.ed.gov/elementComment.aspx?elementName=Learner Action Object Type &amp;elementID=10536", "Click here to submit comment")</f>
        <v>Click here to submit comment</v>
      </c>
    </row>
    <row r="3974" spans="1:17" ht="409.5" x14ac:dyDescent="0.25">
      <c r="A3974" s="12" t="s">
        <v>7327</v>
      </c>
      <c r="B3974" s="12" t="s">
        <v>7276</v>
      </c>
      <c r="C3974" s="12"/>
      <c r="D3974" s="12" t="s">
        <v>7172</v>
      </c>
      <c r="E3974" s="12" t="s">
        <v>3716</v>
      </c>
      <c r="F3974" s="12" t="s">
        <v>3717</v>
      </c>
      <c r="G3974" s="13" t="s">
        <v>6989</v>
      </c>
      <c r="H3974" s="12"/>
      <c r="I3974" s="12" t="s">
        <v>98</v>
      </c>
      <c r="J3974" s="12"/>
      <c r="K3974" s="12"/>
      <c r="L3974" s="14" t="s">
        <v>3718</v>
      </c>
      <c r="M3974" s="12" t="s">
        <v>3719</v>
      </c>
      <c r="N3974" s="12"/>
      <c r="O3974" s="12" t="s">
        <v>3720</v>
      </c>
      <c r="P3974" s="12" t="str">
        <f>HYPERLINK("https://ceds.ed.gov/cedselementdetails.aspx?termid=9935")</f>
        <v>https://ceds.ed.gov/cedselementdetails.aspx?termid=9935</v>
      </c>
      <c r="Q3974" s="12" t="str">
        <f>HYPERLINK("https://ceds.ed.gov/elementComment.aspx?elementName=Learner Action Type &amp;elementID=9935", "Click here to submit comment")</f>
        <v>Click here to submit comment</v>
      </c>
    </row>
    <row r="3975" spans="1:17" ht="75" x14ac:dyDescent="0.25">
      <c r="A3975" s="12" t="s">
        <v>7327</v>
      </c>
      <c r="B3975" s="12" t="s">
        <v>7276</v>
      </c>
      <c r="C3975" s="12"/>
      <c r="D3975" s="12" t="s">
        <v>7172</v>
      </c>
      <c r="E3975" s="12" t="s">
        <v>3721</v>
      </c>
      <c r="F3975" s="12" t="s">
        <v>3722</v>
      </c>
      <c r="G3975" s="12" t="s">
        <v>12</v>
      </c>
      <c r="H3975" s="12"/>
      <c r="I3975" s="12"/>
      <c r="J3975" s="12" t="s">
        <v>327</v>
      </c>
      <c r="K3975" s="12"/>
      <c r="L3975" s="12"/>
      <c r="M3975" s="12" t="s">
        <v>3723</v>
      </c>
      <c r="N3975" s="12"/>
      <c r="O3975" s="12" t="s">
        <v>3724</v>
      </c>
      <c r="P3975" s="12" t="str">
        <f>HYPERLINK("https://ceds.ed.gov/cedselementdetails.aspx?termid=9936")</f>
        <v>https://ceds.ed.gov/cedselementdetails.aspx?termid=9936</v>
      </c>
      <c r="Q3975" s="12" t="str">
        <f>HYPERLINK("https://ceds.ed.gov/elementComment.aspx?elementName=Learner Action Value &amp;elementID=9936", "Click here to submit comment")</f>
        <v>Click here to submit comment</v>
      </c>
    </row>
    <row r="3976" spans="1:17" ht="30" x14ac:dyDescent="0.25">
      <c r="A3976" s="12" t="s">
        <v>7327</v>
      </c>
      <c r="B3976" s="12" t="s">
        <v>7339</v>
      </c>
      <c r="C3976" s="12"/>
      <c r="D3976" s="12" t="s">
        <v>7172</v>
      </c>
      <c r="E3976" s="12" t="s">
        <v>5425</v>
      </c>
      <c r="F3976" s="12" t="s">
        <v>5426</v>
      </c>
      <c r="G3976" s="12" t="s">
        <v>12</v>
      </c>
      <c r="H3976" s="12"/>
      <c r="I3976" s="12"/>
      <c r="J3976" s="12" t="s">
        <v>92</v>
      </c>
      <c r="K3976" s="12"/>
      <c r="L3976" s="12"/>
      <c r="M3976" s="12" t="s">
        <v>5427</v>
      </c>
      <c r="N3976" s="12"/>
      <c r="O3976" s="12" t="s">
        <v>5428</v>
      </c>
      <c r="P3976" s="12" t="str">
        <f>HYPERLINK("https://ceds.ed.gov/cedselementdetails.aspx?termid=10441")</f>
        <v>https://ceds.ed.gov/cedselementdetails.aspx?termid=10441</v>
      </c>
      <c r="Q3976" s="12" t="str">
        <f>HYPERLINK("https://ceds.ed.gov/elementComment.aspx?elementName=Rubric Criterion Category &amp;elementID=10441", "Click here to submit comment")</f>
        <v>Click here to submit comment</v>
      </c>
    </row>
    <row r="3977" spans="1:17" ht="45" x14ac:dyDescent="0.25">
      <c r="A3977" s="12" t="s">
        <v>7327</v>
      </c>
      <c r="B3977" s="12" t="s">
        <v>7339</v>
      </c>
      <c r="C3977" s="12"/>
      <c r="D3977" s="12" t="s">
        <v>7172</v>
      </c>
      <c r="E3977" s="12" t="s">
        <v>5429</v>
      </c>
      <c r="F3977" s="12" t="s">
        <v>5430</v>
      </c>
      <c r="G3977" s="12" t="s">
        <v>12</v>
      </c>
      <c r="H3977" s="12"/>
      <c r="I3977" s="12"/>
      <c r="J3977" s="12" t="s">
        <v>327</v>
      </c>
      <c r="K3977" s="12"/>
      <c r="L3977" s="12"/>
      <c r="M3977" s="12" t="s">
        <v>5431</v>
      </c>
      <c r="N3977" s="12"/>
      <c r="O3977" s="12" t="s">
        <v>5432</v>
      </c>
      <c r="P3977" s="12" t="str">
        <f>HYPERLINK("https://ceds.ed.gov/cedselementdetails.aspx?termid=10442")</f>
        <v>https://ceds.ed.gov/cedselementdetails.aspx?termid=10442</v>
      </c>
      <c r="Q3977" s="12" t="str">
        <f>HYPERLINK("https://ceds.ed.gov/elementComment.aspx?elementName=Rubric Criterion Description &amp;elementID=10442", "Click here to submit comment")</f>
        <v>Click here to submit comment</v>
      </c>
    </row>
    <row r="3978" spans="1:17" ht="60" x14ac:dyDescent="0.25">
      <c r="A3978" s="12" t="s">
        <v>7327</v>
      </c>
      <c r="B3978" s="12" t="s">
        <v>7339</v>
      </c>
      <c r="C3978" s="12"/>
      <c r="D3978" s="12" t="s">
        <v>7172</v>
      </c>
      <c r="E3978" s="12" t="s">
        <v>5433</v>
      </c>
      <c r="F3978" s="12" t="s">
        <v>5434</v>
      </c>
      <c r="G3978" s="12" t="s">
        <v>12</v>
      </c>
      <c r="H3978" s="12"/>
      <c r="I3978" s="12"/>
      <c r="J3978" s="12" t="s">
        <v>327</v>
      </c>
      <c r="K3978" s="12"/>
      <c r="L3978" s="12"/>
      <c r="M3978" s="12" t="s">
        <v>5435</v>
      </c>
      <c r="N3978" s="12"/>
      <c r="O3978" s="12" t="s">
        <v>5436</v>
      </c>
      <c r="P3978" s="12" t="str">
        <f>HYPERLINK("https://ceds.ed.gov/cedselementdetails.aspx?termid=10443")</f>
        <v>https://ceds.ed.gov/cedselementdetails.aspx?termid=10443</v>
      </c>
      <c r="Q3978" s="12" t="str">
        <f>HYPERLINK("https://ceds.ed.gov/elementComment.aspx?elementName=Rubric Criterion Level Description &amp;elementID=10443", "Click here to submit comment")</f>
        <v>Click here to submit comment</v>
      </c>
    </row>
    <row r="3979" spans="1:17" ht="75" x14ac:dyDescent="0.25">
      <c r="A3979" s="12" t="s">
        <v>7327</v>
      </c>
      <c r="B3979" s="12" t="s">
        <v>7339</v>
      </c>
      <c r="C3979" s="12"/>
      <c r="D3979" s="12" t="s">
        <v>7172</v>
      </c>
      <c r="E3979" s="12" t="s">
        <v>5437</v>
      </c>
      <c r="F3979" s="12" t="s">
        <v>5438</v>
      </c>
      <c r="G3979" s="12" t="s">
        <v>12</v>
      </c>
      <c r="H3979" s="12"/>
      <c r="I3979" s="12"/>
      <c r="J3979" s="12" t="s">
        <v>327</v>
      </c>
      <c r="K3979" s="12"/>
      <c r="L3979" s="12"/>
      <c r="M3979" s="12" t="s">
        <v>5439</v>
      </c>
      <c r="N3979" s="12"/>
      <c r="O3979" s="12" t="s">
        <v>5440</v>
      </c>
      <c r="P3979" s="12" t="str">
        <f>HYPERLINK("https://ceds.ed.gov/cedselementdetails.aspx?termid=10444")</f>
        <v>https://ceds.ed.gov/cedselementdetails.aspx?termid=10444</v>
      </c>
      <c r="Q3979" s="12" t="str">
        <f>HYPERLINK("https://ceds.ed.gov/elementComment.aspx?elementName=Rubric Criterion Level Feedback &amp;elementID=10444", "Click here to submit comment")</f>
        <v>Click here to submit comment</v>
      </c>
    </row>
    <row r="3980" spans="1:17" ht="45" x14ac:dyDescent="0.25">
      <c r="A3980" s="12" t="s">
        <v>7327</v>
      </c>
      <c r="B3980" s="12" t="s">
        <v>7339</v>
      </c>
      <c r="C3980" s="12"/>
      <c r="D3980" s="12" t="s">
        <v>7172</v>
      </c>
      <c r="E3980" s="12" t="s">
        <v>5441</v>
      </c>
      <c r="F3980" s="12" t="s">
        <v>5442</v>
      </c>
      <c r="G3980" s="12" t="s">
        <v>12</v>
      </c>
      <c r="H3980" s="12"/>
      <c r="I3980" s="12"/>
      <c r="J3980" s="12" t="s">
        <v>157</v>
      </c>
      <c r="K3980" s="12"/>
      <c r="L3980" s="12"/>
      <c r="M3980" s="12" t="s">
        <v>5443</v>
      </c>
      <c r="N3980" s="12"/>
      <c r="O3980" s="12" t="s">
        <v>5444</v>
      </c>
      <c r="P3980" s="12" t="str">
        <f>HYPERLINK("https://ceds.ed.gov/cedselementdetails.aspx?termid=10445")</f>
        <v>https://ceds.ed.gov/cedselementdetails.aspx?termid=10445</v>
      </c>
      <c r="Q3980" s="12" t="str">
        <f>HYPERLINK("https://ceds.ed.gov/elementComment.aspx?elementName=Rubric Criterion Level Position &amp;elementID=10445", "Click here to submit comment")</f>
        <v>Click here to submit comment</v>
      </c>
    </row>
    <row r="3981" spans="1:17" ht="60" x14ac:dyDescent="0.25">
      <c r="A3981" s="12" t="s">
        <v>7327</v>
      </c>
      <c r="B3981" s="12" t="s">
        <v>7339</v>
      </c>
      <c r="C3981" s="12"/>
      <c r="D3981" s="12" t="s">
        <v>7172</v>
      </c>
      <c r="E3981" s="12" t="s">
        <v>5445</v>
      </c>
      <c r="F3981" s="12" t="s">
        <v>5446</v>
      </c>
      <c r="G3981" s="12" t="s">
        <v>12</v>
      </c>
      <c r="H3981" s="12"/>
      <c r="I3981" s="12"/>
      <c r="J3981" s="12" t="s">
        <v>99</v>
      </c>
      <c r="K3981" s="12"/>
      <c r="L3981" s="12"/>
      <c r="M3981" s="12" t="s">
        <v>5447</v>
      </c>
      <c r="N3981" s="12"/>
      <c r="O3981" s="12" t="s">
        <v>5448</v>
      </c>
      <c r="P3981" s="12" t="str">
        <f>HYPERLINK("https://ceds.ed.gov/cedselementdetails.aspx?termid=10446")</f>
        <v>https://ceds.ed.gov/cedselementdetails.aspx?termid=10446</v>
      </c>
      <c r="Q3981" s="12" t="str">
        <f>HYPERLINK("https://ceds.ed.gov/elementComment.aspx?elementName=Rubric Criterion Level Quality Label &amp;elementID=10446", "Click here to submit comment")</f>
        <v>Click here to submit comment</v>
      </c>
    </row>
    <row r="3982" spans="1:17" ht="30" x14ac:dyDescent="0.25">
      <c r="A3982" s="12" t="s">
        <v>7327</v>
      </c>
      <c r="B3982" s="12" t="s">
        <v>7339</v>
      </c>
      <c r="C3982" s="12"/>
      <c r="D3982" s="12" t="s">
        <v>7172</v>
      </c>
      <c r="E3982" s="12" t="s">
        <v>5449</v>
      </c>
      <c r="F3982" s="12" t="s">
        <v>5450</v>
      </c>
      <c r="G3982" s="12" t="s">
        <v>12</v>
      </c>
      <c r="H3982" s="12"/>
      <c r="I3982" s="12"/>
      <c r="J3982" s="12" t="s">
        <v>157</v>
      </c>
      <c r="K3982" s="12"/>
      <c r="L3982" s="12"/>
      <c r="M3982" s="12" t="s">
        <v>5451</v>
      </c>
      <c r="N3982" s="12"/>
      <c r="O3982" s="12" t="s">
        <v>5452</v>
      </c>
      <c r="P3982" s="12" t="str">
        <f>HYPERLINK("https://ceds.ed.gov/cedselementdetails.aspx?termid=10447")</f>
        <v>https://ceds.ed.gov/cedselementdetails.aspx?termid=10447</v>
      </c>
      <c r="Q3982" s="12" t="str">
        <f>HYPERLINK("https://ceds.ed.gov/elementComment.aspx?elementName=Rubric Criterion Level Score &amp;elementID=10447", "Click here to submit comment")</f>
        <v>Click here to submit comment</v>
      </c>
    </row>
    <row r="3983" spans="1:17" ht="45" x14ac:dyDescent="0.25">
      <c r="A3983" s="12" t="s">
        <v>7327</v>
      </c>
      <c r="B3983" s="12" t="s">
        <v>7339</v>
      </c>
      <c r="C3983" s="12"/>
      <c r="D3983" s="12" t="s">
        <v>7172</v>
      </c>
      <c r="E3983" s="12" t="s">
        <v>5453</v>
      </c>
      <c r="F3983" s="12" t="s">
        <v>5454</v>
      </c>
      <c r="G3983" s="12" t="s">
        <v>12</v>
      </c>
      <c r="H3983" s="12"/>
      <c r="I3983" s="12"/>
      <c r="J3983" s="12" t="s">
        <v>157</v>
      </c>
      <c r="K3983" s="12"/>
      <c r="L3983" s="12"/>
      <c r="M3983" s="12" t="s">
        <v>5455</v>
      </c>
      <c r="N3983" s="12"/>
      <c r="O3983" s="12" t="s">
        <v>5456</v>
      </c>
      <c r="P3983" s="12" t="str">
        <f>HYPERLINK("https://ceds.ed.gov/cedselementdetails.aspx?termid=10448")</f>
        <v>https://ceds.ed.gov/cedselementdetails.aspx?termid=10448</v>
      </c>
      <c r="Q3983" s="12" t="str">
        <f>HYPERLINK("https://ceds.ed.gov/elementComment.aspx?elementName=Rubric Criterion Position &amp;elementID=10448", "Click here to submit comment")</f>
        <v>Click here to submit comment</v>
      </c>
    </row>
    <row r="3984" spans="1:17" ht="30" x14ac:dyDescent="0.25">
      <c r="A3984" s="12" t="s">
        <v>7327</v>
      </c>
      <c r="B3984" s="12" t="s">
        <v>7339</v>
      </c>
      <c r="C3984" s="12"/>
      <c r="D3984" s="12" t="s">
        <v>7172</v>
      </c>
      <c r="E3984" s="12" t="s">
        <v>5457</v>
      </c>
      <c r="F3984" s="12" t="s">
        <v>5458</v>
      </c>
      <c r="G3984" s="12" t="s">
        <v>12</v>
      </c>
      <c r="H3984" s="12"/>
      <c r="I3984" s="12"/>
      <c r="J3984" s="12" t="s">
        <v>99</v>
      </c>
      <c r="K3984" s="12"/>
      <c r="L3984" s="12"/>
      <c r="M3984" s="12" t="s">
        <v>5459</v>
      </c>
      <c r="N3984" s="12"/>
      <c r="O3984" s="12" t="s">
        <v>5460</v>
      </c>
      <c r="P3984" s="12" t="str">
        <f>HYPERLINK("https://ceds.ed.gov/cedselementdetails.aspx?termid=10449")</f>
        <v>https://ceds.ed.gov/cedselementdetails.aspx?termid=10449</v>
      </c>
      <c r="Q3984" s="12" t="str">
        <f>HYPERLINK("https://ceds.ed.gov/elementComment.aspx?elementName=Rubric Criterion Title &amp;elementID=10449", "Click here to submit comment")</f>
        <v>Click here to submit comment</v>
      </c>
    </row>
    <row r="3985" spans="1:17" ht="45" x14ac:dyDescent="0.25">
      <c r="A3985" s="12" t="s">
        <v>7327</v>
      </c>
      <c r="B3985" s="12" t="s">
        <v>7339</v>
      </c>
      <c r="C3985" s="12"/>
      <c r="D3985" s="12" t="s">
        <v>7172</v>
      </c>
      <c r="E3985" s="12" t="s">
        <v>5461</v>
      </c>
      <c r="F3985" s="12" t="s">
        <v>5462</v>
      </c>
      <c r="G3985" s="12" t="s">
        <v>12</v>
      </c>
      <c r="H3985" s="12"/>
      <c r="I3985" s="12"/>
      <c r="J3985" s="12" t="s">
        <v>157</v>
      </c>
      <c r="K3985" s="12"/>
      <c r="L3985" s="12"/>
      <c r="M3985" s="12" t="s">
        <v>5463</v>
      </c>
      <c r="N3985" s="12"/>
      <c r="O3985" s="12" t="s">
        <v>5464</v>
      </c>
      <c r="P3985" s="12" t="str">
        <f>HYPERLINK("https://ceds.ed.gov/cedselementdetails.aspx?termid=10450")</f>
        <v>https://ceds.ed.gov/cedselementdetails.aspx?termid=10450</v>
      </c>
      <c r="Q3985" s="12" t="str">
        <f>HYPERLINK("https://ceds.ed.gov/elementComment.aspx?elementName=Rubric Criterion Weight &amp;elementID=10450", "Click here to submit comment")</f>
        <v>Click here to submit comment</v>
      </c>
    </row>
    <row r="3986" spans="1:17" ht="30" x14ac:dyDescent="0.25">
      <c r="A3986" s="12" t="s">
        <v>7327</v>
      </c>
      <c r="B3986" s="12" t="s">
        <v>7339</v>
      </c>
      <c r="C3986" s="12"/>
      <c r="D3986" s="12" t="s">
        <v>7172</v>
      </c>
      <c r="E3986" s="12" t="s">
        <v>5465</v>
      </c>
      <c r="F3986" s="12" t="s">
        <v>5466</v>
      </c>
      <c r="G3986" s="12" t="s">
        <v>12</v>
      </c>
      <c r="H3986" s="12"/>
      <c r="I3986" s="12"/>
      <c r="J3986" s="12" t="s">
        <v>327</v>
      </c>
      <c r="K3986" s="12"/>
      <c r="L3986" s="12"/>
      <c r="M3986" s="12" t="s">
        <v>5467</v>
      </c>
      <c r="N3986" s="12"/>
      <c r="O3986" s="12" t="s">
        <v>5468</v>
      </c>
      <c r="P3986" s="12" t="str">
        <f>HYPERLINK("https://ceds.ed.gov/cedselementdetails.aspx?termid=10451")</f>
        <v>https://ceds.ed.gov/cedselementdetails.aspx?termid=10451</v>
      </c>
      <c r="Q3986" s="12" t="str">
        <f>HYPERLINK("https://ceds.ed.gov/elementComment.aspx?elementName=Rubric Description &amp;elementID=10451", "Click here to submit comment")</f>
        <v>Click here to submit comment</v>
      </c>
    </row>
    <row r="3987" spans="1:17" ht="45" x14ac:dyDescent="0.25">
      <c r="A3987" s="12" t="s">
        <v>7327</v>
      </c>
      <c r="B3987" s="12" t="s">
        <v>7360</v>
      </c>
      <c r="C3987" s="12"/>
      <c r="D3987" s="12" t="s">
        <v>7172</v>
      </c>
      <c r="E3987" s="12" t="s">
        <v>3781</v>
      </c>
      <c r="F3987" s="12" t="s">
        <v>3782</v>
      </c>
      <c r="G3987" s="12" t="s">
        <v>12</v>
      </c>
      <c r="H3987" s="12"/>
      <c r="I3987" s="12"/>
      <c r="J3987" s="12" t="s">
        <v>92</v>
      </c>
      <c r="K3987" s="12"/>
      <c r="L3987" s="12"/>
      <c r="M3987" s="12" t="s">
        <v>3783</v>
      </c>
      <c r="N3987" s="12"/>
      <c r="O3987" s="12" t="s">
        <v>3784</v>
      </c>
      <c r="P3987" s="12" t="str">
        <f>HYPERLINK("https://ceds.ed.gov/cedselementdetails.aspx?termid=9940")</f>
        <v>https://ceds.ed.gov/cedselementdetails.aspx?termid=9940</v>
      </c>
      <c r="Q3987" s="12" t="str">
        <f>HYPERLINK("https://ceds.ed.gov/elementComment.aspx?elementName=Learner Activity Title &amp;elementID=9940", "Click here to submit comment")</f>
        <v>Click here to submit comment</v>
      </c>
    </row>
    <row r="3988" spans="1:17" ht="45" x14ac:dyDescent="0.25">
      <c r="A3988" s="12" t="s">
        <v>7327</v>
      </c>
      <c r="B3988" s="12" t="s">
        <v>7360</v>
      </c>
      <c r="C3988" s="12"/>
      <c r="D3988" s="12" t="s">
        <v>7172</v>
      </c>
      <c r="E3988" s="12" t="s">
        <v>3734</v>
      </c>
      <c r="F3988" s="12" t="s">
        <v>3735</v>
      </c>
      <c r="G3988" s="12" t="s">
        <v>12</v>
      </c>
      <c r="H3988" s="12"/>
      <c r="I3988" s="12"/>
      <c r="J3988" s="12" t="s">
        <v>68</v>
      </c>
      <c r="K3988" s="12"/>
      <c r="L3988" s="12"/>
      <c r="M3988" s="12" t="s">
        <v>3736</v>
      </c>
      <c r="N3988" s="12"/>
      <c r="O3988" s="12" t="s">
        <v>3737</v>
      </c>
      <c r="P3988" s="12" t="str">
        <f>HYPERLINK("https://ceds.ed.gov/cedselementdetails.aspx?termid=9941")</f>
        <v>https://ceds.ed.gov/cedselementdetails.aspx?termid=9941</v>
      </c>
      <c r="Q3988" s="12" t="str">
        <f>HYPERLINK("https://ceds.ed.gov/elementComment.aspx?elementName=Learner Activity Description &amp;elementID=9941", "Click here to submit comment")</f>
        <v>Click here to submit comment</v>
      </c>
    </row>
    <row r="3989" spans="1:17" ht="120" x14ac:dyDescent="0.25">
      <c r="A3989" s="12" t="s">
        <v>7327</v>
      </c>
      <c r="B3989" s="12" t="s">
        <v>7360</v>
      </c>
      <c r="C3989" s="12"/>
      <c r="D3989" s="12" t="s">
        <v>7172</v>
      </c>
      <c r="E3989" s="12" t="s">
        <v>3768</v>
      </c>
      <c r="F3989" s="12" t="s">
        <v>3769</v>
      </c>
      <c r="G3989" s="12" t="s">
        <v>12</v>
      </c>
      <c r="H3989" s="12"/>
      <c r="I3989" s="12"/>
      <c r="J3989" s="12" t="s">
        <v>68</v>
      </c>
      <c r="K3989" s="12"/>
      <c r="L3989" s="12" t="s">
        <v>3770</v>
      </c>
      <c r="M3989" s="12" t="s">
        <v>3771</v>
      </c>
      <c r="N3989" s="12"/>
      <c r="O3989" s="12" t="s">
        <v>3772</v>
      </c>
      <c r="P3989" s="12" t="str">
        <f>HYPERLINK("https://ceds.ed.gov/cedselementdetails.aspx?termid=9942")</f>
        <v>https://ceds.ed.gov/cedselementdetails.aspx?termid=9942</v>
      </c>
      <c r="Q3989" s="12" t="str">
        <f>HYPERLINK("https://ceds.ed.gov/elementComment.aspx?elementName=Learner Activity Prerequisite &amp;elementID=9942", "Click here to submit comment")</f>
        <v>Click here to submit comment</v>
      </c>
    </row>
    <row r="3990" spans="1:17" ht="75" x14ac:dyDescent="0.25">
      <c r="A3990" s="12" t="s">
        <v>7327</v>
      </c>
      <c r="B3990" s="12" t="s">
        <v>7360</v>
      </c>
      <c r="C3990" s="12"/>
      <c r="D3990" s="12" t="s">
        <v>7172</v>
      </c>
      <c r="E3990" s="12" t="s">
        <v>3785</v>
      </c>
      <c r="F3990" s="12" t="s">
        <v>3786</v>
      </c>
      <c r="G3990" s="13" t="s">
        <v>6991</v>
      </c>
      <c r="H3990" s="12"/>
      <c r="I3990" s="12"/>
      <c r="J3990" s="12"/>
      <c r="K3990" s="12"/>
      <c r="L3990" s="12"/>
      <c r="M3990" s="12" t="s">
        <v>3787</v>
      </c>
      <c r="N3990" s="12"/>
      <c r="O3990" s="12" t="s">
        <v>3788</v>
      </c>
      <c r="P3990" s="12" t="str">
        <f>HYPERLINK("https://ceds.ed.gov/cedselementdetails.aspx?termid=9943")</f>
        <v>https://ceds.ed.gov/cedselementdetails.aspx?termid=9943</v>
      </c>
      <c r="Q3990" s="12" t="str">
        <f>HYPERLINK("https://ceds.ed.gov/elementComment.aspx?elementName=Learner Activity Type &amp;elementID=9943", "Click here to submit comment")</f>
        <v>Click here to submit comment</v>
      </c>
    </row>
    <row r="3991" spans="1:17" ht="30" x14ac:dyDescent="0.25">
      <c r="A3991" s="12" t="s">
        <v>7327</v>
      </c>
      <c r="B3991" s="12" t="s">
        <v>7360</v>
      </c>
      <c r="C3991" s="12"/>
      <c r="D3991" s="12" t="s">
        <v>7172</v>
      </c>
      <c r="E3991" s="12" t="s">
        <v>3730</v>
      </c>
      <c r="F3991" s="12" t="s">
        <v>3731</v>
      </c>
      <c r="G3991" s="12" t="s">
        <v>12</v>
      </c>
      <c r="H3991" s="12"/>
      <c r="I3991" s="12"/>
      <c r="J3991" s="12" t="s">
        <v>73</v>
      </c>
      <c r="K3991" s="12"/>
      <c r="L3991" s="12"/>
      <c r="M3991" s="12" t="s">
        <v>3732</v>
      </c>
      <c r="N3991" s="12"/>
      <c r="O3991" s="12" t="s">
        <v>3733</v>
      </c>
      <c r="P3991" s="12" t="str">
        <f>HYPERLINK("https://ceds.ed.gov/cedselementdetails.aspx?termid=9944")</f>
        <v>https://ceds.ed.gov/cedselementdetails.aspx?termid=9944</v>
      </c>
      <c r="Q3991" s="12" t="str">
        <f>HYPERLINK("https://ceds.ed.gov/elementComment.aspx?elementName=Learner Activity Creation Date &amp;elementID=9944", "Click here to submit comment")</f>
        <v>Click here to submit comment</v>
      </c>
    </row>
    <row r="3992" spans="1:17" ht="30" x14ac:dyDescent="0.25">
      <c r="A3992" s="12" t="s">
        <v>7327</v>
      </c>
      <c r="B3992" s="12" t="s">
        <v>7360</v>
      </c>
      <c r="C3992" s="12"/>
      <c r="D3992" s="12" t="s">
        <v>7172</v>
      </c>
      <c r="E3992" s="12" t="s">
        <v>3754</v>
      </c>
      <c r="F3992" s="12" t="s">
        <v>3755</v>
      </c>
      <c r="G3992" s="12" t="s">
        <v>12</v>
      </c>
      <c r="H3992" s="12"/>
      <c r="I3992" s="12"/>
      <c r="J3992" s="12" t="s">
        <v>317</v>
      </c>
      <c r="K3992" s="12"/>
      <c r="L3992" s="12" t="s">
        <v>3756</v>
      </c>
      <c r="M3992" s="12" t="s">
        <v>3757</v>
      </c>
      <c r="N3992" s="12"/>
      <c r="O3992" s="12" t="s">
        <v>3758</v>
      </c>
      <c r="P3992" s="12" t="str">
        <f>HYPERLINK("https://ceds.ed.gov/cedselementdetails.aspx?termid=9945")</f>
        <v>https://ceds.ed.gov/cedselementdetails.aspx?termid=9945</v>
      </c>
      <c r="Q3992" s="12" t="str">
        <f>HYPERLINK("https://ceds.ed.gov/elementComment.aspx?elementName=Learner Activity Maximum Time Allowed &amp;elementID=9945", "Click here to submit comment")</f>
        <v>Click here to submit comment</v>
      </c>
    </row>
    <row r="3993" spans="1:17" ht="90" x14ac:dyDescent="0.25">
      <c r="A3993" s="12" t="s">
        <v>7327</v>
      </c>
      <c r="B3993" s="12" t="s">
        <v>7360</v>
      </c>
      <c r="C3993" s="12"/>
      <c r="D3993" s="12" t="s">
        <v>7172</v>
      </c>
      <c r="E3993" s="12" t="s">
        <v>3759</v>
      </c>
      <c r="F3993" s="12" t="s">
        <v>3760</v>
      </c>
      <c r="G3993" s="13" t="s">
        <v>6990</v>
      </c>
      <c r="H3993" s="12"/>
      <c r="I3993" s="12"/>
      <c r="J3993" s="12"/>
      <c r="K3993" s="12"/>
      <c r="L3993" s="12"/>
      <c r="M3993" s="12" t="s">
        <v>3761</v>
      </c>
      <c r="N3993" s="12"/>
      <c r="O3993" s="12" t="s">
        <v>3762</v>
      </c>
      <c r="P3993" s="12" t="str">
        <f>HYPERLINK("https://ceds.ed.gov/cedselementdetails.aspx?termid=9946")</f>
        <v>https://ceds.ed.gov/cedselementdetails.aspx?termid=9946</v>
      </c>
      <c r="Q3993" s="12" t="str">
        <f>HYPERLINK("https://ceds.ed.gov/elementComment.aspx?elementName=Learner Activity Maximum Time Allowed Unit &amp;elementID=9946", "Click here to submit comment")</f>
        <v>Click here to submit comment</v>
      </c>
    </row>
    <row r="3994" spans="1:17" ht="30" x14ac:dyDescent="0.25">
      <c r="A3994" s="12" t="s">
        <v>7327</v>
      </c>
      <c r="B3994" s="12" t="s">
        <v>7360</v>
      </c>
      <c r="C3994" s="12"/>
      <c r="D3994" s="12" t="s">
        <v>7172</v>
      </c>
      <c r="E3994" s="12" t="s">
        <v>3738</v>
      </c>
      <c r="F3994" s="12" t="s">
        <v>3739</v>
      </c>
      <c r="G3994" s="12" t="s">
        <v>12</v>
      </c>
      <c r="H3994" s="12"/>
      <c r="I3994" s="12"/>
      <c r="J3994" s="12" t="s">
        <v>73</v>
      </c>
      <c r="K3994" s="12"/>
      <c r="L3994" s="12"/>
      <c r="M3994" s="12" t="s">
        <v>3740</v>
      </c>
      <c r="N3994" s="12"/>
      <c r="O3994" s="12" t="s">
        <v>3741</v>
      </c>
      <c r="P3994" s="12" t="str">
        <f>HYPERLINK("https://ceds.ed.gov/cedselementdetails.aspx?termid=9947")</f>
        <v>https://ceds.ed.gov/cedselementdetails.aspx?termid=9947</v>
      </c>
      <c r="Q3994" s="12" t="str">
        <f>HYPERLINK("https://ceds.ed.gov/elementComment.aspx?elementName=Learner Activity Due Date &amp;elementID=9947", "Click here to submit comment")</f>
        <v>Click here to submit comment</v>
      </c>
    </row>
    <row r="3995" spans="1:17" ht="30" x14ac:dyDescent="0.25">
      <c r="A3995" s="12" t="s">
        <v>7327</v>
      </c>
      <c r="B3995" s="12" t="s">
        <v>7360</v>
      </c>
      <c r="C3995" s="12"/>
      <c r="D3995" s="12" t="s">
        <v>7172</v>
      </c>
      <c r="E3995" s="12" t="s">
        <v>3742</v>
      </c>
      <c r="F3995" s="12" t="s">
        <v>3743</v>
      </c>
      <c r="G3995" s="12" t="s">
        <v>12</v>
      </c>
      <c r="H3995" s="12"/>
      <c r="I3995" s="12"/>
      <c r="J3995" s="12" t="s">
        <v>437</v>
      </c>
      <c r="K3995" s="12"/>
      <c r="L3995" s="12"/>
      <c r="M3995" s="12" t="s">
        <v>3744</v>
      </c>
      <c r="N3995" s="12"/>
      <c r="O3995" s="12" t="s">
        <v>3745</v>
      </c>
      <c r="P3995" s="12" t="str">
        <f>HYPERLINK("https://ceds.ed.gov/cedselementdetails.aspx?termid=9948")</f>
        <v>https://ceds.ed.gov/cedselementdetails.aspx?termid=9948</v>
      </c>
      <c r="Q3995" s="12" t="str">
        <f>HYPERLINK("https://ceds.ed.gov/elementComment.aspx?elementName=Learner Activity Due Time &amp;elementID=9948", "Click here to submit comment")</f>
        <v>Click here to submit comment</v>
      </c>
    </row>
    <row r="3996" spans="1:17" ht="45" x14ac:dyDescent="0.25">
      <c r="A3996" s="12" t="s">
        <v>7327</v>
      </c>
      <c r="B3996" s="12" t="s">
        <v>7360</v>
      </c>
      <c r="C3996" s="12"/>
      <c r="D3996" s="12" t="s">
        <v>7172</v>
      </c>
      <c r="E3996" s="12" t="s">
        <v>3750</v>
      </c>
      <c r="F3996" s="12" t="s">
        <v>3751</v>
      </c>
      <c r="G3996" s="12" t="s">
        <v>12</v>
      </c>
      <c r="H3996" s="12"/>
      <c r="I3996" s="12"/>
      <c r="J3996" s="12" t="s">
        <v>317</v>
      </c>
      <c r="K3996" s="12"/>
      <c r="L3996" s="12"/>
      <c r="M3996" s="12" t="s">
        <v>3752</v>
      </c>
      <c r="N3996" s="12"/>
      <c r="O3996" s="12" t="s">
        <v>3753</v>
      </c>
      <c r="P3996" s="12" t="str">
        <f>HYPERLINK("https://ceds.ed.gov/cedselementdetails.aspx?termid=9949")</f>
        <v>https://ceds.ed.gov/cedselementdetails.aspx?termid=9949</v>
      </c>
      <c r="Q3996" s="12" t="str">
        <f>HYPERLINK("https://ceds.ed.gov/elementComment.aspx?elementName=Learner Activity Maximum Attempts Allowed &amp;elementID=9949", "Click here to submit comment")</f>
        <v>Click here to submit comment</v>
      </c>
    </row>
    <row r="3997" spans="1:17" ht="60" x14ac:dyDescent="0.25">
      <c r="A3997" s="12" t="s">
        <v>7327</v>
      </c>
      <c r="B3997" s="12" t="s">
        <v>7360</v>
      </c>
      <c r="C3997" s="12"/>
      <c r="D3997" s="12" t="s">
        <v>7172</v>
      </c>
      <c r="E3997" s="12" t="s">
        <v>3725</v>
      </c>
      <c r="F3997" s="12" t="s">
        <v>3726</v>
      </c>
      <c r="G3997" s="13" t="s">
        <v>6749</v>
      </c>
      <c r="H3997" s="12"/>
      <c r="I3997" s="12"/>
      <c r="J3997" s="12"/>
      <c r="K3997" s="12"/>
      <c r="L3997" s="12"/>
      <c r="M3997" s="12" t="s">
        <v>3728</v>
      </c>
      <c r="N3997" s="12"/>
      <c r="O3997" s="12" t="s">
        <v>3729</v>
      </c>
      <c r="P3997" s="12" t="str">
        <f>HYPERLINK("https://ceds.ed.gov/cedselementdetails.aspx?termid=9950")</f>
        <v>https://ceds.ed.gov/cedselementdetails.aspx?termid=9950</v>
      </c>
      <c r="Q3997" s="12" t="str">
        <f>HYPERLINK("https://ceds.ed.gov/elementComment.aspx?elementName=Learner Activity Add To Grade Book Flag &amp;elementID=9950", "Click here to submit comment")</f>
        <v>Click here to submit comment</v>
      </c>
    </row>
    <row r="3998" spans="1:17" ht="60" x14ac:dyDescent="0.25">
      <c r="A3998" s="12" t="s">
        <v>7327</v>
      </c>
      <c r="B3998" s="12" t="s">
        <v>7360</v>
      </c>
      <c r="C3998" s="12"/>
      <c r="D3998" s="12" t="s">
        <v>7172</v>
      </c>
      <c r="E3998" s="12" t="s">
        <v>3773</v>
      </c>
      <c r="F3998" s="12" t="s">
        <v>3774</v>
      </c>
      <c r="G3998" s="12" t="s">
        <v>12</v>
      </c>
      <c r="H3998" s="12"/>
      <c r="I3998" s="12"/>
      <c r="J3998" s="12" t="s">
        <v>73</v>
      </c>
      <c r="K3998" s="12"/>
      <c r="L3998" s="12"/>
      <c r="M3998" s="12" t="s">
        <v>3775</v>
      </c>
      <c r="N3998" s="12"/>
      <c r="O3998" s="12" t="s">
        <v>3776</v>
      </c>
      <c r="P3998" s="12" t="str">
        <f>HYPERLINK("https://ceds.ed.gov/cedselementdetails.aspx?termid=9951")</f>
        <v>https://ceds.ed.gov/cedselementdetails.aspx?termid=9951</v>
      </c>
      <c r="Q3998" s="12" t="str">
        <f>HYPERLINK("https://ceds.ed.gov/elementComment.aspx?elementName=Learner Activity Release Date &amp;elementID=9951", "Click here to submit comment")</f>
        <v>Click here to submit comment</v>
      </c>
    </row>
    <row r="3999" spans="1:17" ht="45" x14ac:dyDescent="0.25">
      <c r="A3999" s="12" t="s">
        <v>7327</v>
      </c>
      <c r="B3999" s="12" t="s">
        <v>7360</v>
      </c>
      <c r="C3999" s="12"/>
      <c r="D3999" s="12" t="s">
        <v>7172</v>
      </c>
      <c r="E3999" s="12" t="s">
        <v>3789</v>
      </c>
      <c r="F3999" s="12" t="s">
        <v>3790</v>
      </c>
      <c r="G3999" s="12" t="s">
        <v>12</v>
      </c>
      <c r="H3999" s="12"/>
      <c r="I3999" s="12"/>
      <c r="J3999" s="12" t="s">
        <v>789</v>
      </c>
      <c r="K3999" s="12"/>
      <c r="L3999" s="12"/>
      <c r="M3999" s="12" t="s">
        <v>3791</v>
      </c>
      <c r="N3999" s="12"/>
      <c r="O3999" s="12" t="s">
        <v>3792</v>
      </c>
      <c r="P3999" s="12" t="str">
        <f>HYPERLINK("https://ceds.ed.gov/cedselementdetails.aspx?termid=9952")</f>
        <v>https://ceds.ed.gov/cedselementdetails.aspx?termid=9952</v>
      </c>
      <c r="Q3999" s="12" t="str">
        <f>HYPERLINK("https://ceds.ed.gov/elementComment.aspx?elementName=Learner Activity Weight &amp;elementID=9952", "Click here to submit comment")</f>
        <v>Click here to submit comment</v>
      </c>
    </row>
    <row r="4000" spans="1:17" ht="30" x14ac:dyDescent="0.25">
      <c r="A4000" s="12" t="s">
        <v>7327</v>
      </c>
      <c r="B4000" s="12" t="s">
        <v>7360</v>
      </c>
      <c r="C4000" s="12"/>
      <c r="D4000" s="12" t="s">
        <v>7172</v>
      </c>
      <c r="E4000" s="12" t="s">
        <v>3763</v>
      </c>
      <c r="F4000" s="12" t="s">
        <v>3764</v>
      </c>
      <c r="G4000" s="12" t="s">
        <v>12</v>
      </c>
      <c r="H4000" s="12"/>
      <c r="I4000" s="12"/>
      <c r="J4000" s="12" t="s">
        <v>3765</v>
      </c>
      <c r="K4000" s="12"/>
      <c r="L4000" s="12"/>
      <c r="M4000" s="12" t="s">
        <v>3766</v>
      </c>
      <c r="N4000" s="12"/>
      <c r="O4000" s="12" t="s">
        <v>3767</v>
      </c>
      <c r="P4000" s="12" t="str">
        <f>HYPERLINK("https://ceds.ed.gov/cedselementdetails.aspx?termid=9953")</f>
        <v>https://ceds.ed.gov/cedselementdetails.aspx?termid=9953</v>
      </c>
      <c r="Q4000" s="12" t="str">
        <f>HYPERLINK("https://ceds.ed.gov/elementComment.aspx?elementName=Learner Activity Possible Points &amp;elementID=9953", "Click here to submit comment")</f>
        <v>Click here to submit comment</v>
      </c>
    </row>
    <row r="4001" spans="1:17" ht="60" x14ac:dyDescent="0.25">
      <c r="A4001" s="12" t="s">
        <v>7327</v>
      </c>
      <c r="B4001" s="12" t="s">
        <v>7360</v>
      </c>
      <c r="C4001" s="12"/>
      <c r="D4001" s="12" t="s">
        <v>7172</v>
      </c>
      <c r="E4001" s="12" t="s">
        <v>3777</v>
      </c>
      <c r="F4001" s="12" t="s">
        <v>3778</v>
      </c>
      <c r="G4001" s="12" t="s">
        <v>12</v>
      </c>
      <c r="H4001" s="12"/>
      <c r="I4001" s="12"/>
      <c r="J4001" s="12" t="s">
        <v>68</v>
      </c>
      <c r="K4001" s="12"/>
      <c r="L4001" s="12"/>
      <c r="M4001" s="12" t="s">
        <v>3779</v>
      </c>
      <c r="N4001" s="12"/>
      <c r="O4001" s="12" t="s">
        <v>3780</v>
      </c>
      <c r="P4001" s="12" t="str">
        <f>HYPERLINK("https://ceds.ed.gov/cedselementdetails.aspx?termid=9954")</f>
        <v>https://ceds.ed.gov/cedselementdetails.aspx?termid=9954</v>
      </c>
      <c r="Q4001" s="12" t="str">
        <f>HYPERLINK("https://ceds.ed.gov/elementComment.aspx?elementName=Learner Activity Rubric URL &amp;elementID=9954", "Click here to submit comment")</f>
        <v>Click here to submit comment</v>
      </c>
    </row>
    <row r="4002" spans="1:17" ht="90" x14ac:dyDescent="0.25">
      <c r="A4002" s="12" t="s">
        <v>7327</v>
      </c>
      <c r="B4002" s="12" t="s">
        <v>7360</v>
      </c>
      <c r="C4002" s="12"/>
      <c r="D4002" s="12" t="s">
        <v>7172</v>
      </c>
      <c r="E4002" s="12" t="s">
        <v>3746</v>
      </c>
      <c r="F4002" s="12" t="s">
        <v>3747</v>
      </c>
      <c r="G4002" s="14" t="s">
        <v>999</v>
      </c>
      <c r="H4002" s="12"/>
      <c r="I4002" s="12" t="s">
        <v>98</v>
      </c>
      <c r="J4002" s="12"/>
      <c r="K4002" s="12"/>
      <c r="L4002" s="14" t="s">
        <v>1000</v>
      </c>
      <c r="M4002" s="12" t="s">
        <v>3748</v>
      </c>
      <c r="N4002" s="12"/>
      <c r="O4002" s="12" t="s">
        <v>3749</v>
      </c>
      <c r="P4002" s="12" t="str">
        <f>HYPERLINK("https://ceds.ed.gov/cedselementdetails.aspx?termid=9939")</f>
        <v>https://ceds.ed.gov/cedselementdetails.aspx?termid=9939</v>
      </c>
      <c r="Q4002" s="12" t="str">
        <f>HYPERLINK("https://ceds.ed.gov/elementComment.aspx?elementName=Learner Activity Language &amp;elementID=9939", "Click here to submit comment")</f>
        <v>Click here to submit comment</v>
      </c>
    </row>
    <row r="4003" spans="1:17" ht="105" x14ac:dyDescent="0.25">
      <c r="A4003" s="18" t="s">
        <v>7327</v>
      </c>
      <c r="B4003" s="18" t="s">
        <v>7361</v>
      </c>
      <c r="C4003" s="18"/>
      <c r="D4003" s="18" t="s">
        <v>7172</v>
      </c>
      <c r="E4003" s="18" t="s">
        <v>1195</v>
      </c>
      <c r="F4003" s="18" t="s">
        <v>1196</v>
      </c>
      <c r="G4003" s="18" t="s">
        <v>12</v>
      </c>
      <c r="H4003" s="18" t="s">
        <v>827</v>
      </c>
      <c r="I4003" s="18"/>
      <c r="J4003" s="18" t="s">
        <v>142</v>
      </c>
      <c r="K4003" s="18"/>
      <c r="L4003" s="12" t="s">
        <v>143</v>
      </c>
      <c r="M4003" s="18" t="s">
        <v>1197</v>
      </c>
      <c r="N4003" s="18"/>
      <c r="O4003" s="18" t="s">
        <v>1198</v>
      </c>
      <c r="P4003" s="18" t="str">
        <f>HYPERLINK("https://ceds.ed.gov/cedselementdetails.aspx?termid=9693")</f>
        <v>https://ceds.ed.gov/cedselementdetails.aspx?termid=9693</v>
      </c>
      <c r="Q4003" s="18" t="str">
        <f>HYPERLINK("https://ceds.ed.gov/elementComment.aspx?elementName=Assessment Performance Level Identifier &amp;elementID=9693", "Click here to submit comment")</f>
        <v>Click here to submit comment</v>
      </c>
    </row>
    <row r="4004" spans="1:17" x14ac:dyDescent="0.25">
      <c r="A4004" s="18"/>
      <c r="B4004" s="18"/>
      <c r="C4004" s="18"/>
      <c r="D4004" s="18"/>
      <c r="E4004" s="18"/>
      <c r="F4004" s="18"/>
      <c r="G4004" s="18"/>
      <c r="H4004" s="18"/>
      <c r="I4004" s="18"/>
      <c r="J4004" s="18"/>
      <c r="K4004" s="18"/>
      <c r="L4004" s="12"/>
      <c r="M4004" s="18"/>
      <c r="N4004" s="18"/>
      <c r="O4004" s="18"/>
      <c r="P4004" s="18"/>
      <c r="Q4004" s="18"/>
    </row>
    <row r="4005" spans="1:17" ht="90" x14ac:dyDescent="0.25">
      <c r="A4005" s="18"/>
      <c r="B4005" s="18"/>
      <c r="C4005" s="18"/>
      <c r="D4005" s="18"/>
      <c r="E4005" s="18"/>
      <c r="F4005" s="18"/>
      <c r="G4005" s="18"/>
      <c r="H4005" s="18"/>
      <c r="I4005" s="18"/>
      <c r="J4005" s="18"/>
      <c r="K4005" s="18"/>
      <c r="L4005" s="12" t="s">
        <v>144</v>
      </c>
      <c r="M4005" s="18"/>
      <c r="N4005" s="18"/>
      <c r="O4005" s="18"/>
      <c r="P4005" s="18"/>
      <c r="Q4005" s="18"/>
    </row>
    <row r="4006" spans="1:17" ht="30" x14ac:dyDescent="0.25">
      <c r="A4006" s="12" t="s">
        <v>7327</v>
      </c>
      <c r="B4006" s="12" t="s">
        <v>7361</v>
      </c>
      <c r="C4006" s="12"/>
      <c r="D4006" s="12" t="s">
        <v>7172</v>
      </c>
      <c r="E4006" s="12" t="s">
        <v>1199</v>
      </c>
      <c r="F4006" s="12" t="s">
        <v>1200</v>
      </c>
      <c r="G4006" s="12" t="s">
        <v>12</v>
      </c>
      <c r="H4006" s="12" t="s">
        <v>827</v>
      </c>
      <c r="I4006" s="12"/>
      <c r="J4006" s="12" t="s">
        <v>1201</v>
      </c>
      <c r="K4006" s="12"/>
      <c r="L4006" s="12"/>
      <c r="M4006" s="12" t="s">
        <v>1202</v>
      </c>
      <c r="N4006" s="12"/>
      <c r="O4006" s="12" t="s">
        <v>1203</v>
      </c>
      <c r="P4006" s="12" t="str">
        <f>HYPERLINK("https://ceds.ed.gov/cedselementdetails.aspx?termid=9694")</f>
        <v>https://ceds.ed.gov/cedselementdetails.aspx?termid=9694</v>
      </c>
      <c r="Q4006" s="12" t="str">
        <f>HYPERLINK("https://ceds.ed.gov/elementComment.aspx?elementName=Assessment Performance Level Label &amp;elementID=9694", "Click here to submit comment")</f>
        <v>Click here to submit comment</v>
      </c>
    </row>
    <row r="4007" spans="1:17" ht="45" x14ac:dyDescent="0.25">
      <c r="A4007" s="12" t="s">
        <v>7327</v>
      </c>
      <c r="B4007" s="12" t="s">
        <v>7361</v>
      </c>
      <c r="C4007" s="12"/>
      <c r="D4007" s="12" t="s">
        <v>7172</v>
      </c>
      <c r="E4007" s="12" t="s">
        <v>1204</v>
      </c>
      <c r="F4007" s="12" t="s">
        <v>1205</v>
      </c>
      <c r="G4007" s="12" t="s">
        <v>12</v>
      </c>
      <c r="H4007" s="12" t="s">
        <v>6397</v>
      </c>
      <c r="I4007" s="12"/>
      <c r="J4007" s="12" t="s">
        <v>92</v>
      </c>
      <c r="K4007" s="12"/>
      <c r="L4007" s="12"/>
      <c r="M4007" s="12" t="s">
        <v>1206</v>
      </c>
      <c r="N4007" s="12"/>
      <c r="O4007" s="12" t="s">
        <v>1207</v>
      </c>
      <c r="P4007" s="12" t="str">
        <f>HYPERLINK("https://ceds.ed.gov/cedselementdetails.aspx?termid=9408")</f>
        <v>https://ceds.ed.gov/cedselementdetails.aspx?termid=9408</v>
      </c>
      <c r="Q4007" s="12" t="str">
        <f>HYPERLINK("https://ceds.ed.gov/elementComment.aspx?elementName=Assessment Performance Level Lower Cut Score &amp;elementID=9408", "Click here to submit comment")</f>
        <v>Click here to submit comment</v>
      </c>
    </row>
    <row r="4008" spans="1:17" ht="409.5" x14ac:dyDescent="0.25">
      <c r="A4008" s="12" t="s">
        <v>7327</v>
      </c>
      <c r="B4008" s="12" t="s">
        <v>7361</v>
      </c>
      <c r="C4008" s="12"/>
      <c r="D4008" s="12" t="s">
        <v>7172</v>
      </c>
      <c r="E4008" s="12" t="s">
        <v>1208</v>
      </c>
      <c r="F4008" s="12" t="s">
        <v>1209</v>
      </c>
      <c r="G4008" s="13" t="s">
        <v>6783</v>
      </c>
      <c r="H4008" s="12" t="s">
        <v>6397</v>
      </c>
      <c r="I4008" s="12"/>
      <c r="J4008" s="12" t="s">
        <v>92</v>
      </c>
      <c r="K4008" s="12"/>
      <c r="L4008" s="12"/>
      <c r="M4008" s="12" t="s">
        <v>1210</v>
      </c>
      <c r="N4008" s="12"/>
      <c r="O4008" s="12" t="s">
        <v>1211</v>
      </c>
      <c r="P4008" s="12" t="str">
        <f>HYPERLINK("https://ceds.ed.gov/cedselementdetails.aspx?termid=9407")</f>
        <v>https://ceds.ed.gov/cedselementdetails.aspx?termid=9407</v>
      </c>
      <c r="Q4008" s="12" t="str">
        <f>HYPERLINK("https://ceds.ed.gov/elementComment.aspx?elementName=Assessment Performance Level Score Metric &amp;elementID=9407", "Click here to submit comment")</f>
        <v>Click here to submit comment</v>
      </c>
    </row>
    <row r="4009" spans="1:17" ht="45" x14ac:dyDescent="0.25">
      <c r="A4009" s="12" t="s">
        <v>7327</v>
      </c>
      <c r="B4009" s="12" t="s">
        <v>7361</v>
      </c>
      <c r="C4009" s="12"/>
      <c r="D4009" s="12" t="s">
        <v>7172</v>
      </c>
      <c r="E4009" s="12" t="s">
        <v>1212</v>
      </c>
      <c r="F4009" s="12" t="s">
        <v>1213</v>
      </c>
      <c r="G4009" s="12" t="s">
        <v>12</v>
      </c>
      <c r="H4009" s="12" t="s">
        <v>6397</v>
      </c>
      <c r="I4009" s="12"/>
      <c r="J4009" s="12" t="s">
        <v>92</v>
      </c>
      <c r="K4009" s="12"/>
      <c r="L4009" s="12"/>
      <c r="M4009" s="12" t="s">
        <v>1214</v>
      </c>
      <c r="N4009" s="12"/>
      <c r="O4009" s="12" t="s">
        <v>1215</v>
      </c>
      <c r="P4009" s="12" t="str">
        <f>HYPERLINK("https://ceds.ed.gov/cedselementdetails.aspx?termid=9409")</f>
        <v>https://ceds.ed.gov/cedselementdetails.aspx?termid=9409</v>
      </c>
      <c r="Q4009" s="12" t="str">
        <f>HYPERLINK("https://ceds.ed.gov/elementComment.aspx?elementName=Assessment Performance Level Upper Cut Score &amp;elementID=9409", "Click here to submit comment")</f>
        <v>Click here to submit comment</v>
      </c>
    </row>
    <row r="4010" spans="1:17" ht="45" x14ac:dyDescent="0.25">
      <c r="A4010" s="12" t="s">
        <v>7327</v>
      </c>
      <c r="B4010" s="12" t="s">
        <v>7361</v>
      </c>
      <c r="C4010" s="12"/>
      <c r="D4010" s="12" t="s">
        <v>7172</v>
      </c>
      <c r="E4010" s="12" t="s">
        <v>1191</v>
      </c>
      <c r="F4010" s="12" t="s">
        <v>1192</v>
      </c>
      <c r="G4010" s="12" t="s">
        <v>12</v>
      </c>
      <c r="H4010" s="12"/>
      <c r="I4010" s="12"/>
      <c r="J4010" s="12" t="s">
        <v>327</v>
      </c>
      <c r="K4010" s="12"/>
      <c r="L4010" s="12"/>
      <c r="M4010" s="12" t="s">
        <v>1193</v>
      </c>
      <c r="N4010" s="12"/>
      <c r="O4010" s="12" t="s">
        <v>1194</v>
      </c>
      <c r="P4010" s="12" t="str">
        <f>HYPERLINK("https://ceds.ed.gov/cedselementdetails.aspx?termid=10184")</f>
        <v>https://ceds.ed.gov/cedselementdetails.aspx?termid=10184</v>
      </c>
      <c r="Q4010" s="12" t="str">
        <f>HYPERLINK("https://ceds.ed.gov/elementComment.aspx?elementName=Assessment Performance Level Descriptive Feedback &amp;elementID=10184", "Click here to submit comment")</f>
        <v>Click here to submit comment</v>
      </c>
    </row>
    <row r="4011" spans="1:17" ht="75" x14ac:dyDescent="0.25">
      <c r="A4011" s="12" t="s">
        <v>7354</v>
      </c>
      <c r="B4011" s="12" t="s">
        <v>7355</v>
      </c>
      <c r="C4011" s="12"/>
      <c r="D4011" s="12" t="s">
        <v>7172</v>
      </c>
      <c r="E4011" s="12" t="s">
        <v>4024</v>
      </c>
      <c r="F4011" s="12" t="s">
        <v>4025</v>
      </c>
      <c r="G4011" s="12" t="s">
        <v>12</v>
      </c>
      <c r="H4011" s="12"/>
      <c r="I4011" s="12"/>
      <c r="J4011" s="12" t="s">
        <v>1533</v>
      </c>
      <c r="K4011" s="12"/>
      <c r="L4011" s="12" t="s">
        <v>4026</v>
      </c>
      <c r="M4011" s="12" t="s">
        <v>4027</v>
      </c>
      <c r="N4011" s="12"/>
      <c r="O4011" s="12" t="s">
        <v>4028</v>
      </c>
      <c r="P4011" s="12" t="str">
        <f>HYPERLINK("https://ceds.ed.gov/cedselementdetails.aspx?termid=9673")</f>
        <v>https://ceds.ed.gov/cedselementdetails.aspx?termid=9673</v>
      </c>
      <c r="Q4011" s="12" t="str">
        <f>HYPERLINK("https://ceds.ed.gov/elementComment.aspx?elementName=Learning Standard Document Creator &amp;elementID=9673", "Click here to submit comment")</f>
        <v>Click here to submit comment</v>
      </c>
    </row>
    <row r="4012" spans="1:17" ht="45" x14ac:dyDescent="0.25">
      <c r="A4012" s="12" t="s">
        <v>7354</v>
      </c>
      <c r="B4012" s="12" t="s">
        <v>7355</v>
      </c>
      <c r="C4012" s="12"/>
      <c r="D4012" s="12" t="s">
        <v>7172</v>
      </c>
      <c r="E4012" s="12" t="s">
        <v>4029</v>
      </c>
      <c r="F4012" s="12" t="s">
        <v>4030</v>
      </c>
      <c r="G4012" s="12" t="s">
        <v>12</v>
      </c>
      <c r="H4012" s="12"/>
      <c r="I4012" s="12"/>
      <c r="J4012" s="12" t="s">
        <v>68</v>
      </c>
      <c r="K4012" s="12"/>
      <c r="L4012" s="12"/>
      <c r="M4012" s="12" t="s">
        <v>4031</v>
      </c>
      <c r="N4012" s="12"/>
      <c r="O4012" s="12" t="s">
        <v>4032</v>
      </c>
      <c r="P4012" s="12" t="str">
        <f>HYPERLINK("https://ceds.ed.gov/cedselementdetails.aspx?termid=9674")</f>
        <v>https://ceds.ed.gov/cedselementdetails.aspx?termid=9674</v>
      </c>
      <c r="Q4012" s="12" t="str">
        <f>HYPERLINK("https://ceds.ed.gov/elementComment.aspx?elementName=Learning Standard Document Description &amp;elementID=9674", "Click here to submit comment")</f>
        <v>Click here to submit comment</v>
      </c>
    </row>
    <row r="4013" spans="1:17" ht="45" x14ac:dyDescent="0.25">
      <c r="A4013" s="12" t="s">
        <v>7354</v>
      </c>
      <c r="B4013" s="12" t="s">
        <v>7355</v>
      </c>
      <c r="C4013" s="12"/>
      <c r="D4013" s="12" t="s">
        <v>7172</v>
      </c>
      <c r="E4013" s="12" t="s">
        <v>4033</v>
      </c>
      <c r="F4013" s="12" t="s">
        <v>4034</v>
      </c>
      <c r="G4013" s="12" t="s">
        <v>12</v>
      </c>
      <c r="H4013" s="12" t="s">
        <v>827</v>
      </c>
      <c r="I4013" s="12"/>
      <c r="J4013" s="12" t="s">
        <v>68</v>
      </c>
      <c r="K4013" s="12"/>
      <c r="L4013" s="12"/>
      <c r="M4013" s="12" t="s">
        <v>4035</v>
      </c>
      <c r="N4013" s="12"/>
      <c r="O4013" s="12" t="s">
        <v>4036</v>
      </c>
      <c r="P4013" s="12" t="str">
        <f>HYPERLINK("https://ceds.ed.gov/cedselementdetails.aspx?termid=9670")</f>
        <v>https://ceds.ed.gov/cedselementdetails.aspx?termid=9670</v>
      </c>
      <c r="Q4013" s="12" t="str">
        <f>HYPERLINK("https://ceds.ed.gov/elementComment.aspx?elementName=Learning Standard Document Identifier URI &amp;elementID=9670", "Click here to submit comment")</f>
        <v>Click here to submit comment</v>
      </c>
    </row>
    <row r="4014" spans="1:17" ht="60" x14ac:dyDescent="0.25">
      <c r="A4014" s="12" t="s">
        <v>7354</v>
      </c>
      <c r="B4014" s="12" t="s">
        <v>7355</v>
      </c>
      <c r="C4014" s="12"/>
      <c r="D4014" s="12" t="s">
        <v>7172</v>
      </c>
      <c r="E4014" s="12" t="s">
        <v>4037</v>
      </c>
      <c r="F4014" s="12" t="s">
        <v>4038</v>
      </c>
      <c r="G4014" s="12" t="s">
        <v>12</v>
      </c>
      <c r="H4014" s="12"/>
      <c r="I4014" s="12"/>
      <c r="J4014" s="12" t="s">
        <v>1533</v>
      </c>
      <c r="K4014" s="12"/>
      <c r="L4014" s="12"/>
      <c r="M4014" s="12" t="s">
        <v>4039</v>
      </c>
      <c r="N4014" s="12"/>
      <c r="O4014" s="12" t="s">
        <v>4040</v>
      </c>
      <c r="P4014" s="12" t="str">
        <f>HYPERLINK("https://ceds.ed.gov/cedselementdetails.aspx?termid=9676")</f>
        <v>https://ceds.ed.gov/cedselementdetails.aspx?termid=9676</v>
      </c>
      <c r="Q4014" s="12" t="str">
        <f>HYPERLINK("https://ceds.ed.gov/elementComment.aspx?elementName=Learning Standard Document Jurisdiction &amp;elementID=9676", "Click here to submit comment")</f>
        <v>Click here to submit comment</v>
      </c>
    </row>
    <row r="4015" spans="1:17" ht="90" x14ac:dyDescent="0.25">
      <c r="A4015" s="12" t="s">
        <v>7354</v>
      </c>
      <c r="B4015" s="12" t="s">
        <v>7355</v>
      </c>
      <c r="C4015" s="12"/>
      <c r="D4015" s="12" t="s">
        <v>7172</v>
      </c>
      <c r="E4015" s="12" t="s">
        <v>4055</v>
      </c>
      <c r="F4015" s="12" t="s">
        <v>4056</v>
      </c>
      <c r="G4015" s="13" t="s">
        <v>7008</v>
      </c>
      <c r="H4015" s="12"/>
      <c r="I4015" s="12"/>
      <c r="J4015" s="12"/>
      <c r="K4015" s="12"/>
      <c r="L4015" s="12"/>
      <c r="M4015" s="12" t="s">
        <v>4057</v>
      </c>
      <c r="N4015" s="12"/>
      <c r="O4015" s="12" t="s">
        <v>4058</v>
      </c>
      <c r="P4015" s="12" t="str">
        <f>HYPERLINK("https://ceds.ed.gov/cedselementdetails.aspx?termid=9675")</f>
        <v>https://ceds.ed.gov/cedselementdetails.aspx?termid=9675</v>
      </c>
      <c r="Q4015" s="12" t="str">
        <f>HYPERLINK("https://ceds.ed.gov/elementComment.aspx?elementName=Learning Standard Document Publication Status &amp;elementID=9675", "Click here to submit comment")</f>
        <v>Click here to submit comment</v>
      </c>
    </row>
    <row r="4016" spans="1:17" ht="30" x14ac:dyDescent="0.25">
      <c r="A4016" s="12" t="s">
        <v>7354</v>
      </c>
      <c r="B4016" s="12" t="s">
        <v>7355</v>
      </c>
      <c r="C4016" s="12"/>
      <c r="D4016" s="12" t="s">
        <v>7172</v>
      </c>
      <c r="E4016" s="12" t="s">
        <v>4071</v>
      </c>
      <c r="F4016" s="12" t="s">
        <v>4072</v>
      </c>
      <c r="G4016" s="12" t="s">
        <v>12</v>
      </c>
      <c r="H4016" s="12" t="s">
        <v>827</v>
      </c>
      <c r="I4016" s="12"/>
      <c r="J4016" s="12" t="s">
        <v>92</v>
      </c>
      <c r="K4016" s="12"/>
      <c r="L4016" s="12"/>
      <c r="M4016" s="12" t="s">
        <v>4073</v>
      </c>
      <c r="N4016" s="12"/>
      <c r="O4016" s="12" t="s">
        <v>4074</v>
      </c>
      <c r="P4016" s="12" t="str">
        <f>HYPERLINK("https://ceds.ed.gov/cedselementdetails.aspx?termid=9679")</f>
        <v>https://ceds.ed.gov/cedselementdetails.aspx?termid=9679</v>
      </c>
      <c r="Q4016" s="12" t="str">
        <f>HYPERLINK("https://ceds.ed.gov/elementComment.aspx?elementName=Learning Standard Document Subject &amp;elementID=9679", "Click here to submit comment")</f>
        <v>Click here to submit comment</v>
      </c>
    </row>
    <row r="4017" spans="1:17" ht="30" x14ac:dyDescent="0.25">
      <c r="A4017" s="12" t="s">
        <v>7354</v>
      </c>
      <c r="B4017" s="12" t="s">
        <v>7355</v>
      </c>
      <c r="C4017" s="12"/>
      <c r="D4017" s="12" t="s">
        <v>7172</v>
      </c>
      <c r="E4017" s="12" t="s">
        <v>4075</v>
      </c>
      <c r="F4017" s="12" t="s">
        <v>4076</v>
      </c>
      <c r="G4017" s="12" t="s">
        <v>12</v>
      </c>
      <c r="H4017" s="12" t="s">
        <v>827</v>
      </c>
      <c r="I4017" s="12"/>
      <c r="J4017" s="12" t="s">
        <v>1533</v>
      </c>
      <c r="K4017" s="12"/>
      <c r="L4017" s="12"/>
      <c r="M4017" s="12" t="s">
        <v>4077</v>
      </c>
      <c r="N4017" s="12"/>
      <c r="O4017" s="12" t="s">
        <v>4078</v>
      </c>
      <c r="P4017" s="12" t="str">
        <f>HYPERLINK("https://ceds.ed.gov/cedselementdetails.aspx?termid=9671")</f>
        <v>https://ceds.ed.gov/cedselementdetails.aspx?termid=9671</v>
      </c>
      <c r="Q4017" s="12" t="str">
        <f>HYPERLINK("https://ceds.ed.gov/elementComment.aspx?elementName=Learning Standard Document Title &amp;elementID=9671", "Click here to submit comment")</f>
        <v>Click here to submit comment</v>
      </c>
    </row>
    <row r="4018" spans="1:17" ht="60" x14ac:dyDescent="0.25">
      <c r="A4018" s="12" t="s">
        <v>7354</v>
      </c>
      <c r="B4018" s="12" t="s">
        <v>7355</v>
      </c>
      <c r="C4018" s="12"/>
      <c r="D4018" s="12" t="s">
        <v>7172</v>
      </c>
      <c r="E4018" s="12" t="s">
        <v>4079</v>
      </c>
      <c r="F4018" s="12" t="s">
        <v>4080</v>
      </c>
      <c r="G4018" s="12" t="s">
        <v>12</v>
      </c>
      <c r="H4018" s="12"/>
      <c r="I4018" s="12"/>
      <c r="J4018" s="12" t="s">
        <v>73</v>
      </c>
      <c r="K4018" s="12"/>
      <c r="L4018" s="12"/>
      <c r="M4018" s="12" t="s">
        <v>4081</v>
      </c>
      <c r="N4018" s="12"/>
      <c r="O4018" s="12" t="s">
        <v>4082</v>
      </c>
      <c r="P4018" s="12" t="str">
        <f>HYPERLINK("https://ceds.ed.gov/cedselementdetails.aspx?termid=9678")</f>
        <v>https://ceds.ed.gov/cedselementdetails.aspx?termid=9678</v>
      </c>
      <c r="Q4018" s="12" t="str">
        <f>HYPERLINK("https://ceds.ed.gov/elementComment.aspx?elementName=Learning Standard Document Valid End Date &amp;elementID=9678", "Click here to submit comment")</f>
        <v>Click here to submit comment</v>
      </c>
    </row>
    <row r="4019" spans="1:17" ht="60" x14ac:dyDescent="0.25">
      <c r="A4019" s="12" t="s">
        <v>7354</v>
      </c>
      <c r="B4019" s="12" t="s">
        <v>7355</v>
      </c>
      <c r="C4019" s="12"/>
      <c r="D4019" s="12" t="s">
        <v>7172</v>
      </c>
      <c r="E4019" s="12" t="s">
        <v>4083</v>
      </c>
      <c r="F4019" s="12" t="s">
        <v>4084</v>
      </c>
      <c r="G4019" s="12" t="s">
        <v>12</v>
      </c>
      <c r="H4019" s="12"/>
      <c r="I4019" s="12"/>
      <c r="J4019" s="12" t="s">
        <v>73</v>
      </c>
      <c r="K4019" s="12"/>
      <c r="L4019" s="12"/>
      <c r="M4019" s="12" t="s">
        <v>4085</v>
      </c>
      <c r="N4019" s="12"/>
      <c r="O4019" s="12" t="s">
        <v>4086</v>
      </c>
      <c r="P4019" s="12" t="str">
        <f>HYPERLINK("https://ceds.ed.gov/cedselementdetails.aspx?termid=9677")</f>
        <v>https://ceds.ed.gov/cedselementdetails.aspx?termid=9677</v>
      </c>
      <c r="Q4019" s="12" t="str">
        <f>HYPERLINK("https://ceds.ed.gov/elementComment.aspx?elementName=Learning Standard Document Valid Start Date &amp;elementID=9677", "Click here to submit comment")</f>
        <v>Click here to submit comment</v>
      </c>
    </row>
    <row r="4020" spans="1:17" ht="30" x14ac:dyDescent="0.25">
      <c r="A4020" s="12" t="s">
        <v>7354</v>
      </c>
      <c r="B4020" s="12" t="s">
        <v>7355</v>
      </c>
      <c r="C4020" s="12"/>
      <c r="D4020" s="12" t="s">
        <v>7172</v>
      </c>
      <c r="E4020" s="12" t="s">
        <v>4087</v>
      </c>
      <c r="F4020" s="12" t="s">
        <v>4088</v>
      </c>
      <c r="G4020" s="12" t="s">
        <v>12</v>
      </c>
      <c r="H4020" s="12" t="s">
        <v>827</v>
      </c>
      <c r="I4020" s="12"/>
      <c r="J4020" s="12" t="s">
        <v>92</v>
      </c>
      <c r="K4020" s="12"/>
      <c r="L4020" s="12"/>
      <c r="M4020" s="12" t="s">
        <v>4089</v>
      </c>
      <c r="N4020" s="12"/>
      <c r="O4020" s="12" t="s">
        <v>4090</v>
      </c>
      <c r="P4020" s="12" t="str">
        <f>HYPERLINK("https://ceds.ed.gov/cedselementdetails.aspx?termid=9672")</f>
        <v>https://ceds.ed.gov/cedselementdetails.aspx?termid=9672</v>
      </c>
      <c r="Q4020" s="12" t="str">
        <f>HYPERLINK("https://ceds.ed.gov/elementComment.aspx?elementName=Learning Standard Document Version &amp;elementID=9672", "Click here to submit comment")</f>
        <v>Click here to submit comment</v>
      </c>
    </row>
    <row r="4021" spans="1:17" ht="90" x14ac:dyDescent="0.25">
      <c r="A4021" s="12" t="s">
        <v>7354</v>
      </c>
      <c r="B4021" s="12" t="s">
        <v>7355</v>
      </c>
      <c r="C4021" s="12"/>
      <c r="D4021" s="12" t="s">
        <v>7172</v>
      </c>
      <c r="E4021" s="12" t="s">
        <v>4041</v>
      </c>
      <c r="F4021" s="12" t="s">
        <v>4042</v>
      </c>
      <c r="G4021" s="14" t="s">
        <v>999</v>
      </c>
      <c r="H4021" s="12"/>
      <c r="I4021" s="12" t="s">
        <v>98</v>
      </c>
      <c r="J4021" s="12"/>
      <c r="K4021" s="12"/>
      <c r="L4021" s="14" t="s">
        <v>1000</v>
      </c>
      <c r="M4021" s="12" t="s">
        <v>4043</v>
      </c>
      <c r="N4021" s="12"/>
      <c r="O4021" s="12" t="s">
        <v>4044</v>
      </c>
      <c r="P4021" s="12" t="str">
        <f>HYPERLINK("https://ceds.ed.gov/cedselementdetails.aspx?termid=9880")</f>
        <v>https://ceds.ed.gov/cedselementdetails.aspx?termid=9880</v>
      </c>
      <c r="Q4021" s="12" t="str">
        <f>HYPERLINK("https://ceds.ed.gov/elementComment.aspx?elementName=Learning Standard Document Language &amp;elementID=9880", "Click here to submit comment")</f>
        <v>Click here to submit comment</v>
      </c>
    </row>
    <row r="4022" spans="1:17" ht="45" x14ac:dyDescent="0.25">
      <c r="A4022" s="12" t="s">
        <v>7354</v>
      </c>
      <c r="B4022" s="12" t="s">
        <v>7355</v>
      </c>
      <c r="C4022" s="12"/>
      <c r="D4022" s="12" t="s">
        <v>7172</v>
      </c>
      <c r="E4022" s="12" t="s">
        <v>4045</v>
      </c>
      <c r="F4022" s="12" t="s">
        <v>4046</v>
      </c>
      <c r="G4022" s="12" t="s">
        <v>12</v>
      </c>
      <c r="H4022" s="12"/>
      <c r="I4022" s="12"/>
      <c r="J4022" s="12" t="s">
        <v>68</v>
      </c>
      <c r="K4022" s="12"/>
      <c r="L4022" s="12"/>
      <c r="M4022" s="12" t="s">
        <v>4047</v>
      </c>
      <c r="N4022" s="12"/>
      <c r="O4022" s="12" t="s">
        <v>4048</v>
      </c>
      <c r="P4022" s="12" t="str">
        <f>HYPERLINK("https://ceds.ed.gov/cedselementdetails.aspx?termid=9882")</f>
        <v>https://ceds.ed.gov/cedselementdetails.aspx?termid=9882</v>
      </c>
      <c r="Q4022" s="12" t="str">
        <f>HYPERLINK("https://ceds.ed.gov/elementComment.aspx?elementName=Learning Standard Document License &amp;elementID=9882", "Click here to submit comment")</f>
        <v>Click here to submit comment</v>
      </c>
    </row>
    <row r="4023" spans="1:17" ht="45" x14ac:dyDescent="0.25">
      <c r="A4023" s="12" t="s">
        <v>7354</v>
      </c>
      <c r="B4023" s="12" t="s">
        <v>7355</v>
      </c>
      <c r="C4023" s="12"/>
      <c r="D4023" s="12" t="s">
        <v>7172</v>
      </c>
      <c r="E4023" s="12" t="s">
        <v>4049</v>
      </c>
      <c r="F4023" s="12" t="s">
        <v>4050</v>
      </c>
      <c r="G4023" s="12" t="s">
        <v>12</v>
      </c>
      <c r="H4023" s="12"/>
      <c r="I4023" s="12"/>
      <c r="J4023" s="12" t="s">
        <v>73</v>
      </c>
      <c r="K4023" s="12"/>
      <c r="L4023" s="12" t="s">
        <v>4052</v>
      </c>
      <c r="M4023" s="12" t="s">
        <v>4053</v>
      </c>
      <c r="N4023" s="12"/>
      <c r="O4023" s="12" t="s">
        <v>4054</v>
      </c>
      <c r="P4023" s="12" t="str">
        <f>HYPERLINK("https://ceds.ed.gov/cedselementdetails.aspx?termid=10548")</f>
        <v>https://ceds.ed.gov/cedselementdetails.aspx?termid=10548</v>
      </c>
      <c r="Q4023" s="12" t="str">
        <f>HYPERLINK("https://ceds.ed.gov/elementComment.aspx?elementName=Learning Standard Document Publication Date &amp;elementID=10548", "Click here to submit comment")</f>
        <v>Click here to submit comment</v>
      </c>
    </row>
    <row r="4024" spans="1:17" ht="30" x14ac:dyDescent="0.25">
      <c r="A4024" s="12" t="s">
        <v>7354</v>
      </c>
      <c r="B4024" s="12" t="s">
        <v>7355</v>
      </c>
      <c r="C4024" s="12"/>
      <c r="D4024" s="12" t="s">
        <v>7172</v>
      </c>
      <c r="E4024" s="12" t="s">
        <v>4059</v>
      </c>
      <c r="F4024" s="12" t="s">
        <v>4060</v>
      </c>
      <c r="G4024" s="12" t="s">
        <v>12</v>
      </c>
      <c r="H4024" s="12"/>
      <c r="I4024" s="12"/>
      <c r="J4024" s="12" t="s">
        <v>92</v>
      </c>
      <c r="K4024" s="12"/>
      <c r="L4024" s="12"/>
      <c r="M4024" s="12" t="s">
        <v>4061</v>
      </c>
      <c r="N4024" s="12"/>
      <c r="O4024" s="12" t="s">
        <v>4062</v>
      </c>
      <c r="P4024" s="12" t="str">
        <f>HYPERLINK("https://ceds.ed.gov/cedselementdetails.aspx?termid=9884")</f>
        <v>https://ceds.ed.gov/cedselementdetails.aspx?termid=9884</v>
      </c>
      <c r="Q4024" s="12" t="str">
        <f>HYPERLINK("https://ceds.ed.gov/elementComment.aspx?elementName=Learning Standard Document Publisher &amp;elementID=9884", "Click here to submit comment")</f>
        <v>Click here to submit comment</v>
      </c>
    </row>
    <row r="4025" spans="1:17" ht="30" x14ac:dyDescent="0.25">
      <c r="A4025" s="12" t="s">
        <v>7354</v>
      </c>
      <c r="B4025" s="12" t="s">
        <v>7355</v>
      </c>
      <c r="C4025" s="12"/>
      <c r="D4025" s="12" t="s">
        <v>7172</v>
      </c>
      <c r="E4025" s="12" t="s">
        <v>4063</v>
      </c>
      <c r="F4025" s="12" t="s">
        <v>4064</v>
      </c>
      <c r="G4025" s="12" t="s">
        <v>12</v>
      </c>
      <c r="H4025" s="12"/>
      <c r="I4025" s="12"/>
      <c r="J4025" s="12" t="s">
        <v>68</v>
      </c>
      <c r="K4025" s="12"/>
      <c r="L4025" s="12"/>
      <c r="M4025" s="12" t="s">
        <v>4065</v>
      </c>
      <c r="N4025" s="12"/>
      <c r="O4025" s="12" t="s">
        <v>4066</v>
      </c>
      <c r="P4025" s="12" t="str">
        <f>HYPERLINK("https://ceds.ed.gov/cedselementdetails.aspx?termid=9885")</f>
        <v>https://ceds.ed.gov/cedselementdetails.aspx?termid=9885</v>
      </c>
      <c r="Q4025" s="12" t="str">
        <f>HYPERLINK("https://ceds.ed.gov/elementComment.aspx?elementName=Learning Standard Document Rights &amp;elementID=9885", "Click here to submit comment")</f>
        <v>Click here to submit comment</v>
      </c>
    </row>
    <row r="4026" spans="1:17" ht="45" x14ac:dyDescent="0.25">
      <c r="A4026" s="12" t="s">
        <v>7354</v>
      </c>
      <c r="B4026" s="12" t="s">
        <v>7355</v>
      </c>
      <c r="C4026" s="12"/>
      <c r="D4026" s="12" t="s">
        <v>7172</v>
      </c>
      <c r="E4026" s="12" t="s">
        <v>4067</v>
      </c>
      <c r="F4026" s="12" t="s">
        <v>4068</v>
      </c>
      <c r="G4026" s="12" t="s">
        <v>12</v>
      </c>
      <c r="H4026" s="12"/>
      <c r="I4026" s="12"/>
      <c r="J4026" s="12" t="s">
        <v>92</v>
      </c>
      <c r="K4026" s="12"/>
      <c r="L4026" s="12"/>
      <c r="M4026" s="12" t="s">
        <v>4069</v>
      </c>
      <c r="N4026" s="12"/>
      <c r="O4026" s="12" t="s">
        <v>4070</v>
      </c>
      <c r="P4026" s="12" t="str">
        <f>HYPERLINK("https://ceds.ed.gov/cedselementdetails.aspx?termid=9886")</f>
        <v>https://ceds.ed.gov/cedselementdetails.aspx?termid=9886</v>
      </c>
      <c r="Q4026" s="12" t="str">
        <f>HYPERLINK("https://ceds.ed.gov/elementComment.aspx?elementName=Learning Standard Document Rights Holder &amp;elementID=9886", "Click here to submit comment")</f>
        <v>Click here to submit comment</v>
      </c>
    </row>
    <row r="4027" spans="1:17" ht="90" x14ac:dyDescent="0.25">
      <c r="A4027" s="12" t="s">
        <v>7354</v>
      </c>
      <c r="B4027" s="12" t="s">
        <v>7357</v>
      </c>
      <c r="C4027" s="12"/>
      <c r="D4027" s="12" t="s">
        <v>7172</v>
      </c>
      <c r="E4027" s="12" t="s">
        <v>4245</v>
      </c>
      <c r="F4027" s="12" t="s">
        <v>4246</v>
      </c>
      <c r="G4027" s="12" t="s">
        <v>12</v>
      </c>
      <c r="H4027" s="12"/>
      <c r="I4027" s="12"/>
      <c r="J4027" s="12" t="s">
        <v>68</v>
      </c>
      <c r="K4027" s="12"/>
      <c r="L4027" s="12" t="s">
        <v>144</v>
      </c>
      <c r="M4027" s="12" t="s">
        <v>4247</v>
      </c>
      <c r="N4027" s="12"/>
      <c r="O4027" s="12" t="s">
        <v>4248</v>
      </c>
      <c r="P4027" s="12" t="str">
        <f>HYPERLINK("https://ceds.ed.gov/cedselementdetails.aspx?termid=9874")</f>
        <v>https://ceds.ed.gov/cedselementdetails.aspx?termid=9874</v>
      </c>
      <c r="Q4027" s="12" t="str">
        <f>HYPERLINK("https://ceds.ed.gov/elementComment.aspx?elementName=Learning Standard Item URL &amp;elementID=9874", "Click here to submit comment")</f>
        <v>Click here to submit comment</v>
      </c>
    </row>
    <row r="4028" spans="1:17" ht="90" x14ac:dyDescent="0.25">
      <c r="A4028" s="12" t="s">
        <v>7354</v>
      </c>
      <c r="B4028" s="12" t="s">
        <v>7357</v>
      </c>
      <c r="C4028" s="12"/>
      <c r="D4028" s="12" t="s">
        <v>7172</v>
      </c>
      <c r="E4028" s="12" t="s">
        <v>4132</v>
      </c>
      <c r="F4028" s="12" t="s">
        <v>4133</v>
      </c>
      <c r="G4028" s="12" t="s">
        <v>12</v>
      </c>
      <c r="H4028" s="12"/>
      <c r="I4028" s="12"/>
      <c r="J4028" s="12" t="s">
        <v>92</v>
      </c>
      <c r="K4028" s="12"/>
      <c r="L4028" s="12" t="s">
        <v>4134</v>
      </c>
      <c r="M4028" s="12" t="s">
        <v>4135</v>
      </c>
      <c r="N4028" s="12" t="s">
        <v>4136</v>
      </c>
      <c r="O4028" s="12" t="s">
        <v>4137</v>
      </c>
      <c r="P4028" s="12" t="str">
        <f>HYPERLINK("https://ceds.ed.gov/cedselementdetails.aspx?termid=9669")</f>
        <v>https://ceds.ed.gov/cedselementdetails.aspx?termid=9669</v>
      </c>
      <c r="Q4028" s="12" t="str">
        <f>HYPERLINK("https://ceds.ed.gov/elementComment.aspx?elementName=Learning Standard Item Code &amp;elementID=9669", "Click here to submit comment")</f>
        <v>Click here to submit comment</v>
      </c>
    </row>
    <row r="4029" spans="1:17" ht="409.5" x14ac:dyDescent="0.25">
      <c r="A4029" s="12" t="s">
        <v>7354</v>
      </c>
      <c r="B4029" s="12" t="s">
        <v>7357</v>
      </c>
      <c r="C4029" s="12"/>
      <c r="D4029" s="12" t="s">
        <v>7172</v>
      </c>
      <c r="E4029" s="12" t="s">
        <v>4151</v>
      </c>
      <c r="F4029" s="12" t="s">
        <v>4152</v>
      </c>
      <c r="G4029" s="13" t="s">
        <v>6786</v>
      </c>
      <c r="H4029" s="12"/>
      <c r="I4029" s="12"/>
      <c r="J4029" s="12"/>
      <c r="K4029" s="12"/>
      <c r="L4029" s="12" t="s">
        <v>4153</v>
      </c>
      <c r="M4029" s="12" t="s">
        <v>4154</v>
      </c>
      <c r="N4029" s="12"/>
      <c r="O4029" s="12" t="s">
        <v>4155</v>
      </c>
      <c r="P4029" s="12" t="str">
        <f>HYPERLINK("https://ceds.ed.gov/cedselementdetails.aspx?termid=9701")</f>
        <v>https://ceds.ed.gov/cedselementdetails.aspx?termid=9701</v>
      </c>
      <c r="Q4029" s="12" t="str">
        <f>HYPERLINK("https://ceds.ed.gov/elementComment.aspx?elementName=Learning Standard Item Education Level &amp;elementID=9701", "Click here to submit comment")</f>
        <v>Click here to submit comment</v>
      </c>
    </row>
    <row r="4030" spans="1:17" ht="105" x14ac:dyDescent="0.25">
      <c r="A4030" s="18" t="s">
        <v>7354</v>
      </c>
      <c r="B4030" s="18" t="s">
        <v>7357</v>
      </c>
      <c r="C4030" s="18"/>
      <c r="D4030" s="18" t="s">
        <v>7172</v>
      </c>
      <c r="E4030" s="18" t="s">
        <v>4156</v>
      </c>
      <c r="F4030" s="18" t="s">
        <v>4157</v>
      </c>
      <c r="G4030" s="18" t="s">
        <v>12</v>
      </c>
      <c r="H4030" s="18" t="s">
        <v>827</v>
      </c>
      <c r="I4030" s="18"/>
      <c r="J4030" s="18" t="s">
        <v>142</v>
      </c>
      <c r="K4030" s="18"/>
      <c r="L4030" s="12" t="s">
        <v>143</v>
      </c>
      <c r="M4030" s="18" t="s">
        <v>4158</v>
      </c>
      <c r="N4030" s="18" t="s">
        <v>4159</v>
      </c>
      <c r="O4030" s="18" t="s">
        <v>4160</v>
      </c>
      <c r="P4030" s="18" t="str">
        <f>HYPERLINK("https://ceds.ed.gov/cedselementdetails.aspx?termid=9666")</f>
        <v>https://ceds.ed.gov/cedselementdetails.aspx?termid=9666</v>
      </c>
      <c r="Q4030" s="18" t="str">
        <f>HYPERLINK("https://ceds.ed.gov/elementComment.aspx?elementName=Learning Standard Item Identifier &amp;elementID=9666", "Click here to submit comment")</f>
        <v>Click here to submit comment</v>
      </c>
    </row>
    <row r="4031" spans="1:17" x14ac:dyDescent="0.25">
      <c r="A4031" s="18"/>
      <c r="B4031" s="18"/>
      <c r="C4031" s="18"/>
      <c r="D4031" s="18"/>
      <c r="E4031" s="18"/>
      <c r="F4031" s="18"/>
      <c r="G4031" s="18"/>
      <c r="H4031" s="18"/>
      <c r="I4031" s="18"/>
      <c r="J4031" s="18"/>
      <c r="K4031" s="18"/>
      <c r="L4031" s="12"/>
      <c r="M4031" s="18"/>
      <c r="N4031" s="18"/>
      <c r="O4031" s="18"/>
      <c r="P4031" s="18"/>
      <c r="Q4031" s="18"/>
    </row>
    <row r="4032" spans="1:17" ht="90" x14ac:dyDescent="0.25">
      <c r="A4032" s="18"/>
      <c r="B4032" s="18"/>
      <c r="C4032" s="18"/>
      <c r="D4032" s="18"/>
      <c r="E4032" s="18"/>
      <c r="F4032" s="18"/>
      <c r="G4032" s="18"/>
      <c r="H4032" s="18"/>
      <c r="I4032" s="18"/>
      <c r="J4032" s="18"/>
      <c r="K4032" s="18"/>
      <c r="L4032" s="12" t="s">
        <v>144</v>
      </c>
      <c r="M4032" s="18"/>
      <c r="N4032" s="18"/>
      <c r="O4032" s="18"/>
      <c r="P4032" s="18"/>
      <c r="Q4032" s="18"/>
    </row>
    <row r="4033" spans="1:17" ht="105" x14ac:dyDescent="0.25">
      <c r="A4033" s="18" t="s">
        <v>7354</v>
      </c>
      <c r="B4033" s="18" t="s">
        <v>7357</v>
      </c>
      <c r="C4033" s="18"/>
      <c r="D4033" s="18" t="s">
        <v>7172</v>
      </c>
      <c r="E4033" s="18" t="s">
        <v>4198</v>
      </c>
      <c r="F4033" s="18" t="s">
        <v>4199</v>
      </c>
      <c r="G4033" s="18" t="s">
        <v>12</v>
      </c>
      <c r="H4033" s="18" t="s">
        <v>827</v>
      </c>
      <c r="I4033" s="18"/>
      <c r="J4033" s="18" t="s">
        <v>142</v>
      </c>
      <c r="K4033" s="18"/>
      <c r="L4033" s="12" t="s">
        <v>4200</v>
      </c>
      <c r="M4033" s="18" t="s">
        <v>4201</v>
      </c>
      <c r="N4033" s="18"/>
      <c r="O4033" s="18" t="s">
        <v>4202</v>
      </c>
      <c r="P4033" s="18" t="str">
        <f>HYPERLINK("https://ceds.ed.gov/cedselementdetails.aspx?termid=9691")</f>
        <v>https://ceds.ed.gov/cedselementdetails.aspx?termid=9691</v>
      </c>
      <c r="Q4033" s="18" t="str">
        <f>HYPERLINK("https://ceds.ed.gov/elementComment.aspx?elementName=Learning Standard Item Prerequisite Identifier &amp;elementID=9691", "Click here to submit comment")</f>
        <v>Click here to submit comment</v>
      </c>
    </row>
    <row r="4034" spans="1:17" x14ac:dyDescent="0.25">
      <c r="A4034" s="18"/>
      <c r="B4034" s="18"/>
      <c r="C4034" s="18"/>
      <c r="D4034" s="18"/>
      <c r="E4034" s="18"/>
      <c r="F4034" s="18"/>
      <c r="G4034" s="18"/>
      <c r="H4034" s="18"/>
      <c r="I4034" s="18"/>
      <c r="J4034" s="18"/>
      <c r="K4034" s="18"/>
      <c r="L4034" s="12"/>
      <c r="M4034" s="18"/>
      <c r="N4034" s="18"/>
      <c r="O4034" s="18"/>
      <c r="P4034" s="18"/>
      <c r="Q4034" s="18"/>
    </row>
    <row r="4035" spans="1:17" x14ac:dyDescent="0.25">
      <c r="A4035" s="18"/>
      <c r="B4035" s="18"/>
      <c r="C4035" s="18"/>
      <c r="D4035" s="18"/>
      <c r="E4035" s="18"/>
      <c r="F4035" s="18"/>
      <c r="G4035" s="18"/>
      <c r="H4035" s="18"/>
      <c r="I4035" s="18"/>
      <c r="J4035" s="18"/>
      <c r="K4035" s="18"/>
      <c r="L4035" s="12"/>
      <c r="M4035" s="18"/>
      <c r="N4035" s="18"/>
      <c r="O4035" s="18"/>
      <c r="P4035" s="18"/>
      <c r="Q4035" s="18"/>
    </row>
    <row r="4036" spans="1:17" x14ac:dyDescent="0.25">
      <c r="A4036" s="18"/>
      <c r="B4036" s="18"/>
      <c r="C4036" s="18"/>
      <c r="D4036" s="18"/>
      <c r="E4036" s="18"/>
      <c r="F4036" s="18"/>
      <c r="G4036" s="18"/>
      <c r="H4036" s="18"/>
      <c r="I4036" s="18"/>
      <c r="J4036" s="18"/>
      <c r="K4036" s="18"/>
      <c r="L4036" s="12"/>
      <c r="M4036" s="18"/>
      <c r="N4036" s="18"/>
      <c r="O4036" s="18"/>
      <c r="P4036" s="18"/>
      <c r="Q4036" s="18"/>
    </row>
    <row r="4037" spans="1:17" ht="105" x14ac:dyDescent="0.25">
      <c r="A4037" s="18"/>
      <c r="B4037" s="18"/>
      <c r="C4037" s="18"/>
      <c r="D4037" s="18"/>
      <c r="E4037" s="18"/>
      <c r="F4037" s="18"/>
      <c r="G4037" s="18"/>
      <c r="H4037" s="18"/>
      <c r="I4037" s="18"/>
      <c r="J4037" s="18"/>
      <c r="K4037" s="18"/>
      <c r="L4037" s="12" t="s">
        <v>143</v>
      </c>
      <c r="M4037" s="18"/>
      <c r="N4037" s="18"/>
      <c r="O4037" s="18"/>
      <c r="P4037" s="18"/>
      <c r="Q4037" s="18"/>
    </row>
    <row r="4038" spans="1:17" x14ac:dyDescent="0.25">
      <c r="A4038" s="18"/>
      <c r="B4038" s="18"/>
      <c r="C4038" s="18"/>
      <c r="D4038" s="18"/>
      <c r="E4038" s="18"/>
      <c r="F4038" s="18"/>
      <c r="G4038" s="18"/>
      <c r="H4038" s="18"/>
      <c r="I4038" s="18"/>
      <c r="J4038" s="18"/>
      <c r="K4038" s="18"/>
      <c r="L4038" s="12"/>
      <c r="M4038" s="18"/>
      <c r="N4038" s="18"/>
      <c r="O4038" s="18"/>
      <c r="P4038" s="18"/>
      <c r="Q4038" s="18"/>
    </row>
    <row r="4039" spans="1:17" x14ac:dyDescent="0.25">
      <c r="A4039" s="18"/>
      <c r="B4039" s="18"/>
      <c r="C4039" s="18"/>
      <c r="D4039" s="18"/>
      <c r="E4039" s="18"/>
      <c r="F4039" s="18"/>
      <c r="G4039" s="18"/>
      <c r="H4039" s="18"/>
      <c r="I4039" s="18"/>
      <c r="J4039" s="18"/>
      <c r="K4039" s="18"/>
      <c r="L4039" s="12"/>
      <c r="M4039" s="18"/>
      <c r="N4039" s="18"/>
      <c r="O4039" s="18"/>
      <c r="P4039" s="18"/>
      <c r="Q4039" s="18"/>
    </row>
    <row r="4040" spans="1:17" x14ac:dyDescent="0.25">
      <c r="A4040" s="18"/>
      <c r="B4040" s="18"/>
      <c r="C4040" s="18"/>
      <c r="D4040" s="18"/>
      <c r="E4040" s="18"/>
      <c r="F4040" s="18"/>
      <c r="G4040" s="18"/>
      <c r="H4040" s="18"/>
      <c r="I4040" s="18"/>
      <c r="J4040" s="18"/>
      <c r="K4040" s="18"/>
      <c r="L4040" s="12"/>
      <c r="M4040" s="18"/>
      <c r="N4040" s="18"/>
      <c r="O4040" s="18"/>
      <c r="P4040" s="18"/>
      <c r="Q4040" s="18"/>
    </row>
    <row r="4041" spans="1:17" ht="90" x14ac:dyDescent="0.25">
      <c r="A4041" s="18"/>
      <c r="B4041" s="18"/>
      <c r="C4041" s="18"/>
      <c r="D4041" s="18"/>
      <c r="E4041" s="18"/>
      <c r="F4041" s="18"/>
      <c r="G4041" s="18"/>
      <c r="H4041" s="18"/>
      <c r="I4041" s="18"/>
      <c r="J4041" s="18"/>
      <c r="K4041" s="18"/>
      <c r="L4041" s="12" t="s">
        <v>144</v>
      </c>
      <c r="M4041" s="18"/>
      <c r="N4041" s="18"/>
      <c r="O4041" s="18"/>
      <c r="P4041" s="18"/>
      <c r="Q4041" s="18"/>
    </row>
    <row r="4042" spans="1:17" ht="225" x14ac:dyDescent="0.25">
      <c r="A4042" s="12" t="s">
        <v>7354</v>
      </c>
      <c r="B4042" s="12" t="s">
        <v>7357</v>
      </c>
      <c r="C4042" s="12"/>
      <c r="D4042" s="12" t="s">
        <v>7172</v>
      </c>
      <c r="E4042" s="12" t="s">
        <v>4213</v>
      </c>
      <c r="F4042" s="12" t="s">
        <v>4214</v>
      </c>
      <c r="G4042" s="12" t="s">
        <v>12</v>
      </c>
      <c r="H4042" s="12" t="s">
        <v>827</v>
      </c>
      <c r="I4042" s="12"/>
      <c r="J4042" s="12" t="s">
        <v>327</v>
      </c>
      <c r="K4042" s="12"/>
      <c r="L4042" s="12" t="s">
        <v>4215</v>
      </c>
      <c r="M4042" s="12" t="s">
        <v>4216</v>
      </c>
      <c r="N4042" s="12" t="s">
        <v>4217</v>
      </c>
      <c r="O4042" s="12" t="s">
        <v>4218</v>
      </c>
      <c r="P4042" s="12" t="str">
        <f>HYPERLINK("https://ceds.ed.gov/cedselementdetails.aspx?termid=9667")</f>
        <v>https://ceds.ed.gov/cedselementdetails.aspx?termid=9667</v>
      </c>
      <c r="Q4042" s="12" t="str">
        <f>HYPERLINK("https://ceds.ed.gov/elementComment.aspx?elementName=Learning Standard Item Statement &amp;elementID=9667", "Click here to submit comment")</f>
        <v>Click here to submit comment</v>
      </c>
    </row>
    <row r="4043" spans="1:17" ht="75" x14ac:dyDescent="0.25">
      <c r="A4043" s="12" t="s">
        <v>7354</v>
      </c>
      <c r="B4043" s="12" t="s">
        <v>7357</v>
      </c>
      <c r="C4043" s="12"/>
      <c r="D4043" s="12" t="s">
        <v>7172</v>
      </c>
      <c r="E4043" s="12" t="s">
        <v>4235</v>
      </c>
      <c r="F4043" s="12" t="s">
        <v>4236</v>
      </c>
      <c r="G4043" s="12" t="s">
        <v>12</v>
      </c>
      <c r="H4043" s="12" t="s">
        <v>827</v>
      </c>
      <c r="I4043" s="12"/>
      <c r="J4043" s="12" t="s">
        <v>99</v>
      </c>
      <c r="K4043" s="12"/>
      <c r="L4043" s="12"/>
      <c r="M4043" s="12" t="s">
        <v>4237</v>
      </c>
      <c r="N4043" s="12" t="s">
        <v>4238</v>
      </c>
      <c r="O4043" s="12" t="s">
        <v>4239</v>
      </c>
      <c r="P4043" s="12" t="str">
        <f>HYPERLINK("https://ceds.ed.gov/cedselementdetails.aspx?termid=9668")</f>
        <v>https://ceds.ed.gov/cedselementdetails.aspx?termid=9668</v>
      </c>
      <c r="Q4043" s="12" t="str">
        <f>HYPERLINK("https://ceds.ed.gov/elementComment.aspx?elementName=Learning Standard Item Type &amp;elementID=9668", "Click here to submit comment")</f>
        <v>Click here to submit comment</v>
      </c>
    </row>
    <row r="4044" spans="1:17" ht="240" x14ac:dyDescent="0.25">
      <c r="A4044" s="18" t="s">
        <v>7354</v>
      </c>
      <c r="B4044" s="18" t="s">
        <v>7357</v>
      </c>
      <c r="C4044" s="18"/>
      <c r="D4044" s="18" t="s">
        <v>7172</v>
      </c>
      <c r="E4044" s="18" t="s">
        <v>4203</v>
      </c>
      <c r="F4044" s="18" t="s">
        <v>4204</v>
      </c>
      <c r="G4044" s="18" t="s">
        <v>12</v>
      </c>
      <c r="H4044" s="18"/>
      <c r="I4044" s="18"/>
      <c r="J4044" s="18" t="s">
        <v>142</v>
      </c>
      <c r="K4044" s="18"/>
      <c r="L4044" s="12" t="s">
        <v>4148</v>
      </c>
      <c r="M4044" s="18" t="s">
        <v>4205</v>
      </c>
      <c r="N4044" s="18"/>
      <c r="O4044" s="18" t="s">
        <v>4206</v>
      </c>
      <c r="P4044" s="18" t="str">
        <f>HYPERLINK("https://ceds.ed.gov/cedselementdetails.aspx?termid=10498")</f>
        <v>https://ceds.ed.gov/cedselementdetails.aspx?termid=10498</v>
      </c>
      <c r="Q4044" s="18" t="str">
        <f>HYPERLINK("https://ceds.ed.gov/elementComment.aspx?elementName=Learning Standard Item Previous Version Identifier &amp;elementID=10498", "Click here to submit comment")</f>
        <v>Click here to submit comment</v>
      </c>
    </row>
    <row r="4045" spans="1:17" x14ac:dyDescent="0.25">
      <c r="A4045" s="18"/>
      <c r="B4045" s="18"/>
      <c r="C4045" s="18"/>
      <c r="D4045" s="18"/>
      <c r="E4045" s="18"/>
      <c r="F4045" s="18"/>
      <c r="G4045" s="18"/>
      <c r="H4045" s="18"/>
      <c r="I4045" s="18"/>
      <c r="J4045" s="18"/>
      <c r="K4045" s="18"/>
      <c r="L4045" s="12"/>
      <c r="M4045" s="18"/>
      <c r="N4045" s="18"/>
      <c r="O4045" s="18"/>
      <c r="P4045" s="18"/>
      <c r="Q4045" s="18"/>
    </row>
    <row r="4046" spans="1:17" x14ac:dyDescent="0.25">
      <c r="A4046" s="18"/>
      <c r="B4046" s="18"/>
      <c r="C4046" s="18"/>
      <c r="D4046" s="18"/>
      <c r="E4046" s="18"/>
      <c r="F4046" s="18"/>
      <c r="G4046" s="18"/>
      <c r="H4046" s="18"/>
      <c r="I4046" s="18"/>
      <c r="J4046" s="18"/>
      <c r="K4046" s="18"/>
      <c r="L4046" s="12"/>
      <c r="M4046" s="18"/>
      <c r="N4046" s="18"/>
      <c r="O4046" s="18"/>
      <c r="P4046" s="18"/>
      <c r="Q4046" s="18"/>
    </row>
    <row r="4047" spans="1:17" ht="105" x14ac:dyDescent="0.25">
      <c r="A4047" s="18"/>
      <c r="B4047" s="18"/>
      <c r="C4047" s="18"/>
      <c r="D4047" s="18"/>
      <c r="E4047" s="18"/>
      <c r="F4047" s="18"/>
      <c r="G4047" s="18"/>
      <c r="H4047" s="18"/>
      <c r="I4047" s="18"/>
      <c r="J4047" s="18"/>
      <c r="K4047" s="18"/>
      <c r="L4047" s="12" t="s">
        <v>143</v>
      </c>
      <c r="M4047" s="18"/>
      <c r="N4047" s="18"/>
      <c r="O4047" s="18"/>
      <c r="P4047" s="18"/>
      <c r="Q4047" s="18"/>
    </row>
    <row r="4048" spans="1:17" x14ac:dyDescent="0.25">
      <c r="A4048" s="18"/>
      <c r="B4048" s="18"/>
      <c r="C4048" s="18"/>
      <c r="D4048" s="18"/>
      <c r="E4048" s="18"/>
      <c r="F4048" s="18"/>
      <c r="G4048" s="18"/>
      <c r="H4048" s="18"/>
      <c r="I4048" s="18"/>
      <c r="J4048" s="18"/>
      <c r="K4048" s="18"/>
      <c r="L4048" s="12"/>
      <c r="M4048" s="18"/>
      <c r="N4048" s="18"/>
      <c r="O4048" s="18"/>
      <c r="P4048" s="18"/>
      <c r="Q4048" s="18"/>
    </row>
    <row r="4049" spans="1:17" x14ac:dyDescent="0.25">
      <c r="A4049" s="18"/>
      <c r="B4049" s="18"/>
      <c r="C4049" s="18"/>
      <c r="D4049" s="18"/>
      <c r="E4049" s="18"/>
      <c r="F4049" s="18"/>
      <c r="G4049" s="18"/>
      <c r="H4049" s="18"/>
      <c r="I4049" s="18"/>
      <c r="J4049" s="18"/>
      <c r="K4049" s="18"/>
      <c r="L4049" s="12"/>
      <c r="M4049" s="18"/>
      <c r="N4049" s="18"/>
      <c r="O4049" s="18"/>
      <c r="P4049" s="18"/>
      <c r="Q4049" s="18"/>
    </row>
    <row r="4050" spans="1:17" ht="90" x14ac:dyDescent="0.25">
      <c r="A4050" s="18"/>
      <c r="B4050" s="18"/>
      <c r="C4050" s="18"/>
      <c r="D4050" s="18"/>
      <c r="E4050" s="18"/>
      <c r="F4050" s="18"/>
      <c r="G4050" s="18"/>
      <c r="H4050" s="18"/>
      <c r="I4050" s="18"/>
      <c r="J4050" s="18"/>
      <c r="K4050" s="18"/>
      <c r="L4050" s="12" t="s">
        <v>144</v>
      </c>
      <c r="M4050" s="18"/>
      <c r="N4050" s="18"/>
      <c r="O4050" s="18"/>
      <c r="P4050" s="18"/>
      <c r="Q4050" s="18"/>
    </row>
    <row r="4051" spans="1:17" ht="60" x14ac:dyDescent="0.25">
      <c r="A4051" s="12" t="s">
        <v>7354</v>
      </c>
      <c r="B4051" s="12" t="s">
        <v>7357</v>
      </c>
      <c r="C4051" s="12"/>
      <c r="D4051" s="12" t="s">
        <v>7172</v>
      </c>
      <c r="E4051" s="12" t="s">
        <v>4128</v>
      </c>
      <c r="F4051" s="12" t="s">
        <v>4129</v>
      </c>
      <c r="G4051" s="13" t="s">
        <v>7010</v>
      </c>
      <c r="H4051" s="12"/>
      <c r="I4051" s="12"/>
      <c r="J4051" s="12"/>
      <c r="K4051" s="12"/>
      <c r="L4051" s="12"/>
      <c r="M4051" s="12" t="s">
        <v>4130</v>
      </c>
      <c r="N4051" s="12"/>
      <c r="O4051" s="12" t="s">
        <v>4131</v>
      </c>
      <c r="P4051" s="12" t="str">
        <f>HYPERLINK("https://ceds.ed.gov/cedselementdetails.aspx?termid=9875")</f>
        <v>https://ceds.ed.gov/cedselementdetails.aspx?termid=9875</v>
      </c>
      <c r="Q4051" s="12" t="str">
        <f>HYPERLINK("https://ceds.ed.gov/elementComment.aspx?elementName=Learning Standard Item Blooms Taxonomy Domain &amp;elementID=9875", "Click here to submit comment")</f>
        <v>Click here to submit comment</v>
      </c>
    </row>
    <row r="4052" spans="1:17" ht="45" x14ac:dyDescent="0.25">
      <c r="A4052" s="12" t="s">
        <v>7354</v>
      </c>
      <c r="B4052" s="12" t="s">
        <v>7357</v>
      </c>
      <c r="C4052" s="12"/>
      <c r="D4052" s="12" t="s">
        <v>7172</v>
      </c>
      <c r="E4052" s="12" t="s">
        <v>4138</v>
      </c>
      <c r="F4052" s="12" t="s">
        <v>4139</v>
      </c>
      <c r="G4052" s="12" t="s">
        <v>12</v>
      </c>
      <c r="H4052" s="12"/>
      <c r="I4052" s="12"/>
      <c r="J4052" s="12" t="s">
        <v>68</v>
      </c>
      <c r="K4052" s="12"/>
      <c r="L4052" s="12"/>
      <c r="M4052" s="12" t="s">
        <v>4140</v>
      </c>
      <c r="N4052" s="12"/>
      <c r="O4052" s="12" t="s">
        <v>4141</v>
      </c>
      <c r="P4052" s="12" t="str">
        <f>HYPERLINK("https://ceds.ed.gov/cedselementdetails.aspx?termid=9887")</f>
        <v>https://ceds.ed.gov/cedselementdetails.aspx?termid=9887</v>
      </c>
      <c r="Q4052" s="12" t="str">
        <f>HYPERLINK("https://ceds.ed.gov/elementComment.aspx?elementName=Learning Standard Item Concept Keyword &amp;elementID=9887", "Click here to submit comment")</f>
        <v>Click here to submit comment</v>
      </c>
    </row>
    <row r="4053" spans="1:17" ht="75" x14ac:dyDescent="0.25">
      <c r="A4053" s="12" t="s">
        <v>7354</v>
      </c>
      <c r="B4053" s="12" t="s">
        <v>7357</v>
      </c>
      <c r="C4053" s="12"/>
      <c r="D4053" s="12" t="s">
        <v>7172</v>
      </c>
      <c r="E4053" s="12" t="s">
        <v>4142</v>
      </c>
      <c r="F4053" s="12" t="s">
        <v>4143</v>
      </c>
      <c r="G4053" s="12" t="s">
        <v>12</v>
      </c>
      <c r="H4053" s="12"/>
      <c r="I4053" s="12"/>
      <c r="J4053" s="12" t="s">
        <v>92</v>
      </c>
      <c r="K4053" s="12"/>
      <c r="L4053" s="12"/>
      <c r="M4053" s="12" t="s">
        <v>4144</v>
      </c>
      <c r="N4053" s="12"/>
      <c r="O4053" s="12" t="s">
        <v>4145</v>
      </c>
      <c r="P4053" s="12" t="str">
        <f>HYPERLINK("https://ceds.ed.gov/cedselementdetails.aspx?termid=9888")</f>
        <v>https://ceds.ed.gov/cedselementdetails.aspx?termid=9888</v>
      </c>
      <c r="Q4053" s="12" t="str">
        <f>HYPERLINK("https://ceds.ed.gov/elementComment.aspx?elementName=Learning Standard Item Concept Term &amp;elementID=9888", "Click here to submit comment")</f>
        <v>Click here to submit comment</v>
      </c>
    </row>
    <row r="4054" spans="1:17" ht="240" x14ac:dyDescent="0.25">
      <c r="A4054" s="12" t="s">
        <v>7354</v>
      </c>
      <c r="B4054" s="12" t="s">
        <v>7357</v>
      </c>
      <c r="C4054" s="12"/>
      <c r="D4054" s="12" t="s">
        <v>7172</v>
      </c>
      <c r="E4054" s="12" t="s">
        <v>4146</v>
      </c>
      <c r="F4054" s="12" t="s">
        <v>4147</v>
      </c>
      <c r="G4054" s="12" t="s">
        <v>6364</v>
      </c>
      <c r="H4054" s="12"/>
      <c r="I4054" s="12"/>
      <c r="J4054" s="12"/>
      <c r="K4054" s="12"/>
      <c r="L4054" s="12" t="s">
        <v>4148</v>
      </c>
      <c r="M4054" s="12" t="s">
        <v>4149</v>
      </c>
      <c r="N4054" s="12"/>
      <c r="O4054" s="12" t="s">
        <v>4150</v>
      </c>
      <c r="P4054" s="12" t="str">
        <f>HYPERLINK("https://ceds.ed.gov/cedselementdetails.aspx?termid=10499")</f>
        <v>https://ceds.ed.gov/cedselementdetails.aspx?termid=10499</v>
      </c>
      <c r="Q4054" s="12" t="str">
        <f>HYPERLINK("https://ceds.ed.gov/elementComment.aspx?elementName=Learning Standard Item Current Version Indicator &amp;elementID=10499", "Click here to submit comment")</f>
        <v>Click here to submit comment</v>
      </c>
    </row>
    <row r="4055" spans="1:17" ht="90" x14ac:dyDescent="0.25">
      <c r="A4055" s="12" t="s">
        <v>7354</v>
      </c>
      <c r="B4055" s="12" t="s">
        <v>7357</v>
      </c>
      <c r="C4055" s="12"/>
      <c r="D4055" s="12" t="s">
        <v>7172</v>
      </c>
      <c r="E4055" s="12" t="s">
        <v>4161</v>
      </c>
      <c r="F4055" s="12" t="s">
        <v>4162</v>
      </c>
      <c r="G4055" s="14" t="s">
        <v>999</v>
      </c>
      <c r="H4055" s="12"/>
      <c r="I4055" s="12" t="s">
        <v>98</v>
      </c>
      <c r="J4055" s="12"/>
      <c r="K4055" s="12"/>
      <c r="L4055" s="14" t="s">
        <v>1000</v>
      </c>
      <c r="M4055" s="12" t="s">
        <v>4163</v>
      </c>
      <c r="N4055" s="12"/>
      <c r="O4055" s="12" t="s">
        <v>4164</v>
      </c>
      <c r="P4055" s="12" t="str">
        <f>HYPERLINK("https://ceds.ed.gov/cedselementdetails.aspx?termid=9881")</f>
        <v>https://ceds.ed.gov/cedselementdetails.aspx?termid=9881</v>
      </c>
      <c r="Q4055" s="12" t="str">
        <f>HYPERLINK("https://ceds.ed.gov/elementComment.aspx?elementName=Learning Standard Item Language &amp;elementID=9881", "Click here to submit comment")</f>
        <v>Click here to submit comment</v>
      </c>
    </row>
    <row r="4056" spans="1:17" ht="60" x14ac:dyDescent="0.25">
      <c r="A4056" s="12" t="s">
        <v>7354</v>
      </c>
      <c r="B4056" s="12" t="s">
        <v>7357</v>
      </c>
      <c r="C4056" s="12"/>
      <c r="D4056" s="12" t="s">
        <v>7172</v>
      </c>
      <c r="E4056" s="12" t="s">
        <v>4165</v>
      </c>
      <c r="F4056" s="12" t="s">
        <v>4166</v>
      </c>
      <c r="G4056" s="12" t="s">
        <v>12</v>
      </c>
      <c r="H4056" s="12"/>
      <c r="I4056" s="12"/>
      <c r="J4056" s="12" t="s">
        <v>68</v>
      </c>
      <c r="K4056" s="12"/>
      <c r="L4056" s="12"/>
      <c r="M4056" s="12" t="s">
        <v>4167</v>
      </c>
      <c r="N4056" s="12"/>
      <c r="O4056" s="12" t="s">
        <v>4168</v>
      </c>
      <c r="P4056" s="12" t="str">
        <f>HYPERLINK("https://ceds.ed.gov/cedselementdetails.aspx?termid=9883")</f>
        <v>https://ceds.ed.gov/cedselementdetails.aspx?termid=9883</v>
      </c>
      <c r="Q4056" s="12" t="str">
        <f>HYPERLINK("https://ceds.ed.gov/elementComment.aspx?elementName=Learning Standard Item License &amp;elementID=9883", "Click here to submit comment")</f>
        <v>Click here to submit comment</v>
      </c>
    </row>
    <row r="4057" spans="1:17" ht="150" x14ac:dyDescent="0.25">
      <c r="A4057" s="12" t="s">
        <v>7354</v>
      </c>
      <c r="B4057" s="12" t="s">
        <v>7357</v>
      </c>
      <c r="C4057" s="12"/>
      <c r="D4057" s="12" t="s">
        <v>7172</v>
      </c>
      <c r="E4057" s="12" t="s">
        <v>4169</v>
      </c>
      <c r="F4057" s="12" t="s">
        <v>4170</v>
      </c>
      <c r="G4057" s="13" t="s">
        <v>7011</v>
      </c>
      <c r="H4057" s="12"/>
      <c r="I4057" s="12"/>
      <c r="J4057" s="12"/>
      <c r="K4057" s="12"/>
      <c r="L4057" s="12"/>
      <c r="M4057" s="12" t="s">
        <v>4171</v>
      </c>
      <c r="N4057" s="12"/>
      <c r="O4057" s="12" t="s">
        <v>4172</v>
      </c>
      <c r="P4057" s="12" t="str">
        <f>HYPERLINK("https://ceds.ed.gov/cedselementdetails.aspx?termid=9876")</f>
        <v>https://ceds.ed.gov/cedselementdetails.aspx?termid=9876</v>
      </c>
      <c r="Q4057" s="12" t="str">
        <f>HYPERLINK("https://ceds.ed.gov/elementComment.aspx?elementName=Learning Standard Item Multiple Intelligence &amp;elementID=9876", "Click here to submit comment")</f>
        <v>Click here to submit comment</v>
      </c>
    </row>
    <row r="4058" spans="1:17" ht="105" x14ac:dyDescent="0.25">
      <c r="A4058" s="12" t="s">
        <v>7354</v>
      </c>
      <c r="B4058" s="12" t="s">
        <v>7357</v>
      </c>
      <c r="C4058" s="12"/>
      <c r="D4058" s="12" t="s">
        <v>7172</v>
      </c>
      <c r="E4058" s="12" t="s">
        <v>4173</v>
      </c>
      <c r="F4058" s="12" t="s">
        <v>4174</v>
      </c>
      <c r="G4058" s="13" t="s">
        <v>7012</v>
      </c>
      <c r="H4058" s="12"/>
      <c r="I4058" s="12"/>
      <c r="J4058" s="12"/>
      <c r="K4058" s="12"/>
      <c r="L4058" s="12"/>
      <c r="M4058" s="12" t="s">
        <v>4176</v>
      </c>
      <c r="N4058" s="12"/>
      <c r="O4058" s="12" t="s">
        <v>4177</v>
      </c>
      <c r="P4058" s="12" t="str">
        <f>HYPERLINK("https://ceds.ed.gov/cedselementdetails.aspx?termid=10377")</f>
        <v>https://ceds.ed.gov/cedselementdetails.aspx?termid=10377</v>
      </c>
      <c r="Q4058" s="12" t="str">
        <f>HYPERLINK("https://ceds.ed.gov/elementComment.aspx?elementName=Learning Standard Item Node Accessibility Profile &amp;elementID=10377", "Click here to submit comment")</f>
        <v>Click here to submit comment</v>
      </c>
    </row>
    <row r="4059" spans="1:17" ht="45" x14ac:dyDescent="0.25">
      <c r="A4059" s="12" t="s">
        <v>7354</v>
      </c>
      <c r="B4059" s="12" t="s">
        <v>7357</v>
      </c>
      <c r="C4059" s="12"/>
      <c r="D4059" s="12" t="s">
        <v>7172</v>
      </c>
      <c r="E4059" s="12" t="s">
        <v>4178</v>
      </c>
      <c r="F4059" s="12" t="s">
        <v>4179</v>
      </c>
      <c r="G4059" s="12" t="s">
        <v>12</v>
      </c>
      <c r="H4059" s="12"/>
      <c r="I4059" s="12"/>
      <c r="J4059" s="12" t="s">
        <v>92</v>
      </c>
      <c r="K4059" s="12"/>
      <c r="L4059" s="12"/>
      <c r="M4059" s="12" t="s">
        <v>4180</v>
      </c>
      <c r="N4059" s="12"/>
      <c r="O4059" s="12" t="s">
        <v>4181</v>
      </c>
      <c r="P4059" s="12" t="str">
        <f>HYPERLINK("https://ceds.ed.gov/cedselementdetails.aspx?termid=10378")</f>
        <v>https://ceds.ed.gov/cedselementdetails.aspx?termid=10378</v>
      </c>
      <c r="Q4059" s="12" t="str">
        <f>HYPERLINK("https://ceds.ed.gov/elementComment.aspx?elementName=Learning Standard Item Node Name &amp;elementID=10378", "Click here to submit comment")</f>
        <v>Click here to submit comment</v>
      </c>
    </row>
    <row r="4060" spans="1:17" ht="30" x14ac:dyDescent="0.25">
      <c r="A4060" s="12" t="s">
        <v>7354</v>
      </c>
      <c r="B4060" s="12" t="s">
        <v>7357</v>
      </c>
      <c r="C4060" s="12"/>
      <c r="D4060" s="12" t="s">
        <v>7172</v>
      </c>
      <c r="E4060" s="12" t="s">
        <v>4182</v>
      </c>
      <c r="F4060" s="12" t="s">
        <v>4183</v>
      </c>
      <c r="G4060" s="12" t="s">
        <v>12</v>
      </c>
      <c r="H4060" s="12"/>
      <c r="I4060" s="12"/>
      <c r="J4060" s="12" t="s">
        <v>327</v>
      </c>
      <c r="K4060" s="12"/>
      <c r="L4060" s="12"/>
      <c r="M4060" s="12" t="s">
        <v>4184</v>
      </c>
      <c r="N4060" s="12"/>
      <c r="O4060" s="12" t="s">
        <v>4185</v>
      </c>
      <c r="P4060" s="12" t="str">
        <f>HYPERLINK("https://ceds.ed.gov/cedselementdetails.aspx?termid=10215")</f>
        <v>https://ceds.ed.gov/cedselementdetails.aspx?termid=10215</v>
      </c>
      <c r="Q4060" s="12" t="str">
        <f>HYPERLINK("https://ceds.ed.gov/elementComment.aspx?elementName=Learning Standard Item Notes &amp;elementID=10215", "Click here to submit comment")</f>
        <v>Click here to submit comment</v>
      </c>
    </row>
    <row r="4061" spans="1:17" ht="60" x14ac:dyDescent="0.25">
      <c r="A4061" s="12" t="s">
        <v>7354</v>
      </c>
      <c r="B4061" s="12" t="s">
        <v>7357</v>
      </c>
      <c r="C4061" s="12"/>
      <c r="D4061" s="12" t="s">
        <v>7172</v>
      </c>
      <c r="E4061" s="12" t="s">
        <v>4186</v>
      </c>
      <c r="F4061" s="12" t="s">
        <v>4187</v>
      </c>
      <c r="G4061" s="12" t="s">
        <v>12</v>
      </c>
      <c r="H4061" s="12"/>
      <c r="I4061" s="12"/>
      <c r="J4061" s="12" t="s">
        <v>92</v>
      </c>
      <c r="K4061" s="12"/>
      <c r="L4061" s="12"/>
      <c r="M4061" s="12" t="s">
        <v>4188</v>
      </c>
      <c r="N4061" s="12"/>
      <c r="O4061" s="12" t="s">
        <v>4189</v>
      </c>
      <c r="P4061" s="12" t="str">
        <f>HYPERLINK("https://ceds.ed.gov/cedselementdetails.aspx?termid=9873")</f>
        <v>https://ceds.ed.gov/cedselementdetails.aspx?termid=9873</v>
      </c>
      <c r="Q4061" s="12" t="str">
        <f>HYPERLINK("https://ceds.ed.gov/elementComment.aspx?elementName=Learning Standard Item Parent Code &amp;elementID=9873", "Click here to submit comment")</f>
        <v>Click here to submit comment</v>
      </c>
    </row>
    <row r="4062" spans="1:17" ht="105" x14ac:dyDescent="0.25">
      <c r="A4062" s="18" t="s">
        <v>7354</v>
      </c>
      <c r="B4062" s="18" t="s">
        <v>7357</v>
      </c>
      <c r="C4062" s="18"/>
      <c r="D4062" s="18" t="s">
        <v>7172</v>
      </c>
      <c r="E4062" s="18" t="s">
        <v>4190</v>
      </c>
      <c r="F4062" s="18" t="s">
        <v>4191</v>
      </c>
      <c r="G4062" s="18" t="s">
        <v>12</v>
      </c>
      <c r="H4062" s="18"/>
      <c r="I4062" s="18"/>
      <c r="J4062" s="18" t="s">
        <v>142</v>
      </c>
      <c r="K4062" s="18"/>
      <c r="L4062" s="12" t="s">
        <v>143</v>
      </c>
      <c r="M4062" s="18" t="s">
        <v>4192</v>
      </c>
      <c r="N4062" s="18"/>
      <c r="O4062" s="18" t="s">
        <v>4193</v>
      </c>
      <c r="P4062" s="18" t="str">
        <f>HYPERLINK("https://ceds.ed.gov/cedselementdetails.aspx?termid=9872")</f>
        <v>https://ceds.ed.gov/cedselementdetails.aspx?termid=9872</v>
      </c>
      <c r="Q4062" s="18" t="str">
        <f>HYPERLINK("https://ceds.ed.gov/elementComment.aspx?elementName=Learning Standard Item Parent Identifier &amp;elementID=9872", "Click here to submit comment")</f>
        <v>Click here to submit comment</v>
      </c>
    </row>
    <row r="4063" spans="1:17" x14ac:dyDescent="0.25">
      <c r="A4063" s="18"/>
      <c r="B4063" s="18"/>
      <c r="C4063" s="18"/>
      <c r="D4063" s="18"/>
      <c r="E4063" s="18"/>
      <c r="F4063" s="18"/>
      <c r="G4063" s="18"/>
      <c r="H4063" s="18"/>
      <c r="I4063" s="18"/>
      <c r="J4063" s="18"/>
      <c r="K4063" s="18"/>
      <c r="L4063" s="12"/>
      <c r="M4063" s="18"/>
      <c r="N4063" s="18"/>
      <c r="O4063" s="18"/>
      <c r="P4063" s="18"/>
      <c r="Q4063" s="18"/>
    </row>
    <row r="4064" spans="1:17" ht="90" x14ac:dyDescent="0.25">
      <c r="A4064" s="18"/>
      <c r="B4064" s="18"/>
      <c r="C4064" s="18"/>
      <c r="D4064" s="18"/>
      <c r="E4064" s="18"/>
      <c r="F4064" s="18"/>
      <c r="G4064" s="18"/>
      <c r="H4064" s="18"/>
      <c r="I4064" s="18"/>
      <c r="J4064" s="18"/>
      <c r="K4064" s="18"/>
      <c r="L4064" s="12" t="s">
        <v>144</v>
      </c>
      <c r="M4064" s="18"/>
      <c r="N4064" s="18"/>
      <c r="O4064" s="18"/>
      <c r="P4064" s="18"/>
      <c r="Q4064" s="18"/>
    </row>
    <row r="4065" spans="1:17" ht="75" x14ac:dyDescent="0.25">
      <c r="A4065" s="12" t="s">
        <v>7354</v>
      </c>
      <c r="B4065" s="12" t="s">
        <v>7357</v>
      </c>
      <c r="C4065" s="12"/>
      <c r="D4065" s="12" t="s">
        <v>7172</v>
      </c>
      <c r="E4065" s="12" t="s">
        <v>4194</v>
      </c>
      <c r="F4065" s="12" t="s">
        <v>4195</v>
      </c>
      <c r="G4065" s="12" t="s">
        <v>12</v>
      </c>
      <c r="H4065" s="12"/>
      <c r="I4065" s="12"/>
      <c r="J4065" s="12" t="s">
        <v>68</v>
      </c>
      <c r="K4065" s="12"/>
      <c r="L4065" s="12"/>
      <c r="M4065" s="12" t="s">
        <v>4196</v>
      </c>
      <c r="N4065" s="12"/>
      <c r="O4065" s="12" t="s">
        <v>4197</v>
      </c>
      <c r="P4065" s="12" t="str">
        <f>HYPERLINK("https://ceds.ed.gov/cedselementdetails.aspx?termid=10078")</f>
        <v>https://ceds.ed.gov/cedselementdetails.aspx?termid=10078</v>
      </c>
      <c r="Q4065" s="12" t="str">
        <f>HYPERLINK("https://ceds.ed.gov/elementComment.aspx?elementName=Learning Standard Item Parent URL &amp;elementID=10078", "Click here to submit comment")</f>
        <v>Click here to submit comment</v>
      </c>
    </row>
    <row r="4066" spans="1:17" ht="105" x14ac:dyDescent="0.25">
      <c r="A4066" s="12" t="s">
        <v>7354</v>
      </c>
      <c r="B4066" s="12" t="s">
        <v>7357</v>
      </c>
      <c r="C4066" s="12"/>
      <c r="D4066" s="12" t="s">
        <v>7172</v>
      </c>
      <c r="E4066" s="12" t="s">
        <v>4219</v>
      </c>
      <c r="F4066" s="12" t="s">
        <v>4220</v>
      </c>
      <c r="G4066" s="13" t="s">
        <v>7013</v>
      </c>
      <c r="H4066" s="12"/>
      <c r="I4066" s="12"/>
      <c r="J4066" s="12"/>
      <c r="K4066" s="12"/>
      <c r="L4066" s="12"/>
      <c r="M4066" s="12" t="s">
        <v>4221</v>
      </c>
      <c r="N4066" s="12"/>
      <c r="O4066" s="12" t="s">
        <v>4222</v>
      </c>
      <c r="P4066" s="12" t="str">
        <f>HYPERLINK("https://ceds.ed.gov/cedselementdetails.aspx?termid=10380")</f>
        <v>https://ceds.ed.gov/cedselementdetails.aspx?termid=10380</v>
      </c>
      <c r="Q4066" s="12" t="str">
        <f>HYPERLINK("https://ceds.ed.gov/elementComment.aspx?elementName=Learning Standard Item Testability Type &amp;elementID=10380", "Click here to submit comment")</f>
        <v>Click here to submit comment</v>
      </c>
    </row>
    <row r="4067" spans="1:17" ht="75" x14ac:dyDescent="0.25">
      <c r="A4067" s="12" t="s">
        <v>7354</v>
      </c>
      <c r="B4067" s="12" t="s">
        <v>7357</v>
      </c>
      <c r="C4067" s="12"/>
      <c r="D4067" s="12" t="s">
        <v>7172</v>
      </c>
      <c r="E4067" s="12" t="s">
        <v>4223</v>
      </c>
      <c r="F4067" s="12" t="s">
        <v>4224</v>
      </c>
      <c r="G4067" s="12" t="s">
        <v>12</v>
      </c>
      <c r="H4067" s="12"/>
      <c r="I4067" s="12"/>
      <c r="J4067" s="12" t="s">
        <v>157</v>
      </c>
      <c r="K4067" s="12"/>
      <c r="L4067" s="12"/>
      <c r="M4067" s="12" t="s">
        <v>4225</v>
      </c>
      <c r="N4067" s="12"/>
      <c r="O4067" s="12" t="s">
        <v>4226</v>
      </c>
      <c r="P4067" s="12" t="str">
        <f>HYPERLINK("https://ceds.ed.gov/cedselementdetails.aspx?termid=10115")</f>
        <v>https://ceds.ed.gov/cedselementdetails.aspx?termid=10115</v>
      </c>
      <c r="Q4067" s="12" t="str">
        <f>HYPERLINK("https://ceds.ed.gov/elementComment.aspx?elementName=Learning Standard Item Text Complexity Maximum Value &amp;elementID=10115", "Click here to submit comment")</f>
        <v>Click here to submit comment</v>
      </c>
    </row>
    <row r="4068" spans="1:17" ht="75" x14ac:dyDescent="0.25">
      <c r="A4068" s="12" t="s">
        <v>7354</v>
      </c>
      <c r="B4068" s="12" t="s">
        <v>7357</v>
      </c>
      <c r="C4068" s="12"/>
      <c r="D4068" s="12" t="s">
        <v>7172</v>
      </c>
      <c r="E4068" s="12" t="s">
        <v>4227</v>
      </c>
      <c r="F4068" s="12" t="s">
        <v>4228</v>
      </c>
      <c r="G4068" s="12" t="s">
        <v>12</v>
      </c>
      <c r="H4068" s="12"/>
      <c r="I4068" s="12"/>
      <c r="J4068" s="12" t="s">
        <v>157</v>
      </c>
      <c r="K4068" s="12"/>
      <c r="L4068" s="12"/>
      <c r="M4068" s="12" t="s">
        <v>4229</v>
      </c>
      <c r="N4068" s="12"/>
      <c r="O4068" s="12" t="s">
        <v>4230</v>
      </c>
      <c r="P4068" s="12" t="str">
        <f>HYPERLINK("https://ceds.ed.gov/cedselementdetails.aspx?termid=10114")</f>
        <v>https://ceds.ed.gov/cedselementdetails.aspx?termid=10114</v>
      </c>
      <c r="Q4068" s="12" t="str">
        <f>HYPERLINK("https://ceds.ed.gov/elementComment.aspx?elementName=Learning Standard Item Text Complexity Minimum Value &amp;elementID=10114", "Click here to submit comment")</f>
        <v>Click here to submit comment</v>
      </c>
    </row>
    <row r="4069" spans="1:17" ht="45" x14ac:dyDescent="0.25">
      <c r="A4069" s="12" t="s">
        <v>7354</v>
      </c>
      <c r="B4069" s="12" t="s">
        <v>7357</v>
      </c>
      <c r="C4069" s="12"/>
      <c r="D4069" s="12" t="s">
        <v>7172</v>
      </c>
      <c r="E4069" s="12" t="s">
        <v>4231</v>
      </c>
      <c r="F4069" s="12" t="s">
        <v>4232</v>
      </c>
      <c r="G4069" s="12" t="s">
        <v>12</v>
      </c>
      <c r="H4069" s="12"/>
      <c r="I4069" s="12"/>
      <c r="J4069" s="12" t="s">
        <v>92</v>
      </c>
      <c r="K4069" s="12"/>
      <c r="L4069" s="12"/>
      <c r="M4069" s="12" t="s">
        <v>4233</v>
      </c>
      <c r="N4069" s="12"/>
      <c r="O4069" s="12" t="s">
        <v>4234</v>
      </c>
      <c r="P4069" s="12" t="str">
        <f>HYPERLINK("https://ceds.ed.gov/cedselementdetails.aspx?termid=9910")</f>
        <v>https://ceds.ed.gov/cedselementdetails.aspx?termid=9910</v>
      </c>
      <c r="Q4069" s="12" t="str">
        <f>HYPERLINK("https://ceds.ed.gov/elementComment.aspx?elementName=Learning Standard Item Text Complexity System &amp;elementID=9910", "Click here to submit comment")</f>
        <v>Click here to submit comment</v>
      </c>
    </row>
    <row r="4070" spans="1:17" ht="30" x14ac:dyDescent="0.25">
      <c r="A4070" s="12" t="s">
        <v>7354</v>
      </c>
      <c r="B4070" s="12" t="s">
        <v>7357</v>
      </c>
      <c r="C4070" s="12"/>
      <c r="D4070" s="12" t="s">
        <v>7172</v>
      </c>
      <c r="E4070" s="12" t="s">
        <v>4240</v>
      </c>
      <c r="F4070" s="12" t="s">
        <v>4241</v>
      </c>
      <c r="G4070" s="12" t="s">
        <v>12</v>
      </c>
      <c r="H4070" s="12"/>
      <c r="I4070" s="12"/>
      <c r="J4070" s="12" t="s">
        <v>1201</v>
      </c>
      <c r="K4070" s="12"/>
      <c r="L4070" s="12" t="s">
        <v>4242</v>
      </c>
      <c r="M4070" s="12" t="s">
        <v>4243</v>
      </c>
      <c r="N4070" s="12"/>
      <c r="O4070" s="12" t="s">
        <v>4244</v>
      </c>
      <c r="P4070" s="12" t="str">
        <f>HYPERLINK("https://ceds.ed.gov/cedselementdetails.aspx?termid=9870")</f>
        <v>https://ceds.ed.gov/cedselementdetails.aspx?termid=9870</v>
      </c>
      <c r="Q4070" s="12" t="str">
        <f>HYPERLINK("https://ceds.ed.gov/elementComment.aspx?elementName=Learning Standard Item Typical Age Range &amp;elementID=9870", "Click here to submit comment")</f>
        <v>Click here to submit comment</v>
      </c>
    </row>
    <row r="4071" spans="1:17" ht="45" x14ac:dyDescent="0.25">
      <c r="A4071" s="12" t="s">
        <v>7354</v>
      </c>
      <c r="B4071" s="12" t="s">
        <v>7357</v>
      </c>
      <c r="C4071" s="12"/>
      <c r="D4071" s="12" t="s">
        <v>7172</v>
      </c>
      <c r="E4071" s="12" t="s">
        <v>4259</v>
      </c>
      <c r="F4071" s="12" t="s">
        <v>4260</v>
      </c>
      <c r="G4071" s="12" t="s">
        <v>12</v>
      </c>
      <c r="H4071" s="12"/>
      <c r="I4071" s="12"/>
      <c r="J4071" s="12" t="s">
        <v>327</v>
      </c>
      <c r="K4071" s="12"/>
      <c r="L4071" s="12"/>
      <c r="M4071" s="12" t="s">
        <v>4261</v>
      </c>
      <c r="N4071" s="12"/>
      <c r="O4071" s="12" t="s">
        <v>4262</v>
      </c>
      <c r="P4071" s="12" t="str">
        <f>HYPERLINK("https://ceds.ed.gov/cedselementdetails.aspx?termid=10216")</f>
        <v>https://ceds.ed.gov/cedselementdetails.aspx?termid=10216</v>
      </c>
      <c r="Q4071" s="12" t="str">
        <f>HYPERLINK("https://ceds.ed.gov/elementComment.aspx?elementName=Learning Standard Item Version &amp;elementID=10216", "Click here to submit comment")</f>
        <v>Click here to submit comment</v>
      </c>
    </row>
    <row r="4072" spans="1:17" ht="75" x14ac:dyDescent="0.25">
      <c r="A4072" s="12" t="s">
        <v>7354</v>
      </c>
      <c r="B4072" s="12" t="s">
        <v>7357</v>
      </c>
      <c r="C4072" s="12" t="s">
        <v>7362</v>
      </c>
      <c r="D4072" s="12" t="s">
        <v>7172</v>
      </c>
      <c r="E4072" s="12" t="s">
        <v>4104</v>
      </c>
      <c r="F4072" s="12" t="s">
        <v>4105</v>
      </c>
      <c r="G4072" s="12" t="s">
        <v>12</v>
      </c>
      <c r="H4072" s="12"/>
      <c r="I4072" s="12"/>
      <c r="J4072" s="12" t="s">
        <v>68</v>
      </c>
      <c r="K4072" s="12"/>
      <c r="L4072" s="12"/>
      <c r="M4072" s="12" t="s">
        <v>4106</v>
      </c>
      <c r="N4072" s="12"/>
      <c r="O4072" s="12" t="s">
        <v>4107</v>
      </c>
      <c r="P4072" s="12" t="str">
        <f>HYPERLINK("https://ceds.ed.gov/cedselementdetails.aspx?termid=9871")</f>
        <v>https://ceds.ed.gov/cedselementdetails.aspx?termid=9871</v>
      </c>
      <c r="Q4072" s="12" t="str">
        <f>HYPERLINK("https://ceds.ed.gov/elementComment.aspx?elementName=Learning Standard Item Association Identifier URI &amp;elementID=9871", "Click here to submit comment")</f>
        <v>Click here to submit comment</v>
      </c>
    </row>
    <row r="4073" spans="1:17" ht="165" x14ac:dyDescent="0.25">
      <c r="A4073" s="18" t="s">
        <v>7354</v>
      </c>
      <c r="B4073" s="18" t="s">
        <v>7357</v>
      </c>
      <c r="C4073" s="18" t="s">
        <v>7362</v>
      </c>
      <c r="D4073" s="18" t="s">
        <v>7172</v>
      </c>
      <c r="E4073" s="18" t="s">
        <v>4116</v>
      </c>
      <c r="F4073" s="18" t="s">
        <v>4117</v>
      </c>
      <c r="G4073" s="20" t="s">
        <v>7009</v>
      </c>
      <c r="H4073" s="18"/>
      <c r="I4073" s="18" t="s">
        <v>98</v>
      </c>
      <c r="J4073" s="18"/>
      <c r="K4073" s="18"/>
      <c r="L4073" s="12" t="s">
        <v>4118</v>
      </c>
      <c r="M4073" s="18" t="s">
        <v>4120</v>
      </c>
      <c r="N4073" s="18"/>
      <c r="O4073" s="18" t="s">
        <v>4121</v>
      </c>
      <c r="P4073" s="18" t="str">
        <f>HYPERLINK("https://ceds.ed.gov/cedselementdetails.aspx?termid=9869")</f>
        <v>https://ceds.ed.gov/cedselementdetails.aspx?termid=9869</v>
      </c>
      <c r="Q4073" s="18" t="str">
        <f>HYPERLINK("https://ceds.ed.gov/elementComment.aspx?elementName=Learning Standard Item Association Type &amp;elementID=9869", "Click here to submit comment")</f>
        <v>Click here to submit comment</v>
      </c>
    </row>
    <row r="4074" spans="1:17" x14ac:dyDescent="0.25">
      <c r="A4074" s="18"/>
      <c r="B4074" s="18"/>
      <c r="C4074" s="18"/>
      <c r="D4074" s="18"/>
      <c r="E4074" s="18"/>
      <c r="F4074" s="18"/>
      <c r="G4074" s="18"/>
      <c r="H4074" s="18"/>
      <c r="I4074" s="18"/>
      <c r="J4074" s="18"/>
      <c r="K4074" s="18"/>
      <c r="L4074" s="12"/>
      <c r="M4074" s="18"/>
      <c r="N4074" s="18"/>
      <c r="O4074" s="18"/>
      <c r="P4074" s="18"/>
      <c r="Q4074" s="18"/>
    </row>
    <row r="4075" spans="1:17" x14ac:dyDescent="0.25">
      <c r="A4075" s="18"/>
      <c r="B4075" s="18"/>
      <c r="C4075" s="18"/>
      <c r="D4075" s="18"/>
      <c r="E4075" s="18"/>
      <c r="F4075" s="18"/>
      <c r="G4075" s="18"/>
      <c r="H4075" s="18"/>
      <c r="I4075" s="18"/>
      <c r="J4075" s="18"/>
      <c r="K4075" s="18"/>
      <c r="L4075" s="12"/>
      <c r="M4075" s="18"/>
      <c r="N4075" s="18"/>
      <c r="O4075" s="18"/>
      <c r="P4075" s="18"/>
      <c r="Q4075" s="18"/>
    </row>
    <row r="4076" spans="1:17" ht="135" x14ac:dyDescent="0.25">
      <c r="A4076" s="18"/>
      <c r="B4076" s="18"/>
      <c r="C4076" s="18"/>
      <c r="D4076" s="18"/>
      <c r="E4076" s="18"/>
      <c r="F4076" s="18"/>
      <c r="G4076" s="18"/>
      <c r="H4076" s="18"/>
      <c r="I4076" s="18"/>
      <c r="J4076" s="18"/>
      <c r="K4076" s="18"/>
      <c r="L4076" s="12" t="s">
        <v>4119</v>
      </c>
      <c r="M4076" s="18"/>
      <c r="N4076" s="18"/>
      <c r="O4076" s="18"/>
      <c r="P4076" s="18"/>
      <c r="Q4076" s="18"/>
    </row>
    <row r="4077" spans="1:17" ht="30" x14ac:dyDescent="0.25">
      <c r="A4077" s="12" t="s">
        <v>7354</v>
      </c>
      <c r="B4077" s="12" t="s">
        <v>7357</v>
      </c>
      <c r="C4077" s="12" t="s">
        <v>7362</v>
      </c>
      <c r="D4077" s="12" t="s">
        <v>7172</v>
      </c>
      <c r="E4077" s="12" t="s">
        <v>4091</v>
      </c>
      <c r="F4077" s="12" t="s">
        <v>4092</v>
      </c>
      <c r="G4077" s="12" t="s">
        <v>12</v>
      </c>
      <c r="H4077" s="12"/>
      <c r="I4077" s="12"/>
      <c r="J4077" s="12" t="s">
        <v>68</v>
      </c>
      <c r="K4077" s="12"/>
      <c r="L4077" s="12"/>
      <c r="M4077" s="12" t="s">
        <v>4094</v>
      </c>
      <c r="N4077" s="12"/>
      <c r="O4077" s="12" t="s">
        <v>4095</v>
      </c>
      <c r="P4077" s="12" t="str">
        <f>HYPERLINK("https://ceds.ed.gov/cedselementdetails.aspx?termid=10371")</f>
        <v>https://ceds.ed.gov/cedselementdetails.aspx?termid=10371</v>
      </c>
      <c r="Q4077" s="12" t="str">
        <f>HYPERLINK("https://ceds.ed.gov/elementComment.aspx?elementName=Learning Standard Item Association Connection Citation &amp;elementID=10371", "Click here to submit comment")</f>
        <v>Click here to submit comment</v>
      </c>
    </row>
    <row r="4078" spans="1:17" ht="60" x14ac:dyDescent="0.25">
      <c r="A4078" s="12" t="s">
        <v>7354</v>
      </c>
      <c r="B4078" s="12" t="s">
        <v>7357</v>
      </c>
      <c r="C4078" s="12" t="s">
        <v>7362</v>
      </c>
      <c r="D4078" s="12" t="s">
        <v>7172</v>
      </c>
      <c r="E4078" s="12" t="s">
        <v>4096</v>
      </c>
      <c r="F4078" s="12" t="s">
        <v>4097</v>
      </c>
      <c r="G4078" s="12" t="s">
        <v>12</v>
      </c>
      <c r="H4078" s="12"/>
      <c r="I4078" s="12"/>
      <c r="J4078" s="12" t="s">
        <v>92</v>
      </c>
      <c r="K4078" s="12"/>
      <c r="L4078" s="12"/>
      <c r="M4078" s="12" t="s">
        <v>4098</v>
      </c>
      <c r="N4078" s="12"/>
      <c r="O4078" s="12" t="s">
        <v>4099</v>
      </c>
      <c r="P4078" s="12" t="str">
        <f>HYPERLINK("https://ceds.ed.gov/cedselementdetails.aspx?termid=10372")</f>
        <v>https://ceds.ed.gov/cedselementdetails.aspx?termid=10372</v>
      </c>
      <c r="Q4078" s="12" t="str">
        <f>HYPERLINK("https://ceds.ed.gov/elementComment.aspx?elementName=Learning Standard Item Association Destination Node Name &amp;elementID=10372", "Click here to submit comment")</f>
        <v>Click here to submit comment</v>
      </c>
    </row>
    <row r="4079" spans="1:17" ht="45" x14ac:dyDescent="0.25">
      <c r="A4079" s="12" t="s">
        <v>7354</v>
      </c>
      <c r="B4079" s="12" t="s">
        <v>7357</v>
      </c>
      <c r="C4079" s="12" t="s">
        <v>7362</v>
      </c>
      <c r="D4079" s="12" t="s">
        <v>7172</v>
      </c>
      <c r="E4079" s="12" t="s">
        <v>4100</v>
      </c>
      <c r="F4079" s="12" t="s">
        <v>4101</v>
      </c>
      <c r="G4079" s="12" t="s">
        <v>12</v>
      </c>
      <c r="H4079" s="12"/>
      <c r="I4079" s="12"/>
      <c r="J4079" s="12" t="s">
        <v>68</v>
      </c>
      <c r="K4079" s="12"/>
      <c r="L4079" s="12"/>
      <c r="M4079" s="12" t="s">
        <v>4102</v>
      </c>
      <c r="N4079" s="12"/>
      <c r="O4079" s="12" t="s">
        <v>4103</v>
      </c>
      <c r="P4079" s="12" t="str">
        <f>HYPERLINK("https://ceds.ed.gov/cedselementdetails.aspx?termid=10373")</f>
        <v>https://ceds.ed.gov/cedselementdetails.aspx?termid=10373</v>
      </c>
      <c r="Q4079" s="12" t="str">
        <f>HYPERLINK("https://ceds.ed.gov/elementComment.aspx?elementName=Learning Standard Item Association Destination Node URI &amp;elementID=10373", "Click here to submit comment")</f>
        <v>Click here to submit comment</v>
      </c>
    </row>
    <row r="4080" spans="1:17" ht="45" x14ac:dyDescent="0.25">
      <c r="A4080" s="12" t="s">
        <v>7354</v>
      </c>
      <c r="B4080" s="12" t="s">
        <v>7357</v>
      </c>
      <c r="C4080" s="12" t="s">
        <v>7362</v>
      </c>
      <c r="D4080" s="12" t="s">
        <v>7172</v>
      </c>
      <c r="E4080" s="12" t="s">
        <v>4108</v>
      </c>
      <c r="F4080" s="12" t="s">
        <v>4109</v>
      </c>
      <c r="G4080" s="12" t="s">
        <v>12</v>
      </c>
      <c r="H4080" s="12"/>
      <c r="I4080" s="12"/>
      <c r="J4080" s="12" t="s">
        <v>92</v>
      </c>
      <c r="K4080" s="12"/>
      <c r="L4080" s="12"/>
      <c r="M4080" s="12" t="s">
        <v>4110</v>
      </c>
      <c r="N4080" s="12"/>
      <c r="O4080" s="12" t="s">
        <v>4111</v>
      </c>
      <c r="P4080" s="12" t="str">
        <f>HYPERLINK("https://ceds.ed.gov/cedselementdetails.aspx?termid=10374")</f>
        <v>https://ceds.ed.gov/cedselementdetails.aspx?termid=10374</v>
      </c>
      <c r="Q4080" s="12" t="str">
        <f>HYPERLINK("https://ceds.ed.gov/elementComment.aspx?elementName=Learning Standard Item Association Origin Node Name &amp;elementID=10374", "Click here to submit comment")</f>
        <v>Click here to submit comment</v>
      </c>
    </row>
    <row r="4081" spans="1:17" ht="45" x14ac:dyDescent="0.25">
      <c r="A4081" s="12" t="s">
        <v>7354</v>
      </c>
      <c r="B4081" s="12" t="s">
        <v>7357</v>
      </c>
      <c r="C4081" s="12" t="s">
        <v>7362</v>
      </c>
      <c r="D4081" s="12" t="s">
        <v>7172</v>
      </c>
      <c r="E4081" s="12" t="s">
        <v>4112</v>
      </c>
      <c r="F4081" s="12" t="s">
        <v>4113</v>
      </c>
      <c r="G4081" s="12" t="s">
        <v>12</v>
      </c>
      <c r="H4081" s="12"/>
      <c r="I4081" s="12"/>
      <c r="J4081" s="12" t="s">
        <v>68</v>
      </c>
      <c r="K4081" s="12"/>
      <c r="L4081" s="12"/>
      <c r="M4081" s="12" t="s">
        <v>4114</v>
      </c>
      <c r="N4081" s="12"/>
      <c r="O4081" s="12" t="s">
        <v>4115</v>
      </c>
      <c r="P4081" s="12" t="str">
        <f>HYPERLINK("https://ceds.ed.gov/cedselementdetails.aspx?termid=10375")</f>
        <v>https://ceds.ed.gov/cedselementdetails.aspx?termid=10375</v>
      </c>
      <c r="Q4081" s="12" t="str">
        <f>HYPERLINK("https://ceds.ed.gov/elementComment.aspx?elementName=Learning Standard Item Association Origin Node URI &amp;elementID=10375", "Click here to submit comment")</f>
        <v>Click here to submit comment</v>
      </c>
    </row>
    <row r="4082" spans="1:17" ht="135" x14ac:dyDescent="0.25">
      <c r="A4082" s="12" t="s">
        <v>7354</v>
      </c>
      <c r="B4082" s="12" t="s">
        <v>7357</v>
      </c>
      <c r="C4082" s="12" t="s">
        <v>7362</v>
      </c>
      <c r="D4082" s="12" t="s">
        <v>7172</v>
      </c>
      <c r="E4082" s="12" t="s">
        <v>4122</v>
      </c>
      <c r="F4082" s="12" t="s">
        <v>4123</v>
      </c>
      <c r="G4082" s="12" t="s">
        <v>12</v>
      </c>
      <c r="H4082" s="12"/>
      <c r="I4082" s="12"/>
      <c r="J4082" s="12" t="s">
        <v>4124</v>
      </c>
      <c r="K4082" s="12"/>
      <c r="L4082" s="12" t="s">
        <v>4125</v>
      </c>
      <c r="M4082" s="12" t="s">
        <v>4126</v>
      </c>
      <c r="N4082" s="12"/>
      <c r="O4082" s="12" t="s">
        <v>4127</v>
      </c>
      <c r="P4082" s="12" t="str">
        <f>HYPERLINK("https://ceds.ed.gov/cedselementdetails.aspx?termid=10376")</f>
        <v>https://ceds.ed.gov/cedselementdetails.aspx?termid=10376</v>
      </c>
      <c r="Q4082" s="12" t="str">
        <f>HYPERLINK("https://ceds.ed.gov/elementComment.aspx?elementName=Learning Standard Item Association Weight &amp;elementID=10376", "Click here to submit comment")</f>
        <v>Click here to submit comment</v>
      </c>
    </row>
    <row r="4083" spans="1:17" ht="120" x14ac:dyDescent="0.25">
      <c r="A4083" s="12" t="s">
        <v>7354</v>
      </c>
      <c r="B4083" s="12" t="s">
        <v>7359</v>
      </c>
      <c r="C4083" s="12"/>
      <c r="D4083" s="12" t="s">
        <v>7172</v>
      </c>
      <c r="E4083" s="12" t="s">
        <v>1872</v>
      </c>
      <c r="F4083" s="12" t="s">
        <v>1873</v>
      </c>
      <c r="G4083" s="13" t="s">
        <v>6823</v>
      </c>
      <c r="H4083" s="12"/>
      <c r="I4083" s="12"/>
      <c r="J4083" s="12"/>
      <c r="K4083" s="12"/>
      <c r="L4083" s="12" t="s">
        <v>1874</v>
      </c>
      <c r="M4083" s="12" t="s">
        <v>1875</v>
      </c>
      <c r="N4083" s="12"/>
      <c r="O4083" s="12" t="s">
        <v>1876</v>
      </c>
      <c r="P4083" s="12" t="str">
        <f>HYPERLINK("https://ceds.ed.gov/cedselementdetails.aspx?termid=9877")</f>
        <v>https://ceds.ed.gov/cedselementdetails.aspx?termid=9877</v>
      </c>
      <c r="Q4083" s="12" t="str">
        <f>HYPERLINK("https://ceds.ed.gov/elementComment.aspx?elementName=Competency Set Completion Criteria &amp;elementID=9877", "Click here to submit comment")</f>
        <v>Click here to submit comment</v>
      </c>
    </row>
    <row r="4084" spans="1:17" ht="90" x14ac:dyDescent="0.25">
      <c r="A4084" s="12" t="s">
        <v>7354</v>
      </c>
      <c r="B4084" s="12" t="s">
        <v>7359</v>
      </c>
      <c r="C4084" s="12"/>
      <c r="D4084" s="12" t="s">
        <v>7172</v>
      </c>
      <c r="E4084" s="12" t="s">
        <v>1877</v>
      </c>
      <c r="F4084" s="12" t="s">
        <v>1878</v>
      </c>
      <c r="G4084" s="12" t="s">
        <v>12</v>
      </c>
      <c r="H4084" s="12"/>
      <c r="I4084" s="12"/>
      <c r="J4084" s="12" t="s">
        <v>317</v>
      </c>
      <c r="K4084" s="12"/>
      <c r="L4084" s="12" t="s">
        <v>1879</v>
      </c>
      <c r="M4084" s="12" t="s">
        <v>1880</v>
      </c>
      <c r="N4084" s="12"/>
      <c r="O4084" s="12" t="s">
        <v>1881</v>
      </c>
      <c r="P4084" s="12" t="str">
        <f>HYPERLINK("https://ceds.ed.gov/cedselementdetails.aspx?termid=9878")</f>
        <v>https://ceds.ed.gov/cedselementdetails.aspx?termid=9878</v>
      </c>
      <c r="Q4084" s="12" t="str">
        <f>HYPERLINK("https://ceds.ed.gov/elementComment.aspx?elementName=Competency Set Completion Criteria Threshold &amp;elementID=9878", "Click here to submit comment")</f>
        <v>Click here to submit comment</v>
      </c>
    </row>
    <row r="4085" spans="1:17" ht="360" x14ac:dyDescent="0.25">
      <c r="A4085" s="12" t="s">
        <v>7363</v>
      </c>
      <c r="B4085" s="12" t="s">
        <v>7290</v>
      </c>
      <c r="C4085" s="12"/>
      <c r="D4085" s="12" t="s">
        <v>7172</v>
      </c>
      <c r="E4085" s="12" t="s">
        <v>1670</v>
      </c>
      <c r="F4085" s="12" t="s">
        <v>1671</v>
      </c>
      <c r="G4085" s="13" t="s">
        <v>6807</v>
      </c>
      <c r="H4085" s="12"/>
      <c r="I4085" s="12"/>
      <c r="J4085" s="12"/>
      <c r="K4085" s="12"/>
      <c r="L4085" s="12" t="s">
        <v>1672</v>
      </c>
      <c r="M4085" s="12" t="s">
        <v>1673</v>
      </c>
      <c r="N4085" s="12"/>
      <c r="O4085" s="12" t="s">
        <v>1674</v>
      </c>
      <c r="P4085" s="12" t="str">
        <f>HYPERLINK("https://ceds.ed.gov/cedselementdetails.aspx?termid=10254")</f>
        <v>https://ceds.ed.gov/cedselementdetails.aspx?termid=10254</v>
      </c>
      <c r="Q4085" s="12" t="str">
        <f>HYPERLINK("https://ceds.ed.gov/elementComment.aspx?elementName=Career Cluster &amp;elementID=10254", "Click here to submit comment")</f>
        <v>Click here to submit comment</v>
      </c>
    </row>
    <row r="4086" spans="1:17" ht="225" x14ac:dyDescent="0.25">
      <c r="A4086" s="12" t="s">
        <v>7363</v>
      </c>
      <c r="B4086" s="12" t="s">
        <v>7290</v>
      </c>
      <c r="C4086" s="12"/>
      <c r="D4086" s="12" t="s">
        <v>7172</v>
      </c>
      <c r="E4086" s="12" t="s">
        <v>3810</v>
      </c>
      <c r="F4086" s="12" t="s">
        <v>3811</v>
      </c>
      <c r="G4086" s="13" t="s">
        <v>6992</v>
      </c>
      <c r="H4086" s="12"/>
      <c r="I4086" s="12"/>
      <c r="J4086" s="12"/>
      <c r="K4086" s="12"/>
      <c r="L4086" s="12" t="s">
        <v>3812</v>
      </c>
      <c r="M4086" s="12" t="s">
        <v>3813</v>
      </c>
      <c r="N4086" s="12"/>
      <c r="O4086" s="12" t="s">
        <v>3814</v>
      </c>
      <c r="P4086" s="12" t="str">
        <f>HYPERLINK("https://ceds.ed.gov/cedselementdetails.aspx?termid=10358")</f>
        <v>https://ceds.ed.gov/cedselementdetails.aspx?termid=10358</v>
      </c>
      <c r="Q4086" s="12" t="str">
        <f>HYPERLINK("https://ceds.ed.gov/elementComment.aspx?elementName=Learning Resource Access API Type &amp;elementID=10358", "Click here to submit comment")</f>
        <v>Click here to submit comment</v>
      </c>
    </row>
    <row r="4087" spans="1:17" ht="60" x14ac:dyDescent="0.25">
      <c r="A4087" s="12" t="s">
        <v>7363</v>
      </c>
      <c r="B4087" s="12" t="s">
        <v>7290</v>
      </c>
      <c r="C4087" s="12"/>
      <c r="D4087" s="12" t="s">
        <v>7172</v>
      </c>
      <c r="E4087" s="12" t="s">
        <v>3815</v>
      </c>
      <c r="F4087" s="12" t="s">
        <v>3816</v>
      </c>
      <c r="G4087" s="13" t="s">
        <v>6993</v>
      </c>
      <c r="H4087" s="12"/>
      <c r="I4087" s="12"/>
      <c r="J4087" s="12"/>
      <c r="K4087" s="12"/>
      <c r="L4087" s="12"/>
      <c r="M4087" s="12" t="s">
        <v>3817</v>
      </c>
      <c r="N4087" s="12"/>
      <c r="O4087" s="12" t="s">
        <v>3818</v>
      </c>
      <c r="P4087" s="12" t="str">
        <f>HYPERLINK("https://ceds.ed.gov/cedselementdetails.aspx?termid=10359")</f>
        <v>https://ceds.ed.gov/cedselementdetails.aspx?termid=10359</v>
      </c>
      <c r="Q4087" s="12" t="str">
        <f>HYPERLINK("https://ceds.ed.gov/elementComment.aspx?elementName=Learning Resource Access Hazard Type &amp;elementID=10359", "Click here to submit comment")</f>
        <v>Click here to submit comment</v>
      </c>
    </row>
    <row r="4088" spans="1:17" ht="105" x14ac:dyDescent="0.25">
      <c r="A4088" s="12" t="s">
        <v>7363</v>
      </c>
      <c r="B4088" s="12" t="s">
        <v>7290</v>
      </c>
      <c r="C4088" s="12"/>
      <c r="D4088" s="12" t="s">
        <v>7172</v>
      </c>
      <c r="E4088" s="12" t="s">
        <v>3819</v>
      </c>
      <c r="F4088" s="12" t="s">
        <v>3820</v>
      </c>
      <c r="G4088" s="13" t="s">
        <v>6994</v>
      </c>
      <c r="H4088" s="12"/>
      <c r="I4088" s="12"/>
      <c r="J4088" s="12"/>
      <c r="K4088" s="12"/>
      <c r="L4088" s="12" t="s">
        <v>3821</v>
      </c>
      <c r="M4088" s="12" t="s">
        <v>3822</v>
      </c>
      <c r="N4088" s="12"/>
      <c r="O4088" s="12" t="s">
        <v>3823</v>
      </c>
      <c r="P4088" s="12" t="str">
        <f>HYPERLINK("https://ceds.ed.gov/cedselementdetails.aspx?termid=10360")</f>
        <v>https://ceds.ed.gov/cedselementdetails.aspx?termid=10360</v>
      </c>
      <c r="Q4088" s="12" t="str">
        <f>HYPERLINK("https://ceds.ed.gov/elementComment.aspx?elementName=Learning Resource Access Mode Type &amp;elementID=10360", "Click here to submit comment")</f>
        <v>Click here to submit comment</v>
      </c>
    </row>
    <row r="4089" spans="1:17" ht="165" x14ac:dyDescent="0.25">
      <c r="A4089" s="12" t="s">
        <v>7363</v>
      </c>
      <c r="B4089" s="12" t="s">
        <v>7290</v>
      </c>
      <c r="C4089" s="12"/>
      <c r="D4089" s="12" t="s">
        <v>7172</v>
      </c>
      <c r="E4089" s="12" t="s">
        <v>3824</v>
      </c>
      <c r="F4089" s="12" t="s">
        <v>3825</v>
      </c>
      <c r="G4089" s="13" t="s">
        <v>6995</v>
      </c>
      <c r="H4089" s="12"/>
      <c r="I4089" s="12"/>
      <c r="J4089" s="12"/>
      <c r="K4089" s="12"/>
      <c r="L4089" s="12"/>
      <c r="M4089" s="12" t="s">
        <v>3827</v>
      </c>
      <c r="N4089" s="12"/>
      <c r="O4089" s="12" t="s">
        <v>3828</v>
      </c>
      <c r="P4089" s="12" t="str">
        <f>HYPERLINK("https://ceds.ed.gov/cedselementdetails.aspx?termid=10537")</f>
        <v>https://ceds.ed.gov/cedselementdetails.aspx?termid=10537</v>
      </c>
      <c r="Q4089" s="12" t="str">
        <f>HYPERLINK("https://ceds.ed.gov/elementComment.aspx?elementName=Learning Resource Access Rights Url &amp;elementID=10537", "Click here to submit comment")</f>
        <v>Click here to submit comment</v>
      </c>
    </row>
    <row r="4090" spans="1:17" ht="45" x14ac:dyDescent="0.25">
      <c r="A4090" s="12" t="s">
        <v>7363</v>
      </c>
      <c r="B4090" s="12" t="s">
        <v>7290</v>
      </c>
      <c r="C4090" s="12"/>
      <c r="D4090" s="12" t="s">
        <v>7172</v>
      </c>
      <c r="E4090" s="12" t="s">
        <v>3829</v>
      </c>
      <c r="F4090" s="12" t="s">
        <v>3830</v>
      </c>
      <c r="G4090" s="12" t="s">
        <v>12</v>
      </c>
      <c r="H4090" s="12"/>
      <c r="I4090" s="12"/>
      <c r="J4090" s="12" t="s">
        <v>68</v>
      </c>
      <c r="K4090" s="12"/>
      <c r="L4090" s="12"/>
      <c r="M4090" s="12" t="s">
        <v>3831</v>
      </c>
      <c r="N4090" s="12"/>
      <c r="O4090" s="12" t="s">
        <v>3832</v>
      </c>
      <c r="P4090" s="12" t="str">
        <f>HYPERLINK("https://ceds.ed.gov/cedselementdetails.aspx?termid=10361")</f>
        <v>https://ceds.ed.gov/cedselementdetails.aspx?termid=10361</v>
      </c>
      <c r="Q4090" s="12" t="str">
        <f>HYPERLINK("https://ceds.ed.gov/elementComment.aspx?elementName=Learning Resource Adaptation URL &amp;elementID=10361", "Click here to submit comment")</f>
        <v>Click here to submit comment</v>
      </c>
    </row>
    <row r="4091" spans="1:17" ht="30" x14ac:dyDescent="0.25">
      <c r="A4091" s="12" t="s">
        <v>7363</v>
      </c>
      <c r="B4091" s="12" t="s">
        <v>7290</v>
      </c>
      <c r="C4091" s="12"/>
      <c r="D4091" s="12" t="s">
        <v>7172</v>
      </c>
      <c r="E4091" s="12" t="s">
        <v>3833</v>
      </c>
      <c r="F4091" s="12" t="s">
        <v>3834</v>
      </c>
      <c r="G4091" s="12" t="s">
        <v>12</v>
      </c>
      <c r="H4091" s="12"/>
      <c r="I4091" s="12"/>
      <c r="J4091" s="12" t="s">
        <v>68</v>
      </c>
      <c r="K4091" s="12"/>
      <c r="L4091" s="12"/>
      <c r="M4091" s="12" t="s">
        <v>3835</v>
      </c>
      <c r="N4091" s="12"/>
      <c r="O4091" s="12" t="s">
        <v>3836</v>
      </c>
      <c r="P4091" s="12" t="str">
        <f>HYPERLINK("https://ceds.ed.gov/cedselementdetails.aspx?termid=10367")</f>
        <v>https://ceds.ed.gov/cedselementdetails.aspx?termid=10367</v>
      </c>
      <c r="Q4091" s="12" t="str">
        <f>HYPERLINK("https://ceds.ed.gov/elementComment.aspx?elementName=Learning Resource Adapted From URL &amp;elementID=10367", "Click here to submit comment")</f>
        <v>Click here to submit comment</v>
      </c>
    </row>
    <row r="4092" spans="1:17" ht="75" x14ac:dyDescent="0.25">
      <c r="A4092" s="12" t="s">
        <v>7363</v>
      </c>
      <c r="B4092" s="12" t="s">
        <v>7290</v>
      </c>
      <c r="C4092" s="12"/>
      <c r="D4092" s="12" t="s">
        <v>7172</v>
      </c>
      <c r="E4092" s="12" t="s">
        <v>3837</v>
      </c>
      <c r="F4092" s="12" t="s">
        <v>3838</v>
      </c>
      <c r="G4092" s="12" t="s">
        <v>6364</v>
      </c>
      <c r="H4092" s="12"/>
      <c r="I4092" s="12"/>
      <c r="J4092" s="12"/>
      <c r="K4092" s="12"/>
      <c r="L4092" s="12" t="s">
        <v>3839</v>
      </c>
      <c r="M4092" s="12" t="s">
        <v>3840</v>
      </c>
      <c r="N4092" s="12"/>
      <c r="O4092" s="12" t="s">
        <v>3841</v>
      </c>
      <c r="P4092" s="12" t="str">
        <f>HYPERLINK("https://ceds.ed.gov/cedselementdetails.aspx?termid=10362")</f>
        <v>https://ceds.ed.gov/cedselementdetails.aspx?termid=10362</v>
      </c>
      <c r="Q4092" s="12" t="str">
        <f>HYPERLINK("https://ceds.ed.gov/elementComment.aspx?elementName=Learning Resource Assistive Technologies Compatible Indicator &amp;elementID=10362", "Click here to submit comment")</f>
        <v>Click here to submit comment</v>
      </c>
    </row>
    <row r="4093" spans="1:17" ht="30" x14ac:dyDescent="0.25">
      <c r="A4093" s="12" t="s">
        <v>7363</v>
      </c>
      <c r="B4093" s="12" t="s">
        <v>7290</v>
      </c>
      <c r="C4093" s="12"/>
      <c r="D4093" s="12" t="s">
        <v>7172</v>
      </c>
      <c r="E4093" s="12" t="s">
        <v>3842</v>
      </c>
      <c r="F4093" s="12" t="s">
        <v>3843</v>
      </c>
      <c r="G4093" s="12" t="s">
        <v>12</v>
      </c>
      <c r="H4093" s="12"/>
      <c r="I4093" s="12"/>
      <c r="J4093" s="12" t="s">
        <v>2649</v>
      </c>
      <c r="K4093" s="12"/>
      <c r="L4093" s="12"/>
      <c r="M4093" s="12" t="s">
        <v>3844</v>
      </c>
      <c r="N4093" s="12"/>
      <c r="O4093" s="12" t="s">
        <v>3845</v>
      </c>
      <c r="P4093" s="12" t="str">
        <f>HYPERLINK("https://ceds.ed.gov/cedselementdetails.aspx?termid=10544")</f>
        <v>https://ceds.ed.gov/cedselementdetails.aspx?termid=10544</v>
      </c>
      <c r="Q4093" s="12" t="str">
        <f>HYPERLINK("https://ceds.ed.gov/elementComment.aspx?elementName=Learning Resource Author Email &amp;elementID=10544", "Click here to submit comment")</f>
        <v>Click here to submit comment</v>
      </c>
    </row>
    <row r="4094" spans="1:17" ht="45" x14ac:dyDescent="0.25">
      <c r="A4094" s="12" t="s">
        <v>7363</v>
      </c>
      <c r="B4094" s="12" t="s">
        <v>7290</v>
      </c>
      <c r="C4094" s="12"/>
      <c r="D4094" s="12" t="s">
        <v>7172</v>
      </c>
      <c r="E4094" s="12" t="s">
        <v>3846</v>
      </c>
      <c r="F4094" s="12" t="s">
        <v>3847</v>
      </c>
      <c r="G4094" s="13" t="s">
        <v>6996</v>
      </c>
      <c r="H4094" s="12"/>
      <c r="I4094" s="12"/>
      <c r="J4094" s="12"/>
      <c r="K4094" s="12"/>
      <c r="L4094" s="12"/>
      <c r="M4094" s="12" t="s">
        <v>3848</v>
      </c>
      <c r="N4094" s="12"/>
      <c r="O4094" s="12" t="s">
        <v>3849</v>
      </c>
      <c r="P4094" s="12" t="str">
        <f>HYPERLINK("https://ceds.ed.gov/cedselementdetails.aspx?termid=10540")</f>
        <v>https://ceds.ed.gov/cedselementdetails.aspx?termid=10540</v>
      </c>
      <c r="Q4094" s="12" t="str">
        <f>HYPERLINK("https://ceds.ed.gov/elementComment.aspx?elementName=Learning Resource Author Type &amp;elementID=10540", "Click here to submit comment")</f>
        <v>Click here to submit comment</v>
      </c>
    </row>
    <row r="4095" spans="1:17" ht="45" x14ac:dyDescent="0.25">
      <c r="A4095" s="12" t="s">
        <v>7363</v>
      </c>
      <c r="B4095" s="12" t="s">
        <v>7290</v>
      </c>
      <c r="C4095" s="12"/>
      <c r="D4095" s="12" t="s">
        <v>7172</v>
      </c>
      <c r="E4095" s="12" t="s">
        <v>3850</v>
      </c>
      <c r="F4095" s="12" t="s">
        <v>3851</v>
      </c>
      <c r="G4095" s="12" t="s">
        <v>12</v>
      </c>
      <c r="H4095" s="12"/>
      <c r="I4095" s="12"/>
      <c r="J4095" s="12" t="s">
        <v>68</v>
      </c>
      <c r="K4095" s="12"/>
      <c r="L4095" s="12"/>
      <c r="M4095" s="12" t="s">
        <v>3852</v>
      </c>
      <c r="N4095" s="12"/>
      <c r="O4095" s="12" t="s">
        <v>3853</v>
      </c>
      <c r="P4095" s="12" t="str">
        <f>HYPERLINK("https://ceds.ed.gov/cedselementdetails.aspx?termid=10541")</f>
        <v>https://ceds.ed.gov/cedselementdetails.aspx?termid=10541</v>
      </c>
      <c r="Q4095" s="12" t="str">
        <f>HYPERLINK("https://ceds.ed.gov/elementComment.aspx?elementName=Learning Resource Author URL &amp;elementID=10541", "Click here to submit comment")</f>
        <v>Click here to submit comment</v>
      </c>
    </row>
    <row r="4096" spans="1:17" ht="45" x14ac:dyDescent="0.25">
      <c r="A4096" s="12" t="s">
        <v>7363</v>
      </c>
      <c r="B4096" s="12" t="s">
        <v>7290</v>
      </c>
      <c r="C4096" s="12"/>
      <c r="D4096" s="12" t="s">
        <v>7172</v>
      </c>
      <c r="E4096" s="12" t="s">
        <v>3854</v>
      </c>
      <c r="F4096" s="12" t="s">
        <v>3855</v>
      </c>
      <c r="G4096" s="12" t="s">
        <v>12</v>
      </c>
      <c r="H4096" s="12"/>
      <c r="I4096" s="12"/>
      <c r="J4096" s="12" t="s">
        <v>68</v>
      </c>
      <c r="K4096" s="12"/>
      <c r="L4096" s="12" t="s">
        <v>3856</v>
      </c>
      <c r="M4096" s="12" t="s">
        <v>3857</v>
      </c>
      <c r="N4096" s="12"/>
      <c r="O4096" s="12" t="s">
        <v>3858</v>
      </c>
      <c r="P4096" s="12" t="str">
        <f>HYPERLINK("https://ceds.ed.gov/cedselementdetails.aspx?termid=9923")</f>
        <v>https://ceds.ed.gov/cedselementdetails.aspx?termid=9923</v>
      </c>
      <c r="Q4096" s="12" t="str">
        <f>HYPERLINK("https://ceds.ed.gov/elementComment.aspx?elementName=Learning Resource Based On URL &amp;elementID=9923", "Click here to submit comment")</f>
        <v>Click here to submit comment</v>
      </c>
    </row>
    <row r="4097" spans="1:17" ht="135" x14ac:dyDescent="0.25">
      <c r="A4097" s="12" t="s">
        <v>7363</v>
      </c>
      <c r="B4097" s="12" t="s">
        <v>7290</v>
      </c>
      <c r="C4097" s="12"/>
      <c r="D4097" s="12" t="s">
        <v>7172</v>
      </c>
      <c r="E4097" s="12" t="s">
        <v>3859</v>
      </c>
      <c r="F4097" s="12" t="s">
        <v>3860</v>
      </c>
      <c r="G4097" s="13" t="s">
        <v>6997</v>
      </c>
      <c r="H4097" s="12"/>
      <c r="I4097" s="12"/>
      <c r="J4097" s="12"/>
      <c r="K4097" s="12"/>
      <c r="L4097" s="12"/>
      <c r="M4097" s="12" t="s">
        <v>3861</v>
      </c>
      <c r="N4097" s="12"/>
      <c r="O4097" s="12" t="s">
        <v>3862</v>
      </c>
      <c r="P4097" s="12" t="str">
        <f>HYPERLINK("https://ceds.ed.gov/cedselementdetails.aspx?termid=10363")</f>
        <v>https://ceds.ed.gov/cedselementdetails.aspx?termid=10363</v>
      </c>
      <c r="Q4097" s="12" t="str">
        <f>HYPERLINK("https://ceds.ed.gov/elementComment.aspx?elementName=Learning Resource Book Format Type &amp;elementID=10363", "Click here to submit comment")</f>
        <v>Click here to submit comment</v>
      </c>
    </row>
    <row r="4098" spans="1:17" ht="135" x14ac:dyDescent="0.25">
      <c r="A4098" s="12" t="s">
        <v>7363</v>
      </c>
      <c r="B4098" s="12" t="s">
        <v>7290</v>
      </c>
      <c r="C4098" s="12"/>
      <c r="D4098" s="12" t="s">
        <v>7172</v>
      </c>
      <c r="E4098" s="12" t="s">
        <v>3863</v>
      </c>
      <c r="F4098" s="12" t="s">
        <v>3864</v>
      </c>
      <c r="G4098" s="13" t="s">
        <v>6998</v>
      </c>
      <c r="H4098" s="12"/>
      <c r="I4098" s="12"/>
      <c r="J4098" s="12"/>
      <c r="K4098" s="12"/>
      <c r="L4098" s="12" t="s">
        <v>3865</v>
      </c>
      <c r="M4098" s="12" t="s">
        <v>3866</v>
      </c>
      <c r="N4098" s="12"/>
      <c r="O4098" s="12" t="s">
        <v>3867</v>
      </c>
      <c r="P4098" s="12" t="str">
        <f>HYPERLINK("https://ceds.ed.gov/cedselementdetails.aspx?termid=9879")</f>
        <v>https://ceds.ed.gov/cedselementdetails.aspx?termid=9879</v>
      </c>
      <c r="Q4098" s="12" t="str">
        <f>HYPERLINK("https://ceds.ed.gov/elementComment.aspx?elementName=Learning Resource Competency Alignment Type &amp;elementID=9879", "Click here to submit comment")</f>
        <v>Click here to submit comment</v>
      </c>
    </row>
    <row r="4099" spans="1:17" ht="45" x14ac:dyDescent="0.25">
      <c r="A4099" s="12" t="s">
        <v>7363</v>
      </c>
      <c r="B4099" s="12" t="s">
        <v>7290</v>
      </c>
      <c r="C4099" s="12"/>
      <c r="D4099" s="12" t="s">
        <v>7172</v>
      </c>
      <c r="E4099" s="12" t="s">
        <v>3868</v>
      </c>
      <c r="F4099" s="12" t="s">
        <v>3869</v>
      </c>
      <c r="G4099" s="12" t="s">
        <v>12</v>
      </c>
      <c r="H4099" s="12"/>
      <c r="I4099" s="12"/>
      <c r="J4099" s="12" t="s">
        <v>68</v>
      </c>
      <c r="K4099" s="12"/>
      <c r="L4099" s="12"/>
      <c r="M4099" s="12" t="s">
        <v>3870</v>
      </c>
      <c r="N4099" s="12"/>
      <c r="O4099" s="12" t="s">
        <v>3871</v>
      </c>
      <c r="P4099" s="12" t="str">
        <f>HYPERLINK("https://ceds.ed.gov/cedselementdetails.aspx?termid=10159")</f>
        <v>https://ceds.ed.gov/cedselementdetails.aspx?termid=10159</v>
      </c>
      <c r="Q4099" s="12" t="str">
        <f>HYPERLINK("https://ceds.ed.gov/elementComment.aspx?elementName=Learning Resource Concept Keyword &amp;elementID=10159", "Click here to submit comment")</f>
        <v>Click here to submit comment</v>
      </c>
    </row>
    <row r="4100" spans="1:17" ht="105" x14ac:dyDescent="0.25">
      <c r="A4100" s="12" t="s">
        <v>7363</v>
      </c>
      <c r="B4100" s="12" t="s">
        <v>7290</v>
      </c>
      <c r="C4100" s="12"/>
      <c r="D4100" s="12" t="s">
        <v>7172</v>
      </c>
      <c r="E4100" s="12" t="s">
        <v>3872</v>
      </c>
      <c r="F4100" s="12" t="s">
        <v>3873</v>
      </c>
      <c r="G4100" s="13" t="s">
        <v>6999</v>
      </c>
      <c r="H4100" s="12"/>
      <c r="I4100" s="12"/>
      <c r="J4100" s="12"/>
      <c r="K4100" s="12"/>
      <c r="L4100" s="12"/>
      <c r="M4100" s="12" t="s">
        <v>3874</v>
      </c>
      <c r="N4100" s="12"/>
      <c r="O4100" s="12" t="s">
        <v>3875</v>
      </c>
      <c r="P4100" s="12" t="str">
        <f>HYPERLINK("https://ceds.ed.gov/cedselementdetails.aspx?termid=10364")</f>
        <v>https://ceds.ed.gov/cedselementdetails.aspx?termid=10364</v>
      </c>
      <c r="Q4100" s="12" t="str">
        <f>HYPERLINK("https://ceds.ed.gov/elementComment.aspx?elementName=Learning Resource Control Flexibility Type &amp;elementID=10364", "Click here to submit comment")</f>
        <v>Click here to submit comment</v>
      </c>
    </row>
    <row r="4101" spans="1:17" ht="45" x14ac:dyDescent="0.25">
      <c r="A4101" s="12" t="s">
        <v>7363</v>
      </c>
      <c r="B4101" s="12" t="s">
        <v>7290</v>
      </c>
      <c r="C4101" s="12"/>
      <c r="D4101" s="12" t="s">
        <v>7172</v>
      </c>
      <c r="E4101" s="12" t="s">
        <v>3876</v>
      </c>
      <c r="F4101" s="12" t="s">
        <v>3877</v>
      </c>
      <c r="G4101" s="12" t="s">
        <v>12</v>
      </c>
      <c r="H4101" s="12"/>
      <c r="I4101" s="12"/>
      <c r="J4101" s="12" t="s">
        <v>99</v>
      </c>
      <c r="K4101" s="12"/>
      <c r="L4101" s="12"/>
      <c r="M4101" s="12" t="s">
        <v>3878</v>
      </c>
      <c r="N4101" s="12"/>
      <c r="O4101" s="12" t="s">
        <v>3879</v>
      </c>
      <c r="P4101" s="12" t="str">
        <f>HYPERLINK("https://ceds.ed.gov/cedselementdetails.aspx?termid=10157")</f>
        <v>https://ceds.ed.gov/cedselementdetails.aspx?termid=10157</v>
      </c>
      <c r="Q4101" s="12" t="str">
        <f>HYPERLINK("https://ceds.ed.gov/elementComment.aspx?elementName=Learning Resource Copyright Holder Name &amp;elementID=10157", "Click here to submit comment")</f>
        <v>Click here to submit comment</v>
      </c>
    </row>
    <row r="4102" spans="1:17" ht="30" x14ac:dyDescent="0.25">
      <c r="A4102" s="12" t="s">
        <v>7363</v>
      </c>
      <c r="B4102" s="12" t="s">
        <v>7290</v>
      </c>
      <c r="C4102" s="12"/>
      <c r="D4102" s="12" t="s">
        <v>7172</v>
      </c>
      <c r="E4102" s="12" t="s">
        <v>3880</v>
      </c>
      <c r="F4102" s="12" t="s">
        <v>3881</v>
      </c>
      <c r="G4102" s="12" t="s">
        <v>12</v>
      </c>
      <c r="H4102" s="12"/>
      <c r="I4102" s="12"/>
      <c r="J4102" s="12" t="s">
        <v>1861</v>
      </c>
      <c r="K4102" s="12"/>
      <c r="L4102" s="12"/>
      <c r="M4102" s="12" t="s">
        <v>3882</v>
      </c>
      <c r="N4102" s="12"/>
      <c r="O4102" s="12" t="s">
        <v>3883</v>
      </c>
      <c r="P4102" s="12" t="str">
        <f>HYPERLINK("https://ceds.ed.gov/cedselementdetails.aspx?termid=10158")</f>
        <v>https://ceds.ed.gov/cedselementdetails.aspx?termid=10158</v>
      </c>
      <c r="Q4102" s="12" t="str">
        <f>HYPERLINK("https://ceds.ed.gov/elementComment.aspx?elementName=Learning Resource Copyright Year &amp;elementID=10158", "Click here to submit comment")</f>
        <v>Click here to submit comment</v>
      </c>
    </row>
    <row r="4103" spans="1:17" ht="45" x14ac:dyDescent="0.25">
      <c r="A4103" s="12" t="s">
        <v>7363</v>
      </c>
      <c r="B4103" s="12" t="s">
        <v>7290</v>
      </c>
      <c r="C4103" s="12"/>
      <c r="D4103" s="12" t="s">
        <v>7172</v>
      </c>
      <c r="E4103" s="12" t="s">
        <v>3884</v>
      </c>
      <c r="F4103" s="12" t="s">
        <v>3885</v>
      </c>
      <c r="G4103" s="12" t="s">
        <v>12</v>
      </c>
      <c r="H4103" s="12"/>
      <c r="I4103" s="12"/>
      <c r="J4103" s="12" t="s">
        <v>99</v>
      </c>
      <c r="K4103" s="12"/>
      <c r="L4103" s="12"/>
      <c r="M4103" s="12" t="s">
        <v>3886</v>
      </c>
      <c r="N4103" s="12"/>
      <c r="O4103" s="12" t="s">
        <v>3887</v>
      </c>
      <c r="P4103" s="12" t="str">
        <f>HYPERLINK("https://ceds.ed.gov/cedselementdetails.aspx?termid=9918")</f>
        <v>https://ceds.ed.gov/cedselementdetails.aspx?termid=9918</v>
      </c>
      <c r="Q4103" s="12" t="str">
        <f>HYPERLINK("https://ceds.ed.gov/elementComment.aspx?elementName=Learning Resource Creator &amp;elementID=9918", "Click here to submit comment")</f>
        <v>Click here to submit comment</v>
      </c>
    </row>
    <row r="4104" spans="1:17" ht="30" x14ac:dyDescent="0.25">
      <c r="A4104" s="12" t="s">
        <v>7363</v>
      </c>
      <c r="B4104" s="12" t="s">
        <v>7290</v>
      </c>
      <c r="C4104" s="12"/>
      <c r="D4104" s="12" t="s">
        <v>7172</v>
      </c>
      <c r="E4104" s="12" t="s">
        <v>3888</v>
      </c>
      <c r="F4104" s="12" t="s">
        <v>3889</v>
      </c>
      <c r="G4104" s="12" t="s">
        <v>12</v>
      </c>
      <c r="H4104" s="12"/>
      <c r="I4104" s="12"/>
      <c r="J4104" s="12" t="s">
        <v>73</v>
      </c>
      <c r="K4104" s="12"/>
      <c r="L4104" s="12"/>
      <c r="M4104" s="12" t="s">
        <v>3890</v>
      </c>
      <c r="N4104" s="12"/>
      <c r="O4104" s="12" t="s">
        <v>3891</v>
      </c>
      <c r="P4104" s="12" t="str">
        <f>HYPERLINK("https://ceds.ed.gov/cedselementdetails.aspx?termid=9916")</f>
        <v>https://ceds.ed.gov/cedselementdetails.aspx?termid=9916</v>
      </c>
      <c r="Q4104" s="12" t="str">
        <f>HYPERLINK("https://ceds.ed.gov/elementComment.aspx?elementName=Learning Resource Date Created &amp;elementID=9916", "Click here to submit comment")</f>
        <v>Click here to submit comment</v>
      </c>
    </row>
    <row r="4105" spans="1:17" ht="30" x14ac:dyDescent="0.25">
      <c r="A4105" s="12" t="s">
        <v>7363</v>
      </c>
      <c r="B4105" s="12" t="s">
        <v>7290</v>
      </c>
      <c r="C4105" s="12"/>
      <c r="D4105" s="12" t="s">
        <v>7172</v>
      </c>
      <c r="E4105" s="12" t="s">
        <v>3892</v>
      </c>
      <c r="F4105" s="12" t="s">
        <v>3893</v>
      </c>
      <c r="G4105" s="12" t="s">
        <v>12</v>
      </c>
      <c r="H4105" s="12"/>
      <c r="I4105" s="12"/>
      <c r="J4105" s="12" t="s">
        <v>73</v>
      </c>
      <c r="K4105" s="12"/>
      <c r="L4105" s="12"/>
      <c r="M4105" s="12" t="s">
        <v>3894</v>
      </c>
      <c r="N4105" s="12"/>
      <c r="O4105" s="12" t="s">
        <v>3895</v>
      </c>
      <c r="P4105" s="12" t="str">
        <f>HYPERLINK("https://ceds.ed.gov/cedselementdetails.aspx?termid=10542")</f>
        <v>https://ceds.ed.gov/cedselementdetails.aspx?termid=10542</v>
      </c>
      <c r="Q4105" s="12" t="str">
        <f>HYPERLINK("https://ceds.ed.gov/elementComment.aspx?elementName=Learning Resource Date Modified &amp;elementID=10542", "Click here to submit comment")</f>
        <v>Click here to submit comment</v>
      </c>
    </row>
    <row r="4106" spans="1:17" ht="30" x14ac:dyDescent="0.25">
      <c r="A4106" s="12" t="s">
        <v>7363</v>
      </c>
      <c r="B4106" s="12" t="s">
        <v>7290</v>
      </c>
      <c r="C4106" s="12"/>
      <c r="D4106" s="12" t="s">
        <v>7172</v>
      </c>
      <c r="E4106" s="12" t="s">
        <v>3896</v>
      </c>
      <c r="F4106" s="12" t="s">
        <v>3897</v>
      </c>
      <c r="G4106" s="12" t="s">
        <v>12</v>
      </c>
      <c r="H4106" s="12"/>
      <c r="I4106" s="12"/>
      <c r="J4106" s="12" t="s">
        <v>68</v>
      </c>
      <c r="K4106" s="12"/>
      <c r="L4106" s="12"/>
      <c r="M4106" s="12" t="s">
        <v>3898</v>
      </c>
      <c r="N4106" s="12"/>
      <c r="O4106" s="12" t="s">
        <v>3899</v>
      </c>
      <c r="P4106" s="12" t="str">
        <f>HYPERLINK("https://ceds.ed.gov/cedselementdetails.aspx?termid=10156")</f>
        <v>https://ceds.ed.gov/cedselementdetails.aspx?termid=10156</v>
      </c>
      <c r="Q4106" s="12" t="str">
        <f>HYPERLINK("https://ceds.ed.gov/elementComment.aspx?elementName=Learning Resource Description &amp;elementID=10156", "Click here to submit comment")</f>
        <v>Click here to submit comment</v>
      </c>
    </row>
    <row r="4107" spans="1:17" ht="105" x14ac:dyDescent="0.25">
      <c r="A4107" s="12" t="s">
        <v>7363</v>
      </c>
      <c r="B4107" s="12" t="s">
        <v>7290</v>
      </c>
      <c r="C4107" s="12"/>
      <c r="D4107" s="12" t="s">
        <v>7172</v>
      </c>
      <c r="E4107" s="12" t="s">
        <v>3900</v>
      </c>
      <c r="F4107" s="12" t="s">
        <v>3901</v>
      </c>
      <c r="G4107" s="12" t="s">
        <v>3902</v>
      </c>
      <c r="H4107" s="12"/>
      <c r="I4107" s="12"/>
      <c r="J4107" s="12"/>
      <c r="K4107" s="12"/>
      <c r="L4107" s="12"/>
      <c r="M4107" s="12" t="s">
        <v>3903</v>
      </c>
      <c r="N4107" s="12"/>
      <c r="O4107" s="12" t="s">
        <v>3904</v>
      </c>
      <c r="P4107" s="12" t="str">
        <f>HYPERLINK("https://ceds.ed.gov/cedselementdetails.aspx?termid=10365")</f>
        <v>https://ceds.ed.gov/cedselementdetails.aspx?termid=10365</v>
      </c>
      <c r="Q4107" s="12" t="str">
        <f>HYPERLINK("https://ceds.ed.gov/elementComment.aspx?elementName=Learning Resource Digital Media Sub Type &amp;elementID=10365", "Click here to submit comment")</f>
        <v>Click here to submit comment</v>
      </c>
    </row>
    <row r="4108" spans="1:17" ht="150" x14ac:dyDescent="0.25">
      <c r="A4108" s="12" t="s">
        <v>7363</v>
      </c>
      <c r="B4108" s="12" t="s">
        <v>7290</v>
      </c>
      <c r="C4108" s="12"/>
      <c r="D4108" s="12" t="s">
        <v>7172</v>
      </c>
      <c r="E4108" s="12" t="s">
        <v>3905</v>
      </c>
      <c r="F4108" s="12" t="s">
        <v>3906</v>
      </c>
      <c r="G4108" s="13" t="s">
        <v>7000</v>
      </c>
      <c r="H4108" s="12"/>
      <c r="I4108" s="12"/>
      <c r="J4108" s="12"/>
      <c r="K4108" s="12"/>
      <c r="L4108" s="12"/>
      <c r="M4108" s="12" t="s">
        <v>3907</v>
      </c>
      <c r="N4108" s="12"/>
      <c r="O4108" s="12" t="s">
        <v>3908</v>
      </c>
      <c r="P4108" s="12" t="str">
        <f>HYPERLINK("https://ceds.ed.gov/cedselementdetails.aspx?termid=10366")</f>
        <v>https://ceds.ed.gov/cedselementdetails.aspx?termid=10366</v>
      </c>
      <c r="Q4108" s="12" t="str">
        <f>HYPERLINK("https://ceds.ed.gov/elementComment.aspx?elementName=Learning Resource Digital Media Type &amp;elementID=10366", "Click here to submit comment")</f>
        <v>Click here to submit comment</v>
      </c>
    </row>
    <row r="4109" spans="1:17" ht="409.5" x14ac:dyDescent="0.25">
      <c r="A4109" s="12" t="s">
        <v>7363</v>
      </c>
      <c r="B4109" s="12" t="s">
        <v>7290</v>
      </c>
      <c r="C4109" s="12"/>
      <c r="D4109" s="12" t="s">
        <v>7172</v>
      </c>
      <c r="E4109" s="12" t="s">
        <v>3909</v>
      </c>
      <c r="F4109" s="12" t="s">
        <v>3910</v>
      </c>
      <c r="G4109" s="13" t="s">
        <v>6831</v>
      </c>
      <c r="H4109" s="12"/>
      <c r="I4109" s="12"/>
      <c r="J4109" s="12"/>
      <c r="K4109" s="12"/>
      <c r="L4109" s="12"/>
      <c r="M4109" s="12" t="s">
        <v>3911</v>
      </c>
      <c r="N4109" s="12"/>
      <c r="O4109" s="12" t="s">
        <v>3912</v>
      </c>
      <c r="P4109" s="12" t="str">
        <f>HYPERLINK("https://ceds.ed.gov/cedselementdetails.aspx?termid=10212")</f>
        <v>https://ceds.ed.gov/cedselementdetails.aspx?termid=10212</v>
      </c>
      <c r="Q4109" s="12" t="str">
        <f>HYPERLINK("https://ceds.ed.gov/elementComment.aspx?elementName=Learning Resource Education Level  &amp;elementID=10212", "Click here to submit comment")</f>
        <v>Click here to submit comment</v>
      </c>
    </row>
    <row r="4110" spans="1:17" ht="105" x14ac:dyDescent="0.25">
      <c r="A4110" s="12" t="s">
        <v>7363</v>
      </c>
      <c r="B4110" s="12" t="s">
        <v>7290</v>
      </c>
      <c r="C4110" s="12"/>
      <c r="D4110" s="12" t="s">
        <v>7172</v>
      </c>
      <c r="E4110" s="12" t="s">
        <v>3913</v>
      </c>
      <c r="F4110" s="12" t="s">
        <v>3914</v>
      </c>
      <c r="G4110" s="13" t="s">
        <v>7001</v>
      </c>
      <c r="H4110" s="12"/>
      <c r="I4110" s="12"/>
      <c r="J4110" s="12"/>
      <c r="K4110" s="12"/>
      <c r="L4110" s="12"/>
      <c r="M4110" s="12" t="s">
        <v>3915</v>
      </c>
      <c r="N4110" s="12"/>
      <c r="O4110" s="12" t="s">
        <v>3916</v>
      </c>
      <c r="P4110" s="12" t="str">
        <f>HYPERLINK("https://ceds.ed.gov/cedselementdetails.aspx?termid=10005")</f>
        <v>https://ceds.ed.gov/cedselementdetails.aspx?termid=10005</v>
      </c>
      <c r="Q4110" s="12" t="str">
        <f>HYPERLINK("https://ceds.ed.gov/elementComment.aspx?elementName=Learning Resource Educational Use &amp;elementID=10005", "Click here to submit comment")</f>
        <v>Click here to submit comment</v>
      </c>
    </row>
    <row r="4111" spans="1:17" ht="150" x14ac:dyDescent="0.25">
      <c r="A4111" s="12" t="s">
        <v>7363</v>
      </c>
      <c r="B4111" s="12" t="s">
        <v>7290</v>
      </c>
      <c r="C4111" s="12"/>
      <c r="D4111" s="12" t="s">
        <v>7172</v>
      </c>
      <c r="E4111" s="12" t="s">
        <v>3917</v>
      </c>
      <c r="F4111" s="12" t="s">
        <v>3918</v>
      </c>
      <c r="G4111" s="13" t="s">
        <v>7002</v>
      </c>
      <c r="H4111" s="12"/>
      <c r="I4111" s="12"/>
      <c r="J4111" s="12"/>
      <c r="K4111" s="12"/>
      <c r="L4111" s="12"/>
      <c r="M4111" s="12" t="s">
        <v>3919</v>
      </c>
      <c r="N4111" s="12"/>
      <c r="O4111" s="12" t="s">
        <v>3920</v>
      </c>
      <c r="P4111" s="12" t="str">
        <f>HYPERLINK("https://ceds.ed.gov/cedselementdetails.aspx?termid=9924")</f>
        <v>https://ceds.ed.gov/cedselementdetails.aspx?termid=9924</v>
      </c>
      <c r="Q4111" s="12" t="str">
        <f>HYPERLINK("https://ceds.ed.gov/elementComment.aspx?elementName=Learning Resource Intended End User Role &amp;elementID=9924", "Click here to submit comment")</f>
        <v>Click here to submit comment</v>
      </c>
    </row>
    <row r="4112" spans="1:17" ht="150" x14ac:dyDescent="0.25">
      <c r="A4112" s="12" t="s">
        <v>7363</v>
      </c>
      <c r="B4112" s="12" t="s">
        <v>7290</v>
      </c>
      <c r="C4112" s="12"/>
      <c r="D4112" s="12" t="s">
        <v>7172</v>
      </c>
      <c r="E4112" s="12" t="s">
        <v>3921</v>
      </c>
      <c r="F4112" s="12" t="s">
        <v>3922</v>
      </c>
      <c r="G4112" s="13" t="s">
        <v>7003</v>
      </c>
      <c r="H4112" s="12"/>
      <c r="I4112" s="12"/>
      <c r="J4112" s="12"/>
      <c r="K4112" s="12"/>
      <c r="L4112" s="12"/>
      <c r="M4112" s="12" t="s">
        <v>3923</v>
      </c>
      <c r="N4112" s="12"/>
      <c r="O4112" s="12" t="s">
        <v>3924</v>
      </c>
      <c r="P4112" s="12" t="str">
        <f>HYPERLINK("https://ceds.ed.gov/cedselementdetails.aspx?termid=10543")</f>
        <v>https://ceds.ed.gov/cedselementdetails.aspx?termid=10543</v>
      </c>
      <c r="Q4112" s="12" t="str">
        <f>HYPERLINK("https://ceds.ed.gov/elementComment.aspx?elementName=Learning Resource Interaction Mode &amp;elementID=10543", "Click here to submit comment")</f>
        <v>Click here to submit comment</v>
      </c>
    </row>
    <row r="4113" spans="1:17" ht="60" x14ac:dyDescent="0.25">
      <c r="A4113" s="12" t="s">
        <v>7363</v>
      </c>
      <c r="B4113" s="12" t="s">
        <v>7290</v>
      </c>
      <c r="C4113" s="12"/>
      <c r="D4113" s="12" t="s">
        <v>7172</v>
      </c>
      <c r="E4113" s="12" t="s">
        <v>3925</v>
      </c>
      <c r="F4113" s="12" t="s">
        <v>3926</v>
      </c>
      <c r="G4113" s="13" t="s">
        <v>7004</v>
      </c>
      <c r="H4113" s="12"/>
      <c r="I4113" s="12"/>
      <c r="J4113" s="12"/>
      <c r="K4113" s="12"/>
      <c r="L4113" s="12"/>
      <c r="M4113" s="12" t="s">
        <v>3927</v>
      </c>
      <c r="N4113" s="12"/>
      <c r="O4113" s="12" t="s">
        <v>3928</v>
      </c>
      <c r="P4113" s="12" t="str">
        <f>HYPERLINK("https://ceds.ed.gov/cedselementdetails.aspx?termid=9928")</f>
        <v>https://ceds.ed.gov/cedselementdetails.aspx?termid=9928</v>
      </c>
      <c r="Q4113" s="12" t="str">
        <f>HYPERLINK("https://ceds.ed.gov/elementComment.aspx?elementName=Learning Resource Interactivity Type &amp;elementID=9928", "Click here to submit comment")</f>
        <v>Click here to submit comment</v>
      </c>
    </row>
    <row r="4114" spans="1:17" ht="90" x14ac:dyDescent="0.25">
      <c r="A4114" s="18" t="s">
        <v>7363</v>
      </c>
      <c r="B4114" s="18" t="s">
        <v>7290</v>
      </c>
      <c r="C4114" s="18"/>
      <c r="D4114" s="18" t="s">
        <v>7172</v>
      </c>
      <c r="E4114" s="18" t="s">
        <v>3929</v>
      </c>
      <c r="F4114" s="18" t="s">
        <v>3930</v>
      </c>
      <c r="G4114" s="21" t="s">
        <v>999</v>
      </c>
      <c r="H4114" s="18"/>
      <c r="I4114" s="18" t="s">
        <v>98</v>
      </c>
      <c r="J4114" s="18"/>
      <c r="K4114" s="18"/>
      <c r="L4114" s="14" t="s">
        <v>1000</v>
      </c>
      <c r="M4114" s="18" t="s">
        <v>3932</v>
      </c>
      <c r="N4114" s="18"/>
      <c r="O4114" s="18" t="s">
        <v>3933</v>
      </c>
      <c r="P4114" s="18" t="str">
        <f>HYPERLINK("https://ceds.ed.gov/cedselementdetails.aspx?termid=9920")</f>
        <v>https://ceds.ed.gov/cedselementdetails.aspx?termid=9920</v>
      </c>
      <c r="Q4114" s="18" t="str">
        <f>HYPERLINK("https://ceds.ed.gov/elementComment.aspx?elementName=Learning Resource Language &amp;elementID=9920", "Click here to submit comment")</f>
        <v>Click here to submit comment</v>
      </c>
    </row>
    <row r="4115" spans="1:17" ht="75" x14ac:dyDescent="0.25">
      <c r="A4115" s="18"/>
      <c r="B4115" s="18"/>
      <c r="C4115" s="18"/>
      <c r="D4115" s="18"/>
      <c r="E4115" s="18"/>
      <c r="F4115" s="18"/>
      <c r="G4115" s="21"/>
      <c r="H4115" s="18"/>
      <c r="I4115" s="18"/>
      <c r="J4115" s="18"/>
      <c r="K4115" s="18"/>
      <c r="L4115" s="12" t="s">
        <v>3931</v>
      </c>
      <c r="M4115" s="18"/>
      <c r="N4115" s="18"/>
      <c r="O4115" s="18"/>
      <c r="P4115" s="18"/>
      <c r="Q4115" s="18"/>
    </row>
    <row r="4116" spans="1:17" ht="45" x14ac:dyDescent="0.25">
      <c r="A4116" s="12" t="s">
        <v>7363</v>
      </c>
      <c r="B4116" s="12" t="s">
        <v>7290</v>
      </c>
      <c r="C4116" s="12"/>
      <c r="D4116" s="12" t="s">
        <v>7172</v>
      </c>
      <c r="E4116" s="12" t="s">
        <v>3934</v>
      </c>
      <c r="F4116" s="12" t="s">
        <v>3935</v>
      </c>
      <c r="G4116" s="12" t="s">
        <v>12</v>
      </c>
      <c r="H4116" s="12"/>
      <c r="I4116" s="12"/>
      <c r="J4116" s="12" t="s">
        <v>68</v>
      </c>
      <c r="K4116" s="12"/>
      <c r="L4116" s="12" t="s">
        <v>3936</v>
      </c>
      <c r="M4116" s="12" t="s">
        <v>3937</v>
      </c>
      <c r="N4116" s="12"/>
      <c r="O4116" s="12" t="s">
        <v>3938</v>
      </c>
      <c r="P4116" s="12" t="str">
        <f>HYPERLINK("https://ceds.ed.gov/cedselementdetails.aspx?termid=9922")</f>
        <v>https://ceds.ed.gov/cedselementdetails.aspx?termid=9922</v>
      </c>
      <c r="Q4116" s="12" t="str">
        <f>HYPERLINK("https://ceds.ed.gov/elementComment.aspx?elementName=Learning Resource License URL &amp;elementID=9922", "Click here to submit comment")</f>
        <v>Click here to submit comment</v>
      </c>
    </row>
    <row r="4117" spans="1:17" ht="345" x14ac:dyDescent="0.25">
      <c r="A4117" s="12" t="s">
        <v>7363</v>
      </c>
      <c r="B4117" s="12" t="s">
        <v>7290</v>
      </c>
      <c r="C4117" s="12"/>
      <c r="D4117" s="12" t="s">
        <v>7172</v>
      </c>
      <c r="E4117" s="12" t="s">
        <v>3939</v>
      </c>
      <c r="F4117" s="12" t="s">
        <v>3940</v>
      </c>
      <c r="G4117" s="13" t="s">
        <v>7005</v>
      </c>
      <c r="H4117" s="12"/>
      <c r="I4117" s="12"/>
      <c r="J4117" s="12"/>
      <c r="K4117" s="12"/>
      <c r="L4117" s="12" t="s">
        <v>3941</v>
      </c>
      <c r="M4117" s="12" t="s">
        <v>3942</v>
      </c>
      <c r="N4117" s="12"/>
      <c r="O4117" s="12" t="s">
        <v>3943</v>
      </c>
      <c r="P4117" s="12" t="str">
        <f>HYPERLINK("https://ceds.ed.gov/cedselementdetails.aspx?termid=10368")</f>
        <v>https://ceds.ed.gov/cedselementdetails.aspx?termid=10368</v>
      </c>
      <c r="Q4117" s="12" t="str">
        <f>HYPERLINK("https://ceds.ed.gov/elementComment.aspx?elementName=Learning Resource Media Feature Type &amp;elementID=10368", "Click here to submit comment")</f>
        <v>Click here to submit comment</v>
      </c>
    </row>
    <row r="4118" spans="1:17" ht="409.5" x14ac:dyDescent="0.25">
      <c r="A4118" s="12" t="s">
        <v>7363</v>
      </c>
      <c r="B4118" s="12" t="s">
        <v>7290</v>
      </c>
      <c r="C4118" s="12"/>
      <c r="D4118" s="12" t="s">
        <v>7172</v>
      </c>
      <c r="E4118" s="12" t="s">
        <v>3952</v>
      </c>
      <c r="F4118" s="12" t="s">
        <v>3953</v>
      </c>
      <c r="G4118" s="13" t="s">
        <v>7006</v>
      </c>
      <c r="H4118" s="12"/>
      <c r="I4118" s="12"/>
      <c r="J4118" s="12"/>
      <c r="K4118" s="12"/>
      <c r="L4118" s="12"/>
      <c r="M4118" s="12" t="s">
        <v>3954</v>
      </c>
      <c r="N4118" s="12"/>
      <c r="O4118" s="12" t="s">
        <v>3955</v>
      </c>
      <c r="P4118" s="12" t="str">
        <f>HYPERLINK("https://ceds.ed.gov/cedselementdetails.aspx?termid=10370")</f>
        <v>https://ceds.ed.gov/cedselementdetails.aspx?termid=10370</v>
      </c>
      <c r="Q4118" s="12" t="str">
        <f>HYPERLINK("https://ceds.ed.gov/elementComment.aspx?elementName=Learning Resource Physical Media Type &amp;elementID=10370", "Click here to submit comment")</f>
        <v>Click here to submit comment</v>
      </c>
    </row>
    <row r="4119" spans="1:17" ht="30" x14ac:dyDescent="0.25">
      <c r="A4119" s="12" t="s">
        <v>7363</v>
      </c>
      <c r="B4119" s="12" t="s">
        <v>7290</v>
      </c>
      <c r="C4119" s="12"/>
      <c r="D4119" s="12" t="s">
        <v>7172</v>
      </c>
      <c r="E4119" s="12" t="s">
        <v>3960</v>
      </c>
      <c r="F4119" s="12" t="s">
        <v>3961</v>
      </c>
      <c r="G4119" s="12" t="s">
        <v>12</v>
      </c>
      <c r="H4119" s="12"/>
      <c r="I4119" s="12"/>
      <c r="J4119" s="12" t="s">
        <v>2649</v>
      </c>
      <c r="K4119" s="12"/>
      <c r="L4119" s="12"/>
      <c r="M4119" s="12" t="s">
        <v>3962</v>
      </c>
      <c r="N4119" s="12"/>
      <c r="O4119" s="12" t="s">
        <v>3963</v>
      </c>
      <c r="P4119" s="12" t="str">
        <f>HYPERLINK("https://ceds.ed.gov/cedselementdetails.aspx?termid=10545")</f>
        <v>https://ceds.ed.gov/cedselementdetails.aspx?termid=10545</v>
      </c>
      <c r="Q4119" s="12" t="str">
        <f>HYPERLINK("https://ceds.ed.gov/elementComment.aspx?elementName=Learning Resource Publisher Email &amp;elementID=10545", "Click here to submit comment")</f>
        <v>Click here to submit comment</v>
      </c>
    </row>
    <row r="4120" spans="1:17" ht="30" x14ac:dyDescent="0.25">
      <c r="A4120" s="12" t="s">
        <v>7363</v>
      </c>
      <c r="B4120" s="12" t="s">
        <v>7290</v>
      </c>
      <c r="C4120" s="12"/>
      <c r="D4120" s="12" t="s">
        <v>7172</v>
      </c>
      <c r="E4120" s="12" t="s">
        <v>3964</v>
      </c>
      <c r="F4120" s="12" t="s">
        <v>3965</v>
      </c>
      <c r="G4120" s="12" t="s">
        <v>12</v>
      </c>
      <c r="H4120" s="12"/>
      <c r="I4120" s="12"/>
      <c r="J4120" s="12" t="s">
        <v>99</v>
      </c>
      <c r="K4120" s="12"/>
      <c r="L4120" s="12"/>
      <c r="M4120" s="12" t="s">
        <v>3966</v>
      </c>
      <c r="N4120" s="12"/>
      <c r="O4120" s="12" t="s">
        <v>3967</v>
      </c>
      <c r="P4120" s="12" t="str">
        <f>HYPERLINK("https://ceds.ed.gov/cedselementdetails.aspx?termid=9919")</f>
        <v>https://ceds.ed.gov/cedselementdetails.aspx?termid=9919</v>
      </c>
      <c r="Q4120" s="12" t="str">
        <f>HYPERLINK("https://ceds.ed.gov/elementComment.aspx?elementName=Learning Resource Publisher Name &amp;elementID=9919", "Click here to submit comment")</f>
        <v>Click here to submit comment</v>
      </c>
    </row>
    <row r="4121" spans="1:17" ht="45" x14ac:dyDescent="0.25">
      <c r="A4121" s="12" t="s">
        <v>7363</v>
      </c>
      <c r="B4121" s="12" t="s">
        <v>7290</v>
      </c>
      <c r="C4121" s="12"/>
      <c r="D4121" s="12" t="s">
        <v>7172</v>
      </c>
      <c r="E4121" s="12" t="s">
        <v>3968</v>
      </c>
      <c r="F4121" s="12" t="s">
        <v>3969</v>
      </c>
      <c r="G4121" s="12" t="s">
        <v>12</v>
      </c>
      <c r="H4121" s="12"/>
      <c r="I4121" s="12"/>
      <c r="J4121" s="12" t="s">
        <v>68</v>
      </c>
      <c r="K4121" s="12"/>
      <c r="L4121" s="12"/>
      <c r="M4121" s="12" t="s">
        <v>3970</v>
      </c>
      <c r="N4121" s="12"/>
      <c r="O4121" s="12" t="s">
        <v>3971</v>
      </c>
      <c r="P4121" s="12" t="str">
        <f>HYPERLINK("https://ceds.ed.gov/cedselementdetails.aspx?termid=10547")</f>
        <v>https://ceds.ed.gov/cedselementdetails.aspx?termid=10547</v>
      </c>
      <c r="Q4121" s="12" t="str">
        <f>HYPERLINK("https://ceds.ed.gov/elementComment.aspx?elementName=Learning Resource Publisher URL &amp;elementID=10547", "Click here to submit comment")</f>
        <v>Click here to submit comment</v>
      </c>
    </row>
    <row r="4122" spans="1:17" ht="210" x14ac:dyDescent="0.25">
      <c r="A4122" s="12" t="s">
        <v>7363</v>
      </c>
      <c r="B4122" s="12" t="s">
        <v>7290</v>
      </c>
      <c r="C4122" s="12"/>
      <c r="D4122" s="12" t="s">
        <v>7172</v>
      </c>
      <c r="E4122" s="12" t="s">
        <v>3972</v>
      </c>
      <c r="F4122" s="12" t="s">
        <v>3973</v>
      </c>
      <c r="G4122" s="12" t="s">
        <v>12</v>
      </c>
      <c r="H4122" s="12"/>
      <c r="I4122" s="12"/>
      <c r="J4122" s="12" t="s">
        <v>92</v>
      </c>
      <c r="K4122" s="12"/>
      <c r="L4122" s="12" t="s">
        <v>3974</v>
      </c>
      <c r="M4122" s="12" t="s">
        <v>3975</v>
      </c>
      <c r="N4122" s="12"/>
      <c r="O4122" s="12" t="s">
        <v>3976</v>
      </c>
      <c r="P4122" s="12" t="str">
        <f>HYPERLINK("https://ceds.ed.gov/cedselementdetails.aspx?termid=9914")</f>
        <v>https://ceds.ed.gov/cedselementdetails.aspx?termid=9914</v>
      </c>
      <c r="Q4122" s="12" t="str">
        <f>HYPERLINK("https://ceds.ed.gov/elementComment.aspx?elementName=Learning Resource Subject Code &amp;elementID=9914", "Click here to submit comment")</f>
        <v>Click here to submit comment</v>
      </c>
    </row>
    <row r="4123" spans="1:17" ht="240" x14ac:dyDescent="0.25">
      <c r="A4123" s="12" t="s">
        <v>7363</v>
      </c>
      <c r="B4123" s="12" t="s">
        <v>7290</v>
      </c>
      <c r="C4123" s="12"/>
      <c r="D4123" s="12" t="s">
        <v>7172</v>
      </c>
      <c r="E4123" s="12" t="s">
        <v>3977</v>
      </c>
      <c r="F4123" s="12" t="s">
        <v>3978</v>
      </c>
      <c r="G4123" s="12" t="s">
        <v>12</v>
      </c>
      <c r="H4123" s="12"/>
      <c r="I4123" s="12"/>
      <c r="J4123" s="12" t="s">
        <v>92</v>
      </c>
      <c r="K4123" s="12"/>
      <c r="L4123" s="12" t="s">
        <v>3979</v>
      </c>
      <c r="M4123" s="12" t="s">
        <v>3980</v>
      </c>
      <c r="N4123" s="12"/>
      <c r="O4123" s="12" t="s">
        <v>3981</v>
      </c>
      <c r="P4123" s="12" t="str">
        <f>HYPERLINK("https://ceds.ed.gov/cedselementdetails.aspx?termid=9915")</f>
        <v>https://ceds.ed.gov/cedselementdetails.aspx?termid=9915</v>
      </c>
      <c r="Q4123" s="12" t="str">
        <f>HYPERLINK("https://ceds.ed.gov/elementComment.aspx?elementName=Learning Resource Subject Code System &amp;elementID=9915", "Click here to submit comment")</f>
        <v>Click here to submit comment</v>
      </c>
    </row>
    <row r="4124" spans="1:17" ht="30" x14ac:dyDescent="0.25">
      <c r="A4124" s="12" t="s">
        <v>7363</v>
      </c>
      <c r="B4124" s="12" t="s">
        <v>7290</v>
      </c>
      <c r="C4124" s="12"/>
      <c r="D4124" s="12" t="s">
        <v>7172</v>
      </c>
      <c r="E4124" s="12" t="s">
        <v>3982</v>
      </c>
      <c r="F4124" s="12" t="s">
        <v>3983</v>
      </c>
      <c r="G4124" s="12" t="s">
        <v>12</v>
      </c>
      <c r="H4124" s="12"/>
      <c r="I4124" s="12"/>
      <c r="J4124" s="12" t="s">
        <v>92</v>
      </c>
      <c r="K4124" s="12"/>
      <c r="L4124" s="12"/>
      <c r="M4124" s="12" t="s">
        <v>3984</v>
      </c>
      <c r="N4124" s="12"/>
      <c r="O4124" s="12" t="s">
        <v>3985</v>
      </c>
      <c r="P4124" s="12" t="str">
        <f>HYPERLINK("https://ceds.ed.gov/cedselementdetails.aspx?termid=9913")</f>
        <v>https://ceds.ed.gov/cedselementdetails.aspx?termid=9913</v>
      </c>
      <c r="Q4124" s="12" t="str">
        <f>HYPERLINK("https://ceds.ed.gov/elementComment.aspx?elementName=Learning Resource Subject Name &amp;elementID=9913", "Click here to submit comment")</f>
        <v>Click here to submit comment</v>
      </c>
    </row>
    <row r="4125" spans="1:17" ht="45" x14ac:dyDescent="0.25">
      <c r="A4125" s="12" t="s">
        <v>7363</v>
      </c>
      <c r="B4125" s="12" t="s">
        <v>7290</v>
      </c>
      <c r="C4125" s="12"/>
      <c r="D4125" s="12" t="s">
        <v>7172</v>
      </c>
      <c r="E4125" s="12" t="s">
        <v>3986</v>
      </c>
      <c r="F4125" s="12" t="s">
        <v>3987</v>
      </c>
      <c r="G4125" s="12" t="s">
        <v>12</v>
      </c>
      <c r="H4125" s="12"/>
      <c r="I4125" s="12"/>
      <c r="J4125" s="12" t="s">
        <v>92</v>
      </c>
      <c r="K4125" s="12"/>
      <c r="L4125" s="12"/>
      <c r="M4125" s="12" t="s">
        <v>3988</v>
      </c>
      <c r="N4125" s="12"/>
      <c r="O4125" s="12" t="s">
        <v>3989</v>
      </c>
      <c r="P4125" s="12" t="str">
        <f>HYPERLINK("https://ceds.ed.gov/cedselementdetails.aspx?termid=9931")</f>
        <v>https://ceds.ed.gov/cedselementdetails.aspx?termid=9931</v>
      </c>
      <c r="Q4125" s="12" t="str">
        <f>HYPERLINK("https://ceds.ed.gov/elementComment.aspx?elementName=Learning Resource Text Complexity System &amp;elementID=9931", "Click here to submit comment")</f>
        <v>Click here to submit comment</v>
      </c>
    </row>
    <row r="4126" spans="1:17" ht="45" x14ac:dyDescent="0.25">
      <c r="A4126" s="12" t="s">
        <v>7363</v>
      </c>
      <c r="B4126" s="12" t="s">
        <v>7290</v>
      </c>
      <c r="C4126" s="12"/>
      <c r="D4126" s="12" t="s">
        <v>7172</v>
      </c>
      <c r="E4126" s="12" t="s">
        <v>3990</v>
      </c>
      <c r="F4126" s="12" t="s">
        <v>3991</v>
      </c>
      <c r="G4126" s="12" t="s">
        <v>12</v>
      </c>
      <c r="H4126" s="12"/>
      <c r="I4126" s="12"/>
      <c r="J4126" s="12" t="s">
        <v>92</v>
      </c>
      <c r="K4126" s="12"/>
      <c r="L4126" s="12"/>
      <c r="M4126" s="12" t="s">
        <v>3992</v>
      </c>
      <c r="N4126" s="12"/>
      <c r="O4126" s="12" t="s">
        <v>3993</v>
      </c>
      <c r="P4126" s="12" t="str">
        <f>HYPERLINK("https://ceds.ed.gov/cedselementdetails.aspx?termid=9930")</f>
        <v>https://ceds.ed.gov/cedselementdetails.aspx?termid=9930</v>
      </c>
      <c r="Q4126" s="12" t="str">
        <f>HYPERLINK("https://ceds.ed.gov/elementComment.aspx?elementName=Learning Resource Text Complexity Value &amp;elementID=9930", "Click here to submit comment")</f>
        <v>Click here to submit comment</v>
      </c>
    </row>
    <row r="4127" spans="1:17" ht="60" x14ac:dyDescent="0.25">
      <c r="A4127" s="12" t="s">
        <v>7363</v>
      </c>
      <c r="B4127" s="12" t="s">
        <v>7290</v>
      </c>
      <c r="C4127" s="12"/>
      <c r="D4127" s="12" t="s">
        <v>7172</v>
      </c>
      <c r="E4127" s="12" t="s">
        <v>3994</v>
      </c>
      <c r="F4127" s="12" t="s">
        <v>3995</v>
      </c>
      <c r="G4127" s="12" t="s">
        <v>12</v>
      </c>
      <c r="H4127" s="12"/>
      <c r="I4127" s="12"/>
      <c r="J4127" s="12" t="s">
        <v>3996</v>
      </c>
      <c r="K4127" s="12"/>
      <c r="L4127" s="12"/>
      <c r="M4127" s="12" t="s">
        <v>3997</v>
      </c>
      <c r="N4127" s="12"/>
      <c r="O4127" s="12" t="s">
        <v>3998</v>
      </c>
      <c r="P4127" s="12" t="str">
        <f>HYPERLINK("https://ceds.ed.gov/cedselementdetails.aspx?termid=9925")</f>
        <v>https://ceds.ed.gov/cedselementdetails.aspx?termid=9925</v>
      </c>
      <c r="Q4127" s="12" t="str">
        <f>HYPERLINK("https://ceds.ed.gov/elementComment.aspx?elementName=Learning Resource Time Required &amp;elementID=9925", "Click here to submit comment")</f>
        <v>Click here to submit comment</v>
      </c>
    </row>
    <row r="4128" spans="1:17" ht="30" x14ac:dyDescent="0.25">
      <c r="A4128" s="12" t="s">
        <v>7363</v>
      </c>
      <c r="B4128" s="12" t="s">
        <v>7290</v>
      </c>
      <c r="C4128" s="12"/>
      <c r="D4128" s="12" t="s">
        <v>7172</v>
      </c>
      <c r="E4128" s="12" t="s">
        <v>3999</v>
      </c>
      <c r="F4128" s="12" t="s">
        <v>4000</v>
      </c>
      <c r="G4128" s="12" t="s">
        <v>12</v>
      </c>
      <c r="H4128" s="12"/>
      <c r="I4128" s="12"/>
      <c r="J4128" s="12" t="s">
        <v>92</v>
      </c>
      <c r="K4128" s="12"/>
      <c r="L4128" s="12"/>
      <c r="M4128" s="12" t="s">
        <v>4001</v>
      </c>
      <c r="N4128" s="12"/>
      <c r="O4128" s="12" t="s">
        <v>4002</v>
      </c>
      <c r="P4128" s="12" t="str">
        <f>HYPERLINK("https://ceds.ed.gov/cedselementdetails.aspx?termid=9912")</f>
        <v>https://ceds.ed.gov/cedselementdetails.aspx?termid=9912</v>
      </c>
      <c r="Q4128" s="12" t="str">
        <f>HYPERLINK("https://ceds.ed.gov/elementComment.aspx?elementName=Learning Resource Title &amp;elementID=9912", "Click here to submit comment")</f>
        <v>Click here to submit comment</v>
      </c>
    </row>
    <row r="4129" spans="1:17" ht="360" x14ac:dyDescent="0.25">
      <c r="A4129" s="12" t="s">
        <v>7363</v>
      </c>
      <c r="B4129" s="12" t="s">
        <v>7290</v>
      </c>
      <c r="C4129" s="12"/>
      <c r="D4129" s="12" t="s">
        <v>7172</v>
      </c>
      <c r="E4129" s="12" t="s">
        <v>4003</v>
      </c>
      <c r="F4129" s="12" t="s">
        <v>4004</v>
      </c>
      <c r="G4129" s="13" t="s">
        <v>7007</v>
      </c>
      <c r="H4129" s="12"/>
      <c r="I4129" s="12"/>
      <c r="J4129" s="12"/>
      <c r="K4129" s="12"/>
      <c r="L4129" s="12" t="s">
        <v>4005</v>
      </c>
      <c r="M4129" s="12" t="s">
        <v>4006</v>
      </c>
      <c r="N4129" s="12"/>
      <c r="O4129" s="12" t="s">
        <v>4007</v>
      </c>
      <c r="P4129" s="12" t="str">
        <f>HYPERLINK("https://ceds.ed.gov/cedselementdetails.aspx?termid=9929")</f>
        <v>https://ceds.ed.gov/cedselementdetails.aspx?termid=9929</v>
      </c>
      <c r="Q4129" s="12" t="str">
        <f>HYPERLINK("https://ceds.ed.gov/elementComment.aspx?elementName=Learning Resource Type &amp;elementID=9929", "Click here to submit comment")</f>
        <v>Click here to submit comment</v>
      </c>
    </row>
    <row r="4130" spans="1:17" ht="45" x14ac:dyDescent="0.25">
      <c r="A4130" s="12" t="s">
        <v>7363</v>
      </c>
      <c r="B4130" s="12" t="s">
        <v>7290</v>
      </c>
      <c r="C4130" s="12"/>
      <c r="D4130" s="12" t="s">
        <v>7172</v>
      </c>
      <c r="E4130" s="12" t="s">
        <v>4008</v>
      </c>
      <c r="F4130" s="12" t="s">
        <v>4009</v>
      </c>
      <c r="G4130" s="12" t="s">
        <v>12</v>
      </c>
      <c r="H4130" s="12"/>
      <c r="I4130" s="12"/>
      <c r="J4130" s="12" t="s">
        <v>317</v>
      </c>
      <c r="K4130" s="12"/>
      <c r="L4130" s="12"/>
      <c r="M4130" s="12" t="s">
        <v>4010</v>
      </c>
      <c r="N4130" s="12"/>
      <c r="O4130" s="12" t="s">
        <v>4011</v>
      </c>
      <c r="P4130" s="12" t="str">
        <f>HYPERLINK("https://ceds.ed.gov/cedselementdetails.aspx?termid=9927")</f>
        <v>https://ceds.ed.gov/cedselementdetails.aspx?termid=9927</v>
      </c>
      <c r="Q4130" s="12" t="str">
        <f>HYPERLINK("https://ceds.ed.gov/elementComment.aspx?elementName=Learning Resource Typical Age Range Maximum &amp;elementID=9927", "Click here to submit comment")</f>
        <v>Click here to submit comment</v>
      </c>
    </row>
    <row r="4131" spans="1:17" ht="45" x14ac:dyDescent="0.25">
      <c r="A4131" s="12" t="s">
        <v>7363</v>
      </c>
      <c r="B4131" s="12" t="s">
        <v>7290</v>
      </c>
      <c r="C4131" s="12"/>
      <c r="D4131" s="12" t="s">
        <v>7172</v>
      </c>
      <c r="E4131" s="12" t="s">
        <v>4012</v>
      </c>
      <c r="F4131" s="12" t="s">
        <v>4013</v>
      </c>
      <c r="G4131" s="12" t="s">
        <v>12</v>
      </c>
      <c r="H4131" s="12"/>
      <c r="I4131" s="12"/>
      <c r="J4131" s="12" t="s">
        <v>317</v>
      </c>
      <c r="K4131" s="12"/>
      <c r="L4131" s="12"/>
      <c r="M4131" s="12" t="s">
        <v>4014</v>
      </c>
      <c r="N4131" s="12"/>
      <c r="O4131" s="12" t="s">
        <v>4015</v>
      </c>
      <c r="P4131" s="12" t="str">
        <f>HYPERLINK("https://ceds.ed.gov/cedselementdetails.aspx?termid=9926")</f>
        <v>https://ceds.ed.gov/cedselementdetails.aspx?termid=9926</v>
      </c>
      <c r="Q4131" s="12" t="str">
        <f>HYPERLINK("https://ceds.ed.gov/elementComment.aspx?elementName=Learning Resource Typical Age Range Minimum &amp;elementID=9926", "Click here to submit comment")</f>
        <v>Click here to submit comment</v>
      </c>
    </row>
    <row r="4132" spans="1:17" ht="75" x14ac:dyDescent="0.25">
      <c r="A4132" s="12" t="s">
        <v>7363</v>
      </c>
      <c r="B4132" s="12" t="s">
        <v>7290</v>
      </c>
      <c r="C4132" s="12"/>
      <c r="D4132" s="12" t="s">
        <v>7172</v>
      </c>
      <c r="E4132" s="12" t="s">
        <v>4016</v>
      </c>
      <c r="F4132" s="12" t="s">
        <v>4017</v>
      </c>
      <c r="G4132" s="12" t="s">
        <v>12</v>
      </c>
      <c r="H4132" s="12"/>
      <c r="I4132" s="12"/>
      <c r="J4132" s="12" t="s">
        <v>68</v>
      </c>
      <c r="K4132" s="12"/>
      <c r="L4132" s="12"/>
      <c r="M4132" s="12" t="s">
        <v>4018</v>
      </c>
      <c r="N4132" s="12"/>
      <c r="O4132" s="12" t="s">
        <v>4019</v>
      </c>
      <c r="P4132" s="12" t="str">
        <f>HYPERLINK("https://ceds.ed.gov/cedselementdetails.aspx?termid=9911")</f>
        <v>https://ceds.ed.gov/cedselementdetails.aspx?termid=9911</v>
      </c>
      <c r="Q4132" s="12" t="str">
        <f>HYPERLINK("https://ceds.ed.gov/elementComment.aspx?elementName=Learning Resource URL &amp;elementID=9911", "Click here to submit comment")</f>
        <v>Click here to submit comment</v>
      </c>
    </row>
    <row r="4133" spans="1:17" ht="30" x14ac:dyDescent="0.25">
      <c r="A4133" s="12" t="s">
        <v>7363</v>
      </c>
      <c r="B4133" s="12" t="s">
        <v>7290</v>
      </c>
      <c r="C4133" s="12"/>
      <c r="D4133" s="12" t="s">
        <v>7172</v>
      </c>
      <c r="E4133" s="12" t="s">
        <v>4020</v>
      </c>
      <c r="F4133" s="12" t="s">
        <v>4021</v>
      </c>
      <c r="G4133" s="12" t="s">
        <v>12</v>
      </c>
      <c r="H4133" s="12"/>
      <c r="I4133" s="12"/>
      <c r="J4133" s="12" t="s">
        <v>92</v>
      </c>
      <c r="K4133" s="12"/>
      <c r="L4133" s="12"/>
      <c r="M4133" s="12" t="s">
        <v>4022</v>
      </c>
      <c r="N4133" s="12"/>
      <c r="O4133" s="12" t="s">
        <v>4023</v>
      </c>
      <c r="P4133" s="12" t="str">
        <f>HYPERLINK("https://ceds.ed.gov/cedselementdetails.aspx?termid=10182")</f>
        <v>https://ceds.ed.gov/cedselementdetails.aspx?termid=10182</v>
      </c>
      <c r="Q4133" s="12" t="str">
        <f>HYPERLINK("https://ceds.ed.gov/elementComment.aspx?elementName=Learning Resource Version &amp;elementID=10182", "Click here to submit comment")</f>
        <v>Click here to submit comment</v>
      </c>
    </row>
    <row r="4134" spans="1:17" ht="75" x14ac:dyDescent="0.25">
      <c r="A4134" s="12" t="s">
        <v>7363</v>
      </c>
      <c r="B4134" s="12" t="s">
        <v>7290</v>
      </c>
      <c r="C4134" s="12"/>
      <c r="D4134" s="12" t="s">
        <v>7172</v>
      </c>
      <c r="E4134" s="12" t="s">
        <v>4104</v>
      </c>
      <c r="F4134" s="12" t="s">
        <v>4105</v>
      </c>
      <c r="G4134" s="12" t="s">
        <v>12</v>
      </c>
      <c r="H4134" s="12"/>
      <c r="I4134" s="12"/>
      <c r="J4134" s="12" t="s">
        <v>68</v>
      </c>
      <c r="K4134" s="12"/>
      <c r="L4134" s="12"/>
      <c r="M4134" s="12" t="s">
        <v>4106</v>
      </c>
      <c r="N4134" s="12"/>
      <c r="O4134" s="12" t="s">
        <v>4107</v>
      </c>
      <c r="P4134" s="12" t="str">
        <f>HYPERLINK("https://ceds.ed.gov/cedselementdetails.aspx?termid=9871")</f>
        <v>https://ceds.ed.gov/cedselementdetails.aspx?termid=9871</v>
      </c>
      <c r="Q4134" s="12" t="str">
        <f>HYPERLINK("https://ceds.ed.gov/elementComment.aspx?elementName=Learning Standard Item Association Identifier URI &amp;elementID=9871", "Click here to submit comment")</f>
        <v>Click here to submit comment</v>
      </c>
    </row>
    <row r="4135" spans="1:17" ht="165" x14ac:dyDescent="0.25">
      <c r="A4135" s="18" t="s">
        <v>7363</v>
      </c>
      <c r="B4135" s="18" t="s">
        <v>7290</v>
      </c>
      <c r="C4135" s="18"/>
      <c r="D4135" s="18" t="s">
        <v>7172</v>
      </c>
      <c r="E4135" s="18" t="s">
        <v>4116</v>
      </c>
      <c r="F4135" s="18" t="s">
        <v>4117</v>
      </c>
      <c r="G4135" s="20" t="s">
        <v>7009</v>
      </c>
      <c r="H4135" s="18"/>
      <c r="I4135" s="18" t="s">
        <v>98</v>
      </c>
      <c r="J4135" s="18"/>
      <c r="K4135" s="18"/>
      <c r="L4135" s="12" t="s">
        <v>4118</v>
      </c>
      <c r="M4135" s="18" t="s">
        <v>4120</v>
      </c>
      <c r="N4135" s="18"/>
      <c r="O4135" s="18" t="s">
        <v>4121</v>
      </c>
      <c r="P4135" s="18" t="str">
        <f>HYPERLINK("https://ceds.ed.gov/cedselementdetails.aspx?termid=9869")</f>
        <v>https://ceds.ed.gov/cedselementdetails.aspx?termid=9869</v>
      </c>
      <c r="Q4135" s="18" t="str">
        <f>HYPERLINK("https://ceds.ed.gov/elementComment.aspx?elementName=Learning Standard Item Association Type &amp;elementID=9869", "Click here to submit comment")</f>
        <v>Click here to submit comment</v>
      </c>
    </row>
    <row r="4136" spans="1:17" x14ac:dyDescent="0.25">
      <c r="A4136" s="18"/>
      <c r="B4136" s="18"/>
      <c r="C4136" s="18"/>
      <c r="D4136" s="18"/>
      <c r="E4136" s="18"/>
      <c r="F4136" s="18"/>
      <c r="G4136" s="18"/>
      <c r="H4136" s="18"/>
      <c r="I4136" s="18"/>
      <c r="J4136" s="18"/>
      <c r="K4136" s="18"/>
      <c r="L4136" s="12"/>
      <c r="M4136" s="18"/>
      <c r="N4136" s="18"/>
      <c r="O4136" s="18"/>
      <c r="P4136" s="18"/>
      <c r="Q4136" s="18"/>
    </row>
    <row r="4137" spans="1:17" x14ac:dyDescent="0.25">
      <c r="A4137" s="18"/>
      <c r="B4137" s="18"/>
      <c r="C4137" s="18"/>
      <c r="D4137" s="18"/>
      <c r="E4137" s="18"/>
      <c r="F4137" s="18"/>
      <c r="G4137" s="18"/>
      <c r="H4137" s="18"/>
      <c r="I4137" s="18"/>
      <c r="J4137" s="18"/>
      <c r="K4137" s="18"/>
      <c r="L4137" s="12"/>
      <c r="M4137" s="18"/>
      <c r="N4137" s="18"/>
      <c r="O4137" s="18"/>
      <c r="P4137" s="18"/>
      <c r="Q4137" s="18"/>
    </row>
    <row r="4138" spans="1:17" ht="135" x14ac:dyDescent="0.25">
      <c r="A4138" s="18"/>
      <c r="B4138" s="18"/>
      <c r="C4138" s="18"/>
      <c r="D4138" s="18"/>
      <c r="E4138" s="18"/>
      <c r="F4138" s="18"/>
      <c r="G4138" s="18"/>
      <c r="H4138" s="18"/>
      <c r="I4138" s="18"/>
      <c r="J4138" s="18"/>
      <c r="K4138" s="18"/>
      <c r="L4138" s="12" t="s">
        <v>4119</v>
      </c>
      <c r="M4138" s="18"/>
      <c r="N4138" s="18"/>
      <c r="O4138" s="18"/>
      <c r="P4138" s="18"/>
      <c r="Q4138" s="18"/>
    </row>
    <row r="4139" spans="1:17" ht="60" x14ac:dyDescent="0.25">
      <c r="A4139" s="12" t="s">
        <v>7363</v>
      </c>
      <c r="B4139" s="12" t="s">
        <v>7290</v>
      </c>
      <c r="C4139" s="12" t="s">
        <v>7291</v>
      </c>
      <c r="D4139" s="12" t="s">
        <v>7172</v>
      </c>
      <c r="E4139" s="12" t="s">
        <v>3944</v>
      </c>
      <c r="F4139" s="12" t="s">
        <v>3945</v>
      </c>
      <c r="G4139" s="12" t="s">
        <v>12</v>
      </c>
      <c r="H4139" s="12"/>
      <c r="I4139" s="12"/>
      <c r="J4139" s="12" t="s">
        <v>620</v>
      </c>
      <c r="K4139" s="12"/>
      <c r="L4139" s="12"/>
      <c r="M4139" s="12" t="s">
        <v>3946</v>
      </c>
      <c r="N4139" s="12"/>
      <c r="O4139" s="12" t="s">
        <v>3947</v>
      </c>
      <c r="P4139" s="12" t="str">
        <f>HYPERLINK("https://ceds.ed.gov/cedselementdetails.aspx?termid=10369")</f>
        <v>https://ceds.ed.gov/cedselementdetails.aspx?termid=10369</v>
      </c>
      <c r="Q4139" s="12" t="str">
        <f>HYPERLINK("https://ceds.ed.gov/elementComment.aspx?elementName=Learning Resource Peer Rating Sample Size &amp;elementID=10369", "Click here to submit comment")</f>
        <v>Click here to submit comment</v>
      </c>
    </row>
    <row r="4140" spans="1:17" ht="90" x14ac:dyDescent="0.25">
      <c r="A4140" s="12" t="s">
        <v>7363</v>
      </c>
      <c r="B4140" s="12" t="s">
        <v>7290</v>
      </c>
      <c r="C4140" s="12" t="s">
        <v>7291</v>
      </c>
      <c r="D4140" s="12" t="s">
        <v>7172</v>
      </c>
      <c r="E4140" s="12" t="s">
        <v>3948</v>
      </c>
      <c r="F4140" s="12" t="s">
        <v>3949</v>
      </c>
      <c r="G4140" s="12" t="s">
        <v>12</v>
      </c>
      <c r="H4140" s="12"/>
      <c r="I4140" s="12"/>
      <c r="J4140" s="12" t="s">
        <v>1021</v>
      </c>
      <c r="K4140" s="12"/>
      <c r="L4140" s="12"/>
      <c r="M4140" s="12" t="s">
        <v>3950</v>
      </c>
      <c r="N4140" s="12"/>
      <c r="O4140" s="12" t="s">
        <v>3951</v>
      </c>
      <c r="P4140" s="12" t="str">
        <f>HYPERLINK("https://ceds.ed.gov/cedselementdetails.aspx?termid=10161")</f>
        <v>https://ceds.ed.gov/cedselementdetails.aspx?termid=10161</v>
      </c>
      <c r="Q4140" s="12" t="str">
        <f>HYPERLINK("https://ceds.ed.gov/elementComment.aspx?elementName=Learning Resource Peer Rating Value &amp;elementID=10161", "Click here to submit comment")</f>
        <v>Click here to submit comment</v>
      </c>
    </row>
    <row r="4141" spans="1:17" ht="30" x14ac:dyDescent="0.25">
      <c r="A4141" s="12" t="s">
        <v>7363</v>
      </c>
      <c r="B4141" s="12" t="s">
        <v>7290</v>
      </c>
      <c r="C4141" s="12" t="s">
        <v>7291</v>
      </c>
      <c r="D4141" s="12" t="s">
        <v>7172</v>
      </c>
      <c r="E4141" s="12" t="s">
        <v>4769</v>
      </c>
      <c r="F4141" s="12" t="s">
        <v>4770</v>
      </c>
      <c r="G4141" s="12" t="s">
        <v>12</v>
      </c>
      <c r="H4141" s="12"/>
      <c r="I4141" s="12"/>
      <c r="J4141" s="12" t="s">
        <v>73</v>
      </c>
      <c r="K4141" s="12"/>
      <c r="L4141" s="12"/>
      <c r="M4141" s="12" t="s">
        <v>4771</v>
      </c>
      <c r="N4141" s="12"/>
      <c r="O4141" s="12" t="s">
        <v>4772</v>
      </c>
      <c r="P4141" s="12" t="str">
        <f>HYPERLINK("https://ceds.ed.gov/cedselementdetails.aspx?termid=10171")</f>
        <v>https://ceds.ed.gov/cedselementdetails.aspx?termid=10171</v>
      </c>
      <c r="Q4141" s="12" t="str">
        <f>HYPERLINK("https://ceds.ed.gov/elementComment.aspx?elementName=Peer Rating Date &amp;elementID=10171", "Click here to submit comment")</f>
        <v>Click here to submit comment</v>
      </c>
    </row>
    <row r="4142" spans="1:17" ht="30" x14ac:dyDescent="0.25">
      <c r="A4142" s="12" t="s">
        <v>7363</v>
      </c>
      <c r="B4142" s="12" t="s">
        <v>7292</v>
      </c>
      <c r="C4142" s="12"/>
      <c r="D4142" s="12" t="s">
        <v>7172</v>
      </c>
      <c r="E4142" s="12" t="s">
        <v>4773</v>
      </c>
      <c r="F4142" s="12" t="s">
        <v>4774</v>
      </c>
      <c r="G4142" s="12" t="s">
        <v>12</v>
      </c>
      <c r="H4142" s="12"/>
      <c r="I4142" s="12"/>
      <c r="J4142" s="12" t="s">
        <v>1021</v>
      </c>
      <c r="K4142" s="12"/>
      <c r="L4142" s="12"/>
      <c r="M4142" s="12" t="s">
        <v>4775</v>
      </c>
      <c r="N4142" s="12"/>
      <c r="O4142" s="12" t="s">
        <v>4776</v>
      </c>
      <c r="P4142" s="12" t="str">
        <f>HYPERLINK("https://ceds.ed.gov/cedselementdetails.aspx?termid=10162")</f>
        <v>https://ceds.ed.gov/cedselementdetails.aspx?termid=10162</v>
      </c>
      <c r="Q4142" s="12" t="str">
        <f>HYPERLINK("https://ceds.ed.gov/elementComment.aspx?elementName=Peer Rating System Maximum Value &amp;elementID=10162", "Click here to submit comment")</f>
        <v>Click here to submit comment</v>
      </c>
    </row>
    <row r="4143" spans="1:17" ht="30" x14ac:dyDescent="0.25">
      <c r="A4143" s="12" t="s">
        <v>7363</v>
      </c>
      <c r="B4143" s="12" t="s">
        <v>7292</v>
      </c>
      <c r="C4143" s="12"/>
      <c r="D4143" s="12" t="s">
        <v>7172</v>
      </c>
      <c r="E4143" s="12" t="s">
        <v>4777</v>
      </c>
      <c r="F4143" s="12" t="s">
        <v>4778</v>
      </c>
      <c r="G4143" s="12" t="s">
        <v>12</v>
      </c>
      <c r="H4143" s="12"/>
      <c r="I4143" s="12"/>
      <c r="J4143" s="12" t="s">
        <v>1021</v>
      </c>
      <c r="K4143" s="12"/>
      <c r="L4143" s="12"/>
      <c r="M4143" s="12" t="s">
        <v>4779</v>
      </c>
      <c r="N4143" s="12"/>
      <c r="O4143" s="12" t="s">
        <v>4780</v>
      </c>
      <c r="P4143" s="12" t="str">
        <f>HYPERLINK("https://ceds.ed.gov/cedselementdetails.aspx?termid=10163")</f>
        <v>https://ceds.ed.gov/cedselementdetails.aspx?termid=10163</v>
      </c>
      <c r="Q4143" s="12" t="str">
        <f>HYPERLINK("https://ceds.ed.gov/elementComment.aspx?elementName=Peer Rating System Minimum Value &amp;elementID=10163", "Click here to submit comment")</f>
        <v>Click here to submit comment</v>
      </c>
    </row>
    <row r="4144" spans="1:17" ht="30" x14ac:dyDescent="0.25">
      <c r="A4144" s="12" t="s">
        <v>7363</v>
      </c>
      <c r="B4144" s="12" t="s">
        <v>7292</v>
      </c>
      <c r="C4144" s="12"/>
      <c r="D4144" s="12" t="s">
        <v>7172</v>
      </c>
      <c r="E4144" s="12" t="s">
        <v>4781</v>
      </c>
      <c r="F4144" s="12" t="s">
        <v>4782</v>
      </c>
      <c r="G4144" s="12" t="s">
        <v>12</v>
      </c>
      <c r="H4144" s="12"/>
      <c r="I4144" s="12"/>
      <c r="J4144" s="12" t="s">
        <v>99</v>
      </c>
      <c r="K4144" s="12"/>
      <c r="L4144" s="12"/>
      <c r="M4144" s="12" t="s">
        <v>4783</v>
      </c>
      <c r="N4144" s="12"/>
      <c r="O4144" s="12" t="s">
        <v>4784</v>
      </c>
      <c r="P4144" s="12" t="str">
        <f>HYPERLINK("https://ceds.ed.gov/cedselementdetails.aspx?termid=10160")</f>
        <v>https://ceds.ed.gov/cedselementdetails.aspx?termid=10160</v>
      </c>
      <c r="Q4144" s="12" t="str">
        <f>HYPERLINK("https://ceds.ed.gov/elementComment.aspx?elementName=Peer Rating System Name &amp;elementID=10160", "Click here to submit comment")</f>
        <v>Click here to submit comment</v>
      </c>
    </row>
    <row r="4145" spans="1:17" ht="75" x14ac:dyDescent="0.25">
      <c r="A4145" s="12" t="s">
        <v>7363</v>
      </c>
      <c r="B4145" s="12" t="s">
        <v>7292</v>
      </c>
      <c r="C4145" s="12"/>
      <c r="D4145" s="12" t="s">
        <v>7172</v>
      </c>
      <c r="E4145" s="12" t="s">
        <v>4785</v>
      </c>
      <c r="F4145" s="12" t="s">
        <v>4786</v>
      </c>
      <c r="G4145" s="12" t="s">
        <v>12</v>
      </c>
      <c r="H4145" s="12"/>
      <c r="I4145" s="12"/>
      <c r="J4145" s="12" t="s">
        <v>1021</v>
      </c>
      <c r="K4145" s="12"/>
      <c r="L4145" s="12"/>
      <c r="M4145" s="12" t="s">
        <v>4787</v>
      </c>
      <c r="N4145" s="12"/>
      <c r="O4145" s="12" t="s">
        <v>4788</v>
      </c>
      <c r="P4145" s="12" t="str">
        <f>HYPERLINK("https://ceds.ed.gov/cedselementdetails.aspx?termid=10164")</f>
        <v>https://ceds.ed.gov/cedselementdetails.aspx?termid=10164</v>
      </c>
      <c r="Q4145" s="12" t="str">
        <f>HYPERLINK("https://ceds.ed.gov/elementComment.aspx?elementName=Peer Rating System Optimum Value &amp;elementID=10164", "Click here to submit comment")</f>
        <v>Click here to submit comment</v>
      </c>
    </row>
    <row r="4146" spans="1:17" ht="30" x14ac:dyDescent="0.25">
      <c r="A4146" s="12" t="s">
        <v>7364</v>
      </c>
      <c r="B4146" s="12" t="s">
        <v>7365</v>
      </c>
      <c r="C4146" s="12"/>
      <c r="D4146" s="12" t="s">
        <v>7172</v>
      </c>
      <c r="E4146" s="12" t="s">
        <v>1518</v>
      </c>
      <c r="F4146" s="12" t="s">
        <v>1519</v>
      </c>
      <c r="G4146" s="12" t="s">
        <v>12</v>
      </c>
      <c r="H4146" s="12"/>
      <c r="I4146" s="12"/>
      <c r="J4146" s="12" t="s">
        <v>99</v>
      </c>
      <c r="K4146" s="12"/>
      <c r="L4146" s="12"/>
      <c r="M4146" s="12" t="s">
        <v>1520</v>
      </c>
      <c r="N4146" s="12"/>
      <c r="O4146" s="12" t="s">
        <v>1521</v>
      </c>
      <c r="P4146" s="12" t="str">
        <f>HYPERLINK("https://ceds.ed.gov/cedselementdetails.aspx?termid=10122")</f>
        <v>https://ceds.ed.gov/cedselementdetails.aspx?termid=10122</v>
      </c>
      <c r="Q4146" s="12" t="str">
        <f>HYPERLINK("https://ceds.ed.gov/elementComment.aspx?elementName=Authentication Identity Provider Name &amp;elementID=10122", "Click here to submit comment")</f>
        <v>Click here to submit comment</v>
      </c>
    </row>
    <row r="4147" spans="1:17" ht="45" x14ac:dyDescent="0.25">
      <c r="A4147" s="12" t="s">
        <v>7364</v>
      </c>
      <c r="B4147" s="12" t="s">
        <v>7365</v>
      </c>
      <c r="C4147" s="12"/>
      <c r="D4147" s="12" t="s">
        <v>7172</v>
      </c>
      <c r="E4147" s="12" t="s">
        <v>1526</v>
      </c>
      <c r="F4147" s="12" t="s">
        <v>1527</v>
      </c>
      <c r="G4147" s="12" t="s">
        <v>12</v>
      </c>
      <c r="H4147" s="12"/>
      <c r="I4147" s="12"/>
      <c r="J4147" s="12" t="s">
        <v>68</v>
      </c>
      <c r="K4147" s="12"/>
      <c r="L4147" s="12"/>
      <c r="M4147" s="12" t="s">
        <v>1528</v>
      </c>
      <c r="N4147" s="12"/>
      <c r="O4147" s="12" t="s">
        <v>1529</v>
      </c>
      <c r="P4147" s="12" t="str">
        <f>HYPERLINK("https://ceds.ed.gov/cedselementdetails.aspx?termid=10123")</f>
        <v>https://ceds.ed.gov/cedselementdetails.aspx?termid=10123</v>
      </c>
      <c r="Q4147" s="12" t="str">
        <f>HYPERLINK("https://ceds.ed.gov/elementComment.aspx?elementName=Authentication Identity Provider URI &amp;elementID=10123", "Click here to submit comment")</f>
        <v>Click here to submit comment</v>
      </c>
    </row>
    <row r="4148" spans="1:17" ht="105" x14ac:dyDescent="0.25">
      <c r="A4148" s="18" t="s">
        <v>7364</v>
      </c>
      <c r="B4148" s="18" t="s">
        <v>7365</v>
      </c>
      <c r="C4148" s="18"/>
      <c r="D4148" s="18" t="s">
        <v>7172</v>
      </c>
      <c r="E4148" s="18" t="s">
        <v>1514</v>
      </c>
      <c r="F4148" s="18" t="s">
        <v>1515</v>
      </c>
      <c r="G4148" s="18" t="s">
        <v>12</v>
      </c>
      <c r="H4148" s="18"/>
      <c r="I4148" s="18"/>
      <c r="J4148" s="18" t="s">
        <v>142</v>
      </c>
      <c r="K4148" s="18"/>
      <c r="L4148" s="12" t="s">
        <v>143</v>
      </c>
      <c r="M4148" s="18" t="s">
        <v>1516</v>
      </c>
      <c r="N4148" s="18"/>
      <c r="O4148" s="18" t="s">
        <v>1517</v>
      </c>
      <c r="P4148" s="18" t="str">
        <f>HYPERLINK("https://ceds.ed.gov/cedselementdetails.aspx?termid=10124")</f>
        <v>https://ceds.ed.gov/cedselementdetails.aspx?termid=10124</v>
      </c>
      <c r="Q4148" s="18" t="str">
        <f>HYPERLINK("https://ceds.ed.gov/elementComment.aspx?elementName=Authentication Identity Provider Login Identifier &amp;elementID=10124", "Click here to submit comment")</f>
        <v>Click here to submit comment</v>
      </c>
    </row>
    <row r="4149" spans="1:17" x14ac:dyDescent="0.25">
      <c r="A4149" s="18"/>
      <c r="B4149" s="18"/>
      <c r="C4149" s="18"/>
      <c r="D4149" s="18"/>
      <c r="E4149" s="18"/>
      <c r="F4149" s="18"/>
      <c r="G4149" s="18"/>
      <c r="H4149" s="18"/>
      <c r="I4149" s="18"/>
      <c r="J4149" s="18"/>
      <c r="K4149" s="18"/>
      <c r="L4149" s="12"/>
      <c r="M4149" s="18"/>
      <c r="N4149" s="18"/>
      <c r="O4149" s="18"/>
      <c r="P4149" s="18"/>
      <c r="Q4149" s="18"/>
    </row>
    <row r="4150" spans="1:17" ht="90" x14ac:dyDescent="0.25">
      <c r="A4150" s="18"/>
      <c r="B4150" s="18"/>
      <c r="C4150" s="18"/>
      <c r="D4150" s="18"/>
      <c r="E4150" s="18"/>
      <c r="F4150" s="18"/>
      <c r="G4150" s="18"/>
      <c r="H4150" s="18"/>
      <c r="I4150" s="18"/>
      <c r="J4150" s="18"/>
      <c r="K4150" s="18"/>
      <c r="L4150" s="12" t="s">
        <v>144</v>
      </c>
      <c r="M4150" s="18"/>
      <c r="N4150" s="18"/>
      <c r="O4150" s="18"/>
      <c r="P4150" s="18"/>
      <c r="Q4150" s="18"/>
    </row>
    <row r="4151" spans="1:17" ht="60" x14ac:dyDescent="0.25">
      <c r="A4151" s="12" t="s">
        <v>7364</v>
      </c>
      <c r="B4151" s="12" t="s">
        <v>7365</v>
      </c>
      <c r="C4151" s="12"/>
      <c r="D4151" s="12" t="s">
        <v>7172</v>
      </c>
      <c r="E4151" s="12" t="s">
        <v>1522</v>
      </c>
      <c r="F4151" s="12" t="s">
        <v>1523</v>
      </c>
      <c r="G4151" s="12" t="s">
        <v>12</v>
      </c>
      <c r="H4151" s="12"/>
      <c r="I4151" s="12"/>
      <c r="J4151" s="12" t="s">
        <v>73</v>
      </c>
      <c r="K4151" s="12"/>
      <c r="L4151" s="12"/>
      <c r="M4151" s="12" t="s">
        <v>1524</v>
      </c>
      <c r="N4151" s="12"/>
      <c r="O4151" s="12" t="s">
        <v>1525</v>
      </c>
      <c r="P4151" s="12" t="str">
        <f>HYPERLINK("https://ceds.ed.gov/cedselementdetails.aspx?termid=10125")</f>
        <v>https://ceds.ed.gov/cedselementdetails.aspx?termid=10125</v>
      </c>
      <c r="Q4151" s="12" t="str">
        <f>HYPERLINK("https://ceds.ed.gov/elementComment.aspx?elementName=Authentication Identity Provider Start Date &amp;elementID=10125", "Click here to submit comment")</f>
        <v>Click here to submit comment</v>
      </c>
    </row>
    <row r="4152" spans="1:17" ht="60" x14ac:dyDescent="0.25">
      <c r="A4152" s="12" t="s">
        <v>7364</v>
      </c>
      <c r="B4152" s="12" t="s">
        <v>7365</v>
      </c>
      <c r="C4152" s="12"/>
      <c r="D4152" s="12" t="s">
        <v>7172</v>
      </c>
      <c r="E4152" s="12" t="s">
        <v>1509</v>
      </c>
      <c r="F4152" s="12" t="s">
        <v>1510</v>
      </c>
      <c r="G4152" s="12" t="s">
        <v>12</v>
      </c>
      <c r="H4152" s="12"/>
      <c r="I4152" s="12"/>
      <c r="J4152" s="12" t="s">
        <v>73</v>
      </c>
      <c r="K4152" s="12"/>
      <c r="L4152" s="12"/>
      <c r="M4152" s="12" t="s">
        <v>1512</v>
      </c>
      <c r="N4152" s="12"/>
      <c r="O4152" s="12" t="s">
        <v>1513</v>
      </c>
      <c r="P4152" s="12" t="str">
        <f>HYPERLINK("https://ceds.ed.gov/cedselementdetails.aspx?termid=10126")</f>
        <v>https://ceds.ed.gov/cedselementdetails.aspx?termid=10126</v>
      </c>
      <c r="Q4152" s="12" t="str">
        <f>HYPERLINK("https://ceds.ed.gov/elementComment.aspx?elementName=Authentication Identity Provider End Date &amp;elementID=10126", "Click here to submit comment")</f>
        <v>Click here to submit comment</v>
      </c>
    </row>
    <row r="4153" spans="1:17" ht="45" x14ac:dyDescent="0.25">
      <c r="A4153" s="12" t="s">
        <v>7364</v>
      </c>
      <c r="B4153" s="12" t="s">
        <v>7366</v>
      </c>
      <c r="C4153" s="12"/>
      <c r="D4153" s="12" t="s">
        <v>7172</v>
      </c>
      <c r="E4153" s="12" t="s">
        <v>1530</v>
      </c>
      <c r="F4153" s="12" t="s">
        <v>1531</v>
      </c>
      <c r="G4153" s="12" t="s">
        <v>12</v>
      </c>
      <c r="H4153" s="12"/>
      <c r="I4153" s="12"/>
      <c r="J4153" s="12" t="s">
        <v>1533</v>
      </c>
      <c r="K4153" s="12"/>
      <c r="L4153" s="12"/>
      <c r="M4153" s="12" t="s">
        <v>1534</v>
      </c>
      <c r="N4153" s="12"/>
      <c r="O4153" s="12" t="s">
        <v>1535</v>
      </c>
      <c r="P4153" s="12" t="str">
        <f>HYPERLINK("https://ceds.ed.gov/cedselementdetails.aspx?termid=10127")</f>
        <v>https://ceds.ed.gov/cedselementdetails.aspx?termid=10127</v>
      </c>
      <c r="Q4153" s="12" t="str">
        <f>HYPERLINK("https://ceds.ed.gov/elementComment.aspx?elementName=Authorization Application Name &amp;elementID=10127", "Click here to submit comment")</f>
        <v>Click here to submit comment</v>
      </c>
    </row>
    <row r="4154" spans="1:17" ht="45" x14ac:dyDescent="0.25">
      <c r="A4154" s="12" t="s">
        <v>7364</v>
      </c>
      <c r="B4154" s="12" t="s">
        <v>7366</v>
      </c>
      <c r="C4154" s="12"/>
      <c r="D4154" s="12" t="s">
        <v>7172</v>
      </c>
      <c r="E4154" s="12" t="s">
        <v>1540</v>
      </c>
      <c r="F4154" s="12" t="s">
        <v>1541</v>
      </c>
      <c r="G4154" s="12" t="s">
        <v>12</v>
      </c>
      <c r="H4154" s="12"/>
      <c r="I4154" s="12"/>
      <c r="J4154" s="12" t="s">
        <v>68</v>
      </c>
      <c r="K4154" s="12"/>
      <c r="L4154" s="12"/>
      <c r="M4154" s="12" t="s">
        <v>1542</v>
      </c>
      <c r="N4154" s="12"/>
      <c r="O4154" s="12" t="s">
        <v>1543</v>
      </c>
      <c r="P4154" s="12" t="str">
        <f>HYPERLINK("https://ceds.ed.gov/cedselementdetails.aspx?termid=10128")</f>
        <v>https://ceds.ed.gov/cedselementdetails.aspx?termid=10128</v>
      </c>
      <c r="Q4154" s="12" t="str">
        <f>HYPERLINK("https://ceds.ed.gov/elementComment.aspx?elementName=Authorization Application URI &amp;elementID=10128", "Click here to submit comment")</f>
        <v>Click here to submit comment</v>
      </c>
    </row>
    <row r="4155" spans="1:17" ht="30" x14ac:dyDescent="0.25">
      <c r="A4155" s="12" t="s">
        <v>7364</v>
      </c>
      <c r="B4155" s="12" t="s">
        <v>7366</v>
      </c>
      <c r="C4155" s="12"/>
      <c r="D4155" s="12" t="s">
        <v>7172</v>
      </c>
      <c r="E4155" s="12" t="s">
        <v>1536</v>
      </c>
      <c r="F4155" s="12" t="s">
        <v>1537</v>
      </c>
      <c r="G4155" s="12" t="s">
        <v>12</v>
      </c>
      <c r="H4155" s="12"/>
      <c r="I4155" s="12"/>
      <c r="J4155" s="12" t="s">
        <v>99</v>
      </c>
      <c r="K4155" s="12"/>
      <c r="L4155" s="12"/>
      <c r="M4155" s="12" t="s">
        <v>1538</v>
      </c>
      <c r="N4155" s="12"/>
      <c r="O4155" s="12" t="s">
        <v>1539</v>
      </c>
      <c r="P4155" s="12" t="str">
        <f>HYPERLINK("https://ceds.ed.gov/cedselementdetails.aspx?termid=10129")</f>
        <v>https://ceds.ed.gov/cedselementdetails.aspx?termid=10129</v>
      </c>
      <c r="Q4155" s="12" t="str">
        <f>HYPERLINK("https://ceds.ed.gov/elementComment.aspx?elementName=Authorization Application Role Name &amp;elementID=10129", "Click here to submit comment")</f>
        <v>Click here to submit comment</v>
      </c>
    </row>
    <row r="4156" spans="1:17" ht="45" x14ac:dyDescent="0.25">
      <c r="A4156" s="12" t="s">
        <v>7364</v>
      </c>
      <c r="B4156" s="12" t="s">
        <v>7366</v>
      </c>
      <c r="C4156" s="12"/>
      <c r="D4156" s="12" t="s">
        <v>7172</v>
      </c>
      <c r="E4156" s="12" t="s">
        <v>1548</v>
      </c>
      <c r="F4156" s="12" t="s">
        <v>1549</v>
      </c>
      <c r="G4156" s="12" t="s">
        <v>12</v>
      </c>
      <c r="H4156" s="12"/>
      <c r="I4156" s="12"/>
      <c r="J4156" s="12" t="s">
        <v>73</v>
      </c>
      <c r="K4156" s="12"/>
      <c r="L4156" s="12"/>
      <c r="M4156" s="12" t="s">
        <v>1550</v>
      </c>
      <c r="N4156" s="12"/>
      <c r="O4156" s="12" t="s">
        <v>1551</v>
      </c>
      <c r="P4156" s="12" t="str">
        <f>HYPERLINK("https://ceds.ed.gov/cedselementdetails.aspx?termid=10130")</f>
        <v>https://ceds.ed.gov/cedselementdetails.aspx?termid=10130</v>
      </c>
      <c r="Q4156" s="12" t="str">
        <f>HYPERLINK("https://ceds.ed.gov/elementComment.aspx?elementName=Authorization Start Date &amp;elementID=10130", "Click here to submit comment")</f>
        <v>Click here to submit comment</v>
      </c>
    </row>
    <row r="4157" spans="1:17" ht="45" x14ac:dyDescent="0.25">
      <c r="A4157" s="12" t="s">
        <v>7364</v>
      </c>
      <c r="B4157" s="12" t="s">
        <v>7366</v>
      </c>
      <c r="C4157" s="12"/>
      <c r="D4157" s="12" t="s">
        <v>7172</v>
      </c>
      <c r="E4157" s="12" t="s">
        <v>1544</v>
      </c>
      <c r="F4157" s="12" t="s">
        <v>1545</v>
      </c>
      <c r="G4157" s="12" t="s">
        <v>12</v>
      </c>
      <c r="H4157" s="12"/>
      <c r="I4157" s="12"/>
      <c r="J4157" s="12" t="s">
        <v>73</v>
      </c>
      <c r="K4157" s="12"/>
      <c r="L4157" s="12"/>
      <c r="M4157" s="12" t="s">
        <v>1546</v>
      </c>
      <c r="N4157" s="12"/>
      <c r="O4157" s="12" t="s">
        <v>1547</v>
      </c>
      <c r="P4157" s="12" t="str">
        <f>HYPERLINK("https://ceds.ed.gov/cedselementdetails.aspx?termid=10131")</f>
        <v>https://ceds.ed.gov/cedselementdetails.aspx?termid=10131</v>
      </c>
      <c r="Q4157" s="12" t="str">
        <f>HYPERLINK("https://ceds.ed.gov/elementComment.aspx?elementName=Authorization End Date &amp;elementID=10131", "Click here to submit comment")</f>
        <v>Click here to submit comment</v>
      </c>
    </row>
  </sheetData>
  <autoFilter ref="A1:Q4157"/>
  <mergeCells count="4976">
    <mergeCell ref="N4148:N4150"/>
    <mergeCell ref="O4148:O4150"/>
    <mergeCell ref="P4148:P4150"/>
    <mergeCell ref="Q4148:Q4150"/>
    <mergeCell ref="G4148:G4150"/>
    <mergeCell ref="H4148:H4150"/>
    <mergeCell ref="I4148:I4150"/>
    <mergeCell ref="J4148:J4150"/>
    <mergeCell ref="K4148:K4150"/>
    <mergeCell ref="M4148:M4150"/>
    <mergeCell ref="N4135:N4138"/>
    <mergeCell ref="O4135:O4138"/>
    <mergeCell ref="P4135:P4138"/>
    <mergeCell ref="Q4135:Q4138"/>
    <mergeCell ref="A4148:A4150"/>
    <mergeCell ref="B4148:B4150"/>
    <mergeCell ref="C4148:C4150"/>
    <mergeCell ref="D4148:D4150"/>
    <mergeCell ref="E4148:E4150"/>
    <mergeCell ref="F4148:F4150"/>
    <mergeCell ref="G4135:G4138"/>
    <mergeCell ref="H4135:H4138"/>
    <mergeCell ref="I4135:I4138"/>
    <mergeCell ref="J4135:J4138"/>
    <mergeCell ref="K4135:K4138"/>
    <mergeCell ref="M4135:M4138"/>
    <mergeCell ref="N4114:N4115"/>
    <mergeCell ref="O4114:O4115"/>
    <mergeCell ref="P4114:P4115"/>
    <mergeCell ref="Q4114:Q4115"/>
    <mergeCell ref="A4135:A4138"/>
    <mergeCell ref="B4135:B4138"/>
    <mergeCell ref="C4135:C4138"/>
    <mergeCell ref="D4135:D4138"/>
    <mergeCell ref="E4135:E4138"/>
    <mergeCell ref="F4135:F4138"/>
    <mergeCell ref="G4114:G4115"/>
    <mergeCell ref="H4114:H4115"/>
    <mergeCell ref="I4114:I4115"/>
    <mergeCell ref="J4114:J4115"/>
    <mergeCell ref="K4114:K4115"/>
    <mergeCell ref="M4114:M4115"/>
    <mergeCell ref="N4073:N4076"/>
    <mergeCell ref="O4073:O4076"/>
    <mergeCell ref="P4073:P4076"/>
    <mergeCell ref="Q4073:Q4076"/>
    <mergeCell ref="A4114:A4115"/>
    <mergeCell ref="B4114:B4115"/>
    <mergeCell ref="C4114:C4115"/>
    <mergeCell ref="D4114:D4115"/>
    <mergeCell ref="E4114:E4115"/>
    <mergeCell ref="F4114:F4115"/>
    <mergeCell ref="G4073:G4076"/>
    <mergeCell ref="H4073:H4076"/>
    <mergeCell ref="I4073:I4076"/>
    <mergeCell ref="J4073:J4076"/>
    <mergeCell ref="K4073:K4076"/>
    <mergeCell ref="M4073:M4076"/>
    <mergeCell ref="N4062:N4064"/>
    <mergeCell ref="O4062:O4064"/>
    <mergeCell ref="P4062:P4064"/>
    <mergeCell ref="Q4062:Q4064"/>
    <mergeCell ref="A4073:A4076"/>
    <mergeCell ref="B4073:B4076"/>
    <mergeCell ref="C4073:C4076"/>
    <mergeCell ref="D4073:D4076"/>
    <mergeCell ref="E4073:E4076"/>
    <mergeCell ref="F4073:F4076"/>
    <mergeCell ref="G4062:G4064"/>
    <mergeCell ref="H4062:H4064"/>
    <mergeCell ref="I4062:I4064"/>
    <mergeCell ref="J4062:J4064"/>
    <mergeCell ref="K4062:K4064"/>
    <mergeCell ref="M4062:M4064"/>
    <mergeCell ref="N4044:N4050"/>
    <mergeCell ref="O4044:O4050"/>
    <mergeCell ref="P4044:P4050"/>
    <mergeCell ref="Q4044:Q4050"/>
    <mergeCell ref="A4062:A4064"/>
    <mergeCell ref="B4062:B4064"/>
    <mergeCell ref="C4062:C4064"/>
    <mergeCell ref="D4062:D4064"/>
    <mergeCell ref="E4062:E4064"/>
    <mergeCell ref="F4062:F4064"/>
    <mergeCell ref="G4044:G4050"/>
    <mergeCell ref="H4044:H4050"/>
    <mergeCell ref="I4044:I4050"/>
    <mergeCell ref="J4044:J4050"/>
    <mergeCell ref="K4044:K4050"/>
    <mergeCell ref="M4044:M4050"/>
    <mergeCell ref="N4033:N4041"/>
    <mergeCell ref="O4033:O4041"/>
    <mergeCell ref="P4033:P4041"/>
    <mergeCell ref="Q4033:Q4041"/>
    <mergeCell ref="A4044:A4050"/>
    <mergeCell ref="B4044:B4050"/>
    <mergeCell ref="C4044:C4050"/>
    <mergeCell ref="D4044:D4050"/>
    <mergeCell ref="E4044:E4050"/>
    <mergeCell ref="F4044:F4050"/>
    <mergeCell ref="G4033:G4041"/>
    <mergeCell ref="H4033:H4041"/>
    <mergeCell ref="I4033:I4041"/>
    <mergeCell ref="J4033:J4041"/>
    <mergeCell ref="K4033:K4041"/>
    <mergeCell ref="M4033:M4041"/>
    <mergeCell ref="N4030:N4032"/>
    <mergeCell ref="O4030:O4032"/>
    <mergeCell ref="P4030:P4032"/>
    <mergeCell ref="Q4030:Q4032"/>
    <mergeCell ref="A4033:A4041"/>
    <mergeCell ref="B4033:B4041"/>
    <mergeCell ref="C4033:C4041"/>
    <mergeCell ref="D4033:D4041"/>
    <mergeCell ref="E4033:E4041"/>
    <mergeCell ref="F4033:F4041"/>
    <mergeCell ref="G4030:G4032"/>
    <mergeCell ref="H4030:H4032"/>
    <mergeCell ref="I4030:I4032"/>
    <mergeCell ref="J4030:J4032"/>
    <mergeCell ref="K4030:K4032"/>
    <mergeCell ref="M4030:M4032"/>
    <mergeCell ref="N4003:N4005"/>
    <mergeCell ref="O4003:O4005"/>
    <mergeCell ref="P4003:P4005"/>
    <mergeCell ref="Q4003:Q4005"/>
    <mergeCell ref="A4030:A4032"/>
    <mergeCell ref="B4030:B4032"/>
    <mergeCell ref="C4030:C4032"/>
    <mergeCell ref="D4030:D4032"/>
    <mergeCell ref="E4030:E4032"/>
    <mergeCell ref="F4030:F4032"/>
    <mergeCell ref="G4003:G4005"/>
    <mergeCell ref="H4003:H4005"/>
    <mergeCell ref="I4003:I4005"/>
    <mergeCell ref="J4003:J4005"/>
    <mergeCell ref="K4003:K4005"/>
    <mergeCell ref="M4003:M4005"/>
    <mergeCell ref="N3970:N3972"/>
    <mergeCell ref="O3970:O3972"/>
    <mergeCell ref="P3970:P3972"/>
    <mergeCell ref="Q3970:Q3972"/>
    <mergeCell ref="A4003:A4005"/>
    <mergeCell ref="B4003:B4005"/>
    <mergeCell ref="C4003:C4005"/>
    <mergeCell ref="D4003:D4005"/>
    <mergeCell ref="E4003:E4005"/>
    <mergeCell ref="F4003:F4005"/>
    <mergeCell ref="G3970:G3972"/>
    <mergeCell ref="H3970:H3972"/>
    <mergeCell ref="I3970:I3972"/>
    <mergeCell ref="J3970:J3972"/>
    <mergeCell ref="K3970:K3972"/>
    <mergeCell ref="M3970:M3972"/>
    <mergeCell ref="N3963:N3965"/>
    <mergeCell ref="O3963:O3965"/>
    <mergeCell ref="P3963:P3965"/>
    <mergeCell ref="Q3963:Q3965"/>
    <mergeCell ref="A3970:A3972"/>
    <mergeCell ref="B3970:B3972"/>
    <mergeCell ref="C3970:C3972"/>
    <mergeCell ref="D3970:D3972"/>
    <mergeCell ref="E3970:E3972"/>
    <mergeCell ref="F3970:F3972"/>
    <mergeCell ref="G3963:G3965"/>
    <mergeCell ref="H3963:H3965"/>
    <mergeCell ref="I3963:I3965"/>
    <mergeCell ref="J3963:J3965"/>
    <mergeCell ref="K3963:K3965"/>
    <mergeCell ref="M3963:M3965"/>
    <mergeCell ref="N3960:N3962"/>
    <mergeCell ref="O3960:O3962"/>
    <mergeCell ref="P3960:P3962"/>
    <mergeCell ref="Q3960:Q3962"/>
    <mergeCell ref="A3963:A3965"/>
    <mergeCell ref="B3963:B3965"/>
    <mergeCell ref="C3963:C3965"/>
    <mergeCell ref="D3963:D3965"/>
    <mergeCell ref="E3963:E3965"/>
    <mergeCell ref="F3963:F3965"/>
    <mergeCell ref="G3960:G3962"/>
    <mergeCell ref="H3960:H3962"/>
    <mergeCell ref="I3960:I3962"/>
    <mergeCell ref="J3960:J3962"/>
    <mergeCell ref="K3960:K3962"/>
    <mergeCell ref="M3960:M3962"/>
    <mergeCell ref="N3954:N3957"/>
    <mergeCell ref="O3954:O3957"/>
    <mergeCell ref="P3954:P3957"/>
    <mergeCell ref="Q3954:Q3957"/>
    <mergeCell ref="A3960:A3962"/>
    <mergeCell ref="B3960:B3962"/>
    <mergeCell ref="C3960:C3962"/>
    <mergeCell ref="D3960:D3962"/>
    <mergeCell ref="E3960:E3962"/>
    <mergeCell ref="F3960:F3962"/>
    <mergeCell ref="G3954:G3957"/>
    <mergeCell ref="H3954:H3957"/>
    <mergeCell ref="I3954:I3957"/>
    <mergeCell ref="J3954:J3957"/>
    <mergeCell ref="K3954:K3957"/>
    <mergeCell ref="M3954:M3957"/>
    <mergeCell ref="N3943:N3945"/>
    <mergeCell ref="O3943:O3945"/>
    <mergeCell ref="P3943:P3945"/>
    <mergeCell ref="Q3943:Q3945"/>
    <mergeCell ref="A3954:A3957"/>
    <mergeCell ref="B3954:B3957"/>
    <mergeCell ref="C3954:C3957"/>
    <mergeCell ref="D3954:D3957"/>
    <mergeCell ref="E3954:E3957"/>
    <mergeCell ref="F3954:F3957"/>
    <mergeCell ref="G3943:G3945"/>
    <mergeCell ref="H3943:H3945"/>
    <mergeCell ref="I3943:I3945"/>
    <mergeCell ref="J3943:J3945"/>
    <mergeCell ref="K3943:K3945"/>
    <mergeCell ref="M3943:M3945"/>
    <mergeCell ref="N3927:N3933"/>
    <mergeCell ref="O3927:O3933"/>
    <mergeCell ref="P3927:P3933"/>
    <mergeCell ref="Q3927:Q3933"/>
    <mergeCell ref="A3943:A3945"/>
    <mergeCell ref="B3943:B3945"/>
    <mergeCell ref="C3943:C3945"/>
    <mergeCell ref="D3943:D3945"/>
    <mergeCell ref="E3943:E3945"/>
    <mergeCell ref="F3943:F3945"/>
    <mergeCell ref="G3927:G3933"/>
    <mergeCell ref="H3927:H3933"/>
    <mergeCell ref="I3927:I3933"/>
    <mergeCell ref="J3927:J3933"/>
    <mergeCell ref="K3927:K3933"/>
    <mergeCell ref="M3927:M3933"/>
    <mergeCell ref="N3916:N3924"/>
    <mergeCell ref="O3916:O3924"/>
    <mergeCell ref="P3916:P3924"/>
    <mergeCell ref="Q3916:Q3924"/>
    <mergeCell ref="A3927:A3933"/>
    <mergeCell ref="B3927:B3933"/>
    <mergeCell ref="C3927:C3933"/>
    <mergeCell ref="D3927:D3933"/>
    <mergeCell ref="E3927:E3933"/>
    <mergeCell ref="F3927:F3933"/>
    <mergeCell ref="G3916:G3924"/>
    <mergeCell ref="H3916:H3924"/>
    <mergeCell ref="I3916:I3924"/>
    <mergeCell ref="J3916:J3924"/>
    <mergeCell ref="K3916:K3924"/>
    <mergeCell ref="M3916:M3924"/>
    <mergeCell ref="N3913:N3915"/>
    <mergeCell ref="O3913:O3915"/>
    <mergeCell ref="P3913:P3915"/>
    <mergeCell ref="Q3913:Q3915"/>
    <mergeCell ref="A3916:A3924"/>
    <mergeCell ref="B3916:B3924"/>
    <mergeCell ref="C3916:C3924"/>
    <mergeCell ref="D3916:D3924"/>
    <mergeCell ref="E3916:E3924"/>
    <mergeCell ref="F3916:F3924"/>
    <mergeCell ref="G3913:G3915"/>
    <mergeCell ref="H3913:H3915"/>
    <mergeCell ref="I3913:I3915"/>
    <mergeCell ref="J3913:J3915"/>
    <mergeCell ref="K3913:K3915"/>
    <mergeCell ref="M3913:M3915"/>
    <mergeCell ref="N3862:N3864"/>
    <mergeCell ref="O3862:O3864"/>
    <mergeCell ref="P3862:P3864"/>
    <mergeCell ref="Q3862:Q3864"/>
    <mergeCell ref="A3913:A3915"/>
    <mergeCell ref="B3913:B3915"/>
    <mergeCell ref="C3913:C3915"/>
    <mergeCell ref="D3913:D3915"/>
    <mergeCell ref="E3913:E3915"/>
    <mergeCell ref="F3913:F3915"/>
    <mergeCell ref="G3862:G3864"/>
    <mergeCell ref="H3862:H3864"/>
    <mergeCell ref="I3862:I3864"/>
    <mergeCell ref="J3862:J3864"/>
    <mergeCell ref="K3862:K3864"/>
    <mergeCell ref="M3862:M3864"/>
    <mergeCell ref="N3816:N3818"/>
    <mergeCell ref="O3816:O3818"/>
    <mergeCell ref="P3816:P3818"/>
    <mergeCell ref="Q3816:Q3818"/>
    <mergeCell ref="A3862:A3864"/>
    <mergeCell ref="B3862:B3864"/>
    <mergeCell ref="C3862:C3864"/>
    <mergeCell ref="D3862:D3864"/>
    <mergeCell ref="E3862:E3864"/>
    <mergeCell ref="F3862:F3864"/>
    <mergeCell ref="G3816:G3818"/>
    <mergeCell ref="H3816:H3818"/>
    <mergeCell ref="I3816:I3818"/>
    <mergeCell ref="J3816:J3818"/>
    <mergeCell ref="K3816:K3818"/>
    <mergeCell ref="M3816:M3818"/>
    <mergeCell ref="N3812:N3814"/>
    <mergeCell ref="O3812:O3814"/>
    <mergeCell ref="P3812:P3814"/>
    <mergeCell ref="Q3812:Q3814"/>
    <mergeCell ref="A3816:A3818"/>
    <mergeCell ref="B3816:B3818"/>
    <mergeCell ref="C3816:C3818"/>
    <mergeCell ref="D3816:D3818"/>
    <mergeCell ref="E3816:E3818"/>
    <mergeCell ref="F3816:F3818"/>
    <mergeCell ref="G3812:G3814"/>
    <mergeCell ref="H3812:H3814"/>
    <mergeCell ref="I3812:I3814"/>
    <mergeCell ref="J3812:J3814"/>
    <mergeCell ref="K3812:K3814"/>
    <mergeCell ref="M3812:M3814"/>
    <mergeCell ref="N3799:N3801"/>
    <mergeCell ref="O3799:O3801"/>
    <mergeCell ref="P3799:P3801"/>
    <mergeCell ref="Q3799:Q3801"/>
    <mergeCell ref="A3812:A3814"/>
    <mergeCell ref="B3812:B3814"/>
    <mergeCell ref="C3812:C3814"/>
    <mergeCell ref="D3812:D3814"/>
    <mergeCell ref="E3812:E3814"/>
    <mergeCell ref="F3812:F3814"/>
    <mergeCell ref="G3799:G3801"/>
    <mergeCell ref="H3799:H3801"/>
    <mergeCell ref="I3799:I3801"/>
    <mergeCell ref="J3799:J3801"/>
    <mergeCell ref="K3799:K3801"/>
    <mergeCell ref="M3799:M3801"/>
    <mergeCell ref="N3796:N3798"/>
    <mergeCell ref="O3796:O3798"/>
    <mergeCell ref="P3796:P3798"/>
    <mergeCell ref="Q3796:Q3798"/>
    <mergeCell ref="A3799:A3801"/>
    <mergeCell ref="B3799:B3801"/>
    <mergeCell ref="C3799:C3801"/>
    <mergeCell ref="D3799:D3801"/>
    <mergeCell ref="E3799:E3801"/>
    <mergeCell ref="F3799:F3801"/>
    <mergeCell ref="G3796:G3798"/>
    <mergeCell ref="H3796:H3798"/>
    <mergeCell ref="I3796:I3798"/>
    <mergeCell ref="J3796:J3798"/>
    <mergeCell ref="K3796:K3798"/>
    <mergeCell ref="M3796:M3798"/>
    <mergeCell ref="N3784:N3788"/>
    <mergeCell ref="O3784:O3788"/>
    <mergeCell ref="P3784:P3788"/>
    <mergeCell ref="Q3784:Q3788"/>
    <mergeCell ref="A3796:A3798"/>
    <mergeCell ref="B3796:B3798"/>
    <mergeCell ref="C3796:C3798"/>
    <mergeCell ref="D3796:D3798"/>
    <mergeCell ref="E3796:E3798"/>
    <mergeCell ref="F3796:F3798"/>
    <mergeCell ref="G3784:G3788"/>
    <mergeCell ref="H3784:H3788"/>
    <mergeCell ref="I3784:I3788"/>
    <mergeCell ref="J3784:J3788"/>
    <mergeCell ref="K3784:K3788"/>
    <mergeCell ref="M3784:M3788"/>
    <mergeCell ref="N3772:N3776"/>
    <mergeCell ref="O3772:O3776"/>
    <mergeCell ref="P3772:P3776"/>
    <mergeCell ref="Q3772:Q3776"/>
    <mergeCell ref="A3784:A3788"/>
    <mergeCell ref="B3784:B3788"/>
    <mergeCell ref="C3784:C3788"/>
    <mergeCell ref="D3784:D3788"/>
    <mergeCell ref="E3784:E3788"/>
    <mergeCell ref="F3784:F3788"/>
    <mergeCell ref="G3772:G3776"/>
    <mergeCell ref="H3772:H3776"/>
    <mergeCell ref="I3772:I3776"/>
    <mergeCell ref="J3772:J3776"/>
    <mergeCell ref="K3772:K3776"/>
    <mergeCell ref="M3772:M3776"/>
    <mergeCell ref="N3766:N3768"/>
    <mergeCell ref="O3766:O3768"/>
    <mergeCell ref="P3766:P3768"/>
    <mergeCell ref="Q3766:Q3768"/>
    <mergeCell ref="A3772:A3776"/>
    <mergeCell ref="B3772:B3776"/>
    <mergeCell ref="C3772:C3776"/>
    <mergeCell ref="D3772:D3776"/>
    <mergeCell ref="E3772:E3776"/>
    <mergeCell ref="F3772:F3776"/>
    <mergeCell ref="G3766:G3768"/>
    <mergeCell ref="H3766:H3768"/>
    <mergeCell ref="I3766:I3768"/>
    <mergeCell ref="J3766:J3768"/>
    <mergeCell ref="K3766:K3768"/>
    <mergeCell ref="M3766:M3768"/>
    <mergeCell ref="N3763:N3765"/>
    <mergeCell ref="O3763:O3765"/>
    <mergeCell ref="P3763:P3765"/>
    <mergeCell ref="Q3763:Q3765"/>
    <mergeCell ref="A3766:A3768"/>
    <mergeCell ref="B3766:B3768"/>
    <mergeCell ref="C3766:C3768"/>
    <mergeCell ref="D3766:D3768"/>
    <mergeCell ref="E3766:E3768"/>
    <mergeCell ref="F3766:F3768"/>
    <mergeCell ref="G3763:G3765"/>
    <mergeCell ref="H3763:H3765"/>
    <mergeCell ref="I3763:I3765"/>
    <mergeCell ref="J3763:J3765"/>
    <mergeCell ref="K3763:K3765"/>
    <mergeCell ref="M3763:M3765"/>
    <mergeCell ref="N3752:N3754"/>
    <mergeCell ref="O3752:O3754"/>
    <mergeCell ref="P3752:P3754"/>
    <mergeCell ref="Q3752:Q3754"/>
    <mergeCell ref="A3763:A3765"/>
    <mergeCell ref="B3763:B3765"/>
    <mergeCell ref="C3763:C3765"/>
    <mergeCell ref="D3763:D3765"/>
    <mergeCell ref="E3763:E3765"/>
    <mergeCell ref="F3763:F3765"/>
    <mergeCell ref="G3752:G3754"/>
    <mergeCell ref="H3752:H3754"/>
    <mergeCell ref="I3752:I3754"/>
    <mergeCell ref="J3752:J3754"/>
    <mergeCell ref="K3752:K3754"/>
    <mergeCell ref="M3752:M3754"/>
    <mergeCell ref="N3749:N3751"/>
    <mergeCell ref="O3749:O3751"/>
    <mergeCell ref="P3749:P3751"/>
    <mergeCell ref="Q3749:Q3751"/>
    <mergeCell ref="A3752:A3754"/>
    <mergeCell ref="B3752:B3754"/>
    <mergeCell ref="C3752:C3754"/>
    <mergeCell ref="D3752:D3754"/>
    <mergeCell ref="E3752:E3754"/>
    <mergeCell ref="F3752:F3754"/>
    <mergeCell ref="G3749:G3751"/>
    <mergeCell ref="H3749:H3751"/>
    <mergeCell ref="I3749:I3751"/>
    <mergeCell ref="J3749:J3751"/>
    <mergeCell ref="K3749:K3751"/>
    <mergeCell ref="M3749:M3751"/>
    <mergeCell ref="N3746:N3747"/>
    <mergeCell ref="O3746:O3747"/>
    <mergeCell ref="P3746:P3747"/>
    <mergeCell ref="Q3746:Q3747"/>
    <mergeCell ref="A3749:A3751"/>
    <mergeCell ref="B3749:B3751"/>
    <mergeCell ref="C3749:C3751"/>
    <mergeCell ref="D3749:D3751"/>
    <mergeCell ref="E3749:E3751"/>
    <mergeCell ref="F3749:F3751"/>
    <mergeCell ref="G3746:G3747"/>
    <mergeCell ref="H3746:H3747"/>
    <mergeCell ref="I3746:I3747"/>
    <mergeCell ref="J3746:J3747"/>
    <mergeCell ref="K3746:K3747"/>
    <mergeCell ref="M3746:M3747"/>
    <mergeCell ref="N3721:N3723"/>
    <mergeCell ref="O3721:O3723"/>
    <mergeCell ref="P3721:P3723"/>
    <mergeCell ref="Q3721:Q3723"/>
    <mergeCell ref="A3746:A3747"/>
    <mergeCell ref="B3746:B3747"/>
    <mergeCell ref="C3746:C3747"/>
    <mergeCell ref="D3746:D3747"/>
    <mergeCell ref="E3746:E3747"/>
    <mergeCell ref="F3746:F3747"/>
    <mergeCell ref="G3721:G3723"/>
    <mergeCell ref="H3721:H3723"/>
    <mergeCell ref="I3721:I3723"/>
    <mergeCell ref="J3721:J3723"/>
    <mergeCell ref="K3721:K3723"/>
    <mergeCell ref="M3721:M3723"/>
    <mergeCell ref="N3714:N3720"/>
    <mergeCell ref="O3714:O3720"/>
    <mergeCell ref="P3714:P3720"/>
    <mergeCell ref="Q3714:Q3720"/>
    <mergeCell ref="A3721:A3723"/>
    <mergeCell ref="B3721:B3723"/>
    <mergeCell ref="C3721:C3723"/>
    <mergeCell ref="D3721:D3723"/>
    <mergeCell ref="E3721:E3723"/>
    <mergeCell ref="F3721:F3723"/>
    <mergeCell ref="G3714:G3720"/>
    <mergeCell ref="H3714:H3720"/>
    <mergeCell ref="I3714:I3720"/>
    <mergeCell ref="J3714:J3720"/>
    <mergeCell ref="K3714:K3720"/>
    <mergeCell ref="M3714:M3720"/>
    <mergeCell ref="N3694:N3696"/>
    <mergeCell ref="O3694:O3696"/>
    <mergeCell ref="P3694:P3696"/>
    <mergeCell ref="Q3694:Q3696"/>
    <mergeCell ref="A3714:A3720"/>
    <mergeCell ref="B3714:B3720"/>
    <mergeCell ref="C3714:C3720"/>
    <mergeCell ref="D3714:D3720"/>
    <mergeCell ref="E3714:E3720"/>
    <mergeCell ref="F3714:F3720"/>
    <mergeCell ref="G3694:G3696"/>
    <mergeCell ref="H3694:H3696"/>
    <mergeCell ref="I3694:I3696"/>
    <mergeCell ref="J3694:J3696"/>
    <mergeCell ref="K3694:K3696"/>
    <mergeCell ref="M3694:M3696"/>
    <mergeCell ref="N3677:N3679"/>
    <mergeCell ref="O3677:O3679"/>
    <mergeCell ref="P3677:P3679"/>
    <mergeCell ref="Q3677:Q3679"/>
    <mergeCell ref="A3694:A3696"/>
    <mergeCell ref="B3694:B3696"/>
    <mergeCell ref="C3694:C3696"/>
    <mergeCell ref="D3694:D3696"/>
    <mergeCell ref="E3694:E3696"/>
    <mergeCell ref="F3694:F3696"/>
    <mergeCell ref="G3677:G3679"/>
    <mergeCell ref="H3677:H3679"/>
    <mergeCell ref="I3677:I3679"/>
    <mergeCell ref="J3677:J3679"/>
    <mergeCell ref="K3677:K3679"/>
    <mergeCell ref="M3677:M3679"/>
    <mergeCell ref="N3629:N3631"/>
    <mergeCell ref="O3629:O3631"/>
    <mergeCell ref="P3629:P3631"/>
    <mergeCell ref="Q3629:Q3631"/>
    <mergeCell ref="A3677:A3679"/>
    <mergeCell ref="B3677:B3679"/>
    <mergeCell ref="C3677:C3679"/>
    <mergeCell ref="D3677:D3679"/>
    <mergeCell ref="E3677:E3679"/>
    <mergeCell ref="F3677:F3679"/>
    <mergeCell ref="G3629:G3631"/>
    <mergeCell ref="H3629:H3631"/>
    <mergeCell ref="I3629:I3631"/>
    <mergeCell ref="J3629:J3631"/>
    <mergeCell ref="K3629:K3631"/>
    <mergeCell ref="M3629:M3631"/>
    <mergeCell ref="N3581:N3583"/>
    <mergeCell ref="O3581:O3583"/>
    <mergeCell ref="P3581:P3583"/>
    <mergeCell ref="Q3581:Q3583"/>
    <mergeCell ref="A3629:A3631"/>
    <mergeCell ref="B3629:B3631"/>
    <mergeCell ref="C3629:C3631"/>
    <mergeCell ref="D3629:D3631"/>
    <mergeCell ref="E3629:E3631"/>
    <mergeCell ref="F3629:F3631"/>
    <mergeCell ref="G3581:G3583"/>
    <mergeCell ref="H3581:H3583"/>
    <mergeCell ref="I3581:I3583"/>
    <mergeCell ref="J3581:J3583"/>
    <mergeCell ref="K3581:K3583"/>
    <mergeCell ref="M3581:M3583"/>
    <mergeCell ref="N3565:N3567"/>
    <mergeCell ref="O3565:O3567"/>
    <mergeCell ref="P3565:P3567"/>
    <mergeCell ref="Q3565:Q3567"/>
    <mergeCell ref="A3581:A3583"/>
    <mergeCell ref="B3581:B3583"/>
    <mergeCell ref="C3581:C3583"/>
    <mergeCell ref="D3581:D3583"/>
    <mergeCell ref="E3581:E3583"/>
    <mergeCell ref="F3581:F3583"/>
    <mergeCell ref="G3565:G3567"/>
    <mergeCell ref="H3565:H3567"/>
    <mergeCell ref="I3565:I3567"/>
    <mergeCell ref="J3565:J3567"/>
    <mergeCell ref="K3565:K3567"/>
    <mergeCell ref="M3565:M3567"/>
    <mergeCell ref="N3558:N3560"/>
    <mergeCell ref="O3558:O3560"/>
    <mergeCell ref="P3558:P3560"/>
    <mergeCell ref="Q3558:Q3560"/>
    <mergeCell ref="A3565:A3567"/>
    <mergeCell ref="B3565:B3567"/>
    <mergeCell ref="C3565:C3567"/>
    <mergeCell ref="D3565:D3567"/>
    <mergeCell ref="E3565:E3567"/>
    <mergeCell ref="F3565:F3567"/>
    <mergeCell ref="G3558:G3560"/>
    <mergeCell ref="H3558:H3560"/>
    <mergeCell ref="I3558:I3560"/>
    <mergeCell ref="J3558:J3560"/>
    <mergeCell ref="K3558:K3560"/>
    <mergeCell ref="M3558:M3560"/>
    <mergeCell ref="N3554:N3556"/>
    <mergeCell ref="O3554:O3556"/>
    <mergeCell ref="P3554:P3556"/>
    <mergeCell ref="Q3554:Q3556"/>
    <mergeCell ref="A3558:A3560"/>
    <mergeCell ref="B3558:B3560"/>
    <mergeCell ref="C3558:C3560"/>
    <mergeCell ref="D3558:D3560"/>
    <mergeCell ref="E3558:E3560"/>
    <mergeCell ref="F3558:F3560"/>
    <mergeCell ref="G3554:G3556"/>
    <mergeCell ref="H3554:H3556"/>
    <mergeCell ref="I3554:I3556"/>
    <mergeCell ref="J3554:J3556"/>
    <mergeCell ref="K3554:K3556"/>
    <mergeCell ref="M3554:M3556"/>
    <mergeCell ref="N3547:N3551"/>
    <mergeCell ref="O3547:O3551"/>
    <mergeCell ref="P3547:P3551"/>
    <mergeCell ref="Q3547:Q3551"/>
    <mergeCell ref="A3554:A3556"/>
    <mergeCell ref="B3554:B3556"/>
    <mergeCell ref="C3554:C3556"/>
    <mergeCell ref="D3554:D3556"/>
    <mergeCell ref="E3554:E3556"/>
    <mergeCell ref="F3554:F3556"/>
    <mergeCell ref="G3547:G3551"/>
    <mergeCell ref="H3547:H3551"/>
    <mergeCell ref="I3547:I3551"/>
    <mergeCell ref="J3547:J3551"/>
    <mergeCell ref="K3547:K3551"/>
    <mergeCell ref="M3547:M3551"/>
    <mergeCell ref="N3544:N3546"/>
    <mergeCell ref="O3544:O3546"/>
    <mergeCell ref="P3544:P3546"/>
    <mergeCell ref="Q3544:Q3546"/>
    <mergeCell ref="A3547:A3551"/>
    <mergeCell ref="B3547:B3551"/>
    <mergeCell ref="C3547:C3551"/>
    <mergeCell ref="D3547:D3551"/>
    <mergeCell ref="E3547:E3551"/>
    <mergeCell ref="F3547:F3551"/>
    <mergeCell ref="G3544:G3546"/>
    <mergeCell ref="H3544:H3546"/>
    <mergeCell ref="I3544:I3546"/>
    <mergeCell ref="J3544:J3546"/>
    <mergeCell ref="K3544:K3546"/>
    <mergeCell ref="M3544:M3546"/>
    <mergeCell ref="N3529:N3533"/>
    <mergeCell ref="O3529:O3533"/>
    <mergeCell ref="P3529:P3533"/>
    <mergeCell ref="Q3529:Q3533"/>
    <mergeCell ref="A3544:A3546"/>
    <mergeCell ref="B3544:B3546"/>
    <mergeCell ref="C3544:C3546"/>
    <mergeCell ref="D3544:D3546"/>
    <mergeCell ref="E3544:E3546"/>
    <mergeCell ref="F3544:F3546"/>
    <mergeCell ref="G3529:G3533"/>
    <mergeCell ref="H3529:H3533"/>
    <mergeCell ref="I3529:I3533"/>
    <mergeCell ref="J3529:J3533"/>
    <mergeCell ref="K3529:K3533"/>
    <mergeCell ref="M3529:M3533"/>
    <mergeCell ref="N3518:N3520"/>
    <mergeCell ref="O3518:O3520"/>
    <mergeCell ref="P3518:P3520"/>
    <mergeCell ref="Q3518:Q3520"/>
    <mergeCell ref="A3529:A3533"/>
    <mergeCell ref="B3529:B3533"/>
    <mergeCell ref="C3529:C3533"/>
    <mergeCell ref="D3529:D3533"/>
    <mergeCell ref="E3529:E3533"/>
    <mergeCell ref="F3529:F3533"/>
    <mergeCell ref="G3518:G3520"/>
    <mergeCell ref="H3518:H3520"/>
    <mergeCell ref="I3518:I3520"/>
    <mergeCell ref="J3518:J3520"/>
    <mergeCell ref="K3518:K3520"/>
    <mergeCell ref="M3518:M3520"/>
    <mergeCell ref="N3515:N3517"/>
    <mergeCell ref="O3515:O3517"/>
    <mergeCell ref="P3515:P3517"/>
    <mergeCell ref="Q3515:Q3517"/>
    <mergeCell ref="A3518:A3520"/>
    <mergeCell ref="B3518:B3520"/>
    <mergeCell ref="C3518:C3520"/>
    <mergeCell ref="D3518:D3520"/>
    <mergeCell ref="E3518:E3520"/>
    <mergeCell ref="F3518:F3520"/>
    <mergeCell ref="G3515:G3517"/>
    <mergeCell ref="H3515:H3517"/>
    <mergeCell ref="I3515:I3517"/>
    <mergeCell ref="J3515:J3517"/>
    <mergeCell ref="K3515:K3517"/>
    <mergeCell ref="M3515:M3517"/>
    <mergeCell ref="N3504:N3506"/>
    <mergeCell ref="O3504:O3506"/>
    <mergeCell ref="P3504:P3506"/>
    <mergeCell ref="Q3504:Q3506"/>
    <mergeCell ref="A3515:A3517"/>
    <mergeCell ref="B3515:B3517"/>
    <mergeCell ref="C3515:C3517"/>
    <mergeCell ref="D3515:D3517"/>
    <mergeCell ref="E3515:E3517"/>
    <mergeCell ref="F3515:F3517"/>
    <mergeCell ref="G3504:G3506"/>
    <mergeCell ref="H3504:H3506"/>
    <mergeCell ref="I3504:I3506"/>
    <mergeCell ref="J3504:J3506"/>
    <mergeCell ref="K3504:K3506"/>
    <mergeCell ref="M3504:M3506"/>
    <mergeCell ref="N3498:N3502"/>
    <mergeCell ref="O3498:O3502"/>
    <mergeCell ref="P3498:P3502"/>
    <mergeCell ref="Q3498:Q3502"/>
    <mergeCell ref="A3504:A3506"/>
    <mergeCell ref="B3504:B3506"/>
    <mergeCell ref="C3504:C3506"/>
    <mergeCell ref="D3504:D3506"/>
    <mergeCell ref="E3504:E3506"/>
    <mergeCell ref="F3504:F3506"/>
    <mergeCell ref="G3498:G3502"/>
    <mergeCell ref="H3498:H3502"/>
    <mergeCell ref="I3498:I3502"/>
    <mergeCell ref="J3498:J3502"/>
    <mergeCell ref="K3498:K3502"/>
    <mergeCell ref="M3498:M3502"/>
    <mergeCell ref="N3478:N3484"/>
    <mergeCell ref="O3478:O3484"/>
    <mergeCell ref="P3478:P3484"/>
    <mergeCell ref="Q3478:Q3484"/>
    <mergeCell ref="A3498:A3502"/>
    <mergeCell ref="B3498:B3502"/>
    <mergeCell ref="C3498:C3502"/>
    <mergeCell ref="D3498:D3502"/>
    <mergeCell ref="E3498:E3502"/>
    <mergeCell ref="F3498:F3502"/>
    <mergeCell ref="G3478:G3484"/>
    <mergeCell ref="H3478:H3484"/>
    <mergeCell ref="I3478:I3484"/>
    <mergeCell ref="J3478:J3484"/>
    <mergeCell ref="K3478:K3484"/>
    <mergeCell ref="M3478:M3484"/>
    <mergeCell ref="N3467:N3469"/>
    <mergeCell ref="O3467:O3469"/>
    <mergeCell ref="P3467:P3469"/>
    <mergeCell ref="Q3467:Q3469"/>
    <mergeCell ref="A3478:A3484"/>
    <mergeCell ref="B3478:B3484"/>
    <mergeCell ref="C3478:C3484"/>
    <mergeCell ref="D3478:D3484"/>
    <mergeCell ref="E3478:E3484"/>
    <mergeCell ref="F3478:F3484"/>
    <mergeCell ref="G3467:G3469"/>
    <mergeCell ref="H3467:H3469"/>
    <mergeCell ref="I3467:I3469"/>
    <mergeCell ref="J3467:J3469"/>
    <mergeCell ref="K3467:K3469"/>
    <mergeCell ref="M3467:M3469"/>
    <mergeCell ref="N3464:N3466"/>
    <mergeCell ref="O3464:O3466"/>
    <mergeCell ref="P3464:P3466"/>
    <mergeCell ref="Q3464:Q3466"/>
    <mergeCell ref="A3467:A3469"/>
    <mergeCell ref="B3467:B3469"/>
    <mergeCell ref="C3467:C3469"/>
    <mergeCell ref="D3467:D3469"/>
    <mergeCell ref="E3467:E3469"/>
    <mergeCell ref="F3467:F3469"/>
    <mergeCell ref="G3464:G3466"/>
    <mergeCell ref="H3464:H3466"/>
    <mergeCell ref="I3464:I3466"/>
    <mergeCell ref="J3464:J3466"/>
    <mergeCell ref="K3464:K3466"/>
    <mergeCell ref="M3464:M3466"/>
    <mergeCell ref="N3460:N3462"/>
    <mergeCell ref="O3460:O3462"/>
    <mergeCell ref="P3460:P3462"/>
    <mergeCell ref="Q3460:Q3462"/>
    <mergeCell ref="A3464:A3466"/>
    <mergeCell ref="B3464:B3466"/>
    <mergeCell ref="C3464:C3466"/>
    <mergeCell ref="D3464:D3466"/>
    <mergeCell ref="E3464:E3466"/>
    <mergeCell ref="F3464:F3466"/>
    <mergeCell ref="G3460:G3462"/>
    <mergeCell ref="H3460:H3462"/>
    <mergeCell ref="I3460:I3462"/>
    <mergeCell ref="J3460:J3462"/>
    <mergeCell ref="K3460:K3462"/>
    <mergeCell ref="M3460:M3462"/>
    <mergeCell ref="N3440:N3442"/>
    <mergeCell ref="O3440:O3442"/>
    <mergeCell ref="P3440:P3442"/>
    <mergeCell ref="Q3440:Q3442"/>
    <mergeCell ref="A3460:A3462"/>
    <mergeCell ref="B3460:B3462"/>
    <mergeCell ref="C3460:C3462"/>
    <mergeCell ref="D3460:D3462"/>
    <mergeCell ref="E3460:E3462"/>
    <mergeCell ref="F3460:F3462"/>
    <mergeCell ref="G3440:G3442"/>
    <mergeCell ref="H3440:H3442"/>
    <mergeCell ref="I3440:I3442"/>
    <mergeCell ref="J3440:J3442"/>
    <mergeCell ref="K3440:K3442"/>
    <mergeCell ref="M3440:M3442"/>
    <mergeCell ref="N3418:N3422"/>
    <mergeCell ref="O3418:O3422"/>
    <mergeCell ref="P3418:P3422"/>
    <mergeCell ref="Q3418:Q3422"/>
    <mergeCell ref="A3440:A3442"/>
    <mergeCell ref="B3440:B3442"/>
    <mergeCell ref="C3440:C3442"/>
    <mergeCell ref="D3440:D3442"/>
    <mergeCell ref="E3440:E3442"/>
    <mergeCell ref="F3440:F3442"/>
    <mergeCell ref="G3418:G3422"/>
    <mergeCell ref="H3418:H3422"/>
    <mergeCell ref="I3418:I3422"/>
    <mergeCell ref="J3418:J3422"/>
    <mergeCell ref="K3418:K3422"/>
    <mergeCell ref="M3418:M3422"/>
    <mergeCell ref="N3413:N3417"/>
    <mergeCell ref="O3413:O3417"/>
    <mergeCell ref="P3413:P3417"/>
    <mergeCell ref="Q3413:Q3417"/>
    <mergeCell ref="A3418:A3422"/>
    <mergeCell ref="B3418:B3422"/>
    <mergeCell ref="C3418:C3422"/>
    <mergeCell ref="D3418:D3422"/>
    <mergeCell ref="E3418:E3422"/>
    <mergeCell ref="F3418:F3422"/>
    <mergeCell ref="G3413:G3417"/>
    <mergeCell ref="H3413:H3417"/>
    <mergeCell ref="I3413:I3417"/>
    <mergeCell ref="J3413:J3417"/>
    <mergeCell ref="K3413:K3417"/>
    <mergeCell ref="M3413:M3417"/>
    <mergeCell ref="N3408:N3412"/>
    <mergeCell ref="O3408:O3412"/>
    <mergeCell ref="P3408:P3412"/>
    <mergeCell ref="Q3408:Q3412"/>
    <mergeCell ref="A3413:A3417"/>
    <mergeCell ref="B3413:B3417"/>
    <mergeCell ref="C3413:C3417"/>
    <mergeCell ref="D3413:D3417"/>
    <mergeCell ref="E3413:E3417"/>
    <mergeCell ref="F3413:F3417"/>
    <mergeCell ref="G3408:G3412"/>
    <mergeCell ref="H3408:H3412"/>
    <mergeCell ref="I3408:I3412"/>
    <mergeCell ref="J3408:J3412"/>
    <mergeCell ref="K3408:K3412"/>
    <mergeCell ref="M3408:M3412"/>
    <mergeCell ref="N3403:N3407"/>
    <mergeCell ref="O3403:O3407"/>
    <mergeCell ref="P3403:P3407"/>
    <mergeCell ref="Q3403:Q3407"/>
    <mergeCell ref="A3408:A3412"/>
    <mergeCell ref="B3408:B3412"/>
    <mergeCell ref="C3408:C3412"/>
    <mergeCell ref="D3408:D3412"/>
    <mergeCell ref="E3408:E3412"/>
    <mergeCell ref="F3408:F3412"/>
    <mergeCell ref="G3403:G3407"/>
    <mergeCell ref="H3403:H3407"/>
    <mergeCell ref="I3403:I3407"/>
    <mergeCell ref="J3403:J3407"/>
    <mergeCell ref="K3403:K3407"/>
    <mergeCell ref="M3403:M3407"/>
    <mergeCell ref="N3398:N3402"/>
    <mergeCell ref="O3398:O3402"/>
    <mergeCell ref="P3398:P3402"/>
    <mergeCell ref="Q3398:Q3402"/>
    <mergeCell ref="A3403:A3407"/>
    <mergeCell ref="B3403:B3407"/>
    <mergeCell ref="C3403:C3407"/>
    <mergeCell ref="D3403:D3407"/>
    <mergeCell ref="E3403:E3407"/>
    <mergeCell ref="F3403:F3407"/>
    <mergeCell ref="G3398:G3402"/>
    <mergeCell ref="H3398:H3402"/>
    <mergeCell ref="I3398:I3402"/>
    <mergeCell ref="J3398:J3402"/>
    <mergeCell ref="K3398:K3402"/>
    <mergeCell ref="M3398:M3402"/>
    <mergeCell ref="N3393:N3397"/>
    <mergeCell ref="O3393:O3397"/>
    <mergeCell ref="P3393:P3397"/>
    <mergeCell ref="Q3393:Q3397"/>
    <mergeCell ref="A3398:A3402"/>
    <mergeCell ref="B3398:B3402"/>
    <mergeCell ref="C3398:C3402"/>
    <mergeCell ref="D3398:D3402"/>
    <mergeCell ref="E3398:E3402"/>
    <mergeCell ref="F3398:F3402"/>
    <mergeCell ref="G3393:G3397"/>
    <mergeCell ref="H3393:H3397"/>
    <mergeCell ref="I3393:I3397"/>
    <mergeCell ref="J3393:J3397"/>
    <mergeCell ref="K3393:K3397"/>
    <mergeCell ref="M3393:M3397"/>
    <mergeCell ref="N3367:N3369"/>
    <mergeCell ref="O3367:O3369"/>
    <mergeCell ref="P3367:P3369"/>
    <mergeCell ref="Q3367:Q3369"/>
    <mergeCell ref="A3393:A3397"/>
    <mergeCell ref="B3393:B3397"/>
    <mergeCell ref="C3393:C3397"/>
    <mergeCell ref="D3393:D3397"/>
    <mergeCell ref="E3393:E3397"/>
    <mergeCell ref="F3393:F3397"/>
    <mergeCell ref="G3367:G3369"/>
    <mergeCell ref="H3367:H3369"/>
    <mergeCell ref="I3367:I3369"/>
    <mergeCell ref="J3367:J3369"/>
    <mergeCell ref="K3367:K3369"/>
    <mergeCell ref="M3367:M3369"/>
    <mergeCell ref="N3359:N3360"/>
    <mergeCell ref="O3359:O3360"/>
    <mergeCell ref="P3359:P3360"/>
    <mergeCell ref="Q3359:Q3360"/>
    <mergeCell ref="A3367:A3369"/>
    <mergeCell ref="B3367:B3369"/>
    <mergeCell ref="C3367:C3369"/>
    <mergeCell ref="D3367:D3369"/>
    <mergeCell ref="E3367:E3369"/>
    <mergeCell ref="F3367:F3369"/>
    <mergeCell ref="G3359:G3360"/>
    <mergeCell ref="H3359:H3360"/>
    <mergeCell ref="I3359:I3360"/>
    <mergeCell ref="J3359:J3360"/>
    <mergeCell ref="K3359:K3360"/>
    <mergeCell ref="M3359:M3360"/>
    <mergeCell ref="N3357:N3358"/>
    <mergeCell ref="O3357:O3358"/>
    <mergeCell ref="P3357:P3358"/>
    <mergeCell ref="Q3357:Q3358"/>
    <mergeCell ref="A3359:A3360"/>
    <mergeCell ref="B3359:B3360"/>
    <mergeCell ref="C3359:C3360"/>
    <mergeCell ref="D3359:D3360"/>
    <mergeCell ref="E3359:E3360"/>
    <mergeCell ref="F3359:F3360"/>
    <mergeCell ref="G3357:G3358"/>
    <mergeCell ref="H3357:H3358"/>
    <mergeCell ref="I3357:I3358"/>
    <mergeCell ref="J3357:J3358"/>
    <mergeCell ref="K3357:K3358"/>
    <mergeCell ref="M3357:M3358"/>
    <mergeCell ref="N3355:N3356"/>
    <mergeCell ref="O3355:O3356"/>
    <mergeCell ref="P3355:P3356"/>
    <mergeCell ref="Q3355:Q3356"/>
    <mergeCell ref="A3357:A3358"/>
    <mergeCell ref="B3357:B3358"/>
    <mergeCell ref="C3357:C3358"/>
    <mergeCell ref="D3357:D3358"/>
    <mergeCell ref="E3357:E3358"/>
    <mergeCell ref="F3357:F3358"/>
    <mergeCell ref="G3355:G3356"/>
    <mergeCell ref="H3355:H3356"/>
    <mergeCell ref="I3355:I3356"/>
    <mergeCell ref="J3355:J3356"/>
    <mergeCell ref="K3355:K3356"/>
    <mergeCell ref="M3355:M3356"/>
    <mergeCell ref="N3347:N3349"/>
    <mergeCell ref="O3347:O3349"/>
    <mergeCell ref="P3347:P3349"/>
    <mergeCell ref="Q3347:Q3349"/>
    <mergeCell ref="A3355:A3356"/>
    <mergeCell ref="B3355:B3356"/>
    <mergeCell ref="C3355:C3356"/>
    <mergeCell ref="D3355:D3356"/>
    <mergeCell ref="E3355:E3356"/>
    <mergeCell ref="F3355:F3356"/>
    <mergeCell ref="G3347:G3349"/>
    <mergeCell ref="H3347:H3349"/>
    <mergeCell ref="I3347:I3349"/>
    <mergeCell ref="J3347:J3349"/>
    <mergeCell ref="K3347:K3349"/>
    <mergeCell ref="M3347:M3349"/>
    <mergeCell ref="N3330:N3332"/>
    <mergeCell ref="O3330:O3332"/>
    <mergeCell ref="P3330:P3332"/>
    <mergeCell ref="Q3330:Q3332"/>
    <mergeCell ref="A3347:A3349"/>
    <mergeCell ref="B3347:B3349"/>
    <mergeCell ref="C3347:C3349"/>
    <mergeCell ref="D3347:D3349"/>
    <mergeCell ref="E3347:E3349"/>
    <mergeCell ref="F3347:F3349"/>
    <mergeCell ref="G3330:G3332"/>
    <mergeCell ref="H3330:H3332"/>
    <mergeCell ref="I3330:I3332"/>
    <mergeCell ref="J3330:J3332"/>
    <mergeCell ref="K3330:K3332"/>
    <mergeCell ref="M3330:M3332"/>
    <mergeCell ref="N3303:N3305"/>
    <mergeCell ref="O3303:O3305"/>
    <mergeCell ref="P3303:P3305"/>
    <mergeCell ref="Q3303:Q3305"/>
    <mergeCell ref="A3330:A3332"/>
    <mergeCell ref="B3330:B3332"/>
    <mergeCell ref="C3330:C3332"/>
    <mergeCell ref="D3330:D3332"/>
    <mergeCell ref="E3330:E3332"/>
    <mergeCell ref="F3330:F3332"/>
    <mergeCell ref="G3303:G3305"/>
    <mergeCell ref="H3303:H3305"/>
    <mergeCell ref="I3303:I3305"/>
    <mergeCell ref="J3303:J3305"/>
    <mergeCell ref="K3303:K3305"/>
    <mergeCell ref="M3303:M3305"/>
    <mergeCell ref="N3299:N3301"/>
    <mergeCell ref="O3299:O3301"/>
    <mergeCell ref="P3299:P3301"/>
    <mergeCell ref="Q3299:Q3301"/>
    <mergeCell ref="A3303:A3305"/>
    <mergeCell ref="B3303:B3305"/>
    <mergeCell ref="C3303:C3305"/>
    <mergeCell ref="D3303:D3305"/>
    <mergeCell ref="E3303:E3305"/>
    <mergeCell ref="F3303:F3305"/>
    <mergeCell ref="G3299:G3301"/>
    <mergeCell ref="H3299:H3301"/>
    <mergeCell ref="I3299:I3301"/>
    <mergeCell ref="J3299:J3301"/>
    <mergeCell ref="K3299:K3301"/>
    <mergeCell ref="M3299:M3301"/>
    <mergeCell ref="N3291:N3292"/>
    <mergeCell ref="O3291:O3292"/>
    <mergeCell ref="P3291:P3292"/>
    <mergeCell ref="Q3291:Q3292"/>
    <mergeCell ref="A3299:A3301"/>
    <mergeCell ref="B3299:B3301"/>
    <mergeCell ref="C3299:C3301"/>
    <mergeCell ref="D3299:D3301"/>
    <mergeCell ref="E3299:E3301"/>
    <mergeCell ref="F3299:F3301"/>
    <mergeCell ref="G3291:G3292"/>
    <mergeCell ref="H3291:H3292"/>
    <mergeCell ref="I3291:I3292"/>
    <mergeCell ref="J3291:J3292"/>
    <mergeCell ref="K3291:K3292"/>
    <mergeCell ref="M3291:M3292"/>
    <mergeCell ref="N3289:N3290"/>
    <mergeCell ref="O3289:O3290"/>
    <mergeCell ref="P3289:P3290"/>
    <mergeCell ref="Q3289:Q3290"/>
    <mergeCell ref="A3291:A3292"/>
    <mergeCell ref="B3291:B3292"/>
    <mergeCell ref="C3291:C3292"/>
    <mergeCell ref="D3291:D3292"/>
    <mergeCell ref="E3291:E3292"/>
    <mergeCell ref="F3291:F3292"/>
    <mergeCell ref="G3289:G3290"/>
    <mergeCell ref="H3289:H3290"/>
    <mergeCell ref="I3289:I3290"/>
    <mergeCell ref="J3289:J3290"/>
    <mergeCell ref="K3289:K3290"/>
    <mergeCell ref="M3289:M3290"/>
    <mergeCell ref="N3287:N3288"/>
    <mergeCell ref="O3287:O3288"/>
    <mergeCell ref="P3287:P3288"/>
    <mergeCell ref="Q3287:Q3288"/>
    <mergeCell ref="A3289:A3290"/>
    <mergeCell ref="B3289:B3290"/>
    <mergeCell ref="C3289:C3290"/>
    <mergeCell ref="D3289:D3290"/>
    <mergeCell ref="E3289:E3290"/>
    <mergeCell ref="F3289:F3290"/>
    <mergeCell ref="G3287:G3288"/>
    <mergeCell ref="H3287:H3288"/>
    <mergeCell ref="I3287:I3288"/>
    <mergeCell ref="J3287:J3288"/>
    <mergeCell ref="K3287:K3288"/>
    <mergeCell ref="M3287:M3288"/>
    <mergeCell ref="N3280:N3282"/>
    <mergeCell ref="O3280:O3282"/>
    <mergeCell ref="P3280:P3282"/>
    <mergeCell ref="Q3280:Q3282"/>
    <mergeCell ref="A3287:A3288"/>
    <mergeCell ref="B3287:B3288"/>
    <mergeCell ref="C3287:C3288"/>
    <mergeCell ref="D3287:D3288"/>
    <mergeCell ref="E3287:E3288"/>
    <mergeCell ref="F3287:F3288"/>
    <mergeCell ref="G3280:G3282"/>
    <mergeCell ref="H3280:H3282"/>
    <mergeCell ref="I3280:I3282"/>
    <mergeCell ref="J3280:J3282"/>
    <mergeCell ref="K3280:K3282"/>
    <mergeCell ref="M3280:M3282"/>
    <mergeCell ref="N3226:N3230"/>
    <mergeCell ref="O3226:O3230"/>
    <mergeCell ref="P3226:P3230"/>
    <mergeCell ref="Q3226:Q3230"/>
    <mergeCell ref="A3280:A3282"/>
    <mergeCell ref="B3280:B3282"/>
    <mergeCell ref="C3280:C3282"/>
    <mergeCell ref="D3280:D3282"/>
    <mergeCell ref="E3280:E3282"/>
    <mergeCell ref="F3280:F3282"/>
    <mergeCell ref="G3226:G3230"/>
    <mergeCell ref="H3226:H3230"/>
    <mergeCell ref="I3226:I3230"/>
    <mergeCell ref="J3226:J3230"/>
    <mergeCell ref="K3226:K3230"/>
    <mergeCell ref="M3226:M3230"/>
    <mergeCell ref="N3221:N3225"/>
    <mergeCell ref="O3221:O3225"/>
    <mergeCell ref="P3221:P3225"/>
    <mergeCell ref="Q3221:Q3225"/>
    <mergeCell ref="A3226:A3230"/>
    <mergeCell ref="B3226:B3230"/>
    <mergeCell ref="C3226:C3230"/>
    <mergeCell ref="D3226:D3230"/>
    <mergeCell ref="E3226:E3230"/>
    <mergeCell ref="F3226:F3230"/>
    <mergeCell ref="G3221:G3225"/>
    <mergeCell ref="H3221:H3225"/>
    <mergeCell ref="I3221:I3225"/>
    <mergeCell ref="J3221:J3225"/>
    <mergeCell ref="K3221:K3225"/>
    <mergeCell ref="M3221:M3225"/>
    <mergeCell ref="N3216:N3220"/>
    <mergeCell ref="O3216:O3220"/>
    <mergeCell ref="P3216:P3220"/>
    <mergeCell ref="Q3216:Q3220"/>
    <mergeCell ref="A3221:A3225"/>
    <mergeCell ref="B3221:B3225"/>
    <mergeCell ref="C3221:C3225"/>
    <mergeCell ref="D3221:D3225"/>
    <mergeCell ref="E3221:E3225"/>
    <mergeCell ref="F3221:F3225"/>
    <mergeCell ref="G3216:G3220"/>
    <mergeCell ref="H3216:H3220"/>
    <mergeCell ref="I3216:I3220"/>
    <mergeCell ref="J3216:J3220"/>
    <mergeCell ref="K3216:K3220"/>
    <mergeCell ref="M3216:M3220"/>
    <mergeCell ref="N3211:N3215"/>
    <mergeCell ref="O3211:O3215"/>
    <mergeCell ref="P3211:P3215"/>
    <mergeCell ref="Q3211:Q3215"/>
    <mergeCell ref="A3216:A3220"/>
    <mergeCell ref="B3216:B3220"/>
    <mergeCell ref="C3216:C3220"/>
    <mergeCell ref="D3216:D3220"/>
    <mergeCell ref="E3216:E3220"/>
    <mergeCell ref="F3216:F3220"/>
    <mergeCell ref="G3211:G3215"/>
    <mergeCell ref="H3211:H3215"/>
    <mergeCell ref="I3211:I3215"/>
    <mergeCell ref="J3211:J3215"/>
    <mergeCell ref="K3211:K3215"/>
    <mergeCell ref="M3211:M3215"/>
    <mergeCell ref="N3206:N3210"/>
    <mergeCell ref="O3206:O3210"/>
    <mergeCell ref="P3206:P3210"/>
    <mergeCell ref="Q3206:Q3210"/>
    <mergeCell ref="A3211:A3215"/>
    <mergeCell ref="B3211:B3215"/>
    <mergeCell ref="C3211:C3215"/>
    <mergeCell ref="D3211:D3215"/>
    <mergeCell ref="E3211:E3215"/>
    <mergeCell ref="F3211:F3215"/>
    <mergeCell ref="G3206:G3210"/>
    <mergeCell ref="H3206:H3210"/>
    <mergeCell ref="I3206:I3210"/>
    <mergeCell ref="J3206:J3210"/>
    <mergeCell ref="K3206:K3210"/>
    <mergeCell ref="M3206:M3210"/>
    <mergeCell ref="N3201:N3205"/>
    <mergeCell ref="O3201:O3205"/>
    <mergeCell ref="P3201:P3205"/>
    <mergeCell ref="Q3201:Q3205"/>
    <mergeCell ref="A3206:A3210"/>
    <mergeCell ref="B3206:B3210"/>
    <mergeCell ref="C3206:C3210"/>
    <mergeCell ref="D3206:D3210"/>
    <mergeCell ref="E3206:E3210"/>
    <mergeCell ref="F3206:F3210"/>
    <mergeCell ref="G3201:G3205"/>
    <mergeCell ref="H3201:H3205"/>
    <mergeCell ref="I3201:I3205"/>
    <mergeCell ref="J3201:J3205"/>
    <mergeCell ref="K3201:K3205"/>
    <mergeCell ref="M3201:M3205"/>
    <mergeCell ref="N3180:N3182"/>
    <mergeCell ref="O3180:O3182"/>
    <mergeCell ref="P3180:P3182"/>
    <mergeCell ref="Q3180:Q3182"/>
    <mergeCell ref="A3201:A3205"/>
    <mergeCell ref="B3201:B3205"/>
    <mergeCell ref="C3201:C3205"/>
    <mergeCell ref="D3201:D3205"/>
    <mergeCell ref="E3201:E3205"/>
    <mergeCell ref="F3201:F3205"/>
    <mergeCell ref="G3180:G3182"/>
    <mergeCell ref="H3180:H3182"/>
    <mergeCell ref="I3180:I3182"/>
    <mergeCell ref="J3180:J3182"/>
    <mergeCell ref="K3180:K3182"/>
    <mergeCell ref="M3180:M3182"/>
    <mergeCell ref="N3176:N3178"/>
    <mergeCell ref="O3176:O3178"/>
    <mergeCell ref="P3176:P3178"/>
    <mergeCell ref="Q3176:Q3178"/>
    <mergeCell ref="A3180:A3182"/>
    <mergeCell ref="B3180:B3182"/>
    <mergeCell ref="C3180:C3182"/>
    <mergeCell ref="D3180:D3182"/>
    <mergeCell ref="E3180:E3182"/>
    <mergeCell ref="F3180:F3182"/>
    <mergeCell ref="G3176:G3178"/>
    <mergeCell ref="H3176:H3178"/>
    <mergeCell ref="I3176:I3178"/>
    <mergeCell ref="J3176:J3178"/>
    <mergeCell ref="K3176:K3178"/>
    <mergeCell ref="M3176:M3178"/>
    <mergeCell ref="N3168:N3169"/>
    <mergeCell ref="O3168:O3169"/>
    <mergeCell ref="P3168:P3169"/>
    <mergeCell ref="Q3168:Q3169"/>
    <mergeCell ref="A3176:A3178"/>
    <mergeCell ref="B3176:B3178"/>
    <mergeCell ref="C3176:C3178"/>
    <mergeCell ref="D3176:D3178"/>
    <mergeCell ref="E3176:E3178"/>
    <mergeCell ref="F3176:F3178"/>
    <mergeCell ref="G3168:G3169"/>
    <mergeCell ref="H3168:H3169"/>
    <mergeCell ref="I3168:I3169"/>
    <mergeCell ref="J3168:J3169"/>
    <mergeCell ref="K3168:K3169"/>
    <mergeCell ref="M3168:M3169"/>
    <mergeCell ref="N3166:N3167"/>
    <mergeCell ref="O3166:O3167"/>
    <mergeCell ref="P3166:P3167"/>
    <mergeCell ref="Q3166:Q3167"/>
    <mergeCell ref="A3168:A3169"/>
    <mergeCell ref="B3168:B3169"/>
    <mergeCell ref="C3168:C3169"/>
    <mergeCell ref="D3168:D3169"/>
    <mergeCell ref="E3168:E3169"/>
    <mergeCell ref="F3168:F3169"/>
    <mergeCell ref="G3166:G3167"/>
    <mergeCell ref="H3166:H3167"/>
    <mergeCell ref="I3166:I3167"/>
    <mergeCell ref="J3166:J3167"/>
    <mergeCell ref="K3166:K3167"/>
    <mergeCell ref="M3166:M3167"/>
    <mergeCell ref="N3164:N3165"/>
    <mergeCell ref="O3164:O3165"/>
    <mergeCell ref="P3164:P3165"/>
    <mergeCell ref="Q3164:Q3165"/>
    <mergeCell ref="A3166:A3167"/>
    <mergeCell ref="B3166:B3167"/>
    <mergeCell ref="C3166:C3167"/>
    <mergeCell ref="D3166:D3167"/>
    <mergeCell ref="E3166:E3167"/>
    <mergeCell ref="F3166:F3167"/>
    <mergeCell ref="G3164:G3165"/>
    <mergeCell ref="H3164:H3165"/>
    <mergeCell ref="I3164:I3165"/>
    <mergeCell ref="J3164:J3165"/>
    <mergeCell ref="K3164:K3165"/>
    <mergeCell ref="M3164:M3165"/>
    <mergeCell ref="N3151:N3153"/>
    <mergeCell ref="O3151:O3153"/>
    <mergeCell ref="P3151:P3153"/>
    <mergeCell ref="Q3151:Q3153"/>
    <mergeCell ref="A3164:A3165"/>
    <mergeCell ref="B3164:B3165"/>
    <mergeCell ref="C3164:C3165"/>
    <mergeCell ref="D3164:D3165"/>
    <mergeCell ref="E3164:E3165"/>
    <mergeCell ref="F3164:F3165"/>
    <mergeCell ref="G3151:G3153"/>
    <mergeCell ref="H3151:H3153"/>
    <mergeCell ref="I3151:I3153"/>
    <mergeCell ref="J3151:J3153"/>
    <mergeCell ref="K3151:K3153"/>
    <mergeCell ref="M3151:M3153"/>
    <mergeCell ref="N3131:N3133"/>
    <mergeCell ref="O3131:O3133"/>
    <mergeCell ref="P3131:P3133"/>
    <mergeCell ref="Q3131:Q3133"/>
    <mergeCell ref="A3151:A3153"/>
    <mergeCell ref="B3151:B3153"/>
    <mergeCell ref="C3151:C3153"/>
    <mergeCell ref="D3151:D3153"/>
    <mergeCell ref="E3151:E3153"/>
    <mergeCell ref="F3151:F3153"/>
    <mergeCell ref="G3131:G3133"/>
    <mergeCell ref="H3131:H3133"/>
    <mergeCell ref="I3131:I3133"/>
    <mergeCell ref="J3131:J3133"/>
    <mergeCell ref="K3131:K3133"/>
    <mergeCell ref="M3131:M3133"/>
    <mergeCell ref="N3128:N3130"/>
    <mergeCell ref="O3128:O3130"/>
    <mergeCell ref="P3128:P3130"/>
    <mergeCell ref="Q3128:Q3130"/>
    <mergeCell ref="A3131:A3133"/>
    <mergeCell ref="B3131:B3133"/>
    <mergeCell ref="C3131:C3133"/>
    <mergeCell ref="D3131:D3133"/>
    <mergeCell ref="E3131:E3133"/>
    <mergeCell ref="F3131:F3133"/>
    <mergeCell ref="G3128:G3130"/>
    <mergeCell ref="H3128:H3130"/>
    <mergeCell ref="I3128:I3130"/>
    <mergeCell ref="J3128:J3130"/>
    <mergeCell ref="K3128:K3130"/>
    <mergeCell ref="M3128:M3130"/>
    <mergeCell ref="N3121:N3123"/>
    <mergeCell ref="O3121:O3123"/>
    <mergeCell ref="P3121:P3123"/>
    <mergeCell ref="Q3121:Q3123"/>
    <mergeCell ref="A3128:A3130"/>
    <mergeCell ref="B3128:B3130"/>
    <mergeCell ref="C3128:C3130"/>
    <mergeCell ref="D3128:D3130"/>
    <mergeCell ref="E3128:E3130"/>
    <mergeCell ref="F3128:F3130"/>
    <mergeCell ref="G3121:G3123"/>
    <mergeCell ref="H3121:H3123"/>
    <mergeCell ref="I3121:I3123"/>
    <mergeCell ref="J3121:J3123"/>
    <mergeCell ref="K3121:K3123"/>
    <mergeCell ref="M3121:M3123"/>
    <mergeCell ref="N3109:N3111"/>
    <mergeCell ref="O3109:O3111"/>
    <mergeCell ref="P3109:P3111"/>
    <mergeCell ref="Q3109:Q3111"/>
    <mergeCell ref="A3121:A3123"/>
    <mergeCell ref="B3121:B3123"/>
    <mergeCell ref="C3121:C3123"/>
    <mergeCell ref="D3121:D3123"/>
    <mergeCell ref="E3121:E3123"/>
    <mergeCell ref="F3121:F3123"/>
    <mergeCell ref="G3109:G3111"/>
    <mergeCell ref="H3109:H3111"/>
    <mergeCell ref="I3109:I3111"/>
    <mergeCell ref="J3109:J3111"/>
    <mergeCell ref="K3109:K3111"/>
    <mergeCell ref="M3109:M3111"/>
    <mergeCell ref="N3097:N3099"/>
    <mergeCell ref="O3097:O3099"/>
    <mergeCell ref="P3097:P3099"/>
    <mergeCell ref="Q3097:Q3099"/>
    <mergeCell ref="A3109:A3111"/>
    <mergeCell ref="B3109:B3111"/>
    <mergeCell ref="C3109:C3111"/>
    <mergeCell ref="D3109:D3111"/>
    <mergeCell ref="E3109:E3111"/>
    <mergeCell ref="F3109:F3111"/>
    <mergeCell ref="G3097:G3099"/>
    <mergeCell ref="H3097:H3099"/>
    <mergeCell ref="I3097:I3099"/>
    <mergeCell ref="J3097:J3099"/>
    <mergeCell ref="K3097:K3099"/>
    <mergeCell ref="M3097:M3099"/>
    <mergeCell ref="N3072:N3074"/>
    <mergeCell ref="O3072:O3074"/>
    <mergeCell ref="P3072:P3074"/>
    <mergeCell ref="Q3072:Q3074"/>
    <mergeCell ref="A3097:A3099"/>
    <mergeCell ref="B3097:B3099"/>
    <mergeCell ref="C3097:C3099"/>
    <mergeCell ref="D3097:D3099"/>
    <mergeCell ref="E3097:E3099"/>
    <mergeCell ref="F3097:F3099"/>
    <mergeCell ref="G3072:G3074"/>
    <mergeCell ref="H3072:H3074"/>
    <mergeCell ref="I3072:I3074"/>
    <mergeCell ref="J3072:J3074"/>
    <mergeCell ref="K3072:K3074"/>
    <mergeCell ref="M3072:M3074"/>
    <mergeCell ref="N3058:N3060"/>
    <mergeCell ref="O3058:O3060"/>
    <mergeCell ref="P3058:P3060"/>
    <mergeCell ref="Q3058:Q3060"/>
    <mergeCell ref="A3072:A3074"/>
    <mergeCell ref="B3072:B3074"/>
    <mergeCell ref="C3072:C3074"/>
    <mergeCell ref="D3072:D3074"/>
    <mergeCell ref="E3072:E3074"/>
    <mergeCell ref="F3072:F3074"/>
    <mergeCell ref="G3058:G3060"/>
    <mergeCell ref="H3058:H3060"/>
    <mergeCell ref="I3058:I3060"/>
    <mergeCell ref="J3058:J3060"/>
    <mergeCell ref="K3058:K3060"/>
    <mergeCell ref="M3058:M3060"/>
    <mergeCell ref="N3042:N3044"/>
    <mergeCell ref="O3042:O3044"/>
    <mergeCell ref="P3042:P3044"/>
    <mergeCell ref="Q3042:Q3044"/>
    <mergeCell ref="A3058:A3060"/>
    <mergeCell ref="B3058:B3060"/>
    <mergeCell ref="C3058:C3060"/>
    <mergeCell ref="D3058:D3060"/>
    <mergeCell ref="E3058:E3060"/>
    <mergeCell ref="F3058:F3060"/>
    <mergeCell ref="G3042:G3044"/>
    <mergeCell ref="H3042:H3044"/>
    <mergeCell ref="I3042:I3044"/>
    <mergeCell ref="J3042:J3044"/>
    <mergeCell ref="K3042:K3044"/>
    <mergeCell ref="M3042:M3044"/>
    <mergeCell ref="N3039:N3041"/>
    <mergeCell ref="O3039:O3041"/>
    <mergeCell ref="P3039:P3041"/>
    <mergeCell ref="Q3039:Q3041"/>
    <mergeCell ref="A3042:A3044"/>
    <mergeCell ref="B3042:B3044"/>
    <mergeCell ref="C3042:C3044"/>
    <mergeCell ref="D3042:D3044"/>
    <mergeCell ref="E3042:E3044"/>
    <mergeCell ref="F3042:F3044"/>
    <mergeCell ref="G3039:G3041"/>
    <mergeCell ref="H3039:H3041"/>
    <mergeCell ref="I3039:I3041"/>
    <mergeCell ref="J3039:J3041"/>
    <mergeCell ref="K3039:K3041"/>
    <mergeCell ref="M3039:M3041"/>
    <mergeCell ref="N3016:N3018"/>
    <mergeCell ref="O3016:O3018"/>
    <mergeCell ref="P3016:P3018"/>
    <mergeCell ref="Q3016:Q3018"/>
    <mergeCell ref="A3039:A3041"/>
    <mergeCell ref="B3039:B3041"/>
    <mergeCell ref="C3039:C3041"/>
    <mergeCell ref="D3039:D3041"/>
    <mergeCell ref="E3039:E3041"/>
    <mergeCell ref="F3039:F3041"/>
    <mergeCell ref="G3016:G3018"/>
    <mergeCell ref="H3016:H3018"/>
    <mergeCell ref="I3016:I3018"/>
    <mergeCell ref="J3016:J3018"/>
    <mergeCell ref="K3016:K3018"/>
    <mergeCell ref="M3016:M3018"/>
    <mergeCell ref="N3012:N3014"/>
    <mergeCell ref="O3012:O3014"/>
    <mergeCell ref="P3012:P3014"/>
    <mergeCell ref="Q3012:Q3014"/>
    <mergeCell ref="A3016:A3018"/>
    <mergeCell ref="B3016:B3018"/>
    <mergeCell ref="C3016:C3018"/>
    <mergeCell ref="D3016:D3018"/>
    <mergeCell ref="E3016:E3018"/>
    <mergeCell ref="F3016:F3018"/>
    <mergeCell ref="G3012:G3014"/>
    <mergeCell ref="H3012:H3014"/>
    <mergeCell ref="I3012:I3014"/>
    <mergeCell ref="J3012:J3014"/>
    <mergeCell ref="K3012:K3014"/>
    <mergeCell ref="M3012:M3014"/>
    <mergeCell ref="N3004:N3005"/>
    <mergeCell ref="O3004:O3005"/>
    <mergeCell ref="P3004:P3005"/>
    <mergeCell ref="Q3004:Q3005"/>
    <mergeCell ref="A3012:A3014"/>
    <mergeCell ref="B3012:B3014"/>
    <mergeCell ref="C3012:C3014"/>
    <mergeCell ref="D3012:D3014"/>
    <mergeCell ref="E3012:E3014"/>
    <mergeCell ref="F3012:F3014"/>
    <mergeCell ref="G3004:G3005"/>
    <mergeCell ref="H3004:H3005"/>
    <mergeCell ref="I3004:I3005"/>
    <mergeCell ref="J3004:J3005"/>
    <mergeCell ref="K3004:K3005"/>
    <mergeCell ref="M3004:M3005"/>
    <mergeCell ref="N3002:N3003"/>
    <mergeCell ref="O3002:O3003"/>
    <mergeCell ref="P3002:P3003"/>
    <mergeCell ref="Q3002:Q3003"/>
    <mergeCell ref="A3004:A3005"/>
    <mergeCell ref="B3004:B3005"/>
    <mergeCell ref="C3004:C3005"/>
    <mergeCell ref="D3004:D3005"/>
    <mergeCell ref="E3004:E3005"/>
    <mergeCell ref="F3004:F3005"/>
    <mergeCell ref="G3002:G3003"/>
    <mergeCell ref="H3002:H3003"/>
    <mergeCell ref="I3002:I3003"/>
    <mergeCell ref="J3002:J3003"/>
    <mergeCell ref="K3002:K3003"/>
    <mergeCell ref="M3002:M3003"/>
    <mergeCell ref="N3000:N3001"/>
    <mergeCell ref="O3000:O3001"/>
    <mergeCell ref="P3000:P3001"/>
    <mergeCell ref="Q3000:Q3001"/>
    <mergeCell ref="A3002:A3003"/>
    <mergeCell ref="B3002:B3003"/>
    <mergeCell ref="C3002:C3003"/>
    <mergeCell ref="D3002:D3003"/>
    <mergeCell ref="E3002:E3003"/>
    <mergeCell ref="F3002:F3003"/>
    <mergeCell ref="G3000:G3001"/>
    <mergeCell ref="H3000:H3001"/>
    <mergeCell ref="I3000:I3001"/>
    <mergeCell ref="J3000:J3001"/>
    <mergeCell ref="K3000:K3001"/>
    <mergeCell ref="M3000:M3001"/>
    <mergeCell ref="N2987:N2989"/>
    <mergeCell ref="O2987:O2989"/>
    <mergeCell ref="P2987:P2989"/>
    <mergeCell ref="Q2987:Q2989"/>
    <mergeCell ref="A3000:A3001"/>
    <mergeCell ref="B3000:B3001"/>
    <mergeCell ref="C3000:C3001"/>
    <mergeCell ref="D3000:D3001"/>
    <mergeCell ref="E3000:E3001"/>
    <mergeCell ref="F3000:F3001"/>
    <mergeCell ref="G2987:G2989"/>
    <mergeCell ref="H2987:H2989"/>
    <mergeCell ref="I2987:I2989"/>
    <mergeCell ref="J2987:J2989"/>
    <mergeCell ref="K2987:K2989"/>
    <mergeCell ref="M2987:M2989"/>
    <mergeCell ref="N2967:N2969"/>
    <mergeCell ref="O2967:O2969"/>
    <mergeCell ref="P2967:P2969"/>
    <mergeCell ref="Q2967:Q2969"/>
    <mergeCell ref="A2987:A2989"/>
    <mergeCell ref="B2987:B2989"/>
    <mergeCell ref="C2987:C2989"/>
    <mergeCell ref="D2987:D2989"/>
    <mergeCell ref="E2987:E2989"/>
    <mergeCell ref="F2987:F2989"/>
    <mergeCell ref="G2967:G2969"/>
    <mergeCell ref="H2967:H2969"/>
    <mergeCell ref="I2967:I2969"/>
    <mergeCell ref="J2967:J2969"/>
    <mergeCell ref="K2967:K2969"/>
    <mergeCell ref="M2967:M2969"/>
    <mergeCell ref="N2964:N2966"/>
    <mergeCell ref="O2964:O2966"/>
    <mergeCell ref="P2964:P2966"/>
    <mergeCell ref="Q2964:Q2966"/>
    <mergeCell ref="A2967:A2969"/>
    <mergeCell ref="B2967:B2969"/>
    <mergeCell ref="C2967:C2969"/>
    <mergeCell ref="D2967:D2969"/>
    <mergeCell ref="E2967:E2969"/>
    <mergeCell ref="F2967:F2969"/>
    <mergeCell ref="G2964:G2966"/>
    <mergeCell ref="H2964:H2966"/>
    <mergeCell ref="I2964:I2966"/>
    <mergeCell ref="J2964:J2966"/>
    <mergeCell ref="K2964:K2966"/>
    <mergeCell ref="M2964:M2966"/>
    <mergeCell ref="N2957:N2959"/>
    <mergeCell ref="O2957:O2959"/>
    <mergeCell ref="P2957:P2959"/>
    <mergeCell ref="Q2957:Q2959"/>
    <mergeCell ref="A2964:A2966"/>
    <mergeCell ref="B2964:B2966"/>
    <mergeCell ref="C2964:C2966"/>
    <mergeCell ref="D2964:D2966"/>
    <mergeCell ref="E2964:E2966"/>
    <mergeCell ref="F2964:F2966"/>
    <mergeCell ref="G2957:G2959"/>
    <mergeCell ref="H2957:H2959"/>
    <mergeCell ref="I2957:I2959"/>
    <mergeCell ref="J2957:J2959"/>
    <mergeCell ref="K2957:K2959"/>
    <mergeCell ref="M2957:M2959"/>
    <mergeCell ref="N2945:N2947"/>
    <mergeCell ref="O2945:O2947"/>
    <mergeCell ref="P2945:P2947"/>
    <mergeCell ref="Q2945:Q2947"/>
    <mergeCell ref="A2957:A2959"/>
    <mergeCell ref="B2957:B2959"/>
    <mergeCell ref="C2957:C2959"/>
    <mergeCell ref="D2957:D2959"/>
    <mergeCell ref="E2957:E2959"/>
    <mergeCell ref="F2957:F2959"/>
    <mergeCell ref="G2945:G2947"/>
    <mergeCell ref="H2945:H2947"/>
    <mergeCell ref="I2945:I2947"/>
    <mergeCell ref="J2945:J2947"/>
    <mergeCell ref="K2945:K2947"/>
    <mergeCell ref="M2945:M2947"/>
    <mergeCell ref="N2933:N2935"/>
    <mergeCell ref="O2933:O2935"/>
    <mergeCell ref="P2933:P2935"/>
    <mergeCell ref="Q2933:Q2935"/>
    <mergeCell ref="A2945:A2947"/>
    <mergeCell ref="B2945:B2947"/>
    <mergeCell ref="C2945:C2947"/>
    <mergeCell ref="D2945:D2947"/>
    <mergeCell ref="E2945:E2947"/>
    <mergeCell ref="F2945:F2947"/>
    <mergeCell ref="G2933:G2935"/>
    <mergeCell ref="H2933:H2935"/>
    <mergeCell ref="I2933:I2935"/>
    <mergeCell ref="J2933:J2935"/>
    <mergeCell ref="K2933:K2935"/>
    <mergeCell ref="M2933:M2935"/>
    <mergeCell ref="N2908:N2910"/>
    <mergeCell ref="O2908:O2910"/>
    <mergeCell ref="P2908:P2910"/>
    <mergeCell ref="Q2908:Q2910"/>
    <mergeCell ref="A2933:A2935"/>
    <mergeCell ref="B2933:B2935"/>
    <mergeCell ref="C2933:C2935"/>
    <mergeCell ref="D2933:D2935"/>
    <mergeCell ref="E2933:E2935"/>
    <mergeCell ref="F2933:F2935"/>
    <mergeCell ref="G2908:G2910"/>
    <mergeCell ref="H2908:H2910"/>
    <mergeCell ref="I2908:I2910"/>
    <mergeCell ref="J2908:J2910"/>
    <mergeCell ref="K2908:K2910"/>
    <mergeCell ref="M2908:M2910"/>
    <mergeCell ref="N2894:N2896"/>
    <mergeCell ref="O2894:O2896"/>
    <mergeCell ref="P2894:P2896"/>
    <mergeCell ref="Q2894:Q2896"/>
    <mergeCell ref="A2908:A2910"/>
    <mergeCell ref="B2908:B2910"/>
    <mergeCell ref="C2908:C2910"/>
    <mergeCell ref="D2908:D2910"/>
    <mergeCell ref="E2908:E2910"/>
    <mergeCell ref="F2908:F2910"/>
    <mergeCell ref="G2894:G2896"/>
    <mergeCell ref="H2894:H2896"/>
    <mergeCell ref="I2894:I2896"/>
    <mergeCell ref="J2894:J2896"/>
    <mergeCell ref="K2894:K2896"/>
    <mergeCell ref="M2894:M2896"/>
    <mergeCell ref="N2878:N2880"/>
    <mergeCell ref="O2878:O2880"/>
    <mergeCell ref="P2878:P2880"/>
    <mergeCell ref="Q2878:Q2880"/>
    <mergeCell ref="A2894:A2896"/>
    <mergeCell ref="B2894:B2896"/>
    <mergeCell ref="C2894:C2896"/>
    <mergeCell ref="D2894:D2896"/>
    <mergeCell ref="E2894:E2896"/>
    <mergeCell ref="F2894:F2896"/>
    <mergeCell ref="G2878:G2880"/>
    <mergeCell ref="H2878:H2880"/>
    <mergeCell ref="I2878:I2880"/>
    <mergeCell ref="J2878:J2880"/>
    <mergeCell ref="K2878:K2880"/>
    <mergeCell ref="M2878:M2880"/>
    <mergeCell ref="N2875:N2877"/>
    <mergeCell ref="O2875:O2877"/>
    <mergeCell ref="P2875:P2877"/>
    <mergeCell ref="Q2875:Q2877"/>
    <mergeCell ref="A2878:A2880"/>
    <mergeCell ref="B2878:B2880"/>
    <mergeCell ref="C2878:C2880"/>
    <mergeCell ref="D2878:D2880"/>
    <mergeCell ref="E2878:E2880"/>
    <mergeCell ref="F2878:F2880"/>
    <mergeCell ref="G2875:G2877"/>
    <mergeCell ref="H2875:H2877"/>
    <mergeCell ref="I2875:I2877"/>
    <mergeCell ref="J2875:J2877"/>
    <mergeCell ref="K2875:K2877"/>
    <mergeCell ref="M2875:M2877"/>
    <mergeCell ref="N2852:N2854"/>
    <mergeCell ref="O2852:O2854"/>
    <mergeCell ref="P2852:P2854"/>
    <mergeCell ref="Q2852:Q2854"/>
    <mergeCell ref="A2875:A2877"/>
    <mergeCell ref="B2875:B2877"/>
    <mergeCell ref="C2875:C2877"/>
    <mergeCell ref="D2875:D2877"/>
    <mergeCell ref="E2875:E2877"/>
    <mergeCell ref="F2875:F2877"/>
    <mergeCell ref="G2852:G2854"/>
    <mergeCell ref="H2852:H2854"/>
    <mergeCell ref="I2852:I2854"/>
    <mergeCell ref="J2852:J2854"/>
    <mergeCell ref="K2852:K2854"/>
    <mergeCell ref="M2852:M2854"/>
    <mergeCell ref="N2822:N2824"/>
    <mergeCell ref="O2822:O2824"/>
    <mergeCell ref="P2822:P2824"/>
    <mergeCell ref="Q2822:Q2824"/>
    <mergeCell ref="A2852:A2854"/>
    <mergeCell ref="B2852:B2854"/>
    <mergeCell ref="C2852:C2854"/>
    <mergeCell ref="D2852:D2854"/>
    <mergeCell ref="E2852:E2854"/>
    <mergeCell ref="F2852:F2854"/>
    <mergeCell ref="G2822:G2824"/>
    <mergeCell ref="H2822:H2824"/>
    <mergeCell ref="I2822:I2824"/>
    <mergeCell ref="J2822:J2824"/>
    <mergeCell ref="K2822:K2824"/>
    <mergeCell ref="M2822:M2824"/>
    <mergeCell ref="N2798:N2802"/>
    <mergeCell ref="O2798:O2802"/>
    <mergeCell ref="P2798:P2802"/>
    <mergeCell ref="Q2798:Q2802"/>
    <mergeCell ref="A2822:A2824"/>
    <mergeCell ref="B2822:B2824"/>
    <mergeCell ref="C2822:C2824"/>
    <mergeCell ref="D2822:D2824"/>
    <mergeCell ref="E2822:E2824"/>
    <mergeCell ref="F2822:F2824"/>
    <mergeCell ref="G2798:G2802"/>
    <mergeCell ref="H2798:H2802"/>
    <mergeCell ref="I2798:I2802"/>
    <mergeCell ref="J2798:J2802"/>
    <mergeCell ref="K2798:K2802"/>
    <mergeCell ref="M2798:M2802"/>
    <mergeCell ref="N2793:N2797"/>
    <mergeCell ref="O2793:O2797"/>
    <mergeCell ref="P2793:P2797"/>
    <mergeCell ref="Q2793:Q2797"/>
    <mergeCell ref="A2798:A2802"/>
    <mergeCell ref="B2798:B2802"/>
    <mergeCell ref="C2798:C2802"/>
    <mergeCell ref="D2798:D2802"/>
    <mergeCell ref="E2798:E2802"/>
    <mergeCell ref="F2798:F2802"/>
    <mergeCell ref="G2793:G2797"/>
    <mergeCell ref="H2793:H2797"/>
    <mergeCell ref="I2793:I2797"/>
    <mergeCell ref="J2793:J2797"/>
    <mergeCell ref="K2793:K2797"/>
    <mergeCell ref="M2793:M2797"/>
    <mergeCell ref="N2788:N2792"/>
    <mergeCell ref="O2788:O2792"/>
    <mergeCell ref="P2788:P2792"/>
    <mergeCell ref="Q2788:Q2792"/>
    <mergeCell ref="A2793:A2797"/>
    <mergeCell ref="B2793:B2797"/>
    <mergeCell ref="C2793:C2797"/>
    <mergeCell ref="D2793:D2797"/>
    <mergeCell ref="E2793:E2797"/>
    <mergeCell ref="F2793:F2797"/>
    <mergeCell ref="G2788:G2792"/>
    <mergeCell ref="H2788:H2792"/>
    <mergeCell ref="I2788:I2792"/>
    <mergeCell ref="J2788:J2792"/>
    <mergeCell ref="K2788:K2792"/>
    <mergeCell ref="M2788:M2792"/>
    <mergeCell ref="N2783:N2787"/>
    <mergeCell ref="O2783:O2787"/>
    <mergeCell ref="P2783:P2787"/>
    <mergeCell ref="Q2783:Q2787"/>
    <mergeCell ref="A2788:A2792"/>
    <mergeCell ref="B2788:B2792"/>
    <mergeCell ref="C2788:C2792"/>
    <mergeCell ref="D2788:D2792"/>
    <mergeCell ref="E2788:E2792"/>
    <mergeCell ref="F2788:F2792"/>
    <mergeCell ref="G2783:G2787"/>
    <mergeCell ref="H2783:H2787"/>
    <mergeCell ref="I2783:I2787"/>
    <mergeCell ref="J2783:J2787"/>
    <mergeCell ref="K2783:K2787"/>
    <mergeCell ref="M2783:M2787"/>
    <mergeCell ref="N2778:N2782"/>
    <mergeCell ref="O2778:O2782"/>
    <mergeCell ref="P2778:P2782"/>
    <mergeCell ref="Q2778:Q2782"/>
    <mergeCell ref="A2783:A2787"/>
    <mergeCell ref="B2783:B2787"/>
    <mergeCell ref="C2783:C2787"/>
    <mergeCell ref="D2783:D2787"/>
    <mergeCell ref="E2783:E2787"/>
    <mergeCell ref="F2783:F2787"/>
    <mergeCell ref="G2778:G2782"/>
    <mergeCell ref="H2778:H2782"/>
    <mergeCell ref="I2778:I2782"/>
    <mergeCell ref="J2778:J2782"/>
    <mergeCell ref="K2778:K2782"/>
    <mergeCell ref="M2778:M2782"/>
    <mergeCell ref="N2773:N2777"/>
    <mergeCell ref="O2773:O2777"/>
    <mergeCell ref="P2773:P2777"/>
    <mergeCell ref="Q2773:Q2777"/>
    <mergeCell ref="A2778:A2782"/>
    <mergeCell ref="B2778:B2782"/>
    <mergeCell ref="C2778:C2782"/>
    <mergeCell ref="D2778:D2782"/>
    <mergeCell ref="E2778:E2782"/>
    <mergeCell ref="F2778:F2782"/>
    <mergeCell ref="G2773:G2777"/>
    <mergeCell ref="H2773:H2777"/>
    <mergeCell ref="I2773:I2777"/>
    <mergeCell ref="J2773:J2777"/>
    <mergeCell ref="K2773:K2777"/>
    <mergeCell ref="M2773:M2777"/>
    <mergeCell ref="N2752:N2754"/>
    <mergeCell ref="O2752:O2754"/>
    <mergeCell ref="P2752:P2754"/>
    <mergeCell ref="Q2752:Q2754"/>
    <mergeCell ref="A2773:A2777"/>
    <mergeCell ref="B2773:B2777"/>
    <mergeCell ref="C2773:C2777"/>
    <mergeCell ref="D2773:D2777"/>
    <mergeCell ref="E2773:E2777"/>
    <mergeCell ref="F2773:F2777"/>
    <mergeCell ref="G2752:G2754"/>
    <mergeCell ref="H2752:H2754"/>
    <mergeCell ref="I2752:I2754"/>
    <mergeCell ref="J2752:J2754"/>
    <mergeCell ref="K2752:K2754"/>
    <mergeCell ref="M2752:M2754"/>
    <mergeCell ref="N2748:N2750"/>
    <mergeCell ref="O2748:O2750"/>
    <mergeCell ref="P2748:P2750"/>
    <mergeCell ref="Q2748:Q2750"/>
    <mergeCell ref="A2752:A2754"/>
    <mergeCell ref="B2752:B2754"/>
    <mergeCell ref="C2752:C2754"/>
    <mergeCell ref="D2752:D2754"/>
    <mergeCell ref="E2752:E2754"/>
    <mergeCell ref="F2752:F2754"/>
    <mergeCell ref="G2748:G2750"/>
    <mergeCell ref="H2748:H2750"/>
    <mergeCell ref="I2748:I2750"/>
    <mergeCell ref="J2748:J2750"/>
    <mergeCell ref="K2748:K2750"/>
    <mergeCell ref="M2748:M2750"/>
    <mergeCell ref="N2740:N2741"/>
    <mergeCell ref="O2740:O2741"/>
    <mergeCell ref="P2740:P2741"/>
    <mergeCell ref="Q2740:Q2741"/>
    <mergeCell ref="A2748:A2750"/>
    <mergeCell ref="B2748:B2750"/>
    <mergeCell ref="C2748:C2750"/>
    <mergeCell ref="D2748:D2750"/>
    <mergeCell ref="E2748:E2750"/>
    <mergeCell ref="F2748:F2750"/>
    <mergeCell ref="G2740:G2741"/>
    <mergeCell ref="H2740:H2741"/>
    <mergeCell ref="I2740:I2741"/>
    <mergeCell ref="J2740:J2741"/>
    <mergeCell ref="K2740:K2741"/>
    <mergeCell ref="M2740:M2741"/>
    <mergeCell ref="N2738:N2739"/>
    <mergeCell ref="O2738:O2739"/>
    <mergeCell ref="P2738:P2739"/>
    <mergeCell ref="Q2738:Q2739"/>
    <mergeCell ref="A2740:A2741"/>
    <mergeCell ref="B2740:B2741"/>
    <mergeCell ref="C2740:C2741"/>
    <mergeCell ref="D2740:D2741"/>
    <mergeCell ref="E2740:E2741"/>
    <mergeCell ref="F2740:F2741"/>
    <mergeCell ref="G2738:G2739"/>
    <mergeCell ref="H2738:H2739"/>
    <mergeCell ref="I2738:I2739"/>
    <mergeCell ref="J2738:J2739"/>
    <mergeCell ref="K2738:K2739"/>
    <mergeCell ref="M2738:M2739"/>
    <mergeCell ref="N2736:N2737"/>
    <mergeCell ref="O2736:O2737"/>
    <mergeCell ref="P2736:P2737"/>
    <mergeCell ref="Q2736:Q2737"/>
    <mergeCell ref="A2738:A2739"/>
    <mergeCell ref="B2738:B2739"/>
    <mergeCell ref="C2738:C2739"/>
    <mergeCell ref="D2738:D2739"/>
    <mergeCell ref="E2738:E2739"/>
    <mergeCell ref="F2738:F2739"/>
    <mergeCell ref="G2736:G2737"/>
    <mergeCell ref="H2736:H2737"/>
    <mergeCell ref="I2736:I2737"/>
    <mergeCell ref="J2736:J2737"/>
    <mergeCell ref="K2736:K2737"/>
    <mergeCell ref="M2736:M2737"/>
    <mergeCell ref="N2711:N2712"/>
    <mergeCell ref="O2711:O2712"/>
    <mergeCell ref="P2711:P2712"/>
    <mergeCell ref="Q2711:Q2712"/>
    <mergeCell ref="A2736:A2737"/>
    <mergeCell ref="B2736:B2737"/>
    <mergeCell ref="C2736:C2737"/>
    <mergeCell ref="D2736:D2737"/>
    <mergeCell ref="E2736:E2737"/>
    <mergeCell ref="F2736:F2737"/>
    <mergeCell ref="G2711:G2712"/>
    <mergeCell ref="H2711:H2712"/>
    <mergeCell ref="I2711:I2712"/>
    <mergeCell ref="J2711:J2712"/>
    <mergeCell ref="K2711:K2712"/>
    <mergeCell ref="M2711:M2712"/>
    <mergeCell ref="N2709:N2710"/>
    <mergeCell ref="O2709:O2710"/>
    <mergeCell ref="P2709:P2710"/>
    <mergeCell ref="Q2709:Q2710"/>
    <mergeCell ref="A2711:A2712"/>
    <mergeCell ref="B2711:B2712"/>
    <mergeCell ref="C2711:C2712"/>
    <mergeCell ref="D2711:D2712"/>
    <mergeCell ref="E2711:E2712"/>
    <mergeCell ref="F2711:F2712"/>
    <mergeCell ref="G2709:G2710"/>
    <mergeCell ref="H2709:H2710"/>
    <mergeCell ref="I2709:I2710"/>
    <mergeCell ref="J2709:J2710"/>
    <mergeCell ref="K2709:K2710"/>
    <mergeCell ref="M2709:M2710"/>
    <mergeCell ref="N2707:N2708"/>
    <mergeCell ref="O2707:O2708"/>
    <mergeCell ref="P2707:P2708"/>
    <mergeCell ref="Q2707:Q2708"/>
    <mergeCell ref="A2709:A2710"/>
    <mergeCell ref="B2709:B2710"/>
    <mergeCell ref="C2709:C2710"/>
    <mergeCell ref="D2709:D2710"/>
    <mergeCell ref="E2709:E2710"/>
    <mergeCell ref="F2709:F2710"/>
    <mergeCell ref="G2707:G2708"/>
    <mergeCell ref="H2707:H2708"/>
    <mergeCell ref="I2707:I2708"/>
    <mergeCell ref="J2707:J2708"/>
    <mergeCell ref="K2707:K2708"/>
    <mergeCell ref="M2707:M2708"/>
    <mergeCell ref="N2684:N2686"/>
    <mergeCell ref="O2684:O2686"/>
    <mergeCell ref="P2684:P2686"/>
    <mergeCell ref="Q2684:Q2686"/>
    <mergeCell ref="A2707:A2708"/>
    <mergeCell ref="B2707:B2708"/>
    <mergeCell ref="C2707:C2708"/>
    <mergeCell ref="D2707:D2708"/>
    <mergeCell ref="E2707:E2708"/>
    <mergeCell ref="F2707:F2708"/>
    <mergeCell ref="G2684:G2686"/>
    <mergeCell ref="H2684:H2686"/>
    <mergeCell ref="I2684:I2686"/>
    <mergeCell ref="J2684:J2686"/>
    <mergeCell ref="K2684:K2686"/>
    <mergeCell ref="M2684:M2686"/>
    <mergeCell ref="N2654:N2655"/>
    <mergeCell ref="O2654:O2655"/>
    <mergeCell ref="P2654:P2655"/>
    <mergeCell ref="Q2654:Q2655"/>
    <mergeCell ref="A2684:A2686"/>
    <mergeCell ref="B2684:B2686"/>
    <mergeCell ref="C2684:C2686"/>
    <mergeCell ref="D2684:D2686"/>
    <mergeCell ref="E2684:E2686"/>
    <mergeCell ref="F2684:F2686"/>
    <mergeCell ref="G2654:G2655"/>
    <mergeCell ref="H2654:H2655"/>
    <mergeCell ref="I2654:I2655"/>
    <mergeCell ref="J2654:J2655"/>
    <mergeCell ref="K2654:K2655"/>
    <mergeCell ref="M2654:M2655"/>
    <mergeCell ref="N2631:N2633"/>
    <mergeCell ref="O2631:O2633"/>
    <mergeCell ref="P2631:P2633"/>
    <mergeCell ref="Q2631:Q2633"/>
    <mergeCell ref="A2654:A2655"/>
    <mergeCell ref="B2654:B2655"/>
    <mergeCell ref="C2654:C2655"/>
    <mergeCell ref="D2654:D2655"/>
    <mergeCell ref="E2654:E2655"/>
    <mergeCell ref="F2654:F2655"/>
    <mergeCell ref="G2631:G2633"/>
    <mergeCell ref="H2631:H2633"/>
    <mergeCell ref="I2631:I2633"/>
    <mergeCell ref="J2631:J2633"/>
    <mergeCell ref="K2631:K2633"/>
    <mergeCell ref="M2631:M2633"/>
    <mergeCell ref="N2611:N2613"/>
    <mergeCell ref="O2611:O2613"/>
    <mergeCell ref="P2611:P2613"/>
    <mergeCell ref="Q2611:Q2613"/>
    <mergeCell ref="A2631:A2633"/>
    <mergeCell ref="B2631:B2633"/>
    <mergeCell ref="C2631:C2633"/>
    <mergeCell ref="D2631:D2633"/>
    <mergeCell ref="E2631:E2633"/>
    <mergeCell ref="F2631:F2633"/>
    <mergeCell ref="G2611:G2613"/>
    <mergeCell ref="H2611:H2613"/>
    <mergeCell ref="I2611:I2613"/>
    <mergeCell ref="J2611:J2613"/>
    <mergeCell ref="K2611:K2613"/>
    <mergeCell ref="M2611:M2613"/>
    <mergeCell ref="N2606:N2608"/>
    <mergeCell ref="O2606:O2608"/>
    <mergeCell ref="P2606:P2608"/>
    <mergeCell ref="Q2606:Q2608"/>
    <mergeCell ref="A2611:A2613"/>
    <mergeCell ref="B2611:B2613"/>
    <mergeCell ref="C2611:C2613"/>
    <mergeCell ref="D2611:D2613"/>
    <mergeCell ref="E2611:E2613"/>
    <mergeCell ref="F2611:F2613"/>
    <mergeCell ref="G2606:G2608"/>
    <mergeCell ref="H2606:H2608"/>
    <mergeCell ref="I2606:I2608"/>
    <mergeCell ref="J2606:J2608"/>
    <mergeCell ref="K2606:K2608"/>
    <mergeCell ref="M2606:M2608"/>
    <mergeCell ref="N2598:N2599"/>
    <mergeCell ref="O2598:O2599"/>
    <mergeCell ref="P2598:P2599"/>
    <mergeCell ref="Q2598:Q2599"/>
    <mergeCell ref="A2606:A2608"/>
    <mergeCell ref="B2606:B2608"/>
    <mergeCell ref="C2606:C2608"/>
    <mergeCell ref="D2606:D2608"/>
    <mergeCell ref="E2606:E2608"/>
    <mergeCell ref="F2606:F2608"/>
    <mergeCell ref="G2598:G2599"/>
    <mergeCell ref="H2598:H2599"/>
    <mergeCell ref="I2598:I2599"/>
    <mergeCell ref="J2598:J2599"/>
    <mergeCell ref="K2598:K2599"/>
    <mergeCell ref="M2598:M2599"/>
    <mergeCell ref="N2596:N2597"/>
    <mergeCell ref="O2596:O2597"/>
    <mergeCell ref="P2596:P2597"/>
    <mergeCell ref="Q2596:Q2597"/>
    <mergeCell ref="A2598:A2599"/>
    <mergeCell ref="B2598:B2599"/>
    <mergeCell ref="C2598:C2599"/>
    <mergeCell ref="D2598:D2599"/>
    <mergeCell ref="E2598:E2599"/>
    <mergeCell ref="F2598:F2599"/>
    <mergeCell ref="G2596:G2597"/>
    <mergeCell ref="H2596:H2597"/>
    <mergeCell ref="I2596:I2597"/>
    <mergeCell ref="J2596:J2597"/>
    <mergeCell ref="K2596:K2597"/>
    <mergeCell ref="M2596:M2597"/>
    <mergeCell ref="N2594:N2595"/>
    <mergeCell ref="O2594:O2595"/>
    <mergeCell ref="P2594:P2595"/>
    <mergeCell ref="Q2594:Q2595"/>
    <mergeCell ref="A2596:A2597"/>
    <mergeCell ref="B2596:B2597"/>
    <mergeCell ref="C2596:C2597"/>
    <mergeCell ref="D2596:D2597"/>
    <mergeCell ref="E2596:E2597"/>
    <mergeCell ref="F2596:F2597"/>
    <mergeCell ref="G2594:G2595"/>
    <mergeCell ref="H2594:H2595"/>
    <mergeCell ref="I2594:I2595"/>
    <mergeCell ref="J2594:J2595"/>
    <mergeCell ref="K2594:K2595"/>
    <mergeCell ref="M2594:M2595"/>
    <mergeCell ref="N2587:N2588"/>
    <mergeCell ref="O2587:O2588"/>
    <mergeCell ref="P2587:P2588"/>
    <mergeCell ref="Q2587:Q2588"/>
    <mergeCell ref="A2594:A2595"/>
    <mergeCell ref="B2594:B2595"/>
    <mergeCell ref="C2594:C2595"/>
    <mergeCell ref="D2594:D2595"/>
    <mergeCell ref="E2594:E2595"/>
    <mergeCell ref="F2594:F2595"/>
    <mergeCell ref="G2587:G2588"/>
    <mergeCell ref="H2587:H2588"/>
    <mergeCell ref="I2587:I2588"/>
    <mergeCell ref="J2587:J2588"/>
    <mergeCell ref="K2587:K2588"/>
    <mergeCell ref="M2587:M2588"/>
    <mergeCell ref="N2558:N2562"/>
    <mergeCell ref="O2558:O2562"/>
    <mergeCell ref="P2558:P2562"/>
    <mergeCell ref="Q2558:Q2562"/>
    <mergeCell ref="A2587:A2588"/>
    <mergeCell ref="B2587:B2588"/>
    <mergeCell ref="C2587:C2588"/>
    <mergeCell ref="D2587:D2588"/>
    <mergeCell ref="E2587:E2588"/>
    <mergeCell ref="F2587:F2588"/>
    <mergeCell ref="G2558:G2562"/>
    <mergeCell ref="H2558:H2562"/>
    <mergeCell ref="I2558:I2562"/>
    <mergeCell ref="J2558:J2562"/>
    <mergeCell ref="K2558:K2562"/>
    <mergeCell ref="M2558:M2562"/>
    <mergeCell ref="N2553:N2557"/>
    <mergeCell ref="O2553:O2557"/>
    <mergeCell ref="P2553:P2557"/>
    <mergeCell ref="Q2553:Q2557"/>
    <mergeCell ref="A2558:A2562"/>
    <mergeCell ref="B2558:B2562"/>
    <mergeCell ref="C2558:C2562"/>
    <mergeCell ref="D2558:D2562"/>
    <mergeCell ref="E2558:E2562"/>
    <mergeCell ref="F2558:F2562"/>
    <mergeCell ref="G2553:G2557"/>
    <mergeCell ref="H2553:H2557"/>
    <mergeCell ref="I2553:I2557"/>
    <mergeCell ref="J2553:J2557"/>
    <mergeCell ref="K2553:K2557"/>
    <mergeCell ref="M2553:M2557"/>
    <mergeCell ref="N2548:N2552"/>
    <mergeCell ref="O2548:O2552"/>
    <mergeCell ref="P2548:P2552"/>
    <mergeCell ref="Q2548:Q2552"/>
    <mergeCell ref="A2553:A2557"/>
    <mergeCell ref="B2553:B2557"/>
    <mergeCell ref="C2553:C2557"/>
    <mergeCell ref="D2553:D2557"/>
    <mergeCell ref="E2553:E2557"/>
    <mergeCell ref="F2553:F2557"/>
    <mergeCell ref="G2548:G2552"/>
    <mergeCell ref="H2548:H2552"/>
    <mergeCell ref="I2548:I2552"/>
    <mergeCell ref="J2548:J2552"/>
    <mergeCell ref="K2548:K2552"/>
    <mergeCell ref="M2548:M2552"/>
    <mergeCell ref="N2543:N2547"/>
    <mergeCell ref="O2543:O2547"/>
    <mergeCell ref="P2543:P2547"/>
    <mergeCell ref="Q2543:Q2547"/>
    <mergeCell ref="A2548:A2552"/>
    <mergeCell ref="B2548:B2552"/>
    <mergeCell ref="C2548:C2552"/>
    <mergeCell ref="D2548:D2552"/>
    <mergeCell ref="E2548:E2552"/>
    <mergeCell ref="F2548:F2552"/>
    <mergeCell ref="G2543:G2547"/>
    <mergeCell ref="H2543:H2547"/>
    <mergeCell ref="I2543:I2547"/>
    <mergeCell ref="J2543:J2547"/>
    <mergeCell ref="K2543:K2547"/>
    <mergeCell ref="M2543:M2547"/>
    <mergeCell ref="N2538:N2542"/>
    <mergeCell ref="O2538:O2542"/>
    <mergeCell ref="P2538:P2542"/>
    <mergeCell ref="Q2538:Q2542"/>
    <mergeCell ref="A2543:A2547"/>
    <mergeCell ref="B2543:B2547"/>
    <mergeCell ref="C2543:C2547"/>
    <mergeCell ref="D2543:D2547"/>
    <mergeCell ref="E2543:E2547"/>
    <mergeCell ref="F2543:F2547"/>
    <mergeCell ref="G2538:G2542"/>
    <mergeCell ref="H2538:H2542"/>
    <mergeCell ref="I2538:I2542"/>
    <mergeCell ref="J2538:J2542"/>
    <mergeCell ref="K2538:K2542"/>
    <mergeCell ref="M2538:M2542"/>
    <mergeCell ref="N2533:N2537"/>
    <mergeCell ref="O2533:O2537"/>
    <mergeCell ref="P2533:P2537"/>
    <mergeCell ref="Q2533:Q2537"/>
    <mergeCell ref="A2538:A2542"/>
    <mergeCell ref="B2538:B2542"/>
    <mergeCell ref="C2538:C2542"/>
    <mergeCell ref="D2538:D2542"/>
    <mergeCell ref="E2538:E2542"/>
    <mergeCell ref="F2538:F2542"/>
    <mergeCell ref="G2533:G2537"/>
    <mergeCell ref="H2533:H2537"/>
    <mergeCell ref="I2533:I2537"/>
    <mergeCell ref="J2533:J2537"/>
    <mergeCell ref="K2533:K2537"/>
    <mergeCell ref="M2533:M2537"/>
    <mergeCell ref="N2516:N2518"/>
    <mergeCell ref="O2516:O2518"/>
    <mergeCell ref="P2516:P2518"/>
    <mergeCell ref="Q2516:Q2518"/>
    <mergeCell ref="A2533:A2537"/>
    <mergeCell ref="B2533:B2537"/>
    <mergeCell ref="C2533:C2537"/>
    <mergeCell ref="D2533:D2537"/>
    <mergeCell ref="E2533:E2537"/>
    <mergeCell ref="F2533:F2537"/>
    <mergeCell ref="G2516:G2518"/>
    <mergeCell ref="H2516:H2518"/>
    <mergeCell ref="I2516:I2518"/>
    <mergeCell ref="J2516:J2518"/>
    <mergeCell ref="K2516:K2518"/>
    <mergeCell ref="M2516:M2518"/>
    <mergeCell ref="N2513:N2515"/>
    <mergeCell ref="O2513:O2515"/>
    <mergeCell ref="P2513:P2515"/>
    <mergeCell ref="Q2513:Q2515"/>
    <mergeCell ref="A2516:A2518"/>
    <mergeCell ref="B2516:B2518"/>
    <mergeCell ref="C2516:C2518"/>
    <mergeCell ref="D2516:D2518"/>
    <mergeCell ref="E2516:E2518"/>
    <mergeCell ref="F2516:F2518"/>
    <mergeCell ref="G2513:G2515"/>
    <mergeCell ref="H2513:H2515"/>
    <mergeCell ref="I2513:I2515"/>
    <mergeCell ref="J2513:J2515"/>
    <mergeCell ref="K2513:K2515"/>
    <mergeCell ref="M2513:M2515"/>
    <mergeCell ref="N2505:N2506"/>
    <mergeCell ref="O2505:O2506"/>
    <mergeCell ref="P2505:P2506"/>
    <mergeCell ref="Q2505:Q2506"/>
    <mergeCell ref="A2513:A2515"/>
    <mergeCell ref="B2513:B2515"/>
    <mergeCell ref="C2513:C2515"/>
    <mergeCell ref="D2513:D2515"/>
    <mergeCell ref="E2513:E2515"/>
    <mergeCell ref="F2513:F2515"/>
    <mergeCell ref="G2505:G2506"/>
    <mergeCell ref="H2505:H2506"/>
    <mergeCell ref="I2505:I2506"/>
    <mergeCell ref="J2505:J2506"/>
    <mergeCell ref="K2505:K2506"/>
    <mergeCell ref="M2505:M2506"/>
    <mergeCell ref="N2503:N2504"/>
    <mergeCell ref="O2503:O2504"/>
    <mergeCell ref="P2503:P2504"/>
    <mergeCell ref="Q2503:Q2504"/>
    <mergeCell ref="A2505:A2506"/>
    <mergeCell ref="B2505:B2506"/>
    <mergeCell ref="C2505:C2506"/>
    <mergeCell ref="D2505:D2506"/>
    <mergeCell ref="E2505:E2506"/>
    <mergeCell ref="F2505:F2506"/>
    <mergeCell ref="G2503:G2504"/>
    <mergeCell ref="H2503:H2504"/>
    <mergeCell ref="I2503:I2504"/>
    <mergeCell ref="J2503:J2504"/>
    <mergeCell ref="K2503:K2504"/>
    <mergeCell ref="M2503:M2504"/>
    <mergeCell ref="N2501:N2502"/>
    <mergeCell ref="O2501:O2502"/>
    <mergeCell ref="P2501:P2502"/>
    <mergeCell ref="Q2501:Q2502"/>
    <mergeCell ref="A2503:A2504"/>
    <mergeCell ref="B2503:B2504"/>
    <mergeCell ref="C2503:C2504"/>
    <mergeCell ref="D2503:D2504"/>
    <mergeCell ref="E2503:E2504"/>
    <mergeCell ref="F2503:F2504"/>
    <mergeCell ref="G2501:G2502"/>
    <mergeCell ref="H2501:H2502"/>
    <mergeCell ref="I2501:I2502"/>
    <mergeCell ref="J2501:J2502"/>
    <mergeCell ref="K2501:K2502"/>
    <mergeCell ref="M2501:M2502"/>
    <mergeCell ref="N2495:N2497"/>
    <mergeCell ref="O2495:O2497"/>
    <mergeCell ref="P2495:P2497"/>
    <mergeCell ref="Q2495:Q2497"/>
    <mergeCell ref="A2501:A2502"/>
    <mergeCell ref="B2501:B2502"/>
    <mergeCell ref="C2501:C2502"/>
    <mergeCell ref="D2501:D2502"/>
    <mergeCell ref="E2501:E2502"/>
    <mergeCell ref="F2501:F2502"/>
    <mergeCell ref="G2495:G2497"/>
    <mergeCell ref="H2495:H2497"/>
    <mergeCell ref="I2495:I2497"/>
    <mergeCell ref="J2495:J2497"/>
    <mergeCell ref="K2495:K2497"/>
    <mergeCell ref="M2495:M2497"/>
    <mergeCell ref="N2475:N2477"/>
    <mergeCell ref="O2475:O2477"/>
    <mergeCell ref="P2475:P2477"/>
    <mergeCell ref="Q2475:Q2477"/>
    <mergeCell ref="A2495:A2497"/>
    <mergeCell ref="B2495:B2497"/>
    <mergeCell ref="C2495:C2497"/>
    <mergeCell ref="D2495:D2497"/>
    <mergeCell ref="E2495:E2497"/>
    <mergeCell ref="F2495:F2497"/>
    <mergeCell ref="G2475:G2477"/>
    <mergeCell ref="H2475:H2477"/>
    <mergeCell ref="I2475:I2477"/>
    <mergeCell ref="J2475:J2477"/>
    <mergeCell ref="K2475:K2477"/>
    <mergeCell ref="M2475:M2477"/>
    <mergeCell ref="N2472:N2474"/>
    <mergeCell ref="O2472:O2474"/>
    <mergeCell ref="P2472:P2474"/>
    <mergeCell ref="Q2472:Q2474"/>
    <mergeCell ref="A2475:A2477"/>
    <mergeCell ref="B2475:B2477"/>
    <mergeCell ref="C2475:C2477"/>
    <mergeCell ref="D2475:D2477"/>
    <mergeCell ref="E2475:E2477"/>
    <mergeCell ref="F2475:F2477"/>
    <mergeCell ref="G2472:G2474"/>
    <mergeCell ref="H2472:H2474"/>
    <mergeCell ref="I2472:I2474"/>
    <mergeCell ref="J2472:J2474"/>
    <mergeCell ref="K2472:K2474"/>
    <mergeCell ref="M2472:M2474"/>
    <mergeCell ref="N2466:N2468"/>
    <mergeCell ref="O2466:O2468"/>
    <mergeCell ref="P2466:P2468"/>
    <mergeCell ref="Q2466:Q2468"/>
    <mergeCell ref="A2472:A2474"/>
    <mergeCell ref="B2472:B2474"/>
    <mergeCell ref="C2472:C2474"/>
    <mergeCell ref="D2472:D2474"/>
    <mergeCell ref="E2472:E2474"/>
    <mergeCell ref="F2472:F2474"/>
    <mergeCell ref="G2466:G2468"/>
    <mergeCell ref="H2466:H2468"/>
    <mergeCell ref="I2466:I2468"/>
    <mergeCell ref="J2466:J2468"/>
    <mergeCell ref="K2466:K2468"/>
    <mergeCell ref="M2466:M2468"/>
    <mergeCell ref="N2455:N2457"/>
    <mergeCell ref="O2455:O2457"/>
    <mergeCell ref="P2455:P2457"/>
    <mergeCell ref="Q2455:Q2457"/>
    <mergeCell ref="A2466:A2468"/>
    <mergeCell ref="B2466:B2468"/>
    <mergeCell ref="C2466:C2468"/>
    <mergeCell ref="D2466:D2468"/>
    <mergeCell ref="E2466:E2468"/>
    <mergeCell ref="F2466:F2468"/>
    <mergeCell ref="G2455:G2457"/>
    <mergeCell ref="H2455:H2457"/>
    <mergeCell ref="I2455:I2457"/>
    <mergeCell ref="J2455:J2457"/>
    <mergeCell ref="K2455:K2457"/>
    <mergeCell ref="M2455:M2457"/>
    <mergeCell ref="N2421:N2423"/>
    <mergeCell ref="O2421:O2423"/>
    <mergeCell ref="P2421:P2423"/>
    <mergeCell ref="Q2421:Q2423"/>
    <mergeCell ref="A2455:A2457"/>
    <mergeCell ref="B2455:B2457"/>
    <mergeCell ref="C2455:C2457"/>
    <mergeCell ref="D2455:D2457"/>
    <mergeCell ref="E2455:E2457"/>
    <mergeCell ref="F2455:F2457"/>
    <mergeCell ref="G2421:G2423"/>
    <mergeCell ref="H2421:H2423"/>
    <mergeCell ref="I2421:I2423"/>
    <mergeCell ref="J2421:J2423"/>
    <mergeCell ref="K2421:K2423"/>
    <mergeCell ref="M2421:M2423"/>
    <mergeCell ref="N2415:N2417"/>
    <mergeCell ref="O2415:O2417"/>
    <mergeCell ref="P2415:P2417"/>
    <mergeCell ref="Q2415:Q2417"/>
    <mergeCell ref="A2421:A2423"/>
    <mergeCell ref="B2421:B2423"/>
    <mergeCell ref="C2421:C2423"/>
    <mergeCell ref="D2421:D2423"/>
    <mergeCell ref="E2421:E2423"/>
    <mergeCell ref="F2421:F2423"/>
    <mergeCell ref="G2415:G2417"/>
    <mergeCell ref="H2415:H2417"/>
    <mergeCell ref="I2415:I2417"/>
    <mergeCell ref="J2415:J2417"/>
    <mergeCell ref="K2415:K2417"/>
    <mergeCell ref="M2415:M2417"/>
    <mergeCell ref="N2411:N2413"/>
    <mergeCell ref="O2411:O2413"/>
    <mergeCell ref="P2411:P2413"/>
    <mergeCell ref="Q2411:Q2413"/>
    <mergeCell ref="A2415:A2417"/>
    <mergeCell ref="B2415:B2417"/>
    <mergeCell ref="C2415:C2417"/>
    <mergeCell ref="D2415:D2417"/>
    <mergeCell ref="E2415:E2417"/>
    <mergeCell ref="F2415:F2417"/>
    <mergeCell ref="G2411:G2413"/>
    <mergeCell ref="H2411:H2413"/>
    <mergeCell ref="I2411:I2413"/>
    <mergeCell ref="J2411:J2413"/>
    <mergeCell ref="K2411:K2413"/>
    <mergeCell ref="M2411:M2413"/>
    <mergeCell ref="N2391:N2399"/>
    <mergeCell ref="O2391:O2399"/>
    <mergeCell ref="P2391:P2399"/>
    <mergeCell ref="Q2391:Q2399"/>
    <mergeCell ref="A2411:A2413"/>
    <mergeCell ref="B2411:B2413"/>
    <mergeCell ref="C2411:C2413"/>
    <mergeCell ref="D2411:D2413"/>
    <mergeCell ref="E2411:E2413"/>
    <mergeCell ref="F2411:F2413"/>
    <mergeCell ref="G2391:G2399"/>
    <mergeCell ref="H2391:H2399"/>
    <mergeCell ref="I2391:I2399"/>
    <mergeCell ref="J2391:J2399"/>
    <mergeCell ref="K2391:K2399"/>
    <mergeCell ref="M2391:M2399"/>
    <mergeCell ref="N2378:N2379"/>
    <mergeCell ref="O2378:O2379"/>
    <mergeCell ref="P2378:P2379"/>
    <mergeCell ref="Q2378:Q2379"/>
    <mergeCell ref="A2391:A2399"/>
    <mergeCell ref="B2391:B2399"/>
    <mergeCell ref="C2391:C2399"/>
    <mergeCell ref="D2391:D2399"/>
    <mergeCell ref="E2391:E2399"/>
    <mergeCell ref="F2391:F2399"/>
    <mergeCell ref="G2378:G2379"/>
    <mergeCell ref="H2378:H2379"/>
    <mergeCell ref="I2378:I2379"/>
    <mergeCell ref="J2378:J2379"/>
    <mergeCell ref="K2378:K2379"/>
    <mergeCell ref="M2378:M2379"/>
    <mergeCell ref="N2376:N2377"/>
    <mergeCell ref="O2376:O2377"/>
    <mergeCell ref="P2376:P2377"/>
    <mergeCell ref="Q2376:Q2377"/>
    <mergeCell ref="A2378:A2379"/>
    <mergeCell ref="B2378:B2379"/>
    <mergeCell ref="C2378:C2379"/>
    <mergeCell ref="D2378:D2379"/>
    <mergeCell ref="E2378:E2379"/>
    <mergeCell ref="F2378:F2379"/>
    <mergeCell ref="G2376:G2377"/>
    <mergeCell ref="H2376:H2377"/>
    <mergeCell ref="I2376:I2377"/>
    <mergeCell ref="J2376:J2377"/>
    <mergeCell ref="K2376:K2377"/>
    <mergeCell ref="M2376:M2377"/>
    <mergeCell ref="N2336:N2338"/>
    <mergeCell ref="O2336:O2338"/>
    <mergeCell ref="P2336:P2338"/>
    <mergeCell ref="Q2336:Q2338"/>
    <mergeCell ref="A2376:A2377"/>
    <mergeCell ref="B2376:B2377"/>
    <mergeCell ref="C2376:C2377"/>
    <mergeCell ref="D2376:D2377"/>
    <mergeCell ref="E2376:E2377"/>
    <mergeCell ref="F2376:F2377"/>
    <mergeCell ref="G2336:G2338"/>
    <mergeCell ref="H2336:H2338"/>
    <mergeCell ref="I2336:I2338"/>
    <mergeCell ref="J2336:J2338"/>
    <mergeCell ref="K2336:K2338"/>
    <mergeCell ref="M2336:M2338"/>
    <mergeCell ref="N2295:N2297"/>
    <mergeCell ref="O2295:O2297"/>
    <mergeCell ref="P2295:P2297"/>
    <mergeCell ref="Q2295:Q2297"/>
    <mergeCell ref="A2336:A2338"/>
    <mergeCell ref="B2336:B2338"/>
    <mergeCell ref="C2336:C2338"/>
    <mergeCell ref="D2336:D2338"/>
    <mergeCell ref="E2336:E2338"/>
    <mergeCell ref="F2336:F2338"/>
    <mergeCell ref="G2295:G2297"/>
    <mergeCell ref="H2295:H2297"/>
    <mergeCell ref="I2295:I2297"/>
    <mergeCell ref="J2295:J2297"/>
    <mergeCell ref="K2295:K2297"/>
    <mergeCell ref="M2295:M2297"/>
    <mergeCell ref="N2292:N2294"/>
    <mergeCell ref="O2292:O2294"/>
    <mergeCell ref="P2292:P2294"/>
    <mergeCell ref="Q2292:Q2294"/>
    <mergeCell ref="A2295:A2297"/>
    <mergeCell ref="B2295:B2297"/>
    <mergeCell ref="C2295:C2297"/>
    <mergeCell ref="D2295:D2297"/>
    <mergeCell ref="E2295:E2297"/>
    <mergeCell ref="F2295:F2297"/>
    <mergeCell ref="G2292:G2294"/>
    <mergeCell ref="H2292:H2294"/>
    <mergeCell ref="I2292:I2294"/>
    <mergeCell ref="J2292:J2294"/>
    <mergeCell ref="K2292:K2294"/>
    <mergeCell ref="M2292:M2294"/>
    <mergeCell ref="N2268:N2269"/>
    <mergeCell ref="O2268:O2269"/>
    <mergeCell ref="P2268:P2269"/>
    <mergeCell ref="Q2268:Q2269"/>
    <mergeCell ref="A2292:A2294"/>
    <mergeCell ref="B2292:B2294"/>
    <mergeCell ref="C2292:C2294"/>
    <mergeCell ref="D2292:D2294"/>
    <mergeCell ref="E2292:E2294"/>
    <mergeCell ref="F2292:F2294"/>
    <mergeCell ref="G2268:G2269"/>
    <mergeCell ref="H2268:H2269"/>
    <mergeCell ref="I2268:I2269"/>
    <mergeCell ref="J2268:J2269"/>
    <mergeCell ref="K2268:K2269"/>
    <mergeCell ref="M2268:M2269"/>
    <mergeCell ref="N2266:N2267"/>
    <mergeCell ref="O2266:O2267"/>
    <mergeCell ref="P2266:P2267"/>
    <mergeCell ref="Q2266:Q2267"/>
    <mergeCell ref="A2268:A2269"/>
    <mergeCell ref="B2268:B2269"/>
    <mergeCell ref="C2268:C2269"/>
    <mergeCell ref="D2268:D2269"/>
    <mergeCell ref="E2268:E2269"/>
    <mergeCell ref="F2268:F2269"/>
    <mergeCell ref="G2266:G2267"/>
    <mergeCell ref="H2266:H2267"/>
    <mergeCell ref="I2266:I2267"/>
    <mergeCell ref="J2266:J2267"/>
    <mergeCell ref="K2266:K2267"/>
    <mergeCell ref="M2266:M2267"/>
    <mergeCell ref="N2264:N2265"/>
    <mergeCell ref="O2264:O2265"/>
    <mergeCell ref="P2264:P2265"/>
    <mergeCell ref="Q2264:Q2265"/>
    <mergeCell ref="A2266:A2267"/>
    <mergeCell ref="B2266:B2267"/>
    <mergeCell ref="C2266:C2267"/>
    <mergeCell ref="D2266:D2267"/>
    <mergeCell ref="E2266:E2267"/>
    <mergeCell ref="F2266:F2267"/>
    <mergeCell ref="G2264:G2265"/>
    <mergeCell ref="H2264:H2265"/>
    <mergeCell ref="I2264:I2265"/>
    <mergeCell ref="J2264:J2265"/>
    <mergeCell ref="K2264:K2265"/>
    <mergeCell ref="M2264:M2265"/>
    <mergeCell ref="N2259:N2260"/>
    <mergeCell ref="O2259:O2260"/>
    <mergeCell ref="P2259:P2260"/>
    <mergeCell ref="Q2259:Q2260"/>
    <mergeCell ref="A2264:A2265"/>
    <mergeCell ref="B2264:B2265"/>
    <mergeCell ref="C2264:C2265"/>
    <mergeCell ref="D2264:D2265"/>
    <mergeCell ref="E2264:E2265"/>
    <mergeCell ref="F2264:F2265"/>
    <mergeCell ref="G2259:G2260"/>
    <mergeCell ref="H2259:H2260"/>
    <mergeCell ref="I2259:I2260"/>
    <mergeCell ref="J2259:J2260"/>
    <mergeCell ref="K2259:K2260"/>
    <mergeCell ref="M2259:M2260"/>
    <mergeCell ref="N2238:N2242"/>
    <mergeCell ref="O2238:O2242"/>
    <mergeCell ref="P2238:P2242"/>
    <mergeCell ref="Q2238:Q2242"/>
    <mergeCell ref="A2259:A2260"/>
    <mergeCell ref="B2259:B2260"/>
    <mergeCell ref="C2259:C2260"/>
    <mergeCell ref="D2259:D2260"/>
    <mergeCell ref="E2259:E2260"/>
    <mergeCell ref="F2259:F2260"/>
    <mergeCell ref="G2238:G2242"/>
    <mergeCell ref="H2238:H2242"/>
    <mergeCell ref="I2238:I2242"/>
    <mergeCell ref="J2238:J2242"/>
    <mergeCell ref="K2238:K2242"/>
    <mergeCell ref="M2238:M2242"/>
    <mergeCell ref="N2233:N2237"/>
    <mergeCell ref="O2233:O2237"/>
    <mergeCell ref="P2233:P2237"/>
    <mergeCell ref="Q2233:Q2237"/>
    <mergeCell ref="A2238:A2242"/>
    <mergeCell ref="B2238:B2242"/>
    <mergeCell ref="C2238:C2242"/>
    <mergeCell ref="D2238:D2242"/>
    <mergeCell ref="E2238:E2242"/>
    <mergeCell ref="F2238:F2242"/>
    <mergeCell ref="G2233:G2237"/>
    <mergeCell ref="H2233:H2237"/>
    <mergeCell ref="I2233:I2237"/>
    <mergeCell ref="J2233:J2237"/>
    <mergeCell ref="K2233:K2237"/>
    <mergeCell ref="M2233:M2237"/>
    <mergeCell ref="N2228:N2232"/>
    <mergeCell ref="O2228:O2232"/>
    <mergeCell ref="P2228:P2232"/>
    <mergeCell ref="Q2228:Q2232"/>
    <mergeCell ref="A2233:A2237"/>
    <mergeCell ref="B2233:B2237"/>
    <mergeCell ref="C2233:C2237"/>
    <mergeCell ref="D2233:D2237"/>
    <mergeCell ref="E2233:E2237"/>
    <mergeCell ref="F2233:F2237"/>
    <mergeCell ref="G2228:G2232"/>
    <mergeCell ref="H2228:H2232"/>
    <mergeCell ref="I2228:I2232"/>
    <mergeCell ref="J2228:J2232"/>
    <mergeCell ref="K2228:K2232"/>
    <mergeCell ref="M2228:M2232"/>
    <mergeCell ref="N2223:N2227"/>
    <mergeCell ref="O2223:O2227"/>
    <mergeCell ref="P2223:P2227"/>
    <mergeCell ref="Q2223:Q2227"/>
    <mergeCell ref="A2228:A2232"/>
    <mergeCell ref="B2228:B2232"/>
    <mergeCell ref="C2228:C2232"/>
    <mergeCell ref="D2228:D2232"/>
    <mergeCell ref="E2228:E2232"/>
    <mergeCell ref="F2228:F2232"/>
    <mergeCell ref="G2223:G2227"/>
    <mergeCell ref="H2223:H2227"/>
    <mergeCell ref="I2223:I2227"/>
    <mergeCell ref="J2223:J2227"/>
    <mergeCell ref="K2223:K2227"/>
    <mergeCell ref="M2223:M2227"/>
    <mergeCell ref="N2218:N2222"/>
    <mergeCell ref="O2218:O2222"/>
    <mergeCell ref="P2218:P2222"/>
    <mergeCell ref="Q2218:Q2222"/>
    <mergeCell ref="A2223:A2227"/>
    <mergeCell ref="B2223:B2227"/>
    <mergeCell ref="C2223:C2227"/>
    <mergeCell ref="D2223:D2227"/>
    <mergeCell ref="E2223:E2227"/>
    <mergeCell ref="F2223:F2227"/>
    <mergeCell ref="G2218:G2222"/>
    <mergeCell ref="H2218:H2222"/>
    <mergeCell ref="I2218:I2222"/>
    <mergeCell ref="J2218:J2222"/>
    <mergeCell ref="K2218:K2222"/>
    <mergeCell ref="M2218:M2222"/>
    <mergeCell ref="N2213:N2217"/>
    <mergeCell ref="O2213:O2217"/>
    <mergeCell ref="P2213:P2217"/>
    <mergeCell ref="Q2213:Q2217"/>
    <mergeCell ref="A2218:A2222"/>
    <mergeCell ref="B2218:B2222"/>
    <mergeCell ref="C2218:C2222"/>
    <mergeCell ref="D2218:D2222"/>
    <mergeCell ref="E2218:E2222"/>
    <mergeCell ref="F2218:F2222"/>
    <mergeCell ref="G2213:G2217"/>
    <mergeCell ref="H2213:H2217"/>
    <mergeCell ref="I2213:I2217"/>
    <mergeCell ref="J2213:J2217"/>
    <mergeCell ref="K2213:K2217"/>
    <mergeCell ref="M2213:M2217"/>
    <mergeCell ref="N2191:N2193"/>
    <mergeCell ref="O2191:O2193"/>
    <mergeCell ref="P2191:P2193"/>
    <mergeCell ref="Q2191:Q2193"/>
    <mergeCell ref="A2213:A2217"/>
    <mergeCell ref="B2213:B2217"/>
    <mergeCell ref="C2213:C2217"/>
    <mergeCell ref="D2213:D2217"/>
    <mergeCell ref="E2213:E2217"/>
    <mergeCell ref="F2213:F2217"/>
    <mergeCell ref="G2191:G2193"/>
    <mergeCell ref="H2191:H2193"/>
    <mergeCell ref="I2191:I2193"/>
    <mergeCell ref="J2191:J2193"/>
    <mergeCell ref="K2191:K2193"/>
    <mergeCell ref="M2191:M2193"/>
    <mergeCell ref="N2187:N2189"/>
    <mergeCell ref="O2187:O2189"/>
    <mergeCell ref="P2187:P2189"/>
    <mergeCell ref="Q2187:Q2189"/>
    <mergeCell ref="A2191:A2193"/>
    <mergeCell ref="B2191:B2193"/>
    <mergeCell ref="C2191:C2193"/>
    <mergeCell ref="D2191:D2193"/>
    <mergeCell ref="E2191:E2193"/>
    <mergeCell ref="F2191:F2193"/>
    <mergeCell ref="G2187:G2189"/>
    <mergeCell ref="H2187:H2189"/>
    <mergeCell ref="I2187:I2189"/>
    <mergeCell ref="J2187:J2189"/>
    <mergeCell ref="K2187:K2189"/>
    <mergeCell ref="M2187:M2189"/>
    <mergeCell ref="N2179:N2180"/>
    <mergeCell ref="O2179:O2180"/>
    <mergeCell ref="P2179:P2180"/>
    <mergeCell ref="Q2179:Q2180"/>
    <mergeCell ref="A2187:A2189"/>
    <mergeCell ref="B2187:B2189"/>
    <mergeCell ref="C2187:C2189"/>
    <mergeCell ref="D2187:D2189"/>
    <mergeCell ref="E2187:E2189"/>
    <mergeCell ref="F2187:F2189"/>
    <mergeCell ref="G2179:G2180"/>
    <mergeCell ref="H2179:H2180"/>
    <mergeCell ref="I2179:I2180"/>
    <mergeCell ref="J2179:J2180"/>
    <mergeCell ref="K2179:K2180"/>
    <mergeCell ref="M2179:M2180"/>
    <mergeCell ref="N2177:N2178"/>
    <mergeCell ref="O2177:O2178"/>
    <mergeCell ref="P2177:P2178"/>
    <mergeCell ref="Q2177:Q2178"/>
    <mergeCell ref="A2179:A2180"/>
    <mergeCell ref="B2179:B2180"/>
    <mergeCell ref="C2179:C2180"/>
    <mergeCell ref="D2179:D2180"/>
    <mergeCell ref="E2179:E2180"/>
    <mergeCell ref="F2179:F2180"/>
    <mergeCell ref="G2177:G2178"/>
    <mergeCell ref="H2177:H2178"/>
    <mergeCell ref="I2177:I2178"/>
    <mergeCell ref="J2177:J2178"/>
    <mergeCell ref="K2177:K2178"/>
    <mergeCell ref="M2177:M2178"/>
    <mergeCell ref="N2175:N2176"/>
    <mergeCell ref="O2175:O2176"/>
    <mergeCell ref="P2175:P2176"/>
    <mergeCell ref="Q2175:Q2176"/>
    <mergeCell ref="A2177:A2178"/>
    <mergeCell ref="B2177:B2178"/>
    <mergeCell ref="C2177:C2178"/>
    <mergeCell ref="D2177:D2178"/>
    <mergeCell ref="E2177:E2178"/>
    <mergeCell ref="F2177:F2178"/>
    <mergeCell ref="G2175:G2176"/>
    <mergeCell ref="H2175:H2176"/>
    <mergeCell ref="I2175:I2176"/>
    <mergeCell ref="J2175:J2176"/>
    <mergeCell ref="K2175:K2176"/>
    <mergeCell ref="M2175:M2176"/>
    <mergeCell ref="N2168:N2170"/>
    <mergeCell ref="O2168:O2170"/>
    <mergeCell ref="P2168:P2170"/>
    <mergeCell ref="Q2168:Q2170"/>
    <mergeCell ref="A2175:A2176"/>
    <mergeCell ref="B2175:B2176"/>
    <mergeCell ref="C2175:C2176"/>
    <mergeCell ref="D2175:D2176"/>
    <mergeCell ref="E2175:E2176"/>
    <mergeCell ref="F2175:F2176"/>
    <mergeCell ref="G2168:G2170"/>
    <mergeCell ref="H2168:H2170"/>
    <mergeCell ref="I2168:I2170"/>
    <mergeCell ref="J2168:J2170"/>
    <mergeCell ref="K2168:K2170"/>
    <mergeCell ref="M2168:M2170"/>
    <mergeCell ref="N2106:N2108"/>
    <mergeCell ref="O2106:O2108"/>
    <mergeCell ref="P2106:P2108"/>
    <mergeCell ref="Q2106:Q2108"/>
    <mergeCell ref="A2168:A2170"/>
    <mergeCell ref="B2168:B2170"/>
    <mergeCell ref="C2168:C2170"/>
    <mergeCell ref="D2168:D2170"/>
    <mergeCell ref="E2168:E2170"/>
    <mergeCell ref="F2168:F2170"/>
    <mergeCell ref="G2106:G2108"/>
    <mergeCell ref="H2106:H2108"/>
    <mergeCell ref="I2106:I2108"/>
    <mergeCell ref="J2106:J2108"/>
    <mergeCell ref="K2106:K2108"/>
    <mergeCell ref="M2106:M2108"/>
    <mergeCell ref="N2102:N2104"/>
    <mergeCell ref="O2102:O2104"/>
    <mergeCell ref="P2102:P2104"/>
    <mergeCell ref="Q2102:Q2104"/>
    <mergeCell ref="A2106:A2108"/>
    <mergeCell ref="B2106:B2108"/>
    <mergeCell ref="C2106:C2108"/>
    <mergeCell ref="D2106:D2108"/>
    <mergeCell ref="E2106:E2108"/>
    <mergeCell ref="F2106:F2108"/>
    <mergeCell ref="G2102:G2104"/>
    <mergeCell ref="H2102:H2104"/>
    <mergeCell ref="I2102:I2104"/>
    <mergeCell ref="J2102:J2104"/>
    <mergeCell ref="K2102:K2104"/>
    <mergeCell ref="M2102:M2104"/>
    <mergeCell ref="N2062:N2063"/>
    <mergeCell ref="O2062:O2063"/>
    <mergeCell ref="P2062:P2063"/>
    <mergeCell ref="Q2062:Q2063"/>
    <mergeCell ref="A2102:A2104"/>
    <mergeCell ref="B2102:B2104"/>
    <mergeCell ref="C2102:C2104"/>
    <mergeCell ref="D2102:D2104"/>
    <mergeCell ref="E2102:E2104"/>
    <mergeCell ref="F2102:F2104"/>
    <mergeCell ref="G2062:G2063"/>
    <mergeCell ref="H2062:H2063"/>
    <mergeCell ref="I2062:I2063"/>
    <mergeCell ref="J2062:J2063"/>
    <mergeCell ref="K2062:K2063"/>
    <mergeCell ref="M2062:M2063"/>
    <mergeCell ref="N2015:N2017"/>
    <mergeCell ref="O2015:O2017"/>
    <mergeCell ref="P2015:P2017"/>
    <mergeCell ref="Q2015:Q2017"/>
    <mergeCell ref="A2062:A2063"/>
    <mergeCell ref="B2062:B2063"/>
    <mergeCell ref="C2062:C2063"/>
    <mergeCell ref="D2062:D2063"/>
    <mergeCell ref="E2062:E2063"/>
    <mergeCell ref="F2062:F2063"/>
    <mergeCell ref="G2015:G2017"/>
    <mergeCell ref="H2015:H2017"/>
    <mergeCell ref="I2015:I2017"/>
    <mergeCell ref="J2015:J2017"/>
    <mergeCell ref="K2015:K2017"/>
    <mergeCell ref="M2015:M2017"/>
    <mergeCell ref="N2011:N2013"/>
    <mergeCell ref="O2011:O2013"/>
    <mergeCell ref="P2011:P2013"/>
    <mergeCell ref="Q2011:Q2013"/>
    <mergeCell ref="A2015:A2017"/>
    <mergeCell ref="B2015:B2017"/>
    <mergeCell ref="C2015:C2017"/>
    <mergeCell ref="D2015:D2017"/>
    <mergeCell ref="E2015:E2017"/>
    <mergeCell ref="F2015:F2017"/>
    <mergeCell ref="G2011:G2013"/>
    <mergeCell ref="H2011:H2013"/>
    <mergeCell ref="I2011:I2013"/>
    <mergeCell ref="J2011:J2013"/>
    <mergeCell ref="K2011:K2013"/>
    <mergeCell ref="M2011:M2013"/>
    <mergeCell ref="N2002:N2004"/>
    <mergeCell ref="O2002:O2004"/>
    <mergeCell ref="P2002:P2004"/>
    <mergeCell ref="Q2002:Q2004"/>
    <mergeCell ref="A2011:A2013"/>
    <mergeCell ref="B2011:B2013"/>
    <mergeCell ref="C2011:C2013"/>
    <mergeCell ref="D2011:D2013"/>
    <mergeCell ref="E2011:E2013"/>
    <mergeCell ref="F2011:F2013"/>
    <mergeCell ref="G2002:G2004"/>
    <mergeCell ref="H2002:H2004"/>
    <mergeCell ref="I2002:I2004"/>
    <mergeCell ref="J2002:J2004"/>
    <mergeCell ref="K2002:K2004"/>
    <mergeCell ref="M2002:M2004"/>
    <mergeCell ref="N1978:N1980"/>
    <mergeCell ref="O1978:O1980"/>
    <mergeCell ref="P1978:P1980"/>
    <mergeCell ref="Q1978:Q1980"/>
    <mergeCell ref="A2002:A2004"/>
    <mergeCell ref="B2002:B2004"/>
    <mergeCell ref="C2002:C2004"/>
    <mergeCell ref="D2002:D2004"/>
    <mergeCell ref="E2002:E2004"/>
    <mergeCell ref="F2002:F2004"/>
    <mergeCell ref="G1978:G1980"/>
    <mergeCell ref="H1978:H1980"/>
    <mergeCell ref="I1978:I1980"/>
    <mergeCell ref="J1978:J1980"/>
    <mergeCell ref="K1978:K1980"/>
    <mergeCell ref="M1978:M1980"/>
    <mergeCell ref="N1971:N1973"/>
    <mergeCell ref="O1971:O1973"/>
    <mergeCell ref="P1971:P1973"/>
    <mergeCell ref="Q1971:Q1973"/>
    <mergeCell ref="A1978:A1980"/>
    <mergeCell ref="B1978:B1980"/>
    <mergeCell ref="C1978:C1980"/>
    <mergeCell ref="D1978:D1980"/>
    <mergeCell ref="E1978:E1980"/>
    <mergeCell ref="F1978:F1980"/>
    <mergeCell ref="G1971:G1973"/>
    <mergeCell ref="H1971:H1973"/>
    <mergeCell ref="I1971:I1973"/>
    <mergeCell ref="J1971:J1973"/>
    <mergeCell ref="K1971:K1973"/>
    <mergeCell ref="M1971:M1973"/>
    <mergeCell ref="N1962:N1970"/>
    <mergeCell ref="O1962:O1970"/>
    <mergeCell ref="P1962:P1970"/>
    <mergeCell ref="Q1962:Q1970"/>
    <mergeCell ref="A1971:A1973"/>
    <mergeCell ref="B1971:B1973"/>
    <mergeCell ref="C1971:C1973"/>
    <mergeCell ref="D1971:D1973"/>
    <mergeCell ref="E1971:E1973"/>
    <mergeCell ref="F1971:F1973"/>
    <mergeCell ref="G1962:G1970"/>
    <mergeCell ref="H1962:H1970"/>
    <mergeCell ref="I1962:I1970"/>
    <mergeCell ref="J1962:J1970"/>
    <mergeCell ref="K1962:K1970"/>
    <mergeCell ref="M1962:M1970"/>
    <mergeCell ref="N1956:N1958"/>
    <mergeCell ref="O1956:O1958"/>
    <mergeCell ref="P1956:P1958"/>
    <mergeCell ref="Q1956:Q1958"/>
    <mergeCell ref="A1962:A1970"/>
    <mergeCell ref="B1962:B1970"/>
    <mergeCell ref="C1962:C1970"/>
    <mergeCell ref="D1962:D1970"/>
    <mergeCell ref="E1962:E1970"/>
    <mergeCell ref="F1962:F1970"/>
    <mergeCell ref="G1956:G1958"/>
    <mergeCell ref="H1956:H1958"/>
    <mergeCell ref="I1956:I1958"/>
    <mergeCell ref="J1956:J1958"/>
    <mergeCell ref="K1956:K1958"/>
    <mergeCell ref="M1956:M1958"/>
    <mergeCell ref="N1924:N1926"/>
    <mergeCell ref="O1924:O1926"/>
    <mergeCell ref="P1924:P1926"/>
    <mergeCell ref="Q1924:Q1926"/>
    <mergeCell ref="A1956:A1958"/>
    <mergeCell ref="B1956:B1958"/>
    <mergeCell ref="C1956:C1958"/>
    <mergeCell ref="D1956:D1958"/>
    <mergeCell ref="E1956:E1958"/>
    <mergeCell ref="F1956:F1958"/>
    <mergeCell ref="G1924:G1926"/>
    <mergeCell ref="H1924:H1926"/>
    <mergeCell ref="I1924:I1926"/>
    <mergeCell ref="J1924:J1926"/>
    <mergeCell ref="K1924:K1926"/>
    <mergeCell ref="M1924:M1926"/>
    <mergeCell ref="N1918:N1920"/>
    <mergeCell ref="O1918:O1920"/>
    <mergeCell ref="P1918:P1920"/>
    <mergeCell ref="Q1918:Q1920"/>
    <mergeCell ref="A1924:A1926"/>
    <mergeCell ref="B1924:B1926"/>
    <mergeCell ref="C1924:C1926"/>
    <mergeCell ref="D1924:D1926"/>
    <mergeCell ref="E1924:E1926"/>
    <mergeCell ref="F1924:F1926"/>
    <mergeCell ref="G1918:G1920"/>
    <mergeCell ref="H1918:H1920"/>
    <mergeCell ref="I1918:I1920"/>
    <mergeCell ref="J1918:J1920"/>
    <mergeCell ref="K1918:K1920"/>
    <mergeCell ref="M1918:M1920"/>
    <mergeCell ref="N1894:N1895"/>
    <mergeCell ref="O1894:O1895"/>
    <mergeCell ref="P1894:P1895"/>
    <mergeCell ref="Q1894:Q1895"/>
    <mergeCell ref="A1918:A1920"/>
    <mergeCell ref="B1918:B1920"/>
    <mergeCell ref="C1918:C1920"/>
    <mergeCell ref="D1918:D1920"/>
    <mergeCell ref="E1918:E1920"/>
    <mergeCell ref="F1918:F1920"/>
    <mergeCell ref="G1894:G1895"/>
    <mergeCell ref="H1894:H1895"/>
    <mergeCell ref="I1894:I1895"/>
    <mergeCell ref="J1894:J1895"/>
    <mergeCell ref="K1894:K1895"/>
    <mergeCell ref="M1894:M1895"/>
    <mergeCell ref="N1892:N1893"/>
    <mergeCell ref="O1892:O1893"/>
    <mergeCell ref="P1892:P1893"/>
    <mergeCell ref="Q1892:Q1893"/>
    <mergeCell ref="A1894:A1895"/>
    <mergeCell ref="B1894:B1895"/>
    <mergeCell ref="C1894:C1895"/>
    <mergeCell ref="D1894:D1895"/>
    <mergeCell ref="E1894:E1895"/>
    <mergeCell ref="F1894:F1895"/>
    <mergeCell ref="G1892:G1893"/>
    <mergeCell ref="H1892:H1893"/>
    <mergeCell ref="I1892:I1893"/>
    <mergeCell ref="J1892:J1893"/>
    <mergeCell ref="K1892:K1893"/>
    <mergeCell ref="M1892:M1893"/>
    <mergeCell ref="N1890:N1891"/>
    <mergeCell ref="O1890:O1891"/>
    <mergeCell ref="P1890:P1891"/>
    <mergeCell ref="Q1890:Q1891"/>
    <mergeCell ref="A1892:A1893"/>
    <mergeCell ref="B1892:B1893"/>
    <mergeCell ref="C1892:C1893"/>
    <mergeCell ref="D1892:D1893"/>
    <mergeCell ref="E1892:E1893"/>
    <mergeCell ref="F1892:F1893"/>
    <mergeCell ref="G1890:G1891"/>
    <mergeCell ref="H1890:H1891"/>
    <mergeCell ref="I1890:I1891"/>
    <mergeCell ref="J1890:J1891"/>
    <mergeCell ref="K1890:K1891"/>
    <mergeCell ref="M1890:M1891"/>
    <mergeCell ref="N1866:N1868"/>
    <mergeCell ref="O1866:O1868"/>
    <mergeCell ref="P1866:P1868"/>
    <mergeCell ref="Q1866:Q1868"/>
    <mergeCell ref="A1890:A1891"/>
    <mergeCell ref="B1890:B1891"/>
    <mergeCell ref="C1890:C1891"/>
    <mergeCell ref="D1890:D1891"/>
    <mergeCell ref="E1890:E1891"/>
    <mergeCell ref="F1890:F1891"/>
    <mergeCell ref="G1866:G1868"/>
    <mergeCell ref="H1866:H1868"/>
    <mergeCell ref="I1866:I1868"/>
    <mergeCell ref="J1866:J1868"/>
    <mergeCell ref="K1866:K1868"/>
    <mergeCell ref="M1866:M1868"/>
    <mergeCell ref="N1850:N1852"/>
    <mergeCell ref="O1850:O1852"/>
    <mergeCell ref="P1850:P1852"/>
    <mergeCell ref="Q1850:Q1852"/>
    <mergeCell ref="A1866:A1868"/>
    <mergeCell ref="B1866:B1868"/>
    <mergeCell ref="C1866:C1868"/>
    <mergeCell ref="D1866:D1868"/>
    <mergeCell ref="E1866:E1868"/>
    <mergeCell ref="F1866:F1868"/>
    <mergeCell ref="G1850:G1852"/>
    <mergeCell ref="H1850:H1852"/>
    <mergeCell ref="I1850:I1852"/>
    <mergeCell ref="J1850:J1852"/>
    <mergeCell ref="K1850:K1852"/>
    <mergeCell ref="M1850:M1852"/>
    <mergeCell ref="N1824:N1826"/>
    <mergeCell ref="O1824:O1826"/>
    <mergeCell ref="P1824:P1826"/>
    <mergeCell ref="Q1824:Q1826"/>
    <mergeCell ref="A1850:A1852"/>
    <mergeCell ref="B1850:B1852"/>
    <mergeCell ref="C1850:C1852"/>
    <mergeCell ref="D1850:D1852"/>
    <mergeCell ref="E1850:E1852"/>
    <mergeCell ref="F1850:F1852"/>
    <mergeCell ref="G1824:G1826"/>
    <mergeCell ref="H1824:H1826"/>
    <mergeCell ref="I1824:I1826"/>
    <mergeCell ref="J1824:J1826"/>
    <mergeCell ref="K1824:K1826"/>
    <mergeCell ref="M1824:M1826"/>
    <mergeCell ref="N1811:N1813"/>
    <mergeCell ref="O1811:O1813"/>
    <mergeCell ref="P1811:P1813"/>
    <mergeCell ref="Q1811:Q1813"/>
    <mergeCell ref="A1824:A1826"/>
    <mergeCell ref="B1824:B1826"/>
    <mergeCell ref="C1824:C1826"/>
    <mergeCell ref="D1824:D1826"/>
    <mergeCell ref="E1824:E1826"/>
    <mergeCell ref="F1824:F1826"/>
    <mergeCell ref="G1811:G1813"/>
    <mergeCell ref="H1811:H1813"/>
    <mergeCell ref="I1811:I1813"/>
    <mergeCell ref="J1811:J1813"/>
    <mergeCell ref="K1811:K1813"/>
    <mergeCell ref="M1811:M1813"/>
    <mergeCell ref="N1798:N1800"/>
    <mergeCell ref="O1798:O1800"/>
    <mergeCell ref="P1798:P1800"/>
    <mergeCell ref="Q1798:Q1800"/>
    <mergeCell ref="A1811:A1813"/>
    <mergeCell ref="B1811:B1813"/>
    <mergeCell ref="C1811:C1813"/>
    <mergeCell ref="D1811:D1813"/>
    <mergeCell ref="E1811:E1813"/>
    <mergeCell ref="F1811:F1813"/>
    <mergeCell ref="G1798:G1800"/>
    <mergeCell ref="H1798:H1800"/>
    <mergeCell ref="I1798:I1800"/>
    <mergeCell ref="J1798:J1800"/>
    <mergeCell ref="K1798:K1800"/>
    <mergeCell ref="M1798:M1800"/>
    <mergeCell ref="N1784:N1786"/>
    <mergeCell ref="O1784:O1786"/>
    <mergeCell ref="P1784:P1786"/>
    <mergeCell ref="Q1784:Q1786"/>
    <mergeCell ref="A1798:A1800"/>
    <mergeCell ref="B1798:B1800"/>
    <mergeCell ref="C1798:C1800"/>
    <mergeCell ref="D1798:D1800"/>
    <mergeCell ref="E1798:E1800"/>
    <mergeCell ref="F1798:F1800"/>
    <mergeCell ref="G1784:G1786"/>
    <mergeCell ref="H1784:H1786"/>
    <mergeCell ref="I1784:I1786"/>
    <mergeCell ref="J1784:J1786"/>
    <mergeCell ref="K1784:K1786"/>
    <mergeCell ref="M1784:M1786"/>
    <mergeCell ref="N1768:N1770"/>
    <mergeCell ref="O1768:O1770"/>
    <mergeCell ref="P1768:P1770"/>
    <mergeCell ref="Q1768:Q1770"/>
    <mergeCell ref="A1784:A1786"/>
    <mergeCell ref="B1784:B1786"/>
    <mergeCell ref="C1784:C1786"/>
    <mergeCell ref="D1784:D1786"/>
    <mergeCell ref="E1784:E1786"/>
    <mergeCell ref="F1784:F1786"/>
    <mergeCell ref="G1768:G1770"/>
    <mergeCell ref="H1768:H1770"/>
    <mergeCell ref="I1768:I1770"/>
    <mergeCell ref="J1768:J1770"/>
    <mergeCell ref="K1768:K1770"/>
    <mergeCell ref="M1768:M1770"/>
    <mergeCell ref="N1765:N1767"/>
    <mergeCell ref="O1765:O1767"/>
    <mergeCell ref="P1765:P1767"/>
    <mergeCell ref="Q1765:Q1767"/>
    <mergeCell ref="A1768:A1770"/>
    <mergeCell ref="B1768:B1770"/>
    <mergeCell ref="C1768:C1770"/>
    <mergeCell ref="D1768:D1770"/>
    <mergeCell ref="E1768:E1770"/>
    <mergeCell ref="F1768:F1770"/>
    <mergeCell ref="G1765:G1767"/>
    <mergeCell ref="H1765:H1767"/>
    <mergeCell ref="I1765:I1767"/>
    <mergeCell ref="J1765:J1767"/>
    <mergeCell ref="K1765:K1767"/>
    <mergeCell ref="M1765:M1767"/>
    <mergeCell ref="N1746:N1748"/>
    <mergeCell ref="O1746:O1748"/>
    <mergeCell ref="P1746:P1748"/>
    <mergeCell ref="Q1746:Q1748"/>
    <mergeCell ref="A1765:A1767"/>
    <mergeCell ref="B1765:B1767"/>
    <mergeCell ref="C1765:C1767"/>
    <mergeCell ref="D1765:D1767"/>
    <mergeCell ref="E1765:E1767"/>
    <mergeCell ref="F1765:F1767"/>
    <mergeCell ref="G1746:G1748"/>
    <mergeCell ref="H1746:H1748"/>
    <mergeCell ref="I1746:I1748"/>
    <mergeCell ref="J1746:J1748"/>
    <mergeCell ref="K1746:K1748"/>
    <mergeCell ref="M1746:M1748"/>
    <mergeCell ref="N1727:N1729"/>
    <mergeCell ref="O1727:O1729"/>
    <mergeCell ref="P1727:P1729"/>
    <mergeCell ref="Q1727:Q1729"/>
    <mergeCell ref="A1746:A1748"/>
    <mergeCell ref="B1746:B1748"/>
    <mergeCell ref="C1746:C1748"/>
    <mergeCell ref="D1746:D1748"/>
    <mergeCell ref="E1746:E1748"/>
    <mergeCell ref="F1746:F1748"/>
    <mergeCell ref="G1727:G1729"/>
    <mergeCell ref="H1727:H1729"/>
    <mergeCell ref="I1727:I1729"/>
    <mergeCell ref="J1727:J1729"/>
    <mergeCell ref="K1727:K1729"/>
    <mergeCell ref="M1727:M1729"/>
    <mergeCell ref="N1695:N1697"/>
    <mergeCell ref="O1695:O1697"/>
    <mergeCell ref="P1695:P1697"/>
    <mergeCell ref="Q1695:Q1697"/>
    <mergeCell ref="A1727:A1729"/>
    <mergeCell ref="B1727:B1729"/>
    <mergeCell ref="C1727:C1729"/>
    <mergeCell ref="D1727:D1729"/>
    <mergeCell ref="E1727:E1729"/>
    <mergeCell ref="F1727:F1729"/>
    <mergeCell ref="G1695:G1697"/>
    <mergeCell ref="H1695:H1697"/>
    <mergeCell ref="I1695:I1697"/>
    <mergeCell ref="J1695:J1697"/>
    <mergeCell ref="K1695:K1697"/>
    <mergeCell ref="M1695:M1697"/>
    <mergeCell ref="N1687:N1689"/>
    <mergeCell ref="O1687:O1689"/>
    <mergeCell ref="P1687:P1689"/>
    <mergeCell ref="Q1687:Q1689"/>
    <mergeCell ref="A1695:A1697"/>
    <mergeCell ref="B1695:B1697"/>
    <mergeCell ref="C1695:C1697"/>
    <mergeCell ref="D1695:D1697"/>
    <mergeCell ref="E1695:E1697"/>
    <mergeCell ref="F1695:F1697"/>
    <mergeCell ref="G1687:G1689"/>
    <mergeCell ref="H1687:H1689"/>
    <mergeCell ref="I1687:I1689"/>
    <mergeCell ref="J1687:J1689"/>
    <mergeCell ref="K1687:K1689"/>
    <mergeCell ref="M1687:M1689"/>
    <mergeCell ref="N1659:N1660"/>
    <mergeCell ref="O1659:O1660"/>
    <mergeCell ref="P1659:P1660"/>
    <mergeCell ref="Q1659:Q1660"/>
    <mergeCell ref="A1687:A1689"/>
    <mergeCell ref="B1687:B1689"/>
    <mergeCell ref="C1687:C1689"/>
    <mergeCell ref="D1687:D1689"/>
    <mergeCell ref="E1687:E1689"/>
    <mergeCell ref="F1687:F1689"/>
    <mergeCell ref="G1659:G1660"/>
    <mergeCell ref="H1659:H1660"/>
    <mergeCell ref="I1659:I1660"/>
    <mergeCell ref="J1659:J1660"/>
    <mergeCell ref="K1659:K1660"/>
    <mergeCell ref="M1659:M1660"/>
    <mergeCell ref="N1657:N1658"/>
    <mergeCell ref="O1657:O1658"/>
    <mergeCell ref="P1657:P1658"/>
    <mergeCell ref="Q1657:Q1658"/>
    <mergeCell ref="A1659:A1660"/>
    <mergeCell ref="B1659:B1660"/>
    <mergeCell ref="C1659:C1660"/>
    <mergeCell ref="D1659:D1660"/>
    <mergeCell ref="E1659:E1660"/>
    <mergeCell ref="F1659:F1660"/>
    <mergeCell ref="G1657:G1658"/>
    <mergeCell ref="H1657:H1658"/>
    <mergeCell ref="I1657:I1658"/>
    <mergeCell ref="J1657:J1658"/>
    <mergeCell ref="K1657:K1658"/>
    <mergeCell ref="M1657:M1658"/>
    <mergeCell ref="N1655:N1656"/>
    <mergeCell ref="O1655:O1656"/>
    <mergeCell ref="P1655:P1656"/>
    <mergeCell ref="Q1655:Q1656"/>
    <mergeCell ref="A1657:A1658"/>
    <mergeCell ref="B1657:B1658"/>
    <mergeCell ref="C1657:C1658"/>
    <mergeCell ref="D1657:D1658"/>
    <mergeCell ref="E1657:E1658"/>
    <mergeCell ref="F1657:F1658"/>
    <mergeCell ref="G1655:G1656"/>
    <mergeCell ref="H1655:H1656"/>
    <mergeCell ref="I1655:I1656"/>
    <mergeCell ref="J1655:J1656"/>
    <mergeCell ref="K1655:K1656"/>
    <mergeCell ref="M1655:M1656"/>
    <mergeCell ref="N1644:N1646"/>
    <mergeCell ref="O1644:O1646"/>
    <mergeCell ref="P1644:P1646"/>
    <mergeCell ref="Q1644:Q1646"/>
    <mergeCell ref="A1655:A1656"/>
    <mergeCell ref="B1655:B1656"/>
    <mergeCell ref="C1655:C1656"/>
    <mergeCell ref="D1655:D1656"/>
    <mergeCell ref="E1655:E1656"/>
    <mergeCell ref="F1655:F1656"/>
    <mergeCell ref="G1644:G1646"/>
    <mergeCell ref="H1644:H1646"/>
    <mergeCell ref="I1644:I1646"/>
    <mergeCell ref="J1644:J1646"/>
    <mergeCell ref="K1644:K1646"/>
    <mergeCell ref="M1644:M1646"/>
    <mergeCell ref="N1583:N1585"/>
    <mergeCell ref="O1583:O1585"/>
    <mergeCell ref="P1583:P1585"/>
    <mergeCell ref="Q1583:Q1585"/>
    <mergeCell ref="A1644:A1646"/>
    <mergeCell ref="B1644:B1646"/>
    <mergeCell ref="C1644:C1646"/>
    <mergeCell ref="D1644:D1646"/>
    <mergeCell ref="E1644:E1646"/>
    <mergeCell ref="F1644:F1646"/>
    <mergeCell ref="G1583:G1585"/>
    <mergeCell ref="H1583:H1585"/>
    <mergeCell ref="I1583:I1585"/>
    <mergeCell ref="J1583:J1585"/>
    <mergeCell ref="K1583:K1585"/>
    <mergeCell ref="M1583:M1585"/>
    <mergeCell ref="N1579:N1581"/>
    <mergeCell ref="O1579:O1581"/>
    <mergeCell ref="P1579:P1581"/>
    <mergeCell ref="Q1579:Q1581"/>
    <mergeCell ref="A1583:A1585"/>
    <mergeCell ref="B1583:B1585"/>
    <mergeCell ref="C1583:C1585"/>
    <mergeCell ref="D1583:D1585"/>
    <mergeCell ref="E1583:E1585"/>
    <mergeCell ref="F1583:F1585"/>
    <mergeCell ref="G1579:G1581"/>
    <mergeCell ref="H1579:H1581"/>
    <mergeCell ref="I1579:I1581"/>
    <mergeCell ref="J1579:J1581"/>
    <mergeCell ref="K1579:K1581"/>
    <mergeCell ref="M1579:M1581"/>
    <mergeCell ref="N1574:N1578"/>
    <mergeCell ref="O1574:O1578"/>
    <mergeCell ref="P1574:P1578"/>
    <mergeCell ref="Q1574:Q1578"/>
    <mergeCell ref="A1579:A1581"/>
    <mergeCell ref="B1579:B1581"/>
    <mergeCell ref="C1579:C1581"/>
    <mergeCell ref="D1579:D1581"/>
    <mergeCell ref="E1579:E1581"/>
    <mergeCell ref="F1579:F1581"/>
    <mergeCell ref="G1574:G1578"/>
    <mergeCell ref="H1574:H1578"/>
    <mergeCell ref="I1574:I1578"/>
    <mergeCell ref="J1574:J1578"/>
    <mergeCell ref="K1574:K1578"/>
    <mergeCell ref="M1574:M1578"/>
    <mergeCell ref="N1569:N1573"/>
    <mergeCell ref="O1569:O1573"/>
    <mergeCell ref="P1569:P1573"/>
    <mergeCell ref="Q1569:Q1573"/>
    <mergeCell ref="A1574:A1578"/>
    <mergeCell ref="B1574:B1578"/>
    <mergeCell ref="C1574:C1578"/>
    <mergeCell ref="D1574:D1578"/>
    <mergeCell ref="E1574:E1578"/>
    <mergeCell ref="F1574:F1578"/>
    <mergeCell ref="G1569:G1573"/>
    <mergeCell ref="H1569:H1573"/>
    <mergeCell ref="I1569:I1573"/>
    <mergeCell ref="J1569:J1573"/>
    <mergeCell ref="K1569:K1573"/>
    <mergeCell ref="M1569:M1573"/>
    <mergeCell ref="N1564:N1568"/>
    <mergeCell ref="O1564:O1568"/>
    <mergeCell ref="P1564:P1568"/>
    <mergeCell ref="Q1564:Q1568"/>
    <mergeCell ref="A1569:A1573"/>
    <mergeCell ref="B1569:B1573"/>
    <mergeCell ref="C1569:C1573"/>
    <mergeCell ref="D1569:D1573"/>
    <mergeCell ref="E1569:E1573"/>
    <mergeCell ref="F1569:F1573"/>
    <mergeCell ref="G1564:G1568"/>
    <mergeCell ref="H1564:H1568"/>
    <mergeCell ref="I1564:I1568"/>
    <mergeCell ref="J1564:J1568"/>
    <mergeCell ref="K1564:K1568"/>
    <mergeCell ref="M1564:M1568"/>
    <mergeCell ref="N1559:N1563"/>
    <mergeCell ref="O1559:O1563"/>
    <mergeCell ref="P1559:P1563"/>
    <mergeCell ref="Q1559:Q1563"/>
    <mergeCell ref="A1564:A1568"/>
    <mergeCell ref="B1564:B1568"/>
    <mergeCell ref="C1564:C1568"/>
    <mergeCell ref="D1564:D1568"/>
    <mergeCell ref="E1564:E1568"/>
    <mergeCell ref="F1564:F1568"/>
    <mergeCell ref="G1559:G1563"/>
    <mergeCell ref="H1559:H1563"/>
    <mergeCell ref="I1559:I1563"/>
    <mergeCell ref="J1559:J1563"/>
    <mergeCell ref="K1559:K1563"/>
    <mergeCell ref="M1559:M1563"/>
    <mergeCell ref="N1554:N1558"/>
    <mergeCell ref="O1554:O1558"/>
    <mergeCell ref="P1554:P1558"/>
    <mergeCell ref="Q1554:Q1558"/>
    <mergeCell ref="A1559:A1563"/>
    <mergeCell ref="B1559:B1563"/>
    <mergeCell ref="C1559:C1563"/>
    <mergeCell ref="D1559:D1563"/>
    <mergeCell ref="E1559:E1563"/>
    <mergeCell ref="F1559:F1563"/>
    <mergeCell ref="G1554:G1558"/>
    <mergeCell ref="H1554:H1558"/>
    <mergeCell ref="I1554:I1558"/>
    <mergeCell ref="J1554:J1558"/>
    <mergeCell ref="K1554:K1558"/>
    <mergeCell ref="M1554:M1558"/>
    <mergeCell ref="N1549:N1553"/>
    <mergeCell ref="O1549:O1553"/>
    <mergeCell ref="P1549:P1553"/>
    <mergeCell ref="Q1549:Q1553"/>
    <mergeCell ref="A1554:A1558"/>
    <mergeCell ref="B1554:B1558"/>
    <mergeCell ref="C1554:C1558"/>
    <mergeCell ref="D1554:D1558"/>
    <mergeCell ref="E1554:E1558"/>
    <mergeCell ref="F1554:F1558"/>
    <mergeCell ref="G1549:G1553"/>
    <mergeCell ref="H1549:H1553"/>
    <mergeCell ref="I1549:I1553"/>
    <mergeCell ref="J1549:J1553"/>
    <mergeCell ref="K1549:K1553"/>
    <mergeCell ref="M1549:M1553"/>
    <mergeCell ref="N1528:N1530"/>
    <mergeCell ref="O1528:O1530"/>
    <mergeCell ref="P1528:P1530"/>
    <mergeCell ref="Q1528:Q1530"/>
    <mergeCell ref="A1549:A1553"/>
    <mergeCell ref="B1549:B1553"/>
    <mergeCell ref="C1549:C1553"/>
    <mergeCell ref="D1549:D1553"/>
    <mergeCell ref="E1549:E1553"/>
    <mergeCell ref="F1549:F1553"/>
    <mergeCell ref="G1528:G1530"/>
    <mergeCell ref="H1528:H1530"/>
    <mergeCell ref="I1528:I1530"/>
    <mergeCell ref="J1528:J1530"/>
    <mergeCell ref="K1528:K1530"/>
    <mergeCell ref="M1528:M1530"/>
    <mergeCell ref="N1524:N1526"/>
    <mergeCell ref="O1524:O1526"/>
    <mergeCell ref="P1524:P1526"/>
    <mergeCell ref="Q1524:Q1526"/>
    <mergeCell ref="A1528:A1530"/>
    <mergeCell ref="B1528:B1530"/>
    <mergeCell ref="C1528:C1530"/>
    <mergeCell ref="D1528:D1530"/>
    <mergeCell ref="E1528:E1530"/>
    <mergeCell ref="F1528:F1530"/>
    <mergeCell ref="G1524:G1526"/>
    <mergeCell ref="H1524:H1526"/>
    <mergeCell ref="I1524:I1526"/>
    <mergeCell ref="J1524:J1526"/>
    <mergeCell ref="K1524:K1526"/>
    <mergeCell ref="M1524:M1526"/>
    <mergeCell ref="N1516:N1517"/>
    <mergeCell ref="O1516:O1517"/>
    <mergeCell ref="P1516:P1517"/>
    <mergeCell ref="Q1516:Q1517"/>
    <mergeCell ref="A1524:A1526"/>
    <mergeCell ref="B1524:B1526"/>
    <mergeCell ref="C1524:C1526"/>
    <mergeCell ref="D1524:D1526"/>
    <mergeCell ref="E1524:E1526"/>
    <mergeCell ref="F1524:F1526"/>
    <mergeCell ref="G1516:G1517"/>
    <mergeCell ref="H1516:H1517"/>
    <mergeCell ref="I1516:I1517"/>
    <mergeCell ref="J1516:J1517"/>
    <mergeCell ref="K1516:K1517"/>
    <mergeCell ref="M1516:M1517"/>
    <mergeCell ref="N1514:N1515"/>
    <mergeCell ref="O1514:O1515"/>
    <mergeCell ref="P1514:P1515"/>
    <mergeCell ref="Q1514:Q1515"/>
    <mergeCell ref="A1516:A1517"/>
    <mergeCell ref="B1516:B1517"/>
    <mergeCell ref="C1516:C1517"/>
    <mergeCell ref="D1516:D1517"/>
    <mergeCell ref="E1516:E1517"/>
    <mergeCell ref="F1516:F1517"/>
    <mergeCell ref="G1514:G1515"/>
    <mergeCell ref="H1514:H1515"/>
    <mergeCell ref="I1514:I1515"/>
    <mergeCell ref="J1514:J1515"/>
    <mergeCell ref="K1514:K1515"/>
    <mergeCell ref="M1514:M1515"/>
    <mergeCell ref="N1512:N1513"/>
    <mergeCell ref="O1512:O1513"/>
    <mergeCell ref="P1512:P1513"/>
    <mergeCell ref="Q1512:Q1513"/>
    <mergeCell ref="A1514:A1515"/>
    <mergeCell ref="B1514:B1515"/>
    <mergeCell ref="C1514:C1515"/>
    <mergeCell ref="D1514:D1515"/>
    <mergeCell ref="E1514:E1515"/>
    <mergeCell ref="F1514:F1515"/>
    <mergeCell ref="G1512:G1513"/>
    <mergeCell ref="H1512:H1513"/>
    <mergeCell ref="I1512:I1513"/>
    <mergeCell ref="J1512:J1513"/>
    <mergeCell ref="K1512:K1513"/>
    <mergeCell ref="M1512:M1513"/>
    <mergeCell ref="N1504:N1506"/>
    <mergeCell ref="O1504:O1506"/>
    <mergeCell ref="P1504:P1506"/>
    <mergeCell ref="Q1504:Q1506"/>
    <mergeCell ref="A1512:A1513"/>
    <mergeCell ref="B1512:B1513"/>
    <mergeCell ref="C1512:C1513"/>
    <mergeCell ref="D1512:D1513"/>
    <mergeCell ref="E1512:E1513"/>
    <mergeCell ref="F1512:F1513"/>
    <mergeCell ref="G1504:G1506"/>
    <mergeCell ref="H1504:H1506"/>
    <mergeCell ref="I1504:I1506"/>
    <mergeCell ref="J1504:J1506"/>
    <mergeCell ref="K1504:K1506"/>
    <mergeCell ref="M1504:M1506"/>
    <mergeCell ref="N1499:N1501"/>
    <mergeCell ref="O1499:O1501"/>
    <mergeCell ref="P1499:P1501"/>
    <mergeCell ref="Q1499:Q1501"/>
    <mergeCell ref="A1504:A1506"/>
    <mergeCell ref="B1504:B1506"/>
    <mergeCell ref="C1504:C1506"/>
    <mergeCell ref="D1504:D1506"/>
    <mergeCell ref="E1504:E1506"/>
    <mergeCell ref="F1504:F1506"/>
    <mergeCell ref="G1499:G1501"/>
    <mergeCell ref="H1499:H1501"/>
    <mergeCell ref="I1499:I1501"/>
    <mergeCell ref="J1499:J1501"/>
    <mergeCell ref="K1499:K1501"/>
    <mergeCell ref="M1499:M1501"/>
    <mergeCell ref="N1494:N1496"/>
    <mergeCell ref="O1494:O1496"/>
    <mergeCell ref="P1494:P1496"/>
    <mergeCell ref="Q1494:Q1496"/>
    <mergeCell ref="A1499:A1501"/>
    <mergeCell ref="B1499:B1501"/>
    <mergeCell ref="C1499:C1501"/>
    <mergeCell ref="D1499:D1501"/>
    <mergeCell ref="E1499:E1501"/>
    <mergeCell ref="F1499:F1501"/>
    <mergeCell ref="G1494:G1496"/>
    <mergeCell ref="H1494:H1496"/>
    <mergeCell ref="I1494:I1496"/>
    <mergeCell ref="J1494:J1496"/>
    <mergeCell ref="K1494:K1496"/>
    <mergeCell ref="M1494:M1496"/>
    <mergeCell ref="N1473:N1475"/>
    <mergeCell ref="O1473:O1475"/>
    <mergeCell ref="P1473:P1475"/>
    <mergeCell ref="Q1473:Q1475"/>
    <mergeCell ref="A1494:A1496"/>
    <mergeCell ref="B1494:B1496"/>
    <mergeCell ref="C1494:C1496"/>
    <mergeCell ref="D1494:D1496"/>
    <mergeCell ref="E1494:E1496"/>
    <mergeCell ref="F1494:F1496"/>
    <mergeCell ref="G1473:G1475"/>
    <mergeCell ref="H1473:H1475"/>
    <mergeCell ref="I1473:I1475"/>
    <mergeCell ref="J1473:J1475"/>
    <mergeCell ref="K1473:K1475"/>
    <mergeCell ref="M1473:M1475"/>
    <mergeCell ref="N1468:N1470"/>
    <mergeCell ref="O1468:O1470"/>
    <mergeCell ref="P1468:P1470"/>
    <mergeCell ref="Q1468:Q1470"/>
    <mergeCell ref="A1473:A1475"/>
    <mergeCell ref="B1473:B1475"/>
    <mergeCell ref="C1473:C1475"/>
    <mergeCell ref="D1473:D1475"/>
    <mergeCell ref="E1473:E1475"/>
    <mergeCell ref="F1473:F1475"/>
    <mergeCell ref="G1468:G1470"/>
    <mergeCell ref="H1468:H1470"/>
    <mergeCell ref="I1468:I1470"/>
    <mergeCell ref="J1468:J1470"/>
    <mergeCell ref="K1468:K1470"/>
    <mergeCell ref="M1468:M1470"/>
    <mergeCell ref="N1460:N1461"/>
    <mergeCell ref="O1460:O1461"/>
    <mergeCell ref="P1460:P1461"/>
    <mergeCell ref="Q1460:Q1461"/>
    <mergeCell ref="A1468:A1470"/>
    <mergeCell ref="B1468:B1470"/>
    <mergeCell ref="C1468:C1470"/>
    <mergeCell ref="D1468:D1470"/>
    <mergeCell ref="E1468:E1470"/>
    <mergeCell ref="F1468:F1470"/>
    <mergeCell ref="G1460:G1461"/>
    <mergeCell ref="H1460:H1461"/>
    <mergeCell ref="I1460:I1461"/>
    <mergeCell ref="J1460:J1461"/>
    <mergeCell ref="K1460:K1461"/>
    <mergeCell ref="M1460:M1461"/>
    <mergeCell ref="N1458:N1459"/>
    <mergeCell ref="O1458:O1459"/>
    <mergeCell ref="P1458:P1459"/>
    <mergeCell ref="Q1458:Q1459"/>
    <mergeCell ref="A1460:A1461"/>
    <mergeCell ref="B1460:B1461"/>
    <mergeCell ref="C1460:C1461"/>
    <mergeCell ref="D1460:D1461"/>
    <mergeCell ref="E1460:E1461"/>
    <mergeCell ref="F1460:F1461"/>
    <mergeCell ref="G1458:G1459"/>
    <mergeCell ref="H1458:H1459"/>
    <mergeCell ref="I1458:I1459"/>
    <mergeCell ref="J1458:J1459"/>
    <mergeCell ref="K1458:K1459"/>
    <mergeCell ref="M1458:M1459"/>
    <mergeCell ref="N1456:N1457"/>
    <mergeCell ref="O1456:O1457"/>
    <mergeCell ref="P1456:P1457"/>
    <mergeCell ref="Q1456:Q1457"/>
    <mergeCell ref="A1458:A1459"/>
    <mergeCell ref="B1458:B1459"/>
    <mergeCell ref="C1458:C1459"/>
    <mergeCell ref="D1458:D1459"/>
    <mergeCell ref="E1458:E1459"/>
    <mergeCell ref="F1458:F1459"/>
    <mergeCell ref="G1456:G1457"/>
    <mergeCell ref="H1456:H1457"/>
    <mergeCell ref="I1456:I1457"/>
    <mergeCell ref="J1456:J1457"/>
    <mergeCell ref="K1456:K1457"/>
    <mergeCell ref="M1456:M1457"/>
    <mergeCell ref="N1449:N1451"/>
    <mergeCell ref="O1449:O1451"/>
    <mergeCell ref="P1449:P1451"/>
    <mergeCell ref="Q1449:Q1451"/>
    <mergeCell ref="A1456:A1457"/>
    <mergeCell ref="B1456:B1457"/>
    <mergeCell ref="C1456:C1457"/>
    <mergeCell ref="D1456:D1457"/>
    <mergeCell ref="E1456:E1457"/>
    <mergeCell ref="F1456:F1457"/>
    <mergeCell ref="G1449:G1451"/>
    <mergeCell ref="H1449:H1451"/>
    <mergeCell ref="I1449:I1451"/>
    <mergeCell ref="J1449:J1451"/>
    <mergeCell ref="K1449:K1451"/>
    <mergeCell ref="M1449:M1451"/>
    <mergeCell ref="N1444:N1446"/>
    <mergeCell ref="O1444:O1446"/>
    <mergeCell ref="P1444:P1446"/>
    <mergeCell ref="Q1444:Q1446"/>
    <mergeCell ref="A1449:A1451"/>
    <mergeCell ref="B1449:B1451"/>
    <mergeCell ref="C1449:C1451"/>
    <mergeCell ref="D1449:D1451"/>
    <mergeCell ref="E1449:E1451"/>
    <mergeCell ref="F1449:F1451"/>
    <mergeCell ref="G1444:G1446"/>
    <mergeCell ref="H1444:H1446"/>
    <mergeCell ref="I1444:I1446"/>
    <mergeCell ref="J1444:J1446"/>
    <mergeCell ref="K1444:K1446"/>
    <mergeCell ref="M1444:M1446"/>
    <mergeCell ref="N1384:N1386"/>
    <mergeCell ref="O1384:O1386"/>
    <mergeCell ref="P1384:P1386"/>
    <mergeCell ref="Q1384:Q1386"/>
    <mergeCell ref="A1444:A1446"/>
    <mergeCell ref="B1444:B1446"/>
    <mergeCell ref="C1444:C1446"/>
    <mergeCell ref="D1444:D1446"/>
    <mergeCell ref="E1444:E1446"/>
    <mergeCell ref="F1444:F1446"/>
    <mergeCell ref="G1384:G1386"/>
    <mergeCell ref="H1384:H1386"/>
    <mergeCell ref="I1384:I1386"/>
    <mergeCell ref="J1384:J1386"/>
    <mergeCell ref="K1384:K1386"/>
    <mergeCell ref="M1384:M1386"/>
    <mergeCell ref="N1374:N1375"/>
    <mergeCell ref="O1374:O1375"/>
    <mergeCell ref="P1374:P1375"/>
    <mergeCell ref="Q1374:Q1375"/>
    <mergeCell ref="A1384:A1386"/>
    <mergeCell ref="B1384:B1386"/>
    <mergeCell ref="C1384:C1386"/>
    <mergeCell ref="D1384:D1386"/>
    <mergeCell ref="E1384:E1386"/>
    <mergeCell ref="F1384:F1386"/>
    <mergeCell ref="G1374:G1375"/>
    <mergeCell ref="H1374:H1375"/>
    <mergeCell ref="I1374:I1375"/>
    <mergeCell ref="J1374:J1375"/>
    <mergeCell ref="K1374:K1375"/>
    <mergeCell ref="M1374:M1375"/>
    <mergeCell ref="N1372:N1373"/>
    <mergeCell ref="O1372:O1373"/>
    <mergeCell ref="P1372:P1373"/>
    <mergeCell ref="Q1372:Q1373"/>
    <mergeCell ref="A1374:A1375"/>
    <mergeCell ref="B1374:B1375"/>
    <mergeCell ref="C1374:C1375"/>
    <mergeCell ref="D1374:D1375"/>
    <mergeCell ref="E1374:E1375"/>
    <mergeCell ref="F1374:F1375"/>
    <mergeCell ref="G1372:G1373"/>
    <mergeCell ref="H1372:H1373"/>
    <mergeCell ref="I1372:I1373"/>
    <mergeCell ref="J1372:J1373"/>
    <mergeCell ref="K1372:K1373"/>
    <mergeCell ref="M1372:M1373"/>
    <mergeCell ref="N1363:N1365"/>
    <mergeCell ref="O1363:O1365"/>
    <mergeCell ref="P1363:P1365"/>
    <mergeCell ref="Q1363:Q1365"/>
    <mergeCell ref="A1372:A1373"/>
    <mergeCell ref="B1372:B1373"/>
    <mergeCell ref="C1372:C1373"/>
    <mergeCell ref="D1372:D1373"/>
    <mergeCell ref="E1372:E1373"/>
    <mergeCell ref="F1372:F1373"/>
    <mergeCell ref="G1363:G1365"/>
    <mergeCell ref="H1363:H1365"/>
    <mergeCell ref="I1363:I1365"/>
    <mergeCell ref="J1363:J1365"/>
    <mergeCell ref="K1363:K1365"/>
    <mergeCell ref="M1363:M1365"/>
    <mergeCell ref="N1344:N1346"/>
    <mergeCell ref="O1344:O1346"/>
    <mergeCell ref="P1344:P1346"/>
    <mergeCell ref="Q1344:Q1346"/>
    <mergeCell ref="A1363:A1365"/>
    <mergeCell ref="B1363:B1365"/>
    <mergeCell ref="C1363:C1365"/>
    <mergeCell ref="D1363:D1365"/>
    <mergeCell ref="E1363:E1365"/>
    <mergeCell ref="F1363:F1365"/>
    <mergeCell ref="G1344:G1346"/>
    <mergeCell ref="H1344:H1346"/>
    <mergeCell ref="I1344:I1346"/>
    <mergeCell ref="J1344:J1346"/>
    <mergeCell ref="K1344:K1346"/>
    <mergeCell ref="M1344:M1346"/>
    <mergeCell ref="N1312:N1314"/>
    <mergeCell ref="O1312:O1314"/>
    <mergeCell ref="P1312:P1314"/>
    <mergeCell ref="Q1312:Q1314"/>
    <mergeCell ref="A1344:A1346"/>
    <mergeCell ref="B1344:B1346"/>
    <mergeCell ref="C1344:C1346"/>
    <mergeCell ref="D1344:D1346"/>
    <mergeCell ref="E1344:E1346"/>
    <mergeCell ref="F1344:F1346"/>
    <mergeCell ref="G1312:G1314"/>
    <mergeCell ref="H1312:H1314"/>
    <mergeCell ref="I1312:I1314"/>
    <mergeCell ref="J1312:J1314"/>
    <mergeCell ref="K1312:K1314"/>
    <mergeCell ref="M1312:M1314"/>
    <mergeCell ref="N1249:N1251"/>
    <mergeCell ref="O1249:O1251"/>
    <mergeCell ref="P1249:P1251"/>
    <mergeCell ref="Q1249:Q1251"/>
    <mergeCell ref="A1312:A1314"/>
    <mergeCell ref="B1312:B1314"/>
    <mergeCell ref="C1312:C1314"/>
    <mergeCell ref="D1312:D1314"/>
    <mergeCell ref="E1312:E1314"/>
    <mergeCell ref="F1312:F1314"/>
    <mergeCell ref="G1249:G1251"/>
    <mergeCell ref="H1249:H1251"/>
    <mergeCell ref="I1249:I1251"/>
    <mergeCell ref="J1249:J1251"/>
    <mergeCell ref="K1249:K1251"/>
    <mergeCell ref="M1249:M1251"/>
    <mergeCell ref="N1232:N1234"/>
    <mergeCell ref="O1232:O1234"/>
    <mergeCell ref="P1232:P1234"/>
    <mergeCell ref="Q1232:Q1234"/>
    <mergeCell ref="A1249:A1251"/>
    <mergeCell ref="B1249:B1251"/>
    <mergeCell ref="C1249:C1251"/>
    <mergeCell ref="D1249:D1251"/>
    <mergeCell ref="E1249:E1251"/>
    <mergeCell ref="F1249:F1251"/>
    <mergeCell ref="G1232:G1234"/>
    <mergeCell ref="H1232:H1234"/>
    <mergeCell ref="I1232:I1234"/>
    <mergeCell ref="J1232:J1234"/>
    <mergeCell ref="K1232:K1234"/>
    <mergeCell ref="M1232:M1234"/>
    <mergeCell ref="N1176:N1178"/>
    <mergeCell ref="O1176:O1178"/>
    <mergeCell ref="P1176:P1178"/>
    <mergeCell ref="Q1176:Q1178"/>
    <mergeCell ref="A1232:A1234"/>
    <mergeCell ref="B1232:B1234"/>
    <mergeCell ref="C1232:C1234"/>
    <mergeCell ref="D1232:D1234"/>
    <mergeCell ref="E1232:E1234"/>
    <mergeCell ref="F1232:F1234"/>
    <mergeCell ref="G1176:G1178"/>
    <mergeCell ref="H1176:H1178"/>
    <mergeCell ref="I1176:I1178"/>
    <mergeCell ref="J1176:J1178"/>
    <mergeCell ref="K1176:K1178"/>
    <mergeCell ref="M1176:M1178"/>
    <mergeCell ref="N1168:N1170"/>
    <mergeCell ref="O1168:O1170"/>
    <mergeCell ref="P1168:P1170"/>
    <mergeCell ref="Q1168:Q1170"/>
    <mergeCell ref="A1176:A1178"/>
    <mergeCell ref="B1176:B1178"/>
    <mergeCell ref="C1176:C1178"/>
    <mergeCell ref="D1176:D1178"/>
    <mergeCell ref="E1176:E1178"/>
    <mergeCell ref="F1176:F1178"/>
    <mergeCell ref="G1168:G1170"/>
    <mergeCell ref="H1168:H1170"/>
    <mergeCell ref="I1168:I1170"/>
    <mergeCell ref="J1168:J1170"/>
    <mergeCell ref="K1168:K1170"/>
    <mergeCell ref="M1168:M1170"/>
    <mergeCell ref="N1143:N1147"/>
    <mergeCell ref="O1143:O1147"/>
    <mergeCell ref="P1143:P1147"/>
    <mergeCell ref="Q1143:Q1147"/>
    <mergeCell ref="A1168:A1170"/>
    <mergeCell ref="B1168:B1170"/>
    <mergeCell ref="C1168:C1170"/>
    <mergeCell ref="D1168:D1170"/>
    <mergeCell ref="E1168:E1170"/>
    <mergeCell ref="F1168:F1170"/>
    <mergeCell ref="G1143:G1147"/>
    <mergeCell ref="H1143:H1147"/>
    <mergeCell ref="I1143:I1147"/>
    <mergeCell ref="J1143:J1147"/>
    <mergeCell ref="K1143:K1147"/>
    <mergeCell ref="M1143:M1147"/>
    <mergeCell ref="N1139:N1141"/>
    <mergeCell ref="O1139:O1141"/>
    <mergeCell ref="P1139:P1141"/>
    <mergeCell ref="Q1139:Q1141"/>
    <mergeCell ref="A1143:A1147"/>
    <mergeCell ref="B1143:B1147"/>
    <mergeCell ref="C1143:C1147"/>
    <mergeCell ref="D1143:D1147"/>
    <mergeCell ref="E1143:E1147"/>
    <mergeCell ref="F1143:F1147"/>
    <mergeCell ref="G1139:G1141"/>
    <mergeCell ref="H1139:H1141"/>
    <mergeCell ref="I1139:I1141"/>
    <mergeCell ref="J1139:J1141"/>
    <mergeCell ref="K1139:K1141"/>
    <mergeCell ref="M1139:M1141"/>
    <mergeCell ref="N1135:N1137"/>
    <mergeCell ref="O1135:O1137"/>
    <mergeCell ref="P1135:P1137"/>
    <mergeCell ref="Q1135:Q1137"/>
    <mergeCell ref="A1139:A1141"/>
    <mergeCell ref="B1139:B1141"/>
    <mergeCell ref="C1139:C1141"/>
    <mergeCell ref="D1139:D1141"/>
    <mergeCell ref="E1139:E1141"/>
    <mergeCell ref="F1139:F1141"/>
    <mergeCell ref="G1135:G1137"/>
    <mergeCell ref="H1135:H1137"/>
    <mergeCell ref="I1135:I1137"/>
    <mergeCell ref="J1135:J1137"/>
    <mergeCell ref="K1135:K1137"/>
    <mergeCell ref="M1135:M1137"/>
    <mergeCell ref="N1131:N1133"/>
    <mergeCell ref="O1131:O1133"/>
    <mergeCell ref="P1131:P1133"/>
    <mergeCell ref="Q1131:Q1133"/>
    <mergeCell ref="A1135:A1137"/>
    <mergeCell ref="B1135:B1137"/>
    <mergeCell ref="C1135:C1137"/>
    <mergeCell ref="D1135:D1137"/>
    <mergeCell ref="E1135:E1137"/>
    <mergeCell ref="F1135:F1137"/>
    <mergeCell ref="G1131:G1133"/>
    <mergeCell ref="H1131:H1133"/>
    <mergeCell ref="I1131:I1133"/>
    <mergeCell ref="J1131:J1133"/>
    <mergeCell ref="K1131:K1133"/>
    <mergeCell ref="M1131:M1133"/>
    <mergeCell ref="N1127:N1129"/>
    <mergeCell ref="O1127:O1129"/>
    <mergeCell ref="P1127:P1129"/>
    <mergeCell ref="Q1127:Q1129"/>
    <mergeCell ref="A1131:A1133"/>
    <mergeCell ref="B1131:B1133"/>
    <mergeCell ref="C1131:C1133"/>
    <mergeCell ref="D1131:D1133"/>
    <mergeCell ref="E1131:E1133"/>
    <mergeCell ref="F1131:F1133"/>
    <mergeCell ref="G1127:G1129"/>
    <mergeCell ref="H1127:H1129"/>
    <mergeCell ref="I1127:I1129"/>
    <mergeCell ref="J1127:J1129"/>
    <mergeCell ref="K1127:K1129"/>
    <mergeCell ref="M1127:M1129"/>
    <mergeCell ref="N1113:N1123"/>
    <mergeCell ref="O1113:O1123"/>
    <mergeCell ref="P1113:P1123"/>
    <mergeCell ref="Q1113:Q1123"/>
    <mergeCell ref="A1127:A1129"/>
    <mergeCell ref="B1127:B1129"/>
    <mergeCell ref="C1127:C1129"/>
    <mergeCell ref="D1127:D1129"/>
    <mergeCell ref="E1127:E1129"/>
    <mergeCell ref="F1127:F1129"/>
    <mergeCell ref="H1113:H1123"/>
    <mergeCell ref="I1113:I1123"/>
    <mergeCell ref="J1113:J1123"/>
    <mergeCell ref="K1113:K1123"/>
    <mergeCell ref="L1113:L1123"/>
    <mergeCell ref="M1113:M1123"/>
    <mergeCell ref="N1104:N1108"/>
    <mergeCell ref="O1104:O1108"/>
    <mergeCell ref="P1104:P1108"/>
    <mergeCell ref="Q1104:Q1108"/>
    <mergeCell ref="A1113:A1123"/>
    <mergeCell ref="B1113:B1123"/>
    <mergeCell ref="C1113:C1123"/>
    <mergeCell ref="D1113:D1123"/>
    <mergeCell ref="E1113:E1123"/>
    <mergeCell ref="F1113:F1123"/>
    <mergeCell ref="G1104:G1108"/>
    <mergeCell ref="H1104:H1108"/>
    <mergeCell ref="I1104:I1108"/>
    <mergeCell ref="J1104:J1108"/>
    <mergeCell ref="K1104:K1108"/>
    <mergeCell ref="M1104:M1108"/>
    <mergeCell ref="N1098:N1102"/>
    <mergeCell ref="O1098:O1102"/>
    <mergeCell ref="P1098:P1102"/>
    <mergeCell ref="Q1098:Q1102"/>
    <mergeCell ref="A1104:A1108"/>
    <mergeCell ref="B1104:B1108"/>
    <mergeCell ref="C1104:C1108"/>
    <mergeCell ref="D1104:D1108"/>
    <mergeCell ref="E1104:E1108"/>
    <mergeCell ref="F1104:F1108"/>
    <mergeCell ref="G1098:G1102"/>
    <mergeCell ref="H1098:H1102"/>
    <mergeCell ref="I1098:I1102"/>
    <mergeCell ref="J1098:J1102"/>
    <mergeCell ref="K1098:K1102"/>
    <mergeCell ref="M1098:M1102"/>
    <mergeCell ref="N1093:N1097"/>
    <mergeCell ref="O1093:O1097"/>
    <mergeCell ref="P1093:P1097"/>
    <mergeCell ref="Q1093:Q1097"/>
    <mergeCell ref="A1098:A1102"/>
    <mergeCell ref="B1098:B1102"/>
    <mergeCell ref="C1098:C1102"/>
    <mergeCell ref="D1098:D1102"/>
    <mergeCell ref="E1098:E1102"/>
    <mergeCell ref="F1098:F1102"/>
    <mergeCell ref="G1093:G1097"/>
    <mergeCell ref="H1093:H1097"/>
    <mergeCell ref="I1093:I1097"/>
    <mergeCell ref="J1093:J1097"/>
    <mergeCell ref="K1093:K1097"/>
    <mergeCell ref="M1093:M1097"/>
    <mergeCell ref="N1088:N1092"/>
    <mergeCell ref="O1088:O1092"/>
    <mergeCell ref="P1088:P1092"/>
    <mergeCell ref="Q1088:Q1092"/>
    <mergeCell ref="A1093:A1097"/>
    <mergeCell ref="B1093:B1097"/>
    <mergeCell ref="C1093:C1097"/>
    <mergeCell ref="D1093:D1097"/>
    <mergeCell ref="E1093:E1097"/>
    <mergeCell ref="F1093:F1097"/>
    <mergeCell ref="G1088:G1092"/>
    <mergeCell ref="H1088:H1092"/>
    <mergeCell ref="I1088:I1092"/>
    <mergeCell ref="J1088:J1092"/>
    <mergeCell ref="K1088:K1092"/>
    <mergeCell ref="M1088:M1092"/>
    <mergeCell ref="N1083:N1087"/>
    <mergeCell ref="O1083:O1087"/>
    <mergeCell ref="P1083:P1087"/>
    <mergeCell ref="Q1083:Q1087"/>
    <mergeCell ref="A1088:A1092"/>
    <mergeCell ref="B1088:B1092"/>
    <mergeCell ref="C1088:C1092"/>
    <mergeCell ref="D1088:D1092"/>
    <mergeCell ref="E1088:E1092"/>
    <mergeCell ref="F1088:F1092"/>
    <mergeCell ref="G1083:G1087"/>
    <mergeCell ref="H1083:H1087"/>
    <mergeCell ref="I1083:I1087"/>
    <mergeCell ref="J1083:J1087"/>
    <mergeCell ref="K1083:K1087"/>
    <mergeCell ref="M1083:M1087"/>
    <mergeCell ref="N1078:N1082"/>
    <mergeCell ref="O1078:O1082"/>
    <mergeCell ref="P1078:P1082"/>
    <mergeCell ref="Q1078:Q1082"/>
    <mergeCell ref="A1083:A1087"/>
    <mergeCell ref="B1083:B1087"/>
    <mergeCell ref="C1083:C1087"/>
    <mergeCell ref="D1083:D1087"/>
    <mergeCell ref="E1083:E1087"/>
    <mergeCell ref="F1083:F1087"/>
    <mergeCell ref="G1078:G1082"/>
    <mergeCell ref="H1078:H1082"/>
    <mergeCell ref="I1078:I1082"/>
    <mergeCell ref="J1078:J1082"/>
    <mergeCell ref="K1078:K1082"/>
    <mergeCell ref="M1078:M1082"/>
    <mergeCell ref="N1057:N1059"/>
    <mergeCell ref="O1057:O1059"/>
    <mergeCell ref="P1057:P1059"/>
    <mergeCell ref="Q1057:Q1059"/>
    <mergeCell ref="A1078:A1082"/>
    <mergeCell ref="B1078:B1082"/>
    <mergeCell ref="C1078:C1082"/>
    <mergeCell ref="D1078:D1082"/>
    <mergeCell ref="E1078:E1082"/>
    <mergeCell ref="F1078:F1082"/>
    <mergeCell ref="G1057:G1059"/>
    <mergeCell ref="H1057:H1059"/>
    <mergeCell ref="I1057:I1059"/>
    <mergeCell ref="J1057:J1059"/>
    <mergeCell ref="K1057:K1059"/>
    <mergeCell ref="M1057:M1059"/>
    <mergeCell ref="N1053:N1055"/>
    <mergeCell ref="O1053:O1055"/>
    <mergeCell ref="P1053:P1055"/>
    <mergeCell ref="Q1053:Q1055"/>
    <mergeCell ref="A1057:A1059"/>
    <mergeCell ref="B1057:B1059"/>
    <mergeCell ref="C1057:C1059"/>
    <mergeCell ref="D1057:D1059"/>
    <mergeCell ref="E1057:E1059"/>
    <mergeCell ref="F1057:F1059"/>
    <mergeCell ref="G1053:G1055"/>
    <mergeCell ref="H1053:H1055"/>
    <mergeCell ref="I1053:I1055"/>
    <mergeCell ref="J1053:J1055"/>
    <mergeCell ref="K1053:K1055"/>
    <mergeCell ref="M1053:M1055"/>
    <mergeCell ref="N1045:N1046"/>
    <mergeCell ref="O1045:O1046"/>
    <mergeCell ref="P1045:P1046"/>
    <mergeCell ref="Q1045:Q1046"/>
    <mergeCell ref="A1053:A1055"/>
    <mergeCell ref="B1053:B1055"/>
    <mergeCell ref="C1053:C1055"/>
    <mergeCell ref="D1053:D1055"/>
    <mergeCell ref="E1053:E1055"/>
    <mergeCell ref="F1053:F1055"/>
    <mergeCell ref="G1045:G1046"/>
    <mergeCell ref="H1045:H1046"/>
    <mergeCell ref="I1045:I1046"/>
    <mergeCell ref="J1045:J1046"/>
    <mergeCell ref="K1045:K1046"/>
    <mergeCell ref="M1045:M1046"/>
    <mergeCell ref="N1043:N1044"/>
    <mergeCell ref="O1043:O1044"/>
    <mergeCell ref="P1043:P1044"/>
    <mergeCell ref="Q1043:Q1044"/>
    <mergeCell ref="A1045:A1046"/>
    <mergeCell ref="B1045:B1046"/>
    <mergeCell ref="C1045:C1046"/>
    <mergeCell ref="D1045:D1046"/>
    <mergeCell ref="E1045:E1046"/>
    <mergeCell ref="F1045:F1046"/>
    <mergeCell ref="G1043:G1044"/>
    <mergeCell ref="H1043:H1044"/>
    <mergeCell ref="I1043:I1044"/>
    <mergeCell ref="J1043:J1044"/>
    <mergeCell ref="K1043:K1044"/>
    <mergeCell ref="M1043:M1044"/>
    <mergeCell ref="N1041:N1042"/>
    <mergeCell ref="O1041:O1042"/>
    <mergeCell ref="P1041:P1042"/>
    <mergeCell ref="Q1041:Q1042"/>
    <mergeCell ref="A1043:A1044"/>
    <mergeCell ref="B1043:B1044"/>
    <mergeCell ref="C1043:C1044"/>
    <mergeCell ref="D1043:D1044"/>
    <mergeCell ref="E1043:E1044"/>
    <mergeCell ref="F1043:F1044"/>
    <mergeCell ref="G1041:G1042"/>
    <mergeCell ref="H1041:H1042"/>
    <mergeCell ref="I1041:I1042"/>
    <mergeCell ref="J1041:J1042"/>
    <mergeCell ref="K1041:K1042"/>
    <mergeCell ref="M1041:M1042"/>
    <mergeCell ref="N1017:N1025"/>
    <mergeCell ref="O1017:O1025"/>
    <mergeCell ref="P1017:P1025"/>
    <mergeCell ref="Q1017:Q1025"/>
    <mergeCell ref="A1041:A1042"/>
    <mergeCell ref="B1041:B1042"/>
    <mergeCell ref="C1041:C1042"/>
    <mergeCell ref="D1041:D1042"/>
    <mergeCell ref="E1041:E1042"/>
    <mergeCell ref="F1041:F1042"/>
    <mergeCell ref="G1017:G1025"/>
    <mergeCell ref="H1017:H1025"/>
    <mergeCell ref="I1017:I1025"/>
    <mergeCell ref="J1017:J1025"/>
    <mergeCell ref="K1017:K1025"/>
    <mergeCell ref="M1017:M1025"/>
    <mergeCell ref="N1011:N1013"/>
    <mergeCell ref="O1011:O1013"/>
    <mergeCell ref="P1011:P1013"/>
    <mergeCell ref="Q1011:Q1013"/>
    <mergeCell ref="A1017:A1025"/>
    <mergeCell ref="B1017:B1025"/>
    <mergeCell ref="C1017:C1025"/>
    <mergeCell ref="D1017:D1025"/>
    <mergeCell ref="E1017:E1025"/>
    <mergeCell ref="F1017:F1025"/>
    <mergeCell ref="G1011:G1013"/>
    <mergeCell ref="H1011:H1013"/>
    <mergeCell ref="I1011:I1013"/>
    <mergeCell ref="J1011:J1013"/>
    <mergeCell ref="K1011:K1013"/>
    <mergeCell ref="M1011:M1013"/>
    <mergeCell ref="N971:N972"/>
    <mergeCell ref="O971:O972"/>
    <mergeCell ref="P971:P972"/>
    <mergeCell ref="Q971:Q972"/>
    <mergeCell ref="A1011:A1013"/>
    <mergeCell ref="B1011:B1013"/>
    <mergeCell ref="C1011:C1013"/>
    <mergeCell ref="D1011:D1013"/>
    <mergeCell ref="E1011:E1013"/>
    <mergeCell ref="F1011:F1013"/>
    <mergeCell ref="G971:G972"/>
    <mergeCell ref="H971:H972"/>
    <mergeCell ref="I971:I972"/>
    <mergeCell ref="J971:J972"/>
    <mergeCell ref="K971:K972"/>
    <mergeCell ref="M971:M972"/>
    <mergeCell ref="N969:N970"/>
    <mergeCell ref="O969:O970"/>
    <mergeCell ref="P969:P970"/>
    <mergeCell ref="Q969:Q970"/>
    <mergeCell ref="A971:A972"/>
    <mergeCell ref="B971:B972"/>
    <mergeCell ref="C971:C972"/>
    <mergeCell ref="D971:D972"/>
    <mergeCell ref="E971:E972"/>
    <mergeCell ref="F971:F972"/>
    <mergeCell ref="G969:G970"/>
    <mergeCell ref="H969:H970"/>
    <mergeCell ref="I969:I970"/>
    <mergeCell ref="J969:J970"/>
    <mergeCell ref="K969:K970"/>
    <mergeCell ref="M969:M970"/>
    <mergeCell ref="N967:N968"/>
    <mergeCell ref="O967:O968"/>
    <mergeCell ref="P967:P968"/>
    <mergeCell ref="Q967:Q968"/>
    <mergeCell ref="A969:A970"/>
    <mergeCell ref="B969:B970"/>
    <mergeCell ref="C969:C970"/>
    <mergeCell ref="D969:D970"/>
    <mergeCell ref="E969:E970"/>
    <mergeCell ref="F969:F970"/>
    <mergeCell ref="G967:G968"/>
    <mergeCell ref="H967:H968"/>
    <mergeCell ref="I967:I968"/>
    <mergeCell ref="J967:J968"/>
    <mergeCell ref="K967:K968"/>
    <mergeCell ref="M967:M968"/>
    <mergeCell ref="N948:N950"/>
    <mergeCell ref="O948:O950"/>
    <mergeCell ref="P948:P950"/>
    <mergeCell ref="Q948:Q950"/>
    <mergeCell ref="A967:A968"/>
    <mergeCell ref="B967:B968"/>
    <mergeCell ref="C967:C968"/>
    <mergeCell ref="D967:D968"/>
    <mergeCell ref="E967:E968"/>
    <mergeCell ref="F967:F968"/>
    <mergeCell ref="G948:G950"/>
    <mergeCell ref="H948:H950"/>
    <mergeCell ref="I948:I950"/>
    <mergeCell ref="J948:J950"/>
    <mergeCell ref="K948:K950"/>
    <mergeCell ref="M948:M950"/>
    <mergeCell ref="N935:N943"/>
    <mergeCell ref="O935:O943"/>
    <mergeCell ref="P935:P943"/>
    <mergeCell ref="Q935:Q943"/>
    <mergeCell ref="A948:A950"/>
    <mergeCell ref="B948:B950"/>
    <mergeCell ref="C948:C950"/>
    <mergeCell ref="D948:D950"/>
    <mergeCell ref="E948:E950"/>
    <mergeCell ref="F948:F950"/>
    <mergeCell ref="G935:G943"/>
    <mergeCell ref="H935:H943"/>
    <mergeCell ref="I935:I943"/>
    <mergeCell ref="J935:J943"/>
    <mergeCell ref="K935:K943"/>
    <mergeCell ref="M935:M943"/>
    <mergeCell ref="N929:N931"/>
    <mergeCell ref="O929:O931"/>
    <mergeCell ref="P929:P931"/>
    <mergeCell ref="Q929:Q931"/>
    <mergeCell ref="A935:A943"/>
    <mergeCell ref="B935:B943"/>
    <mergeCell ref="C935:C943"/>
    <mergeCell ref="D935:D943"/>
    <mergeCell ref="E935:E943"/>
    <mergeCell ref="F935:F943"/>
    <mergeCell ref="G929:G931"/>
    <mergeCell ref="H929:H931"/>
    <mergeCell ref="I929:I931"/>
    <mergeCell ref="J929:J931"/>
    <mergeCell ref="K929:K931"/>
    <mergeCell ref="M929:M931"/>
    <mergeCell ref="N839:N841"/>
    <mergeCell ref="O839:O841"/>
    <mergeCell ref="P839:P841"/>
    <mergeCell ref="Q839:Q841"/>
    <mergeCell ref="A929:A931"/>
    <mergeCell ref="B929:B931"/>
    <mergeCell ref="C929:C931"/>
    <mergeCell ref="D929:D931"/>
    <mergeCell ref="E929:E931"/>
    <mergeCell ref="F929:F931"/>
    <mergeCell ref="G839:G841"/>
    <mergeCell ref="H839:H841"/>
    <mergeCell ref="I839:I841"/>
    <mergeCell ref="J839:J841"/>
    <mergeCell ref="K839:K841"/>
    <mergeCell ref="M839:M841"/>
    <mergeCell ref="N832:N833"/>
    <mergeCell ref="O832:O833"/>
    <mergeCell ref="P832:P833"/>
    <mergeCell ref="Q832:Q833"/>
    <mergeCell ref="A839:A841"/>
    <mergeCell ref="B839:B841"/>
    <mergeCell ref="C839:C841"/>
    <mergeCell ref="D839:D841"/>
    <mergeCell ref="E839:E841"/>
    <mergeCell ref="F839:F841"/>
    <mergeCell ref="G832:G833"/>
    <mergeCell ref="H832:H833"/>
    <mergeCell ref="I832:I833"/>
    <mergeCell ref="J832:J833"/>
    <mergeCell ref="K832:K833"/>
    <mergeCell ref="M832:M833"/>
    <mergeCell ref="N812:N814"/>
    <mergeCell ref="O812:O814"/>
    <mergeCell ref="P812:P814"/>
    <mergeCell ref="Q812:Q814"/>
    <mergeCell ref="A832:A833"/>
    <mergeCell ref="B832:B833"/>
    <mergeCell ref="C832:C833"/>
    <mergeCell ref="D832:D833"/>
    <mergeCell ref="E832:E833"/>
    <mergeCell ref="F832:F833"/>
    <mergeCell ref="G812:G814"/>
    <mergeCell ref="H812:H814"/>
    <mergeCell ref="I812:I814"/>
    <mergeCell ref="J812:J814"/>
    <mergeCell ref="K812:K814"/>
    <mergeCell ref="M812:M814"/>
    <mergeCell ref="N768:N776"/>
    <mergeCell ref="O768:O776"/>
    <mergeCell ref="P768:P776"/>
    <mergeCell ref="Q768:Q776"/>
    <mergeCell ref="A812:A814"/>
    <mergeCell ref="B812:B814"/>
    <mergeCell ref="C812:C814"/>
    <mergeCell ref="D812:D814"/>
    <mergeCell ref="E812:E814"/>
    <mergeCell ref="F812:F814"/>
    <mergeCell ref="G768:G776"/>
    <mergeCell ref="H768:H776"/>
    <mergeCell ref="I768:I776"/>
    <mergeCell ref="J768:J776"/>
    <mergeCell ref="K768:K776"/>
    <mergeCell ref="M768:M776"/>
    <mergeCell ref="N762:N764"/>
    <mergeCell ref="O762:O764"/>
    <mergeCell ref="P762:P764"/>
    <mergeCell ref="Q762:Q764"/>
    <mergeCell ref="A768:A776"/>
    <mergeCell ref="B768:B776"/>
    <mergeCell ref="C768:C776"/>
    <mergeCell ref="D768:D776"/>
    <mergeCell ref="E768:E776"/>
    <mergeCell ref="F768:F776"/>
    <mergeCell ref="G762:G764"/>
    <mergeCell ref="H762:H764"/>
    <mergeCell ref="I762:I764"/>
    <mergeCell ref="J762:J764"/>
    <mergeCell ref="K762:K764"/>
    <mergeCell ref="M762:M764"/>
    <mergeCell ref="N709:N711"/>
    <mergeCell ref="O709:O711"/>
    <mergeCell ref="P709:P711"/>
    <mergeCell ref="Q709:Q711"/>
    <mergeCell ref="A762:A764"/>
    <mergeCell ref="B762:B764"/>
    <mergeCell ref="C762:C764"/>
    <mergeCell ref="D762:D764"/>
    <mergeCell ref="E762:E764"/>
    <mergeCell ref="F762:F764"/>
    <mergeCell ref="G709:G711"/>
    <mergeCell ref="H709:H711"/>
    <mergeCell ref="I709:I711"/>
    <mergeCell ref="J709:J711"/>
    <mergeCell ref="K709:K711"/>
    <mergeCell ref="M709:M711"/>
    <mergeCell ref="N706:N708"/>
    <mergeCell ref="O706:O708"/>
    <mergeCell ref="P706:P708"/>
    <mergeCell ref="Q706:Q708"/>
    <mergeCell ref="A709:A711"/>
    <mergeCell ref="B709:B711"/>
    <mergeCell ref="C709:C711"/>
    <mergeCell ref="D709:D711"/>
    <mergeCell ref="E709:E711"/>
    <mergeCell ref="F709:F711"/>
    <mergeCell ref="G706:G708"/>
    <mergeCell ref="H706:H708"/>
    <mergeCell ref="I706:I708"/>
    <mergeCell ref="J706:J708"/>
    <mergeCell ref="K706:K708"/>
    <mergeCell ref="M706:M708"/>
    <mergeCell ref="N659:N661"/>
    <mergeCell ref="O659:O661"/>
    <mergeCell ref="P659:P661"/>
    <mergeCell ref="Q659:Q661"/>
    <mergeCell ref="A706:A708"/>
    <mergeCell ref="B706:B708"/>
    <mergeCell ref="C706:C708"/>
    <mergeCell ref="D706:D708"/>
    <mergeCell ref="E706:E708"/>
    <mergeCell ref="F706:F708"/>
    <mergeCell ref="G659:G661"/>
    <mergeCell ref="H659:H661"/>
    <mergeCell ref="I659:I661"/>
    <mergeCell ref="J659:J661"/>
    <mergeCell ref="K659:K661"/>
    <mergeCell ref="M659:M661"/>
    <mergeCell ref="N655:N657"/>
    <mergeCell ref="O655:O657"/>
    <mergeCell ref="P655:P657"/>
    <mergeCell ref="Q655:Q657"/>
    <mergeCell ref="A659:A661"/>
    <mergeCell ref="B659:B661"/>
    <mergeCell ref="C659:C661"/>
    <mergeCell ref="D659:D661"/>
    <mergeCell ref="E659:E661"/>
    <mergeCell ref="F659:F661"/>
    <mergeCell ref="G655:G657"/>
    <mergeCell ref="H655:H657"/>
    <mergeCell ref="I655:I657"/>
    <mergeCell ref="J655:J657"/>
    <mergeCell ref="K655:K657"/>
    <mergeCell ref="M655:M657"/>
    <mergeCell ref="N634:N636"/>
    <mergeCell ref="O634:O636"/>
    <mergeCell ref="P634:P636"/>
    <mergeCell ref="Q634:Q636"/>
    <mergeCell ref="A655:A657"/>
    <mergeCell ref="B655:B657"/>
    <mergeCell ref="C655:C657"/>
    <mergeCell ref="D655:D657"/>
    <mergeCell ref="E655:E657"/>
    <mergeCell ref="F655:F657"/>
    <mergeCell ref="G634:G636"/>
    <mergeCell ref="H634:H636"/>
    <mergeCell ref="I634:I636"/>
    <mergeCell ref="J634:J636"/>
    <mergeCell ref="K634:K636"/>
    <mergeCell ref="M634:M636"/>
    <mergeCell ref="N621:N623"/>
    <mergeCell ref="O621:O623"/>
    <mergeCell ref="P621:P623"/>
    <mergeCell ref="Q621:Q623"/>
    <mergeCell ref="A634:A636"/>
    <mergeCell ref="B634:B636"/>
    <mergeCell ref="C634:C636"/>
    <mergeCell ref="D634:D636"/>
    <mergeCell ref="E634:E636"/>
    <mergeCell ref="F634:F636"/>
    <mergeCell ref="G621:G623"/>
    <mergeCell ref="H621:H623"/>
    <mergeCell ref="I621:I623"/>
    <mergeCell ref="J621:J623"/>
    <mergeCell ref="K621:K623"/>
    <mergeCell ref="M621:M623"/>
    <mergeCell ref="N611:N613"/>
    <mergeCell ref="O611:O613"/>
    <mergeCell ref="P611:P613"/>
    <mergeCell ref="Q611:Q613"/>
    <mergeCell ref="A621:A623"/>
    <mergeCell ref="B621:B623"/>
    <mergeCell ref="C621:C623"/>
    <mergeCell ref="D621:D623"/>
    <mergeCell ref="E621:E623"/>
    <mergeCell ref="F621:F623"/>
    <mergeCell ref="G611:G613"/>
    <mergeCell ref="H611:H613"/>
    <mergeCell ref="I611:I613"/>
    <mergeCell ref="J611:J613"/>
    <mergeCell ref="K611:K613"/>
    <mergeCell ref="M611:M613"/>
    <mergeCell ref="N580:N581"/>
    <mergeCell ref="O580:O581"/>
    <mergeCell ref="P580:P581"/>
    <mergeCell ref="Q580:Q581"/>
    <mergeCell ref="A611:A613"/>
    <mergeCell ref="B611:B613"/>
    <mergeCell ref="C611:C613"/>
    <mergeCell ref="D611:D613"/>
    <mergeCell ref="E611:E613"/>
    <mergeCell ref="F611:F613"/>
    <mergeCell ref="G580:G581"/>
    <mergeCell ref="H580:H581"/>
    <mergeCell ref="I580:I581"/>
    <mergeCell ref="J580:J581"/>
    <mergeCell ref="K580:K581"/>
    <mergeCell ref="M580:M581"/>
    <mergeCell ref="N578:N579"/>
    <mergeCell ref="O578:O579"/>
    <mergeCell ref="P578:P579"/>
    <mergeCell ref="Q578:Q579"/>
    <mergeCell ref="A580:A581"/>
    <mergeCell ref="B580:B581"/>
    <mergeCell ref="C580:C581"/>
    <mergeCell ref="D580:D581"/>
    <mergeCell ref="E580:E581"/>
    <mergeCell ref="F580:F581"/>
    <mergeCell ref="G578:G579"/>
    <mergeCell ref="H578:H579"/>
    <mergeCell ref="I578:I579"/>
    <mergeCell ref="J578:J579"/>
    <mergeCell ref="K578:K579"/>
    <mergeCell ref="M578:M579"/>
    <mergeCell ref="N576:N577"/>
    <mergeCell ref="O576:O577"/>
    <mergeCell ref="P576:P577"/>
    <mergeCell ref="Q576:Q577"/>
    <mergeCell ref="A578:A579"/>
    <mergeCell ref="B578:B579"/>
    <mergeCell ref="C578:C579"/>
    <mergeCell ref="D578:D579"/>
    <mergeCell ref="E578:E579"/>
    <mergeCell ref="F578:F579"/>
    <mergeCell ref="G576:G577"/>
    <mergeCell ref="H576:H577"/>
    <mergeCell ref="I576:I577"/>
    <mergeCell ref="J576:J577"/>
    <mergeCell ref="K576:K577"/>
    <mergeCell ref="M576:M577"/>
    <mergeCell ref="N565:N567"/>
    <mergeCell ref="O565:O567"/>
    <mergeCell ref="P565:P567"/>
    <mergeCell ref="Q565:Q567"/>
    <mergeCell ref="A576:A577"/>
    <mergeCell ref="B576:B577"/>
    <mergeCell ref="C576:C577"/>
    <mergeCell ref="D576:D577"/>
    <mergeCell ref="E576:E577"/>
    <mergeCell ref="F576:F577"/>
    <mergeCell ref="G565:G567"/>
    <mergeCell ref="H565:H567"/>
    <mergeCell ref="I565:I567"/>
    <mergeCell ref="J565:J567"/>
    <mergeCell ref="K565:K567"/>
    <mergeCell ref="M565:M567"/>
    <mergeCell ref="N484:N488"/>
    <mergeCell ref="O484:O488"/>
    <mergeCell ref="P484:P488"/>
    <mergeCell ref="Q484:Q488"/>
    <mergeCell ref="A565:A567"/>
    <mergeCell ref="B565:B567"/>
    <mergeCell ref="C565:C567"/>
    <mergeCell ref="D565:D567"/>
    <mergeCell ref="E565:E567"/>
    <mergeCell ref="F565:F567"/>
    <mergeCell ref="G484:G488"/>
    <mergeCell ref="H484:H488"/>
    <mergeCell ref="I484:I488"/>
    <mergeCell ref="J484:J488"/>
    <mergeCell ref="K484:K488"/>
    <mergeCell ref="M484:M488"/>
    <mergeCell ref="N479:N483"/>
    <mergeCell ref="O479:O483"/>
    <mergeCell ref="P479:P483"/>
    <mergeCell ref="Q479:Q483"/>
    <mergeCell ref="A484:A488"/>
    <mergeCell ref="B484:B488"/>
    <mergeCell ref="C484:C488"/>
    <mergeCell ref="D484:D488"/>
    <mergeCell ref="E484:E488"/>
    <mergeCell ref="F484:F488"/>
    <mergeCell ref="G479:G483"/>
    <mergeCell ref="H479:H483"/>
    <mergeCell ref="I479:I483"/>
    <mergeCell ref="J479:J483"/>
    <mergeCell ref="K479:K483"/>
    <mergeCell ref="M479:M483"/>
    <mergeCell ref="N474:N478"/>
    <mergeCell ref="O474:O478"/>
    <mergeCell ref="P474:P478"/>
    <mergeCell ref="Q474:Q478"/>
    <mergeCell ref="A479:A483"/>
    <mergeCell ref="B479:B483"/>
    <mergeCell ref="C479:C483"/>
    <mergeCell ref="D479:D483"/>
    <mergeCell ref="E479:E483"/>
    <mergeCell ref="F479:F483"/>
    <mergeCell ref="G474:G478"/>
    <mergeCell ref="H474:H478"/>
    <mergeCell ref="I474:I478"/>
    <mergeCell ref="J474:J478"/>
    <mergeCell ref="K474:K478"/>
    <mergeCell ref="M474:M478"/>
    <mergeCell ref="N469:N473"/>
    <mergeCell ref="O469:O473"/>
    <mergeCell ref="P469:P473"/>
    <mergeCell ref="Q469:Q473"/>
    <mergeCell ref="A474:A478"/>
    <mergeCell ref="B474:B478"/>
    <mergeCell ref="C474:C478"/>
    <mergeCell ref="D474:D478"/>
    <mergeCell ref="E474:E478"/>
    <mergeCell ref="F474:F478"/>
    <mergeCell ref="G469:G473"/>
    <mergeCell ref="H469:H473"/>
    <mergeCell ref="I469:I473"/>
    <mergeCell ref="J469:J473"/>
    <mergeCell ref="K469:K473"/>
    <mergeCell ref="M469:M473"/>
    <mergeCell ref="N464:N468"/>
    <mergeCell ref="O464:O468"/>
    <mergeCell ref="P464:P468"/>
    <mergeCell ref="Q464:Q468"/>
    <mergeCell ref="A469:A473"/>
    <mergeCell ref="B469:B473"/>
    <mergeCell ref="C469:C473"/>
    <mergeCell ref="D469:D473"/>
    <mergeCell ref="E469:E473"/>
    <mergeCell ref="F469:F473"/>
    <mergeCell ref="G464:G468"/>
    <mergeCell ref="H464:H468"/>
    <mergeCell ref="I464:I468"/>
    <mergeCell ref="J464:J468"/>
    <mergeCell ref="K464:K468"/>
    <mergeCell ref="M464:M468"/>
    <mergeCell ref="N459:N463"/>
    <mergeCell ref="O459:O463"/>
    <mergeCell ref="P459:P463"/>
    <mergeCell ref="Q459:Q463"/>
    <mergeCell ref="A464:A468"/>
    <mergeCell ref="B464:B468"/>
    <mergeCell ref="C464:C468"/>
    <mergeCell ref="D464:D468"/>
    <mergeCell ref="E464:E468"/>
    <mergeCell ref="F464:F468"/>
    <mergeCell ref="G459:G463"/>
    <mergeCell ref="H459:H463"/>
    <mergeCell ref="I459:I463"/>
    <mergeCell ref="J459:J463"/>
    <mergeCell ref="K459:K463"/>
    <mergeCell ref="M459:M463"/>
    <mergeCell ref="N439:N441"/>
    <mergeCell ref="O439:O441"/>
    <mergeCell ref="P439:P441"/>
    <mergeCell ref="Q439:Q441"/>
    <mergeCell ref="A459:A463"/>
    <mergeCell ref="B459:B463"/>
    <mergeCell ref="C459:C463"/>
    <mergeCell ref="D459:D463"/>
    <mergeCell ref="E459:E463"/>
    <mergeCell ref="F459:F463"/>
    <mergeCell ref="G439:G441"/>
    <mergeCell ref="H439:H441"/>
    <mergeCell ref="I439:I441"/>
    <mergeCell ref="J439:J441"/>
    <mergeCell ref="K439:K441"/>
    <mergeCell ref="M439:M441"/>
    <mergeCell ref="N430:N431"/>
    <mergeCell ref="O430:O431"/>
    <mergeCell ref="P430:P431"/>
    <mergeCell ref="Q430:Q431"/>
    <mergeCell ref="A439:A441"/>
    <mergeCell ref="B439:B441"/>
    <mergeCell ref="C439:C441"/>
    <mergeCell ref="D439:D441"/>
    <mergeCell ref="E439:E441"/>
    <mergeCell ref="F439:F441"/>
    <mergeCell ref="G430:G431"/>
    <mergeCell ref="H430:H431"/>
    <mergeCell ref="I430:I431"/>
    <mergeCell ref="J430:J431"/>
    <mergeCell ref="K430:K431"/>
    <mergeCell ref="M430:M431"/>
    <mergeCell ref="N428:N429"/>
    <mergeCell ref="O428:O429"/>
    <mergeCell ref="P428:P429"/>
    <mergeCell ref="Q428:Q429"/>
    <mergeCell ref="A430:A431"/>
    <mergeCell ref="B430:B431"/>
    <mergeCell ref="C430:C431"/>
    <mergeCell ref="D430:D431"/>
    <mergeCell ref="E430:E431"/>
    <mergeCell ref="F430:F431"/>
    <mergeCell ref="G428:G429"/>
    <mergeCell ref="H428:H429"/>
    <mergeCell ref="I428:I429"/>
    <mergeCell ref="J428:J429"/>
    <mergeCell ref="K428:K429"/>
    <mergeCell ref="M428:M429"/>
    <mergeCell ref="N426:N427"/>
    <mergeCell ref="O426:O427"/>
    <mergeCell ref="P426:P427"/>
    <mergeCell ref="Q426:Q427"/>
    <mergeCell ref="A428:A429"/>
    <mergeCell ref="B428:B429"/>
    <mergeCell ref="C428:C429"/>
    <mergeCell ref="D428:D429"/>
    <mergeCell ref="E428:E429"/>
    <mergeCell ref="F428:F429"/>
    <mergeCell ref="G426:G427"/>
    <mergeCell ref="H426:H427"/>
    <mergeCell ref="I426:I427"/>
    <mergeCell ref="J426:J427"/>
    <mergeCell ref="K426:K427"/>
    <mergeCell ref="M426:M427"/>
    <mergeCell ref="N306:N307"/>
    <mergeCell ref="O306:O307"/>
    <mergeCell ref="P306:P307"/>
    <mergeCell ref="Q306:Q307"/>
    <mergeCell ref="A426:A427"/>
    <mergeCell ref="B426:B427"/>
    <mergeCell ref="C426:C427"/>
    <mergeCell ref="D426:D427"/>
    <mergeCell ref="E426:E427"/>
    <mergeCell ref="F426:F427"/>
    <mergeCell ref="G306:G307"/>
    <mergeCell ref="H306:H307"/>
    <mergeCell ref="I306:I307"/>
    <mergeCell ref="J306:J307"/>
    <mergeCell ref="K306:K307"/>
    <mergeCell ref="M306:M307"/>
    <mergeCell ref="N304:N305"/>
    <mergeCell ref="O304:O305"/>
    <mergeCell ref="P304:P305"/>
    <mergeCell ref="Q304:Q305"/>
    <mergeCell ref="A306:A307"/>
    <mergeCell ref="B306:B307"/>
    <mergeCell ref="C306:C307"/>
    <mergeCell ref="D306:D307"/>
    <mergeCell ref="E306:E307"/>
    <mergeCell ref="F306:F307"/>
    <mergeCell ref="G304:G305"/>
    <mergeCell ref="H304:H305"/>
    <mergeCell ref="I304:I305"/>
    <mergeCell ref="J304:J305"/>
    <mergeCell ref="K304:K305"/>
    <mergeCell ref="M304:M305"/>
    <mergeCell ref="N302:N303"/>
    <mergeCell ref="O302:O303"/>
    <mergeCell ref="P302:P303"/>
    <mergeCell ref="Q302:Q303"/>
    <mergeCell ref="A304:A305"/>
    <mergeCell ref="B304:B305"/>
    <mergeCell ref="C304:C305"/>
    <mergeCell ref="D304:D305"/>
    <mergeCell ref="E304:E305"/>
    <mergeCell ref="F304:F305"/>
    <mergeCell ref="G302:G303"/>
    <mergeCell ref="H302:H303"/>
    <mergeCell ref="I302:I303"/>
    <mergeCell ref="J302:J303"/>
    <mergeCell ref="K302:K303"/>
    <mergeCell ref="M302:M303"/>
    <mergeCell ref="N292:N294"/>
    <mergeCell ref="O292:O294"/>
    <mergeCell ref="P292:P294"/>
    <mergeCell ref="Q292:Q294"/>
    <mergeCell ref="A302:A303"/>
    <mergeCell ref="B302:B303"/>
    <mergeCell ref="C302:C303"/>
    <mergeCell ref="D302:D303"/>
    <mergeCell ref="E302:E303"/>
    <mergeCell ref="F302:F303"/>
    <mergeCell ref="G292:G294"/>
    <mergeCell ref="H292:H294"/>
    <mergeCell ref="I292:I294"/>
    <mergeCell ref="J292:J294"/>
    <mergeCell ref="K292:K294"/>
    <mergeCell ref="M292:M294"/>
    <mergeCell ref="N280:N282"/>
    <mergeCell ref="O280:O282"/>
    <mergeCell ref="P280:P282"/>
    <mergeCell ref="Q280:Q282"/>
    <mergeCell ref="A292:A294"/>
    <mergeCell ref="B292:B294"/>
    <mergeCell ref="C292:C294"/>
    <mergeCell ref="D292:D294"/>
    <mergeCell ref="E292:E294"/>
    <mergeCell ref="F292:F294"/>
    <mergeCell ref="G280:G282"/>
    <mergeCell ref="H280:H282"/>
    <mergeCell ref="I280:I282"/>
    <mergeCell ref="J280:J282"/>
    <mergeCell ref="K280:K282"/>
    <mergeCell ref="M280:M282"/>
    <mergeCell ref="N247:N249"/>
    <mergeCell ref="O247:O249"/>
    <mergeCell ref="P247:P249"/>
    <mergeCell ref="Q247:Q249"/>
    <mergeCell ref="A280:A282"/>
    <mergeCell ref="B280:B282"/>
    <mergeCell ref="C280:C282"/>
    <mergeCell ref="D280:D282"/>
    <mergeCell ref="E280:E282"/>
    <mergeCell ref="F280:F282"/>
    <mergeCell ref="G247:G249"/>
    <mergeCell ref="H247:H249"/>
    <mergeCell ref="I247:I249"/>
    <mergeCell ref="J247:J249"/>
    <mergeCell ref="K247:K249"/>
    <mergeCell ref="M247:M249"/>
    <mergeCell ref="N238:N239"/>
    <mergeCell ref="O238:O239"/>
    <mergeCell ref="P238:P239"/>
    <mergeCell ref="Q238:Q239"/>
    <mergeCell ref="A247:A249"/>
    <mergeCell ref="B247:B249"/>
    <mergeCell ref="C247:C249"/>
    <mergeCell ref="D247:D249"/>
    <mergeCell ref="E247:E249"/>
    <mergeCell ref="F247:F249"/>
    <mergeCell ref="G238:G239"/>
    <mergeCell ref="H238:H239"/>
    <mergeCell ref="I238:I239"/>
    <mergeCell ref="J238:J239"/>
    <mergeCell ref="K238:K239"/>
    <mergeCell ref="M238:M239"/>
    <mergeCell ref="N236:N237"/>
    <mergeCell ref="O236:O237"/>
    <mergeCell ref="P236:P237"/>
    <mergeCell ref="Q236:Q237"/>
    <mergeCell ref="A238:A239"/>
    <mergeCell ref="B238:B239"/>
    <mergeCell ref="C238:C239"/>
    <mergeCell ref="D238:D239"/>
    <mergeCell ref="E238:E239"/>
    <mergeCell ref="F238:F239"/>
    <mergeCell ref="G236:G237"/>
    <mergeCell ref="H236:H237"/>
    <mergeCell ref="I236:I237"/>
    <mergeCell ref="J236:J237"/>
    <mergeCell ref="K236:K237"/>
    <mergeCell ref="M236:M237"/>
    <mergeCell ref="N234:N235"/>
    <mergeCell ref="O234:O235"/>
    <mergeCell ref="P234:P235"/>
    <mergeCell ref="Q234:Q235"/>
    <mergeCell ref="A236:A237"/>
    <mergeCell ref="B236:B237"/>
    <mergeCell ref="C236:C237"/>
    <mergeCell ref="D236:D237"/>
    <mergeCell ref="E236:E237"/>
    <mergeCell ref="F236:F237"/>
    <mergeCell ref="G234:G235"/>
    <mergeCell ref="H234:H235"/>
    <mergeCell ref="I234:I235"/>
    <mergeCell ref="J234:J235"/>
    <mergeCell ref="K234:K235"/>
    <mergeCell ref="M234:M235"/>
    <mergeCell ref="N217:N221"/>
    <mergeCell ref="O217:O221"/>
    <mergeCell ref="P217:P221"/>
    <mergeCell ref="Q217:Q221"/>
    <mergeCell ref="A234:A235"/>
    <mergeCell ref="B234:B235"/>
    <mergeCell ref="C234:C235"/>
    <mergeCell ref="D234:D235"/>
    <mergeCell ref="E234:E235"/>
    <mergeCell ref="F234:F235"/>
    <mergeCell ref="G217:G221"/>
    <mergeCell ref="H217:H221"/>
    <mergeCell ref="I217:I221"/>
    <mergeCell ref="J217:J221"/>
    <mergeCell ref="K217:K221"/>
    <mergeCell ref="M217:M221"/>
    <mergeCell ref="N213:N215"/>
    <mergeCell ref="O213:O215"/>
    <mergeCell ref="P213:P215"/>
    <mergeCell ref="Q213:Q215"/>
    <mergeCell ref="A217:A221"/>
    <mergeCell ref="B217:B221"/>
    <mergeCell ref="C217:C221"/>
    <mergeCell ref="D217:D221"/>
    <mergeCell ref="E217:E221"/>
    <mergeCell ref="F217:F221"/>
    <mergeCell ref="G213:G215"/>
    <mergeCell ref="H213:H215"/>
    <mergeCell ref="I213:I215"/>
    <mergeCell ref="J213:J215"/>
    <mergeCell ref="K213:K215"/>
    <mergeCell ref="M213:M215"/>
    <mergeCell ref="N160:N162"/>
    <mergeCell ref="O160:O162"/>
    <mergeCell ref="P160:P162"/>
    <mergeCell ref="Q160:Q162"/>
    <mergeCell ref="A213:A215"/>
    <mergeCell ref="B213:B215"/>
    <mergeCell ref="C213:C215"/>
    <mergeCell ref="D213:D215"/>
    <mergeCell ref="E213:E215"/>
    <mergeCell ref="F213:F215"/>
    <mergeCell ref="G160:G162"/>
    <mergeCell ref="H160:H162"/>
    <mergeCell ref="I160:I162"/>
    <mergeCell ref="J160:J162"/>
    <mergeCell ref="K160:K162"/>
    <mergeCell ref="M160:M162"/>
    <mergeCell ref="N155:N157"/>
    <mergeCell ref="O155:O157"/>
    <mergeCell ref="P155:P157"/>
    <mergeCell ref="Q155:Q157"/>
    <mergeCell ref="A160:A162"/>
    <mergeCell ref="B160:B162"/>
    <mergeCell ref="C160:C162"/>
    <mergeCell ref="D160:D162"/>
    <mergeCell ref="E160:E162"/>
    <mergeCell ref="F160:F162"/>
    <mergeCell ref="G155:G157"/>
    <mergeCell ref="H155:H157"/>
    <mergeCell ref="I155:I157"/>
    <mergeCell ref="J155:J157"/>
    <mergeCell ref="K155:K157"/>
    <mergeCell ref="M155:M157"/>
    <mergeCell ref="N127:N131"/>
    <mergeCell ref="O127:O131"/>
    <mergeCell ref="P127:P131"/>
    <mergeCell ref="Q127:Q131"/>
    <mergeCell ref="A155:A157"/>
    <mergeCell ref="B155:B157"/>
    <mergeCell ref="C155:C157"/>
    <mergeCell ref="D155:D157"/>
    <mergeCell ref="E155:E157"/>
    <mergeCell ref="F155:F157"/>
    <mergeCell ref="G127:G131"/>
    <mergeCell ref="H127:H131"/>
    <mergeCell ref="I127:I131"/>
    <mergeCell ref="J127:J131"/>
    <mergeCell ref="K127:K131"/>
    <mergeCell ref="M127:M131"/>
    <mergeCell ref="N103:N109"/>
    <mergeCell ref="O103:O109"/>
    <mergeCell ref="P103:P109"/>
    <mergeCell ref="Q103:Q109"/>
    <mergeCell ref="A127:A131"/>
    <mergeCell ref="B127:B131"/>
    <mergeCell ref="C127:C131"/>
    <mergeCell ref="D127:D131"/>
    <mergeCell ref="E127:E131"/>
    <mergeCell ref="F127:F131"/>
    <mergeCell ref="G103:G109"/>
    <mergeCell ref="H103:H109"/>
    <mergeCell ref="I103:I109"/>
    <mergeCell ref="J103:J109"/>
    <mergeCell ref="K103:K109"/>
    <mergeCell ref="M103:M109"/>
    <mergeCell ref="N62:N66"/>
    <mergeCell ref="O62:O66"/>
    <mergeCell ref="P62:P66"/>
    <mergeCell ref="Q62:Q66"/>
    <mergeCell ref="A103:A109"/>
    <mergeCell ref="B103:B109"/>
    <mergeCell ref="C103:C109"/>
    <mergeCell ref="D103:D109"/>
    <mergeCell ref="E103:E109"/>
    <mergeCell ref="F103:F109"/>
    <mergeCell ref="G62:G66"/>
    <mergeCell ref="H62:H66"/>
    <mergeCell ref="I62:I66"/>
    <mergeCell ref="J62:J66"/>
    <mergeCell ref="K62:K66"/>
    <mergeCell ref="M62:M66"/>
    <mergeCell ref="N57:N61"/>
    <mergeCell ref="O57:O61"/>
    <mergeCell ref="P57:P61"/>
    <mergeCell ref="Q57:Q61"/>
    <mergeCell ref="A62:A66"/>
    <mergeCell ref="B62:B66"/>
    <mergeCell ref="C62:C66"/>
    <mergeCell ref="D62:D66"/>
    <mergeCell ref="E62:E66"/>
    <mergeCell ref="F62:F66"/>
    <mergeCell ref="G57:G61"/>
    <mergeCell ref="H57:H61"/>
    <mergeCell ref="I57:I61"/>
    <mergeCell ref="J57:J61"/>
    <mergeCell ref="K57:K61"/>
    <mergeCell ref="M57:M61"/>
    <mergeCell ref="N52:N56"/>
    <mergeCell ref="O52:O56"/>
    <mergeCell ref="P52:P56"/>
    <mergeCell ref="Q52:Q56"/>
    <mergeCell ref="A57:A61"/>
    <mergeCell ref="B57:B61"/>
    <mergeCell ref="C57:C61"/>
    <mergeCell ref="D57:D61"/>
    <mergeCell ref="E57:E61"/>
    <mergeCell ref="F57:F61"/>
    <mergeCell ref="G52:G56"/>
    <mergeCell ref="H52:H56"/>
    <mergeCell ref="I52:I56"/>
    <mergeCell ref="J52:J56"/>
    <mergeCell ref="K52:K56"/>
    <mergeCell ref="M52:M56"/>
    <mergeCell ref="N47:N51"/>
    <mergeCell ref="O47:O51"/>
    <mergeCell ref="P47:P51"/>
    <mergeCell ref="Q47:Q51"/>
    <mergeCell ref="A52:A56"/>
    <mergeCell ref="B52:B56"/>
    <mergeCell ref="C52:C56"/>
    <mergeCell ref="D52:D56"/>
    <mergeCell ref="E52:E56"/>
    <mergeCell ref="F52:F56"/>
    <mergeCell ref="G47:G51"/>
    <mergeCell ref="H47:H51"/>
    <mergeCell ref="I47:I51"/>
    <mergeCell ref="J47:J51"/>
    <mergeCell ref="K47:K51"/>
    <mergeCell ref="M47:M51"/>
    <mergeCell ref="N42:N46"/>
    <mergeCell ref="O42:O46"/>
    <mergeCell ref="P42:P46"/>
    <mergeCell ref="Q42:Q46"/>
    <mergeCell ref="A47:A51"/>
    <mergeCell ref="B47:B51"/>
    <mergeCell ref="C47:C51"/>
    <mergeCell ref="D47:D51"/>
    <mergeCell ref="E47:E51"/>
    <mergeCell ref="F47:F51"/>
    <mergeCell ref="G42:G46"/>
    <mergeCell ref="H42:H46"/>
    <mergeCell ref="I42:I46"/>
    <mergeCell ref="J42:J46"/>
    <mergeCell ref="K42:K46"/>
    <mergeCell ref="M42:M46"/>
    <mergeCell ref="N37:N41"/>
    <mergeCell ref="O37:O41"/>
    <mergeCell ref="P37:P41"/>
    <mergeCell ref="Q37:Q41"/>
    <mergeCell ref="A42:A46"/>
    <mergeCell ref="B42:B46"/>
    <mergeCell ref="C42:C46"/>
    <mergeCell ref="D42:D46"/>
    <mergeCell ref="E42:E46"/>
    <mergeCell ref="F42:F46"/>
    <mergeCell ref="G37:G41"/>
    <mergeCell ref="H37:H41"/>
    <mergeCell ref="I37:I41"/>
    <mergeCell ref="J37:J41"/>
    <mergeCell ref="K37:K41"/>
    <mergeCell ref="M37:M41"/>
    <mergeCell ref="N18:N20"/>
    <mergeCell ref="O18:O20"/>
    <mergeCell ref="P18:P20"/>
    <mergeCell ref="Q18:Q20"/>
    <mergeCell ref="A37:A41"/>
    <mergeCell ref="B37:B41"/>
    <mergeCell ref="C37:C41"/>
    <mergeCell ref="D37:D41"/>
    <mergeCell ref="E37:E41"/>
    <mergeCell ref="F37:F41"/>
    <mergeCell ref="G18:G20"/>
    <mergeCell ref="H18:H20"/>
    <mergeCell ref="I18:I20"/>
    <mergeCell ref="J18:J20"/>
    <mergeCell ref="K18:K20"/>
    <mergeCell ref="M18:M20"/>
    <mergeCell ref="N14:N16"/>
    <mergeCell ref="O14:O16"/>
    <mergeCell ref="P14:P16"/>
    <mergeCell ref="Q14:Q16"/>
    <mergeCell ref="A18:A20"/>
    <mergeCell ref="B18:B20"/>
    <mergeCell ref="C18:C20"/>
    <mergeCell ref="D18:D20"/>
    <mergeCell ref="E18:E20"/>
    <mergeCell ref="F18:F20"/>
    <mergeCell ref="G14:G16"/>
    <mergeCell ref="H14:H16"/>
    <mergeCell ref="I14:I16"/>
    <mergeCell ref="J14:J16"/>
    <mergeCell ref="K14:K16"/>
    <mergeCell ref="M14:M16"/>
    <mergeCell ref="N7:N8"/>
    <mergeCell ref="O7:O8"/>
    <mergeCell ref="P7:P8"/>
    <mergeCell ref="Q7:Q8"/>
    <mergeCell ref="A14:A16"/>
    <mergeCell ref="B14:B16"/>
    <mergeCell ref="C14:C16"/>
    <mergeCell ref="D14:D16"/>
    <mergeCell ref="E14:E16"/>
    <mergeCell ref="F14:F16"/>
    <mergeCell ref="G7:G8"/>
    <mergeCell ref="H7:H8"/>
    <mergeCell ref="I7:I8"/>
    <mergeCell ref="J7:J8"/>
    <mergeCell ref="K7:K8"/>
    <mergeCell ref="M7:M8"/>
    <mergeCell ref="N5:N6"/>
    <mergeCell ref="O5:O6"/>
    <mergeCell ref="P5:P6"/>
    <mergeCell ref="Q5:Q6"/>
    <mergeCell ref="A7:A8"/>
    <mergeCell ref="B7:B8"/>
    <mergeCell ref="C7:C8"/>
    <mergeCell ref="D7:D8"/>
    <mergeCell ref="E7:E8"/>
    <mergeCell ref="F7:F8"/>
    <mergeCell ref="G5:G6"/>
    <mergeCell ref="H5:H6"/>
    <mergeCell ref="I5:I6"/>
    <mergeCell ref="J5:J6"/>
    <mergeCell ref="K5:K6"/>
    <mergeCell ref="M5:M6"/>
    <mergeCell ref="N3:N4"/>
    <mergeCell ref="O3:O4"/>
    <mergeCell ref="P3:P4"/>
    <mergeCell ref="Q3:Q4"/>
    <mergeCell ref="A5:A6"/>
    <mergeCell ref="B5:B6"/>
    <mergeCell ref="C5:C6"/>
    <mergeCell ref="D5:D6"/>
    <mergeCell ref="E5:E6"/>
    <mergeCell ref="F5:F6"/>
    <mergeCell ref="G3:G4"/>
    <mergeCell ref="H3:H4"/>
    <mergeCell ref="I3:I4"/>
    <mergeCell ref="J3:J4"/>
    <mergeCell ref="K3:K4"/>
    <mergeCell ref="M3:M4"/>
    <mergeCell ref="A3:A4"/>
    <mergeCell ref="B3:B4"/>
    <mergeCell ref="C3:C4"/>
    <mergeCell ref="D3:D4"/>
    <mergeCell ref="E3:E4"/>
    <mergeCell ref="F3:F4"/>
  </mergeCells>
  <hyperlinks>
    <hyperlink ref="L29" r:id="rId1" display="http://www.iso.org/iso/country_codes.htm"/>
    <hyperlink ref="G115" r:id="rId2" display="iso639-2LanguageCode.aspx"/>
    <hyperlink ref="L115" r:id="rId3" display="http://www.loc.gov/standards/iso639-2/langhome.html"/>
    <hyperlink ref="G116" r:id="rId4" display="iso639-3LanguageCode.aspx"/>
    <hyperlink ref="L116" r:id="rId5" display="http://www-01.sil.org/iso639-3/default.asp"/>
    <hyperlink ref="L117" r:id="rId6" display="http://www.loc.gov/standards/iso639-5/index.html"/>
    <hyperlink ref="L181" r:id="rId7"/>
    <hyperlink ref="L266" r:id="rId8" display="http://www.iso.org/iso/country_codes.htm"/>
    <hyperlink ref="L317" r:id="rId9" display="http://www.iso.org/iso/country_codes.htm"/>
    <hyperlink ref="L449" r:id="rId10" display="http://www.iso.org/iso/country_codes.htm"/>
    <hyperlink ref="G531" r:id="rId11" display="iso639-2LanguageCode.aspx"/>
    <hyperlink ref="L531" r:id="rId12" display="http://www.loc.gov/standards/iso639-2/langhome.html"/>
    <hyperlink ref="G532" r:id="rId13" display="iso639-3LanguageCode.aspx"/>
    <hyperlink ref="L532" r:id="rId14" display="http://www-01.sil.org/iso639-3/default.asp"/>
    <hyperlink ref="L533" r:id="rId15" display="http://www.loc.gov/standards/iso639-5/index.html"/>
    <hyperlink ref="G605" r:id="rId16" display="iso639-2LanguageCode.aspx"/>
    <hyperlink ref="L605" r:id="rId17" display="http://www.loc.gov/standards/iso639-2/langhome.html"/>
    <hyperlink ref="L655" r:id="rId18" display="http://nces.ed.gov/pubs2015/fin_acct/chapter6_4.asp"/>
    <hyperlink ref="L749" r:id="rId19" display="http://nces.ed.gov/pubs2015/fin_acct/chapter6_3.asp"/>
    <hyperlink ref="L758" r:id="rId20" display="http://nces.ed.gov/pubs2015/fin_acct/chapter6_1.asp"/>
    <hyperlink ref="L759" r:id="rId21" display="http://nces.ed.gov/pubs2015/fin_acct/chapter6_2.asp"/>
    <hyperlink ref="L762" r:id="rId22" display="http://nces.ed.gov/pubs2015/fin_acct/chapter6_4.asp"/>
    <hyperlink ref="L765" r:id="rId23" display="http://nces.ed.gov/pubs2015/fin_acct/chapter6_5.asp"/>
    <hyperlink ref="L766" r:id="rId24" display="http://nces.ed.gov/pubs2015/fin_acct/chapter6_6.asp"/>
    <hyperlink ref="L767" r:id="rId25" display="http://nces.ed.gov/pubs2015/fin_acct/chapter6_8.asp"/>
    <hyperlink ref="L768" r:id="rId26" display="http://nces.ed.gov/pubs2015/fin_acct/chapter6_7.asp"/>
    <hyperlink ref="L916" r:id="rId27" display="http://nces.ed.gov/pubs2015/fin_acct/chapter6_3.asp"/>
    <hyperlink ref="L925" r:id="rId28" display="http://nces.ed.gov/pubs2015/fin_acct/chapter6_1.asp"/>
    <hyperlink ref="L926" r:id="rId29" display="http://nces.ed.gov/pubs2015/fin_acct/chapter6_2.asp"/>
    <hyperlink ref="L929" r:id="rId30" display="http://nces.ed.gov/pubs2015/fin_acct/chapter6_4.asp"/>
    <hyperlink ref="L932" r:id="rId31" display="http://nces.ed.gov/pubs2015/fin_acct/chapter6_5.asp"/>
    <hyperlink ref="L933" r:id="rId32" display="http://nces.ed.gov/pubs2015/fin_acct/chapter6_6.asp"/>
    <hyperlink ref="L934" r:id="rId33" display="http://nces.ed.gov/pubs2015/fin_acct/chapter6_8.asp"/>
    <hyperlink ref="L935" r:id="rId34" display="http://nces.ed.gov/pubs2015/fin_acct/chapter6_7.asp"/>
    <hyperlink ref="L981" r:id="rId35" display="http://www.iso.org/iso/country_codes.htm"/>
    <hyperlink ref="L998" r:id="rId36" display="http://nces.ed.gov/pubs2015/fin_acct/chapter6_3.asp"/>
    <hyperlink ref="L1007" r:id="rId37" display="http://nces.ed.gov/pubs2015/fin_acct/chapter6_1.asp"/>
    <hyperlink ref="L1008" r:id="rId38" display="http://nces.ed.gov/pubs2015/fin_acct/chapter6_2.asp"/>
    <hyperlink ref="L1011" r:id="rId39" display="http://nces.ed.gov/pubs2015/fin_acct/chapter6_4.asp"/>
    <hyperlink ref="L1014" r:id="rId40" display="http://nces.ed.gov/pubs2015/fin_acct/chapter6_5.asp"/>
    <hyperlink ref="L1015" r:id="rId41" display="http://nces.ed.gov/pubs2015/fin_acct/chapter6_6.asp"/>
    <hyperlink ref="L1016" r:id="rId42" display="http://nces.ed.gov/pubs2015/fin_acct/chapter6_8.asp"/>
    <hyperlink ref="L1017" r:id="rId43" display="http://nces.ed.gov/pubs2015/fin_acct/chapter6_7.asp"/>
    <hyperlink ref="L1068" r:id="rId44" display="http://www.iso.org/iso/country_codes.htm"/>
    <hyperlink ref="L1109" r:id="rId45" display="http://www.iso.org/iso/country_codes.htm"/>
    <hyperlink ref="G1300" r:id="rId46" display="iso639-2LanguageCode.aspx"/>
    <hyperlink ref="L1300" r:id="rId47" display="http://www.loc.gov/standards/iso639-2/langhome.html"/>
    <hyperlink ref="G1301" r:id="rId48" display="iso639-3LanguageCode.aspx"/>
    <hyperlink ref="L1301" r:id="rId49" display="http://www-01.sil.org/iso639-3/default.asp"/>
    <hyperlink ref="L1302" r:id="rId50" display="http://www.loc.gov/standards/iso639-5/index.html"/>
    <hyperlink ref="G1318" r:id="rId51" display="ScedCourseCodes.aspx"/>
    <hyperlink ref="L1360" r:id="rId52" display="http://www.iso.org/iso/country_codes.htm"/>
    <hyperlink ref="L1453" r:id="rId53" display="https://w3id.org/xapi/adl"/>
    <hyperlink ref="L1483" r:id="rId54" display="http://www.iso.org/iso/country_codes.htm"/>
    <hyperlink ref="L1539" r:id="rId55" display="http://www.iso.org/iso/country_codes.htm"/>
    <hyperlink ref="G1683" r:id="rId56" display="iso639-2LanguageCode.aspx"/>
    <hyperlink ref="L1683" r:id="rId57" display="http://www.loc.gov/standards/iso639-2/langhome.html"/>
    <hyperlink ref="G1740" r:id="rId58" display="iso639-2LanguageCode.aspx"/>
    <hyperlink ref="L1740" r:id="rId59" display="http://www.loc.gov/standards/iso639-2/langhome.html"/>
    <hyperlink ref="G1758" r:id="rId60" display="ScedCourseCodes.aspx"/>
    <hyperlink ref="G1788" r:id="rId61" display="iso639-2LanguageCode.aspx"/>
    <hyperlink ref="L1788" r:id="rId62" display="http://www.loc.gov/standards/iso639-2/langhome.html"/>
    <hyperlink ref="L1904" r:id="rId63" display="http://www.iso.org/iso/country_codes.htm"/>
    <hyperlink ref="L1943" r:id="rId64" display="http://nces.ed.gov/pubs2015/fin_acct/chapter6_3.asp"/>
    <hyperlink ref="L1952" r:id="rId65" display="http://nces.ed.gov/pubs2015/fin_acct/chapter6_1.asp"/>
    <hyperlink ref="L1953" r:id="rId66" display="http://nces.ed.gov/pubs2015/fin_acct/chapter6_2.asp"/>
    <hyperlink ref="L1956" r:id="rId67" display="http://nces.ed.gov/pubs2015/fin_acct/chapter6_4.asp"/>
    <hyperlink ref="L1959" r:id="rId68" display="http://nces.ed.gov/pubs2015/fin_acct/chapter6_5.asp"/>
    <hyperlink ref="L1960" r:id="rId69" display="http://nces.ed.gov/pubs2015/fin_acct/chapter6_6.asp"/>
    <hyperlink ref="L1961" r:id="rId70" display="http://nces.ed.gov/pubs2015/fin_acct/chapter6_8.asp"/>
    <hyperlink ref="L1962" r:id="rId71" display="http://nces.ed.gov/pubs2015/fin_acct/chapter6_7.asp"/>
    <hyperlink ref="G2062" r:id="rId72" display="iso639-2LanguageCode.aspx"/>
    <hyperlink ref="L2062" r:id="rId73" display="http://www.loc.gov/standards/iso639-2/langhome.html"/>
    <hyperlink ref="G2161" r:id="rId74" display="http://nces.ed.gov/ipeds/cipcode/browse.aspx?y=55"/>
    <hyperlink ref="L2202" r:id="rId75" display="http://www.iso.org/iso/country_codes.htm"/>
    <hyperlink ref="G2284" r:id="rId76" display="http://nces.ed.gov/ipeds/cipcode/browse.aspx?y=55"/>
    <hyperlink ref="L2289" r:id="rId77" display="http://degreeprofile.org/"/>
    <hyperlink ref="G2329" r:id="rId78" display="http://nces.ed.gov/ipeds/cipcode/browse.aspx?y=55"/>
    <hyperlink ref="G2347" r:id="rId79" display="http://nces.ed.gov/ipeds/cipcode/browse.aspx?y=55"/>
    <hyperlink ref="L2351" r:id="rId80" display="http://degreeprofile.org/"/>
    <hyperlink ref="G2469" r:id="rId81" display="http://nces.ed.gov/ipeds/cipcode/browse.aspx?y=55"/>
    <hyperlink ref="L2528" r:id="rId82" display="http://www.iso.org/iso/country_codes.htm"/>
    <hyperlink ref="L2621" r:id="rId83" display="http://www.iso.org/iso/country_codes.htm"/>
    <hyperlink ref="G2654" r:id="rId84" display="iso639-2LanguageCode.aspx"/>
    <hyperlink ref="L2654" r:id="rId85" display="http://www.loc.gov/standards/iso639-2/langhome.html"/>
    <hyperlink ref="L2721" r:id="rId86" display="http://www.iso.org/iso/country_codes.htm"/>
    <hyperlink ref="L2763" r:id="rId87" display="http://www.iso.org/iso/country_codes.htm"/>
    <hyperlink ref="G2813" r:id="rId88" display="http://nces.ed.gov/ipeds/cipcode/browse.aspx?y=55"/>
    <hyperlink ref="L2818" r:id="rId89" display="http://degreeprofile.org/"/>
    <hyperlink ref="G2835" r:id="rId90" display="http://nces.ed.gov/ipeds/cipcode/browse.aspx?y=55"/>
    <hyperlink ref="G2866" r:id="rId91" display="iso639-2LanguageCode.aspx"/>
    <hyperlink ref="L2866" r:id="rId92" display="http://www.loc.gov/standards/iso639-2/langhome.html"/>
    <hyperlink ref="G2871" r:id="rId93" display="ScedCourseCodes.aspx"/>
    <hyperlink ref="G2898" r:id="rId94" display="iso639-2LanguageCode.aspx"/>
    <hyperlink ref="L2898" r:id="rId95" display="http://www.loc.gov/standards/iso639-2/langhome.html"/>
    <hyperlink ref="G2960" r:id="rId96" display="http://nces.ed.gov/ipeds/cipcode/browse.aspx?y=55"/>
    <hyperlink ref="L3027" r:id="rId97" display="http://www.iso.org/iso/country_codes.htm"/>
    <hyperlink ref="G3062" r:id="rId98" display="iso639-2LanguageCode.aspx"/>
    <hyperlink ref="L3062" r:id="rId99" display="http://www.loc.gov/standards/iso639-2/langhome.html"/>
    <hyperlink ref="G3124" r:id="rId100" display="http://nces.ed.gov/ipeds/cipcode/browse.aspx?y=55"/>
    <hyperlink ref="L3191" r:id="rId101" display="http://www.iso.org/iso/country_codes.htm"/>
    <hyperlink ref="G3272" r:id="rId102" display="http://nces.ed.gov/ipeds/cipcode/browse.aspx?y=55"/>
    <hyperlink ref="L3276" r:id="rId103" display="http://degreeprofile.org/"/>
    <hyperlink ref="L3314" r:id="rId104" display="http://www.iso.org/iso/country_codes.htm"/>
    <hyperlink ref="G3430" r:id="rId105" display="http://nces.ed.gov/ipeds/cipcode/browse.aspx?y=55"/>
    <hyperlink ref="L3435" r:id="rId106" display="http://degreeprofile.org/"/>
    <hyperlink ref="G3490" r:id="rId107" display="iso639-2LanguageCode.aspx"/>
    <hyperlink ref="L3490" r:id="rId108" display="http://www.loc.gov/standards/iso639-2/langhome.html"/>
    <hyperlink ref="G3491" r:id="rId109" display="iso639-3LanguageCode.aspx"/>
    <hyperlink ref="L3491" r:id="rId110" display="http://www-01.sil.org/iso639-3/default.asp"/>
    <hyperlink ref="L3492" r:id="rId111" display="http://www.loc.gov/standards/iso639-5/index.html"/>
    <hyperlink ref="G3510" r:id="rId112" display="iso639-2LanguageCode.aspx"/>
    <hyperlink ref="L3510" r:id="rId113" display="http://www.loc.gov/standards/iso639-2/langhome.html"/>
    <hyperlink ref="G3691" r:id="rId114" display="iso639-2LanguageCode.aspx"/>
    <hyperlink ref="L3691" r:id="rId115" display="http://www.loc.gov/standards/iso639-2/langhome.html"/>
    <hyperlink ref="G3692" r:id="rId116" display="iso639-3LanguageCode.aspx"/>
    <hyperlink ref="L3692" r:id="rId117" display="http://www-01.sil.org/iso639-3/default.asp"/>
    <hyperlink ref="L3693" r:id="rId118" display="http://www.loc.gov/standards/iso639-5/index.html"/>
    <hyperlink ref="G3821" r:id="rId119" display="iso639-2LanguageCode.aspx"/>
    <hyperlink ref="L3821" r:id="rId120" display="http://www.loc.gov/standards/iso639-2/langhome.html"/>
    <hyperlink ref="G3828" r:id="rId121" display="iso639-2LanguageCode.aspx"/>
    <hyperlink ref="L3828" r:id="rId122" display="http://www.loc.gov/standards/iso639-2/langhome.html"/>
    <hyperlink ref="G3829" r:id="rId123" display="iso639-2LanguageCode.aspx"/>
    <hyperlink ref="L3829" r:id="rId124" display="http://www.loc.gov/standards/iso639-2/langhome.html"/>
    <hyperlink ref="G3865" r:id="rId125" display="iso639-2LanguageCode.aspx"/>
    <hyperlink ref="L3865" r:id="rId126" display="http://www.loc.gov/standards/iso639-2/langhome.html"/>
    <hyperlink ref="G3902" r:id="rId127" display="iso639-2LanguageCode.aspx"/>
    <hyperlink ref="L3902" r:id="rId128" display="http://www.loc.gov/standards/iso639-2/langhome.html"/>
    <hyperlink ref="G3938" r:id="rId129" display="iso639-2LanguageCode.aspx"/>
    <hyperlink ref="L3938" r:id="rId130" display="http://www.loc.gov/standards/iso639-2/langhome.html"/>
    <hyperlink ref="L3974" r:id="rId131" display="https://w3id.org/xapi/adl"/>
    <hyperlink ref="G4002" r:id="rId132" display="iso639-2LanguageCode.aspx"/>
    <hyperlink ref="L4002" r:id="rId133" display="http://www.loc.gov/standards/iso639-2/langhome.html"/>
    <hyperlink ref="G4021" r:id="rId134" display="iso639-2LanguageCode.aspx"/>
    <hyperlink ref="L4021" r:id="rId135" display="http://www.loc.gov/standards/iso639-2/langhome.html"/>
    <hyperlink ref="G4055" r:id="rId136" display="iso639-2LanguageCode.aspx"/>
    <hyperlink ref="L4055" r:id="rId137" display="http://www.loc.gov/standards/iso639-2/langhome.html"/>
    <hyperlink ref="G4114" r:id="rId138" display="iso639-2LanguageCode.aspx"/>
    <hyperlink ref="L4114" r:id="rId139" display="http://www.loc.gov/standards/iso639-2/langhome.html"/>
  </hyperlinks>
  <pageMargins left="0.75" right="0.75" top="1" bottom="1" header="0.5" footer="0.5"/>
  <pageSetup orientation="portrait" r:id="rId14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892"/>
  <sheetViews>
    <sheetView showGridLines="0" workbookViewId="0">
      <selection activeCell="A2" sqref="A2"/>
    </sheetView>
  </sheetViews>
  <sheetFormatPr defaultRowHeight="15" x14ac:dyDescent="0.25"/>
  <cols>
    <col min="1" max="1" width="10.85546875" bestFit="1" customWidth="1"/>
    <col min="2" max="2" width="36.5703125" bestFit="1" customWidth="1"/>
    <col min="3" max="3" width="57.85546875" bestFit="1" customWidth="1"/>
    <col min="4" max="4" width="10.7109375" customWidth="1"/>
    <col min="5" max="5" width="25.28515625" customWidth="1"/>
    <col min="6" max="6" width="9.28515625" bestFit="1" customWidth="1"/>
    <col min="7" max="7" width="33" customWidth="1"/>
    <col min="8" max="8" width="6.7109375" bestFit="1" customWidth="1"/>
  </cols>
  <sheetData>
    <row r="1" spans="1:8" s="3" customFormat="1" ht="30" x14ac:dyDescent="0.25">
      <c r="A1" s="17" t="s">
        <v>11348</v>
      </c>
      <c r="B1" s="17" t="s">
        <v>6703</v>
      </c>
      <c r="C1" s="17" t="s">
        <v>6704</v>
      </c>
      <c r="D1" s="17" t="s">
        <v>11349</v>
      </c>
      <c r="E1" s="17" t="s">
        <v>11350</v>
      </c>
      <c r="F1" s="17" t="s">
        <v>11351</v>
      </c>
      <c r="G1" s="17" t="s">
        <v>6705</v>
      </c>
      <c r="H1" s="17" t="s">
        <v>6715</v>
      </c>
    </row>
    <row r="2" spans="1:8" x14ac:dyDescent="0.25">
      <c r="A2" s="15" t="s">
        <v>7374</v>
      </c>
      <c r="B2" s="15" t="s">
        <v>7375</v>
      </c>
      <c r="C2" s="15" t="s">
        <v>7376</v>
      </c>
      <c r="D2" s="15"/>
      <c r="E2" s="15"/>
      <c r="F2" s="15"/>
      <c r="G2" s="15"/>
      <c r="H2" s="16" t="s">
        <v>7377</v>
      </c>
    </row>
    <row r="3" spans="1:8" x14ac:dyDescent="0.25">
      <c r="A3" s="15" t="s">
        <v>7374</v>
      </c>
      <c r="B3" s="15" t="s">
        <v>7378</v>
      </c>
      <c r="C3" s="15" t="s">
        <v>7379</v>
      </c>
      <c r="D3" s="15"/>
      <c r="E3" s="15"/>
      <c r="F3" s="15"/>
      <c r="G3" s="15"/>
      <c r="H3" s="16" t="s">
        <v>7377</v>
      </c>
    </row>
    <row r="4" spans="1:8" x14ac:dyDescent="0.25">
      <c r="A4" s="15" t="s">
        <v>7374</v>
      </c>
      <c r="B4" s="15" t="s">
        <v>7380</v>
      </c>
      <c r="C4" s="15" t="s">
        <v>7381</v>
      </c>
      <c r="D4" s="15"/>
      <c r="E4" s="15"/>
      <c r="F4" s="15"/>
      <c r="G4" s="15"/>
      <c r="H4" s="16" t="s">
        <v>7377</v>
      </c>
    </row>
    <row r="5" spans="1:8" ht="45" x14ac:dyDescent="0.25">
      <c r="A5" s="15" t="s">
        <v>7374</v>
      </c>
      <c r="B5" s="15" t="s">
        <v>7382</v>
      </c>
      <c r="C5" s="15" t="s">
        <v>7383</v>
      </c>
      <c r="D5" s="15"/>
      <c r="E5" s="15"/>
      <c r="F5" s="15"/>
      <c r="G5" s="15"/>
      <c r="H5" s="16" t="s">
        <v>7377</v>
      </c>
    </row>
    <row r="6" spans="1:8" ht="30" x14ac:dyDescent="0.25">
      <c r="A6" s="15" t="s">
        <v>7374</v>
      </c>
      <c r="B6" s="15" t="s">
        <v>7384</v>
      </c>
      <c r="C6" s="15" t="s">
        <v>7385</v>
      </c>
      <c r="D6" s="15"/>
      <c r="E6" s="15"/>
      <c r="F6" s="15"/>
      <c r="G6" s="15"/>
      <c r="H6" s="16" t="s">
        <v>7377</v>
      </c>
    </row>
    <row r="7" spans="1:8" x14ac:dyDescent="0.25">
      <c r="A7" s="15" t="s">
        <v>7374</v>
      </c>
      <c r="B7" s="15" t="s">
        <v>7386</v>
      </c>
      <c r="C7" s="15" t="s">
        <v>7387</v>
      </c>
      <c r="D7" s="15"/>
      <c r="E7" s="15"/>
      <c r="F7" s="15"/>
      <c r="G7" s="15"/>
      <c r="H7" s="16" t="s">
        <v>7377</v>
      </c>
    </row>
    <row r="8" spans="1:8" x14ac:dyDescent="0.25">
      <c r="A8" s="15" t="s">
        <v>7374</v>
      </c>
      <c r="B8" s="15" t="s">
        <v>7388</v>
      </c>
      <c r="C8" s="15" t="s">
        <v>7389</v>
      </c>
      <c r="D8" s="15"/>
      <c r="E8" s="15"/>
      <c r="F8" s="15"/>
      <c r="G8" s="15"/>
      <c r="H8" s="16" t="s">
        <v>7377</v>
      </c>
    </row>
    <row r="9" spans="1:8" x14ac:dyDescent="0.25">
      <c r="A9" s="15" t="s">
        <v>7374</v>
      </c>
      <c r="B9" s="15" t="s">
        <v>7390</v>
      </c>
      <c r="C9" s="15" t="s">
        <v>7391</v>
      </c>
      <c r="D9" s="15"/>
      <c r="E9" s="15"/>
      <c r="F9" s="15"/>
      <c r="G9" s="15"/>
      <c r="H9" s="16" t="s">
        <v>7377</v>
      </c>
    </row>
    <row r="10" spans="1:8" ht="30" x14ac:dyDescent="0.25">
      <c r="A10" s="15" t="s">
        <v>7374</v>
      </c>
      <c r="B10" s="15" t="s">
        <v>7392</v>
      </c>
      <c r="C10" s="15" t="s">
        <v>4050</v>
      </c>
      <c r="D10" s="15"/>
      <c r="E10" s="15"/>
      <c r="F10" s="15"/>
      <c r="G10" s="15"/>
      <c r="H10" s="16" t="s">
        <v>7377</v>
      </c>
    </row>
    <row r="11" spans="1:8" ht="30" x14ac:dyDescent="0.25">
      <c r="A11" s="15" t="s">
        <v>7374</v>
      </c>
      <c r="B11" s="15" t="s">
        <v>7393</v>
      </c>
      <c r="C11" s="15" t="s">
        <v>7394</v>
      </c>
      <c r="D11" s="15"/>
      <c r="E11" s="15"/>
      <c r="F11" s="15"/>
      <c r="G11" s="15"/>
      <c r="H11" s="16" t="s">
        <v>7377</v>
      </c>
    </row>
    <row r="12" spans="1:8" x14ac:dyDescent="0.25">
      <c r="A12" s="15" t="s">
        <v>7374</v>
      </c>
      <c r="B12" s="15" t="s">
        <v>7395</v>
      </c>
      <c r="C12" s="15" t="s">
        <v>7396</v>
      </c>
      <c r="D12" s="15"/>
      <c r="E12" s="15"/>
      <c r="F12" s="15"/>
      <c r="G12" s="15"/>
      <c r="H12" s="16" t="s">
        <v>7377</v>
      </c>
    </row>
    <row r="13" spans="1:8" ht="30" x14ac:dyDescent="0.25">
      <c r="A13" s="15" t="s">
        <v>7374</v>
      </c>
      <c r="B13" s="15" t="s">
        <v>7397</v>
      </c>
      <c r="C13" s="15" t="s">
        <v>1354</v>
      </c>
      <c r="D13" s="15"/>
      <c r="E13" s="15"/>
      <c r="F13" s="15"/>
      <c r="G13" s="15"/>
      <c r="H13" s="16" t="s">
        <v>7377</v>
      </c>
    </row>
    <row r="14" spans="1:8" ht="45" x14ac:dyDescent="0.25">
      <c r="A14" s="15" t="s">
        <v>7374</v>
      </c>
      <c r="B14" s="15" t="s">
        <v>7398</v>
      </c>
      <c r="C14" s="15" t="s">
        <v>7399</v>
      </c>
      <c r="D14" s="15"/>
      <c r="E14" s="15"/>
      <c r="F14" s="15"/>
      <c r="G14" s="15"/>
      <c r="H14" s="16" t="s">
        <v>7377</v>
      </c>
    </row>
    <row r="15" spans="1:8" ht="30" x14ac:dyDescent="0.25">
      <c r="A15" s="15" t="s">
        <v>7374</v>
      </c>
      <c r="B15" s="15" t="s">
        <v>7400</v>
      </c>
      <c r="C15" s="15" t="s">
        <v>7401</v>
      </c>
      <c r="D15" s="15"/>
      <c r="E15" s="15"/>
      <c r="F15" s="15"/>
      <c r="G15" s="15"/>
      <c r="H15" s="16" t="s">
        <v>7377</v>
      </c>
    </row>
    <row r="16" spans="1:8" ht="30" x14ac:dyDescent="0.25">
      <c r="A16" s="15" t="s">
        <v>7374</v>
      </c>
      <c r="B16" s="15" t="s">
        <v>7402</v>
      </c>
      <c r="C16" s="15" t="s">
        <v>7403</v>
      </c>
      <c r="D16" s="15"/>
      <c r="E16" s="15"/>
      <c r="F16" s="15"/>
      <c r="G16" s="15"/>
      <c r="H16" s="16" t="s">
        <v>7377</v>
      </c>
    </row>
    <row r="17" spans="1:8" x14ac:dyDescent="0.25">
      <c r="A17" s="15" t="s">
        <v>7374</v>
      </c>
      <c r="B17" s="15" t="s">
        <v>7404</v>
      </c>
      <c r="C17" s="15" t="s">
        <v>7405</v>
      </c>
      <c r="D17" s="15"/>
      <c r="E17" s="15"/>
      <c r="F17" s="15"/>
      <c r="G17" s="15"/>
      <c r="H17" s="16" t="s">
        <v>7377</v>
      </c>
    </row>
    <row r="18" spans="1:8" x14ac:dyDescent="0.25">
      <c r="A18" s="15" t="s">
        <v>7374</v>
      </c>
      <c r="B18" s="15" t="s">
        <v>7406</v>
      </c>
      <c r="C18" s="15" t="s">
        <v>7407</v>
      </c>
      <c r="D18" s="15"/>
      <c r="E18" s="15"/>
      <c r="F18" s="15"/>
      <c r="G18" s="15"/>
      <c r="H18" s="16" t="s">
        <v>7377</v>
      </c>
    </row>
    <row r="19" spans="1:8" x14ac:dyDescent="0.25">
      <c r="A19" s="15" t="s">
        <v>7374</v>
      </c>
      <c r="B19" s="15" t="s">
        <v>7408</v>
      </c>
      <c r="C19" s="15" t="s">
        <v>7409</v>
      </c>
      <c r="D19" s="15"/>
      <c r="E19" s="15"/>
      <c r="F19" s="15"/>
      <c r="G19" s="15"/>
      <c r="H19" s="16" t="s">
        <v>7377</v>
      </c>
    </row>
    <row r="20" spans="1:8" ht="60" x14ac:dyDescent="0.25">
      <c r="A20" s="15" t="s">
        <v>7374</v>
      </c>
      <c r="B20" s="15" t="s">
        <v>7410</v>
      </c>
      <c r="C20" s="15" t="s">
        <v>7411</v>
      </c>
      <c r="D20" s="15"/>
      <c r="E20" s="15"/>
      <c r="F20" s="15"/>
      <c r="G20" s="15"/>
      <c r="H20" s="16" t="s">
        <v>7377</v>
      </c>
    </row>
    <row r="21" spans="1:8" x14ac:dyDescent="0.25">
      <c r="A21" s="15" t="s">
        <v>7374</v>
      </c>
      <c r="B21" s="15" t="s">
        <v>7412</v>
      </c>
      <c r="C21" s="15" t="s">
        <v>7413</v>
      </c>
      <c r="D21" s="15"/>
      <c r="E21" s="15"/>
      <c r="F21" s="15"/>
      <c r="G21" s="15"/>
      <c r="H21" s="16" t="s">
        <v>7377</v>
      </c>
    </row>
    <row r="22" spans="1:8" ht="30" x14ac:dyDescent="0.25">
      <c r="A22" s="15" t="s">
        <v>7374</v>
      </c>
      <c r="B22" s="15" t="s">
        <v>7414</v>
      </c>
      <c r="C22" s="15" t="s">
        <v>7415</v>
      </c>
      <c r="D22" s="15"/>
      <c r="E22" s="15"/>
      <c r="F22" s="15"/>
      <c r="G22" s="15"/>
      <c r="H22" s="16" t="s">
        <v>7377</v>
      </c>
    </row>
    <row r="23" spans="1:8" x14ac:dyDescent="0.25">
      <c r="A23" s="15" t="s">
        <v>7374</v>
      </c>
      <c r="B23" s="15" t="s">
        <v>7416</v>
      </c>
      <c r="C23" s="15" t="s">
        <v>7417</v>
      </c>
      <c r="D23" s="15"/>
      <c r="E23" s="15"/>
      <c r="F23" s="15"/>
      <c r="G23" s="15"/>
      <c r="H23" s="16" t="s">
        <v>7377</v>
      </c>
    </row>
    <row r="24" spans="1:8" ht="30" x14ac:dyDescent="0.25">
      <c r="A24" s="15" t="s">
        <v>7374</v>
      </c>
      <c r="B24" s="15" t="s">
        <v>7418</v>
      </c>
      <c r="C24" s="15" t="s">
        <v>7419</v>
      </c>
      <c r="D24" s="15"/>
      <c r="E24" s="15"/>
      <c r="F24" s="15"/>
      <c r="G24" s="15"/>
      <c r="H24" s="16" t="s">
        <v>7377</v>
      </c>
    </row>
    <row r="25" spans="1:8" x14ac:dyDescent="0.25">
      <c r="A25" s="15" t="s">
        <v>7374</v>
      </c>
      <c r="B25" s="15" t="s">
        <v>7420</v>
      </c>
      <c r="C25" s="15" t="s">
        <v>7421</v>
      </c>
      <c r="D25" s="15"/>
      <c r="E25" s="15"/>
      <c r="F25" s="15"/>
      <c r="G25" s="15"/>
      <c r="H25" s="16" t="s">
        <v>7377</v>
      </c>
    </row>
    <row r="26" spans="1:8" ht="30" x14ac:dyDescent="0.25">
      <c r="A26" s="15" t="s">
        <v>7374</v>
      </c>
      <c r="B26" s="15" t="s">
        <v>7422</v>
      </c>
      <c r="C26" s="15" t="s">
        <v>7423</v>
      </c>
      <c r="D26" s="15"/>
      <c r="E26" s="15"/>
      <c r="F26" s="15"/>
      <c r="G26" s="15"/>
      <c r="H26" s="16" t="s">
        <v>7377</v>
      </c>
    </row>
    <row r="27" spans="1:8" ht="30" x14ac:dyDescent="0.25">
      <c r="A27" s="15" t="s">
        <v>7374</v>
      </c>
      <c r="B27" s="15" t="s">
        <v>7424</v>
      </c>
      <c r="C27" s="15" t="s">
        <v>7425</v>
      </c>
      <c r="D27" s="15"/>
      <c r="E27" s="15"/>
      <c r="F27" s="15"/>
      <c r="G27" s="15"/>
      <c r="H27" s="16" t="s">
        <v>7377</v>
      </c>
    </row>
    <row r="28" spans="1:8" x14ac:dyDescent="0.25">
      <c r="A28" s="15" t="s">
        <v>7374</v>
      </c>
      <c r="B28" s="15" t="s">
        <v>7426</v>
      </c>
      <c r="C28" s="15" t="s">
        <v>7427</v>
      </c>
      <c r="D28" s="15"/>
      <c r="E28" s="15"/>
      <c r="F28" s="15"/>
      <c r="G28" s="15"/>
      <c r="H28" s="16" t="s">
        <v>7377</v>
      </c>
    </row>
    <row r="29" spans="1:8" ht="30" x14ac:dyDescent="0.25">
      <c r="A29" s="15" t="s">
        <v>7374</v>
      </c>
      <c r="B29" s="15" t="s">
        <v>7428</v>
      </c>
      <c r="C29" s="15" t="s">
        <v>7429</v>
      </c>
      <c r="D29" s="15"/>
      <c r="E29" s="15"/>
      <c r="F29" s="15"/>
      <c r="G29" s="15"/>
      <c r="H29" s="16" t="s">
        <v>7377</v>
      </c>
    </row>
    <row r="30" spans="1:8" x14ac:dyDescent="0.25">
      <c r="A30" s="15" t="s">
        <v>7374</v>
      </c>
      <c r="B30" s="15" t="s">
        <v>7430</v>
      </c>
      <c r="C30" s="15" t="s">
        <v>7431</v>
      </c>
      <c r="D30" s="15"/>
      <c r="E30" s="15"/>
      <c r="F30" s="15"/>
      <c r="G30" s="15"/>
      <c r="H30" s="16" t="s">
        <v>7377</v>
      </c>
    </row>
    <row r="31" spans="1:8" ht="30" x14ac:dyDescent="0.25">
      <c r="A31" s="15" t="s">
        <v>7374</v>
      </c>
      <c r="B31" s="15" t="s">
        <v>7432</v>
      </c>
      <c r="C31" s="15" t="s">
        <v>7433</v>
      </c>
      <c r="D31" s="15"/>
      <c r="E31" s="15"/>
      <c r="F31" s="15"/>
      <c r="G31" s="15"/>
      <c r="H31" s="16" t="s">
        <v>7377</v>
      </c>
    </row>
    <row r="32" spans="1:8" x14ac:dyDescent="0.25">
      <c r="A32" s="15" t="s">
        <v>7374</v>
      </c>
      <c r="B32" s="15" t="s">
        <v>7434</v>
      </c>
      <c r="C32" s="15" t="s">
        <v>7435</v>
      </c>
      <c r="D32" s="15"/>
      <c r="E32" s="15"/>
      <c r="F32" s="15"/>
      <c r="G32" s="15"/>
      <c r="H32" s="16" t="s">
        <v>7377</v>
      </c>
    </row>
    <row r="33" spans="1:8" ht="60" x14ac:dyDescent="0.25">
      <c r="A33" s="15" t="s">
        <v>7374</v>
      </c>
      <c r="B33" s="15" t="s">
        <v>7436</v>
      </c>
      <c r="C33" s="15" t="s">
        <v>7437</v>
      </c>
      <c r="D33" s="15"/>
      <c r="E33" s="15"/>
      <c r="F33" s="15"/>
      <c r="G33" s="15"/>
      <c r="H33" s="16" t="s">
        <v>7377</v>
      </c>
    </row>
    <row r="34" spans="1:8" ht="30" x14ac:dyDescent="0.25">
      <c r="A34" s="15" t="s">
        <v>7374</v>
      </c>
      <c r="B34" s="15" t="s">
        <v>7438</v>
      </c>
      <c r="C34" s="15" t="s">
        <v>7439</v>
      </c>
      <c r="D34" s="15"/>
      <c r="E34" s="15"/>
      <c r="F34" s="15"/>
      <c r="G34" s="15"/>
      <c r="H34" s="16" t="s">
        <v>7377</v>
      </c>
    </row>
    <row r="35" spans="1:8" ht="45" x14ac:dyDescent="0.25">
      <c r="A35" s="15" t="s">
        <v>7374</v>
      </c>
      <c r="B35" s="15" t="s">
        <v>7440</v>
      </c>
      <c r="C35" s="15" t="s">
        <v>7441</v>
      </c>
      <c r="D35" s="15"/>
      <c r="E35" s="15"/>
      <c r="F35" s="15"/>
      <c r="G35" s="15"/>
      <c r="H35" s="16" t="s">
        <v>7377</v>
      </c>
    </row>
    <row r="36" spans="1:8" ht="30" x14ac:dyDescent="0.25">
      <c r="A36" s="15" t="s">
        <v>7374</v>
      </c>
      <c r="B36" s="15" t="s">
        <v>7442</v>
      </c>
      <c r="C36" s="15" t="s">
        <v>7443</v>
      </c>
      <c r="D36" s="15"/>
      <c r="E36" s="15"/>
      <c r="F36" s="15"/>
      <c r="G36" s="15"/>
      <c r="H36" s="16" t="s">
        <v>7377</v>
      </c>
    </row>
    <row r="37" spans="1:8" x14ac:dyDescent="0.25">
      <c r="A37" s="15" t="s">
        <v>7374</v>
      </c>
      <c r="B37" s="15" t="s">
        <v>7444</v>
      </c>
      <c r="C37" s="15" t="s">
        <v>7445</v>
      </c>
      <c r="D37" s="15"/>
      <c r="E37" s="15"/>
      <c r="F37" s="15"/>
      <c r="G37" s="15"/>
      <c r="H37" s="16" t="s">
        <v>7377</v>
      </c>
    </row>
    <row r="38" spans="1:8" ht="30" x14ac:dyDescent="0.25">
      <c r="A38" s="15" t="s">
        <v>7374</v>
      </c>
      <c r="B38" s="15" t="s">
        <v>7446</v>
      </c>
      <c r="C38" s="15" t="s">
        <v>7447</v>
      </c>
      <c r="D38" s="15"/>
      <c r="E38" s="15"/>
      <c r="F38" s="15"/>
      <c r="G38" s="15"/>
      <c r="H38" s="16" t="s">
        <v>7377</v>
      </c>
    </row>
    <row r="39" spans="1:8" ht="30" x14ac:dyDescent="0.25">
      <c r="A39" s="15" t="s">
        <v>7374</v>
      </c>
      <c r="B39" s="15" t="s">
        <v>7448</v>
      </c>
      <c r="C39" s="15" t="s">
        <v>7449</v>
      </c>
      <c r="D39" s="15"/>
      <c r="E39" s="15"/>
      <c r="F39" s="15"/>
      <c r="G39" s="15"/>
      <c r="H39" s="16" t="s">
        <v>7377</v>
      </c>
    </row>
    <row r="40" spans="1:8" ht="30" x14ac:dyDescent="0.25">
      <c r="A40" s="15" t="s">
        <v>7374</v>
      </c>
      <c r="B40" s="15" t="s">
        <v>7450</v>
      </c>
      <c r="C40" s="15" t="s">
        <v>7451</v>
      </c>
      <c r="D40" s="15"/>
      <c r="E40" s="15"/>
      <c r="F40" s="15"/>
      <c r="G40" s="15"/>
      <c r="H40" s="16" t="s">
        <v>7377</v>
      </c>
    </row>
    <row r="41" spans="1:8" ht="30" x14ac:dyDescent="0.25">
      <c r="A41" s="15" t="s">
        <v>7374</v>
      </c>
      <c r="B41" s="15" t="s">
        <v>7452</v>
      </c>
      <c r="C41" s="15" t="s">
        <v>7453</v>
      </c>
      <c r="D41" s="15"/>
      <c r="E41" s="15"/>
      <c r="F41" s="15"/>
      <c r="G41" s="15"/>
      <c r="H41" s="16" t="s">
        <v>7377</v>
      </c>
    </row>
    <row r="42" spans="1:8" ht="45" x14ac:dyDescent="0.25">
      <c r="A42" s="15" t="s">
        <v>7374</v>
      </c>
      <c r="B42" s="15" t="s">
        <v>7454</v>
      </c>
      <c r="C42" s="15" t="s">
        <v>7455</v>
      </c>
      <c r="D42" s="15"/>
      <c r="E42" s="15"/>
      <c r="F42" s="15"/>
      <c r="G42" s="15"/>
      <c r="H42" s="16" t="s">
        <v>7377</v>
      </c>
    </row>
    <row r="43" spans="1:8" ht="45" x14ac:dyDescent="0.25">
      <c r="A43" s="15" t="s">
        <v>7374</v>
      </c>
      <c r="B43" s="15" t="s">
        <v>7456</v>
      </c>
      <c r="C43" s="15" t="s">
        <v>7457</v>
      </c>
      <c r="D43" s="15"/>
      <c r="E43" s="15"/>
      <c r="F43" s="15"/>
      <c r="G43" s="15"/>
      <c r="H43" s="16" t="s">
        <v>7377</v>
      </c>
    </row>
    <row r="44" spans="1:8" ht="30" x14ac:dyDescent="0.25">
      <c r="A44" s="15" t="s">
        <v>7374</v>
      </c>
      <c r="B44" s="15" t="s">
        <v>7458</v>
      </c>
      <c r="C44" s="15" t="s">
        <v>7459</v>
      </c>
      <c r="D44" s="15"/>
      <c r="E44" s="15"/>
      <c r="F44" s="15"/>
      <c r="G44" s="15"/>
      <c r="H44" s="16" t="s">
        <v>7377</v>
      </c>
    </row>
    <row r="45" spans="1:8" ht="30" x14ac:dyDescent="0.25">
      <c r="A45" s="15" t="s">
        <v>7374</v>
      </c>
      <c r="B45" s="15" t="s">
        <v>7460</v>
      </c>
      <c r="C45" s="15" t="s">
        <v>7461</v>
      </c>
      <c r="D45" s="15"/>
      <c r="E45" s="15"/>
      <c r="F45" s="15"/>
      <c r="G45" s="15"/>
      <c r="H45" s="16" t="s">
        <v>7377</v>
      </c>
    </row>
    <row r="46" spans="1:8" ht="30" x14ac:dyDescent="0.25">
      <c r="A46" s="15" t="s">
        <v>7374</v>
      </c>
      <c r="B46" s="15" t="s">
        <v>7462</v>
      </c>
      <c r="C46" s="15" t="s">
        <v>7463</v>
      </c>
      <c r="D46" s="15"/>
      <c r="E46" s="15"/>
      <c r="F46" s="15"/>
      <c r="G46" s="15"/>
      <c r="H46" s="16" t="s">
        <v>7377</v>
      </c>
    </row>
    <row r="47" spans="1:8" ht="30" x14ac:dyDescent="0.25">
      <c r="A47" s="15" t="s">
        <v>7374</v>
      </c>
      <c r="B47" s="15" t="s">
        <v>7464</v>
      </c>
      <c r="C47" s="15" t="s">
        <v>7465</v>
      </c>
      <c r="D47" s="15"/>
      <c r="E47" s="15"/>
      <c r="F47" s="15"/>
      <c r="G47" s="15"/>
      <c r="H47" s="16" t="s">
        <v>7377</v>
      </c>
    </row>
    <row r="48" spans="1:8" ht="30" x14ac:dyDescent="0.25">
      <c r="A48" s="15" t="s">
        <v>7374</v>
      </c>
      <c r="B48" s="15" t="s">
        <v>7466</v>
      </c>
      <c r="C48" s="15" t="s">
        <v>7467</v>
      </c>
      <c r="D48" s="15"/>
      <c r="E48" s="15"/>
      <c r="F48" s="15"/>
      <c r="G48" s="15"/>
      <c r="H48" s="16" t="s">
        <v>7377</v>
      </c>
    </row>
    <row r="49" spans="1:8" ht="30" x14ac:dyDescent="0.25">
      <c r="A49" s="15" t="s">
        <v>7374</v>
      </c>
      <c r="B49" s="15" t="s">
        <v>7468</v>
      </c>
      <c r="C49" s="15" t="s">
        <v>7469</v>
      </c>
      <c r="D49" s="15"/>
      <c r="E49" s="15"/>
      <c r="F49" s="15"/>
      <c r="G49" s="15"/>
      <c r="H49" s="16" t="s">
        <v>7377</v>
      </c>
    </row>
    <row r="50" spans="1:8" ht="30" x14ac:dyDescent="0.25">
      <c r="A50" s="15" t="s">
        <v>7374</v>
      </c>
      <c r="B50" s="15" t="s">
        <v>7470</v>
      </c>
      <c r="C50" s="15" t="s">
        <v>7451</v>
      </c>
      <c r="D50" s="15"/>
      <c r="E50" s="15"/>
      <c r="F50" s="15"/>
      <c r="G50" s="15"/>
      <c r="H50" s="16" t="s">
        <v>7377</v>
      </c>
    </row>
    <row r="51" spans="1:8" ht="30" x14ac:dyDescent="0.25">
      <c r="A51" s="15" t="s">
        <v>7374</v>
      </c>
      <c r="B51" s="15" t="s">
        <v>7471</v>
      </c>
      <c r="C51" s="15" t="s">
        <v>7453</v>
      </c>
      <c r="D51" s="15"/>
      <c r="E51" s="15"/>
      <c r="F51" s="15"/>
      <c r="G51" s="15"/>
      <c r="H51" s="16" t="s">
        <v>7377</v>
      </c>
    </row>
    <row r="52" spans="1:8" ht="45" x14ac:dyDescent="0.25">
      <c r="A52" s="15" t="s">
        <v>7374</v>
      </c>
      <c r="B52" s="15" t="s">
        <v>7472</v>
      </c>
      <c r="C52" s="15" t="s">
        <v>7455</v>
      </c>
      <c r="D52" s="15"/>
      <c r="E52" s="15"/>
      <c r="F52" s="15"/>
      <c r="G52" s="15"/>
      <c r="H52" s="16" t="s">
        <v>7377</v>
      </c>
    </row>
    <row r="53" spans="1:8" ht="45" x14ac:dyDescent="0.25">
      <c r="A53" s="15" t="s">
        <v>7374</v>
      </c>
      <c r="B53" s="15" t="s">
        <v>7473</v>
      </c>
      <c r="C53" s="15" t="s">
        <v>7457</v>
      </c>
      <c r="D53" s="15"/>
      <c r="E53" s="15"/>
      <c r="F53" s="15"/>
      <c r="G53" s="15"/>
      <c r="H53" s="16" t="s">
        <v>7377</v>
      </c>
    </row>
    <row r="54" spans="1:8" ht="30" x14ac:dyDescent="0.25">
      <c r="A54" s="15" t="s">
        <v>7374</v>
      </c>
      <c r="B54" s="15" t="s">
        <v>7474</v>
      </c>
      <c r="C54" s="15" t="s">
        <v>7459</v>
      </c>
      <c r="D54" s="15"/>
      <c r="E54" s="15"/>
      <c r="F54" s="15"/>
      <c r="G54" s="15"/>
      <c r="H54" s="16" t="s">
        <v>7377</v>
      </c>
    </row>
    <row r="55" spans="1:8" ht="30" x14ac:dyDescent="0.25">
      <c r="A55" s="15" t="s">
        <v>7374</v>
      </c>
      <c r="B55" s="15" t="s">
        <v>7475</v>
      </c>
      <c r="C55" s="15" t="s">
        <v>7461</v>
      </c>
      <c r="D55" s="15"/>
      <c r="E55" s="15"/>
      <c r="F55" s="15"/>
      <c r="G55" s="15"/>
      <c r="H55" s="16" t="s">
        <v>7377</v>
      </c>
    </row>
    <row r="56" spans="1:8" ht="30" x14ac:dyDescent="0.25">
      <c r="A56" s="15" t="s">
        <v>7374</v>
      </c>
      <c r="B56" s="15" t="s">
        <v>7476</v>
      </c>
      <c r="C56" s="15" t="s">
        <v>7477</v>
      </c>
      <c r="D56" s="15"/>
      <c r="E56" s="15"/>
      <c r="F56" s="15"/>
      <c r="G56" s="15"/>
      <c r="H56" s="16" t="s">
        <v>7377</v>
      </c>
    </row>
    <row r="57" spans="1:8" ht="30" x14ac:dyDescent="0.25">
      <c r="A57" s="15" t="s">
        <v>7374</v>
      </c>
      <c r="B57" s="15" t="s">
        <v>7478</v>
      </c>
      <c r="C57" s="15" t="s">
        <v>7479</v>
      </c>
      <c r="D57" s="15"/>
      <c r="E57" s="15"/>
      <c r="F57" s="15"/>
      <c r="G57" s="15"/>
      <c r="H57" s="16" t="s">
        <v>7377</v>
      </c>
    </row>
    <row r="58" spans="1:8" ht="30" x14ac:dyDescent="0.25">
      <c r="A58" s="15" t="s">
        <v>7374</v>
      </c>
      <c r="B58" s="15" t="s">
        <v>7480</v>
      </c>
      <c r="C58" s="15" t="s">
        <v>7481</v>
      </c>
      <c r="D58" s="15"/>
      <c r="E58" s="15"/>
      <c r="F58" s="15"/>
      <c r="G58" s="15"/>
      <c r="H58" s="16" t="s">
        <v>7377</v>
      </c>
    </row>
    <row r="59" spans="1:8" ht="30" x14ac:dyDescent="0.25">
      <c r="A59" s="15" t="s">
        <v>7374</v>
      </c>
      <c r="B59" s="15" t="s">
        <v>7482</v>
      </c>
      <c r="C59" s="15" t="s">
        <v>7451</v>
      </c>
      <c r="D59" s="15"/>
      <c r="E59" s="15"/>
      <c r="F59" s="15"/>
      <c r="G59" s="15"/>
      <c r="H59" s="16" t="s">
        <v>7377</v>
      </c>
    </row>
    <row r="60" spans="1:8" ht="30" x14ac:dyDescent="0.25">
      <c r="A60" s="15" t="s">
        <v>7374</v>
      </c>
      <c r="B60" s="15" t="s">
        <v>7483</v>
      </c>
      <c r="C60" s="15" t="s">
        <v>7453</v>
      </c>
      <c r="D60" s="15"/>
      <c r="E60" s="15"/>
      <c r="F60" s="15"/>
      <c r="G60" s="15"/>
      <c r="H60" s="16" t="s">
        <v>7377</v>
      </c>
    </row>
    <row r="61" spans="1:8" ht="45" x14ac:dyDescent="0.25">
      <c r="A61" s="15" t="s">
        <v>7374</v>
      </c>
      <c r="B61" s="15" t="s">
        <v>7484</v>
      </c>
      <c r="C61" s="15" t="s">
        <v>7455</v>
      </c>
      <c r="D61" s="15"/>
      <c r="E61" s="15"/>
      <c r="F61" s="15"/>
      <c r="G61" s="15"/>
      <c r="H61" s="16" t="s">
        <v>7377</v>
      </c>
    </row>
    <row r="62" spans="1:8" ht="45" x14ac:dyDescent="0.25">
      <c r="A62" s="15" t="s">
        <v>7374</v>
      </c>
      <c r="B62" s="15" t="s">
        <v>7485</v>
      </c>
      <c r="C62" s="15" t="s">
        <v>7457</v>
      </c>
      <c r="D62" s="15"/>
      <c r="E62" s="15"/>
      <c r="F62" s="15"/>
      <c r="G62" s="15"/>
      <c r="H62" s="16" t="s">
        <v>7377</v>
      </c>
    </row>
    <row r="63" spans="1:8" ht="30" x14ac:dyDescent="0.25">
      <c r="A63" s="15" t="s">
        <v>7374</v>
      </c>
      <c r="B63" s="15" t="s">
        <v>7486</v>
      </c>
      <c r="C63" s="15" t="s">
        <v>7459</v>
      </c>
      <c r="D63" s="15"/>
      <c r="E63" s="15"/>
      <c r="F63" s="15"/>
      <c r="G63" s="15"/>
      <c r="H63" s="16" t="s">
        <v>7377</v>
      </c>
    </row>
    <row r="64" spans="1:8" ht="30" x14ac:dyDescent="0.25">
      <c r="A64" s="15" t="s">
        <v>7374</v>
      </c>
      <c r="B64" s="15" t="s">
        <v>7487</v>
      </c>
      <c r="C64" s="15" t="s">
        <v>7461</v>
      </c>
      <c r="D64" s="15"/>
      <c r="E64" s="15"/>
      <c r="F64" s="15"/>
      <c r="G64" s="15"/>
      <c r="H64" s="16" t="s">
        <v>7377</v>
      </c>
    </row>
    <row r="65" spans="1:8" ht="30" x14ac:dyDescent="0.25">
      <c r="A65" s="15" t="s">
        <v>7374</v>
      </c>
      <c r="B65" s="15" t="s">
        <v>7488</v>
      </c>
      <c r="C65" s="15" t="s">
        <v>7463</v>
      </c>
      <c r="D65" s="15"/>
      <c r="E65" s="15"/>
      <c r="F65" s="15"/>
      <c r="G65" s="15"/>
      <c r="H65" s="16" t="s">
        <v>7377</v>
      </c>
    </row>
    <row r="66" spans="1:8" ht="30" x14ac:dyDescent="0.25">
      <c r="A66" s="15" t="s">
        <v>7374</v>
      </c>
      <c r="B66" s="15" t="s">
        <v>7489</v>
      </c>
      <c r="C66" s="15" t="s">
        <v>7465</v>
      </c>
      <c r="D66" s="15"/>
      <c r="E66" s="15"/>
      <c r="F66" s="15"/>
      <c r="G66" s="15"/>
      <c r="H66" s="16" t="s">
        <v>7377</v>
      </c>
    </row>
    <row r="67" spans="1:8" ht="30" x14ac:dyDescent="0.25">
      <c r="A67" s="15" t="s">
        <v>7374</v>
      </c>
      <c r="B67" s="15" t="s">
        <v>7490</v>
      </c>
      <c r="C67" s="15" t="s">
        <v>7491</v>
      </c>
      <c r="D67" s="15"/>
      <c r="E67" s="15"/>
      <c r="F67" s="15"/>
      <c r="G67" s="15"/>
      <c r="H67" s="16" t="s">
        <v>7377</v>
      </c>
    </row>
    <row r="68" spans="1:8" ht="30" x14ac:dyDescent="0.25">
      <c r="A68" s="15" t="s">
        <v>7374</v>
      </c>
      <c r="B68" s="15" t="s">
        <v>7492</v>
      </c>
      <c r="C68" s="15" t="s">
        <v>7493</v>
      </c>
      <c r="D68" s="15"/>
      <c r="E68" s="15"/>
      <c r="F68" s="15"/>
      <c r="G68" s="15"/>
      <c r="H68" s="16" t="s">
        <v>7377</v>
      </c>
    </row>
    <row r="69" spans="1:8" ht="60" x14ac:dyDescent="0.25">
      <c r="A69" s="15" t="s">
        <v>7374</v>
      </c>
      <c r="B69" s="15" t="s">
        <v>7494</v>
      </c>
      <c r="C69" s="15" t="s">
        <v>7495</v>
      </c>
      <c r="D69" s="15"/>
      <c r="E69" s="15"/>
      <c r="F69" s="15"/>
      <c r="G69" s="15"/>
      <c r="H69" s="16" t="s">
        <v>7377</v>
      </c>
    </row>
    <row r="70" spans="1:8" ht="30" x14ac:dyDescent="0.25">
      <c r="A70" s="15" t="s">
        <v>7374</v>
      </c>
      <c r="B70" s="15" t="s">
        <v>7496</v>
      </c>
      <c r="C70" s="15" t="s">
        <v>7497</v>
      </c>
      <c r="D70" s="15"/>
      <c r="E70" s="15"/>
      <c r="F70" s="15"/>
      <c r="G70" s="15"/>
      <c r="H70" s="16" t="s">
        <v>7377</v>
      </c>
    </row>
    <row r="71" spans="1:8" x14ac:dyDescent="0.25">
      <c r="A71" s="15" t="s">
        <v>7374</v>
      </c>
      <c r="B71" s="15" t="s">
        <v>7498</v>
      </c>
      <c r="C71" s="15" t="s">
        <v>7499</v>
      </c>
      <c r="D71" s="15"/>
      <c r="E71" s="15"/>
      <c r="F71" s="15"/>
      <c r="G71" s="15"/>
      <c r="H71" s="16" t="s">
        <v>7377</v>
      </c>
    </row>
    <row r="72" spans="1:8" x14ac:dyDescent="0.25">
      <c r="A72" s="15" t="s">
        <v>7374</v>
      </c>
      <c r="B72" s="15" t="s">
        <v>7500</v>
      </c>
      <c r="C72" s="15" t="s">
        <v>7501</v>
      </c>
      <c r="D72" s="15"/>
      <c r="E72" s="15"/>
      <c r="F72" s="15"/>
      <c r="G72" s="15"/>
      <c r="H72" s="16" t="s">
        <v>7377</v>
      </c>
    </row>
    <row r="73" spans="1:8" ht="30" x14ac:dyDescent="0.25">
      <c r="A73" s="15" t="s">
        <v>7374</v>
      </c>
      <c r="B73" s="15" t="s">
        <v>7502</v>
      </c>
      <c r="C73" s="15" t="s">
        <v>7433</v>
      </c>
      <c r="D73" s="15"/>
      <c r="E73" s="15"/>
      <c r="F73" s="15"/>
      <c r="G73" s="15"/>
      <c r="H73" s="16" t="s">
        <v>7377</v>
      </c>
    </row>
    <row r="74" spans="1:8" ht="30" x14ac:dyDescent="0.25">
      <c r="A74" s="15" t="s">
        <v>7374</v>
      </c>
      <c r="B74" s="15" t="s">
        <v>7503</v>
      </c>
      <c r="C74" s="15" t="s">
        <v>7504</v>
      </c>
      <c r="D74" s="15"/>
      <c r="E74" s="15"/>
      <c r="F74" s="15"/>
      <c r="G74" s="15"/>
      <c r="H74" s="16" t="s">
        <v>7377</v>
      </c>
    </row>
    <row r="75" spans="1:8" ht="45" x14ac:dyDescent="0.25">
      <c r="A75" s="15" t="s">
        <v>7374</v>
      </c>
      <c r="B75" s="15" t="s">
        <v>7505</v>
      </c>
      <c r="C75" s="15" t="s">
        <v>7506</v>
      </c>
      <c r="D75" s="15"/>
      <c r="E75" s="15"/>
      <c r="F75" s="15"/>
      <c r="G75" s="15"/>
      <c r="H75" s="16" t="s">
        <v>7377</v>
      </c>
    </row>
    <row r="76" spans="1:8" ht="30" x14ac:dyDescent="0.25">
      <c r="A76" s="15" t="s">
        <v>7374</v>
      </c>
      <c r="B76" s="15" t="s">
        <v>7507</v>
      </c>
      <c r="C76" s="15" t="s">
        <v>7508</v>
      </c>
      <c r="D76" s="15"/>
      <c r="E76" s="15"/>
      <c r="F76" s="15"/>
      <c r="G76" s="15"/>
      <c r="H76" s="16" t="s">
        <v>7377</v>
      </c>
    </row>
    <row r="77" spans="1:8" ht="30" x14ac:dyDescent="0.25">
      <c r="A77" s="15" t="s">
        <v>7374</v>
      </c>
      <c r="B77" s="15" t="s">
        <v>7509</v>
      </c>
      <c r="C77" s="15" t="s">
        <v>7510</v>
      </c>
      <c r="D77" s="15"/>
      <c r="E77" s="15"/>
      <c r="F77" s="15"/>
      <c r="G77" s="15"/>
      <c r="H77" s="16" t="s">
        <v>7377</v>
      </c>
    </row>
    <row r="78" spans="1:8" ht="30" x14ac:dyDescent="0.25">
      <c r="A78" s="15" t="s">
        <v>7374</v>
      </c>
      <c r="B78" s="15" t="s">
        <v>7511</v>
      </c>
      <c r="C78" s="15" t="s">
        <v>7512</v>
      </c>
      <c r="D78" s="15"/>
      <c r="E78" s="15"/>
      <c r="F78" s="15"/>
      <c r="G78" s="15"/>
      <c r="H78" s="16" t="s">
        <v>7377</v>
      </c>
    </row>
    <row r="79" spans="1:8" ht="30" x14ac:dyDescent="0.25">
      <c r="A79" s="15" t="s">
        <v>7374</v>
      </c>
      <c r="B79" s="15" t="s">
        <v>7513</v>
      </c>
      <c r="C79" s="15" t="s">
        <v>7415</v>
      </c>
      <c r="D79" s="15"/>
      <c r="E79" s="15"/>
      <c r="F79" s="15"/>
      <c r="G79" s="15"/>
      <c r="H79" s="16" t="s">
        <v>7377</v>
      </c>
    </row>
    <row r="80" spans="1:8" x14ac:dyDescent="0.25">
      <c r="A80" s="15" t="s">
        <v>7374</v>
      </c>
      <c r="B80" s="15" t="s">
        <v>7514</v>
      </c>
      <c r="C80" s="15" t="s">
        <v>7515</v>
      </c>
      <c r="D80" s="15"/>
      <c r="E80" s="15"/>
      <c r="F80" s="15"/>
      <c r="G80" s="15"/>
      <c r="H80" s="16" t="s">
        <v>7377</v>
      </c>
    </row>
    <row r="81" spans="1:8" ht="30" x14ac:dyDescent="0.25">
      <c r="A81" s="15" t="s">
        <v>7374</v>
      </c>
      <c r="B81" s="15" t="s">
        <v>7516</v>
      </c>
      <c r="C81" s="15" t="s">
        <v>7517</v>
      </c>
      <c r="D81" s="15"/>
      <c r="E81" s="15"/>
      <c r="F81" s="15"/>
      <c r="G81" s="15"/>
      <c r="H81" s="16" t="s">
        <v>7377</v>
      </c>
    </row>
    <row r="82" spans="1:8" ht="30" x14ac:dyDescent="0.25">
      <c r="A82" s="15" t="s">
        <v>7374</v>
      </c>
      <c r="B82" s="15" t="s">
        <v>7518</v>
      </c>
      <c r="C82" s="15" t="s">
        <v>7508</v>
      </c>
      <c r="D82" s="15"/>
      <c r="E82" s="15"/>
      <c r="F82" s="15"/>
      <c r="G82" s="15"/>
      <c r="H82" s="16" t="s">
        <v>7377</v>
      </c>
    </row>
    <row r="83" spans="1:8" ht="30" x14ac:dyDescent="0.25">
      <c r="A83" s="15" t="s">
        <v>7374</v>
      </c>
      <c r="B83" s="15" t="s">
        <v>7519</v>
      </c>
      <c r="C83" s="15" t="s">
        <v>7510</v>
      </c>
      <c r="D83" s="15"/>
      <c r="E83" s="15"/>
      <c r="F83" s="15"/>
      <c r="G83" s="15"/>
      <c r="H83" s="16" t="s">
        <v>7377</v>
      </c>
    </row>
    <row r="84" spans="1:8" ht="30" x14ac:dyDescent="0.25">
      <c r="A84" s="15" t="s">
        <v>7374</v>
      </c>
      <c r="B84" s="15" t="s">
        <v>7520</v>
      </c>
      <c r="C84" s="15" t="s">
        <v>7512</v>
      </c>
      <c r="D84" s="15"/>
      <c r="E84" s="15"/>
      <c r="F84" s="15"/>
      <c r="G84" s="15"/>
      <c r="H84" s="16" t="s">
        <v>7377</v>
      </c>
    </row>
    <row r="85" spans="1:8" ht="30" x14ac:dyDescent="0.25">
      <c r="A85" s="15" t="s">
        <v>7374</v>
      </c>
      <c r="B85" s="15" t="s">
        <v>7521</v>
      </c>
      <c r="C85" s="15" t="s">
        <v>7522</v>
      </c>
      <c r="D85" s="15"/>
      <c r="E85" s="15"/>
      <c r="F85" s="15"/>
      <c r="G85" s="15"/>
      <c r="H85" s="16" t="s">
        <v>7377</v>
      </c>
    </row>
    <row r="86" spans="1:8" ht="30" x14ac:dyDescent="0.25">
      <c r="A86" s="15" t="s">
        <v>7374</v>
      </c>
      <c r="B86" s="15" t="s">
        <v>7523</v>
      </c>
      <c r="C86" s="15" t="s">
        <v>7515</v>
      </c>
      <c r="D86" s="15"/>
      <c r="E86" s="15"/>
      <c r="F86" s="15"/>
      <c r="G86" s="15"/>
      <c r="H86" s="16" t="s">
        <v>7377</v>
      </c>
    </row>
    <row r="87" spans="1:8" ht="30" x14ac:dyDescent="0.25">
      <c r="A87" s="15" t="s">
        <v>7374</v>
      </c>
      <c r="B87" s="15" t="s">
        <v>7524</v>
      </c>
      <c r="C87" s="15" t="s">
        <v>7517</v>
      </c>
      <c r="D87" s="15"/>
      <c r="E87" s="15"/>
      <c r="F87" s="15"/>
      <c r="G87" s="15"/>
      <c r="H87" s="16" t="s">
        <v>7377</v>
      </c>
    </row>
    <row r="88" spans="1:8" ht="30" x14ac:dyDescent="0.25">
      <c r="A88" s="15" t="s">
        <v>7374</v>
      </c>
      <c r="B88" s="15" t="s">
        <v>7525</v>
      </c>
      <c r="C88" s="15" t="s">
        <v>7508</v>
      </c>
      <c r="D88" s="15"/>
      <c r="E88" s="15"/>
      <c r="F88" s="15"/>
      <c r="G88" s="15"/>
      <c r="H88" s="16" t="s">
        <v>7377</v>
      </c>
    </row>
    <row r="89" spans="1:8" ht="30" x14ac:dyDescent="0.25">
      <c r="A89" s="15" t="s">
        <v>7374</v>
      </c>
      <c r="B89" s="15" t="s">
        <v>7526</v>
      </c>
      <c r="C89" s="15" t="s">
        <v>7522</v>
      </c>
      <c r="D89" s="15"/>
      <c r="E89" s="15"/>
      <c r="F89" s="15"/>
      <c r="G89" s="15"/>
      <c r="H89" s="16" t="s">
        <v>7377</v>
      </c>
    </row>
    <row r="90" spans="1:8" ht="45" x14ac:dyDescent="0.25">
      <c r="A90" s="15" t="s">
        <v>7374</v>
      </c>
      <c r="B90" s="15" t="s">
        <v>7527</v>
      </c>
      <c r="C90" s="15" t="s">
        <v>7528</v>
      </c>
      <c r="D90" s="15"/>
      <c r="E90" s="15"/>
      <c r="F90" s="15"/>
      <c r="G90" s="15"/>
      <c r="H90" s="16" t="s">
        <v>7377</v>
      </c>
    </row>
    <row r="91" spans="1:8" ht="60" x14ac:dyDescent="0.25">
      <c r="A91" s="15" t="s">
        <v>7374</v>
      </c>
      <c r="B91" s="15" t="s">
        <v>7529</v>
      </c>
      <c r="C91" s="15" t="s">
        <v>7530</v>
      </c>
      <c r="D91" s="15"/>
      <c r="E91" s="15"/>
      <c r="F91" s="15"/>
      <c r="G91" s="15"/>
      <c r="H91" s="16" t="s">
        <v>7377</v>
      </c>
    </row>
    <row r="92" spans="1:8" ht="45" x14ac:dyDescent="0.25">
      <c r="A92" s="15" t="s">
        <v>7374</v>
      </c>
      <c r="B92" s="15" t="s">
        <v>7531</v>
      </c>
      <c r="C92" s="15" t="s">
        <v>7532</v>
      </c>
      <c r="D92" s="15"/>
      <c r="E92" s="15"/>
      <c r="F92" s="15"/>
      <c r="G92" s="15"/>
      <c r="H92" s="16" t="s">
        <v>7377</v>
      </c>
    </row>
    <row r="93" spans="1:8" ht="75" x14ac:dyDescent="0.25">
      <c r="A93" s="15" t="s">
        <v>7374</v>
      </c>
      <c r="B93" s="15" t="s">
        <v>7533</v>
      </c>
      <c r="C93" s="15" t="s">
        <v>7534</v>
      </c>
      <c r="D93" s="15"/>
      <c r="E93" s="15"/>
      <c r="F93" s="15"/>
      <c r="G93" s="15"/>
      <c r="H93" s="16" t="s">
        <v>7377</v>
      </c>
    </row>
    <row r="94" spans="1:8" x14ac:dyDescent="0.25">
      <c r="A94" s="15" t="s">
        <v>7374</v>
      </c>
      <c r="B94" s="15" t="s">
        <v>7535</v>
      </c>
      <c r="C94" s="15" t="s">
        <v>7536</v>
      </c>
      <c r="D94" s="15"/>
      <c r="E94" s="15"/>
      <c r="F94" s="15"/>
      <c r="G94" s="15"/>
      <c r="H94" s="16" t="s">
        <v>7377</v>
      </c>
    </row>
    <row r="95" spans="1:8" x14ac:dyDescent="0.25">
      <c r="A95" s="15" t="s">
        <v>7374</v>
      </c>
      <c r="B95" s="15" t="s">
        <v>7537</v>
      </c>
      <c r="C95" s="15" t="s">
        <v>7515</v>
      </c>
      <c r="D95" s="15"/>
      <c r="E95" s="15"/>
      <c r="F95" s="15"/>
      <c r="G95" s="15"/>
      <c r="H95" s="16" t="s">
        <v>7377</v>
      </c>
    </row>
    <row r="96" spans="1:8" ht="30" x14ac:dyDescent="0.25">
      <c r="A96" s="15" t="s">
        <v>7374</v>
      </c>
      <c r="B96" s="15" t="s">
        <v>7538</v>
      </c>
      <c r="C96" s="15" t="s">
        <v>7539</v>
      </c>
      <c r="D96" s="15"/>
      <c r="E96" s="15"/>
      <c r="F96" s="15"/>
      <c r="G96" s="15"/>
      <c r="H96" s="16" t="s">
        <v>7377</v>
      </c>
    </row>
    <row r="97" spans="1:8" ht="45" x14ac:dyDescent="0.25">
      <c r="A97" s="15" t="s">
        <v>7374</v>
      </c>
      <c r="B97" s="15" t="s">
        <v>7540</v>
      </c>
      <c r="C97" s="15" t="s">
        <v>7541</v>
      </c>
      <c r="D97" s="15"/>
      <c r="E97" s="15"/>
      <c r="F97" s="15"/>
      <c r="G97" s="15"/>
      <c r="H97" s="16" t="s">
        <v>7377</v>
      </c>
    </row>
    <row r="98" spans="1:8" ht="30" x14ac:dyDescent="0.25">
      <c r="A98" s="15" t="s">
        <v>7374</v>
      </c>
      <c r="B98" s="15" t="s">
        <v>7542</v>
      </c>
      <c r="C98" s="15" t="s">
        <v>4050</v>
      </c>
      <c r="D98" s="15"/>
      <c r="E98" s="15"/>
      <c r="F98" s="15"/>
      <c r="G98" s="15"/>
      <c r="H98" s="16" t="s">
        <v>7377</v>
      </c>
    </row>
    <row r="99" spans="1:8" ht="30" x14ac:dyDescent="0.25">
      <c r="A99" s="15" t="s">
        <v>7374</v>
      </c>
      <c r="B99" s="15" t="s">
        <v>7543</v>
      </c>
      <c r="C99" s="15" t="s">
        <v>7394</v>
      </c>
      <c r="D99" s="15"/>
      <c r="E99" s="15"/>
      <c r="F99" s="15"/>
      <c r="G99" s="15"/>
      <c r="H99" s="16" t="s">
        <v>7377</v>
      </c>
    </row>
    <row r="100" spans="1:8" ht="30" x14ac:dyDescent="0.25">
      <c r="A100" s="15" t="s">
        <v>7374</v>
      </c>
      <c r="B100" s="15" t="s">
        <v>7544</v>
      </c>
      <c r="C100" s="15" t="s">
        <v>7545</v>
      </c>
      <c r="D100" s="15"/>
      <c r="E100" s="15"/>
      <c r="F100" s="15"/>
      <c r="G100" s="15"/>
      <c r="H100" s="16" t="s">
        <v>7377</v>
      </c>
    </row>
    <row r="101" spans="1:8" ht="30" x14ac:dyDescent="0.25">
      <c r="A101" s="15" t="s">
        <v>7374</v>
      </c>
      <c r="B101" s="15" t="s">
        <v>7546</v>
      </c>
      <c r="C101" s="15" t="s">
        <v>7547</v>
      </c>
      <c r="D101" s="15"/>
      <c r="E101" s="15"/>
      <c r="F101" s="15"/>
      <c r="G101" s="15"/>
      <c r="H101" s="16" t="s">
        <v>7377</v>
      </c>
    </row>
    <row r="102" spans="1:8" ht="30" x14ac:dyDescent="0.25">
      <c r="A102" s="15" t="s">
        <v>7374</v>
      </c>
      <c r="B102" s="15" t="s">
        <v>7548</v>
      </c>
      <c r="C102" s="15" t="s">
        <v>4050</v>
      </c>
      <c r="D102" s="15"/>
      <c r="E102" s="15"/>
      <c r="F102" s="15"/>
      <c r="G102" s="15"/>
      <c r="H102" s="16" t="s">
        <v>7377</v>
      </c>
    </row>
    <row r="103" spans="1:8" ht="30" x14ac:dyDescent="0.25">
      <c r="A103" s="15" t="s">
        <v>7374</v>
      </c>
      <c r="B103" s="15" t="s">
        <v>7549</v>
      </c>
      <c r="C103" s="15" t="s">
        <v>7394</v>
      </c>
      <c r="D103" s="15"/>
      <c r="E103" s="15"/>
      <c r="F103" s="15"/>
      <c r="G103" s="15"/>
      <c r="H103" s="16" t="s">
        <v>7377</v>
      </c>
    </row>
    <row r="104" spans="1:8" ht="30" x14ac:dyDescent="0.25">
      <c r="A104" s="15" t="s">
        <v>7374</v>
      </c>
      <c r="B104" s="15" t="s">
        <v>7550</v>
      </c>
      <c r="C104" s="15" t="s">
        <v>7551</v>
      </c>
      <c r="D104" s="15"/>
      <c r="E104" s="15"/>
      <c r="F104" s="15"/>
      <c r="G104" s="15"/>
      <c r="H104" s="16" t="s">
        <v>7377</v>
      </c>
    </row>
    <row r="105" spans="1:8" x14ac:dyDescent="0.25">
      <c r="A105" s="15" t="s">
        <v>7374</v>
      </c>
      <c r="B105" s="15" t="s">
        <v>7552</v>
      </c>
      <c r="C105" s="15" t="s">
        <v>7553</v>
      </c>
      <c r="D105" s="15"/>
      <c r="E105" s="15"/>
      <c r="F105" s="15"/>
      <c r="G105" s="15"/>
      <c r="H105" s="16" t="s">
        <v>7377</v>
      </c>
    </row>
    <row r="106" spans="1:8" x14ac:dyDescent="0.25">
      <c r="A106" s="15" t="s">
        <v>7374</v>
      </c>
      <c r="B106" s="15" t="s">
        <v>7554</v>
      </c>
      <c r="C106" s="15" t="s">
        <v>7555</v>
      </c>
      <c r="D106" s="15"/>
      <c r="E106" s="15"/>
      <c r="F106" s="15"/>
      <c r="G106" s="15"/>
      <c r="H106" s="16" t="s">
        <v>7377</v>
      </c>
    </row>
    <row r="107" spans="1:8" x14ac:dyDescent="0.25">
      <c r="A107" s="15" t="s">
        <v>7374</v>
      </c>
      <c r="B107" s="15" t="s">
        <v>7556</v>
      </c>
      <c r="C107" s="15" t="s">
        <v>7557</v>
      </c>
      <c r="D107" s="15"/>
      <c r="E107" s="15"/>
      <c r="F107" s="15"/>
      <c r="G107" s="15"/>
      <c r="H107" s="16" t="s">
        <v>7377</v>
      </c>
    </row>
    <row r="108" spans="1:8" x14ac:dyDescent="0.25">
      <c r="A108" s="15" t="s">
        <v>7374</v>
      </c>
      <c r="B108" s="15" t="s">
        <v>7558</v>
      </c>
      <c r="C108" s="15" t="s">
        <v>7559</v>
      </c>
      <c r="D108" s="15"/>
      <c r="E108" s="15"/>
      <c r="F108" s="15"/>
      <c r="G108" s="15"/>
      <c r="H108" s="16" t="s">
        <v>7377</v>
      </c>
    </row>
    <row r="109" spans="1:8" ht="30" x14ac:dyDescent="0.25">
      <c r="A109" s="15" t="s">
        <v>7374</v>
      </c>
      <c r="B109" s="15" t="s">
        <v>7560</v>
      </c>
      <c r="C109" s="15" t="s">
        <v>7561</v>
      </c>
      <c r="D109" s="15"/>
      <c r="E109" s="15"/>
      <c r="F109" s="15"/>
      <c r="G109" s="15"/>
      <c r="H109" s="16" t="s">
        <v>7377</v>
      </c>
    </row>
    <row r="110" spans="1:8" ht="30" x14ac:dyDescent="0.25">
      <c r="A110" s="15" t="s">
        <v>7374</v>
      </c>
      <c r="B110" s="15" t="s">
        <v>7562</v>
      </c>
      <c r="C110" s="15" t="s">
        <v>7453</v>
      </c>
      <c r="D110" s="15"/>
      <c r="E110" s="15"/>
      <c r="F110" s="15"/>
      <c r="G110" s="15"/>
      <c r="H110" s="16" t="s">
        <v>7377</v>
      </c>
    </row>
    <row r="111" spans="1:8" ht="45" x14ac:dyDescent="0.25">
      <c r="A111" s="15" t="s">
        <v>7374</v>
      </c>
      <c r="B111" s="15" t="s">
        <v>7563</v>
      </c>
      <c r="C111" s="15" t="s">
        <v>7455</v>
      </c>
      <c r="D111" s="15"/>
      <c r="E111" s="15"/>
      <c r="F111" s="15"/>
      <c r="G111" s="15"/>
      <c r="H111" s="16" t="s">
        <v>7377</v>
      </c>
    </row>
    <row r="112" spans="1:8" ht="30" x14ac:dyDescent="0.25">
      <c r="A112" s="15" t="s">
        <v>7374</v>
      </c>
      <c r="B112" s="15" t="s">
        <v>7564</v>
      </c>
      <c r="C112" s="15" t="s">
        <v>7461</v>
      </c>
      <c r="D112" s="15"/>
      <c r="E112" s="15"/>
      <c r="F112" s="15"/>
      <c r="G112" s="15"/>
      <c r="H112" s="16" t="s">
        <v>7377</v>
      </c>
    </row>
    <row r="113" spans="1:8" ht="30" x14ac:dyDescent="0.25">
      <c r="A113" s="15" t="s">
        <v>7374</v>
      </c>
      <c r="B113" s="15" t="s">
        <v>7565</v>
      </c>
      <c r="C113" s="15" t="s">
        <v>7463</v>
      </c>
      <c r="D113" s="15"/>
      <c r="E113" s="15"/>
      <c r="F113" s="15"/>
      <c r="G113" s="15"/>
      <c r="H113" s="16" t="s">
        <v>7377</v>
      </c>
    </row>
    <row r="114" spans="1:8" ht="30" x14ac:dyDescent="0.25">
      <c r="A114" s="15" t="s">
        <v>7374</v>
      </c>
      <c r="B114" s="15" t="s">
        <v>7566</v>
      </c>
      <c r="C114" s="15" t="s">
        <v>7465</v>
      </c>
      <c r="D114" s="15"/>
      <c r="E114" s="15"/>
      <c r="F114" s="15"/>
      <c r="G114" s="15"/>
      <c r="H114" s="16" t="s">
        <v>7377</v>
      </c>
    </row>
    <row r="115" spans="1:8" ht="45" x14ac:dyDescent="0.25">
      <c r="A115" s="15" t="s">
        <v>7374</v>
      </c>
      <c r="B115" s="15" t="s">
        <v>7567</v>
      </c>
      <c r="C115" s="15" t="s">
        <v>7568</v>
      </c>
      <c r="D115" s="15"/>
      <c r="E115" s="15"/>
      <c r="F115" s="15"/>
      <c r="G115" s="15"/>
      <c r="H115" s="16" t="s">
        <v>7377</v>
      </c>
    </row>
    <row r="116" spans="1:8" x14ac:dyDescent="0.25">
      <c r="A116" s="15" t="s">
        <v>7374</v>
      </c>
      <c r="B116" s="15" t="s">
        <v>7569</v>
      </c>
      <c r="C116" s="15" t="s">
        <v>7570</v>
      </c>
      <c r="D116" s="15"/>
      <c r="E116" s="15"/>
      <c r="F116" s="15"/>
      <c r="G116" s="15"/>
      <c r="H116" s="16" t="s">
        <v>7377</v>
      </c>
    </row>
    <row r="117" spans="1:8" x14ac:dyDescent="0.25">
      <c r="A117" s="15" t="s">
        <v>7374</v>
      </c>
      <c r="B117" s="15" t="s">
        <v>7571</v>
      </c>
      <c r="C117" s="15" t="s">
        <v>7572</v>
      </c>
      <c r="D117" s="15"/>
      <c r="E117" s="15"/>
      <c r="F117" s="15"/>
      <c r="G117" s="15"/>
      <c r="H117" s="16" t="s">
        <v>7377</v>
      </c>
    </row>
    <row r="118" spans="1:8" ht="30" x14ac:dyDescent="0.25">
      <c r="A118" s="15" t="s">
        <v>7374</v>
      </c>
      <c r="B118" s="15" t="s">
        <v>7573</v>
      </c>
      <c r="C118" s="15" t="s">
        <v>7574</v>
      </c>
      <c r="D118" s="15"/>
      <c r="E118" s="15"/>
      <c r="F118" s="15"/>
      <c r="G118" s="15"/>
      <c r="H118" s="16" t="s">
        <v>7377</v>
      </c>
    </row>
    <row r="119" spans="1:8" ht="30" x14ac:dyDescent="0.25">
      <c r="A119" s="15" t="s">
        <v>7374</v>
      </c>
      <c r="B119" s="15" t="s">
        <v>7575</v>
      </c>
      <c r="C119" s="15" t="s">
        <v>7576</v>
      </c>
      <c r="D119" s="15"/>
      <c r="E119" s="15"/>
      <c r="F119" s="15"/>
      <c r="G119" s="15"/>
      <c r="H119" s="16" t="s">
        <v>7377</v>
      </c>
    </row>
    <row r="120" spans="1:8" ht="45" x14ac:dyDescent="0.25">
      <c r="A120" s="15" t="s">
        <v>7374</v>
      </c>
      <c r="B120" s="15" t="s">
        <v>7577</v>
      </c>
      <c r="C120" s="15" t="s">
        <v>7578</v>
      </c>
      <c r="D120" s="15"/>
      <c r="E120" s="15"/>
      <c r="F120" s="15"/>
      <c r="G120" s="15"/>
      <c r="H120" s="16" t="s">
        <v>7377</v>
      </c>
    </row>
    <row r="121" spans="1:8" x14ac:dyDescent="0.25">
      <c r="A121" s="15" t="s">
        <v>7374</v>
      </c>
      <c r="B121" s="15" t="s">
        <v>7579</v>
      </c>
      <c r="C121" s="15" t="s">
        <v>7580</v>
      </c>
      <c r="D121" s="15"/>
      <c r="E121" s="15"/>
      <c r="F121" s="15"/>
      <c r="G121" s="15"/>
      <c r="H121" s="16" t="s">
        <v>7377</v>
      </c>
    </row>
    <row r="122" spans="1:8" ht="30" x14ac:dyDescent="0.25">
      <c r="A122" s="15" t="s">
        <v>7374</v>
      </c>
      <c r="B122" s="15" t="s">
        <v>7581</v>
      </c>
      <c r="C122" s="15" t="s">
        <v>7582</v>
      </c>
      <c r="D122" s="15"/>
      <c r="E122" s="15"/>
      <c r="F122" s="15"/>
      <c r="G122" s="15"/>
      <c r="H122" s="16" t="s">
        <v>7377</v>
      </c>
    </row>
    <row r="123" spans="1:8" ht="30" x14ac:dyDescent="0.25">
      <c r="A123" s="15" t="s">
        <v>7374</v>
      </c>
      <c r="B123" s="15" t="s">
        <v>7583</v>
      </c>
      <c r="C123" s="15" t="s">
        <v>7584</v>
      </c>
      <c r="D123" s="15"/>
      <c r="E123" s="15"/>
      <c r="F123" s="15"/>
      <c r="G123" s="15"/>
      <c r="H123" s="16" t="s">
        <v>7377</v>
      </c>
    </row>
    <row r="124" spans="1:8" ht="30" x14ac:dyDescent="0.25">
      <c r="A124" s="15" t="s">
        <v>7374</v>
      </c>
      <c r="B124" s="15" t="s">
        <v>7585</v>
      </c>
      <c r="C124" s="15" t="s">
        <v>7586</v>
      </c>
      <c r="D124" s="15"/>
      <c r="E124" s="15"/>
      <c r="F124" s="15"/>
      <c r="G124" s="15"/>
      <c r="H124" s="16" t="s">
        <v>7377</v>
      </c>
    </row>
    <row r="125" spans="1:8" ht="60" x14ac:dyDescent="0.25">
      <c r="A125" s="15" t="s">
        <v>7374</v>
      </c>
      <c r="B125" s="15" t="s">
        <v>7587</v>
      </c>
      <c r="C125" s="15" t="s">
        <v>7588</v>
      </c>
      <c r="D125" s="15"/>
      <c r="E125" s="15"/>
      <c r="F125" s="15"/>
      <c r="G125" s="15"/>
      <c r="H125" s="16" t="s">
        <v>7377</v>
      </c>
    </row>
    <row r="126" spans="1:8" ht="30" x14ac:dyDescent="0.25">
      <c r="A126" s="15" t="s">
        <v>7374</v>
      </c>
      <c r="B126" s="15" t="s">
        <v>7589</v>
      </c>
      <c r="C126" s="15" t="s">
        <v>7590</v>
      </c>
      <c r="D126" s="15"/>
      <c r="E126" s="15"/>
      <c r="F126" s="15"/>
      <c r="G126" s="15"/>
      <c r="H126" s="16" t="s">
        <v>7377</v>
      </c>
    </row>
    <row r="127" spans="1:8" ht="30" x14ac:dyDescent="0.25">
      <c r="A127" s="15" t="s">
        <v>7374</v>
      </c>
      <c r="B127" s="15" t="s">
        <v>7591</v>
      </c>
      <c r="C127" s="15" t="s">
        <v>7461</v>
      </c>
      <c r="D127" s="15"/>
      <c r="E127" s="15"/>
      <c r="F127" s="15"/>
      <c r="G127" s="15"/>
      <c r="H127" s="16" t="s">
        <v>7377</v>
      </c>
    </row>
    <row r="128" spans="1:8" ht="30" x14ac:dyDescent="0.25">
      <c r="A128" s="15" t="s">
        <v>7374</v>
      </c>
      <c r="B128" s="15" t="s">
        <v>7592</v>
      </c>
      <c r="C128" s="15" t="s">
        <v>7463</v>
      </c>
      <c r="D128" s="15"/>
      <c r="E128" s="15"/>
      <c r="F128" s="15"/>
      <c r="G128" s="15"/>
      <c r="H128" s="16" t="s">
        <v>7377</v>
      </c>
    </row>
    <row r="129" spans="1:8" ht="30" x14ac:dyDescent="0.25">
      <c r="A129" s="15" t="s">
        <v>7374</v>
      </c>
      <c r="B129" s="15" t="s">
        <v>7593</v>
      </c>
      <c r="C129" s="15" t="s">
        <v>1599</v>
      </c>
      <c r="D129" s="15"/>
      <c r="E129" s="15"/>
      <c r="F129" s="15"/>
      <c r="G129" s="15"/>
      <c r="H129" s="16" t="s">
        <v>7377</v>
      </c>
    </row>
    <row r="130" spans="1:8" ht="30" x14ac:dyDescent="0.25">
      <c r="A130" s="15" t="s">
        <v>7374</v>
      </c>
      <c r="B130" s="15" t="s">
        <v>7594</v>
      </c>
      <c r="C130" s="15" t="s">
        <v>7465</v>
      </c>
      <c r="D130" s="15"/>
      <c r="E130" s="15"/>
      <c r="F130" s="15"/>
      <c r="G130" s="15"/>
      <c r="H130" s="16" t="s">
        <v>7377</v>
      </c>
    </row>
    <row r="131" spans="1:8" ht="30" x14ac:dyDescent="0.25">
      <c r="A131" s="15" t="s">
        <v>7374</v>
      </c>
      <c r="B131" s="15" t="s">
        <v>7595</v>
      </c>
      <c r="C131" s="15" t="s">
        <v>7596</v>
      </c>
      <c r="D131" s="15"/>
      <c r="E131" s="15"/>
      <c r="F131" s="15"/>
      <c r="G131" s="15"/>
      <c r="H131" s="16" t="s">
        <v>7377</v>
      </c>
    </row>
    <row r="132" spans="1:8" ht="45" x14ac:dyDescent="0.25">
      <c r="A132" s="15" t="s">
        <v>7374</v>
      </c>
      <c r="B132" s="15" t="s">
        <v>7597</v>
      </c>
      <c r="C132" s="15" t="s">
        <v>7598</v>
      </c>
      <c r="D132" s="15"/>
      <c r="E132" s="15"/>
      <c r="F132" s="15"/>
      <c r="G132" s="15"/>
      <c r="H132" s="16" t="s">
        <v>7377</v>
      </c>
    </row>
    <row r="133" spans="1:8" ht="45" x14ac:dyDescent="0.25">
      <c r="A133" s="15" t="s">
        <v>7374</v>
      </c>
      <c r="B133" s="15" t="s">
        <v>7599</v>
      </c>
      <c r="C133" s="15" t="s">
        <v>7600</v>
      </c>
      <c r="D133" s="15"/>
      <c r="E133" s="15"/>
      <c r="F133" s="15"/>
      <c r="G133" s="15"/>
      <c r="H133" s="16" t="s">
        <v>7377</v>
      </c>
    </row>
    <row r="134" spans="1:8" ht="45" x14ac:dyDescent="0.25">
      <c r="A134" s="15" t="s">
        <v>7374</v>
      </c>
      <c r="B134" s="15" t="s">
        <v>7601</v>
      </c>
      <c r="C134" s="15" t="s">
        <v>7602</v>
      </c>
      <c r="D134" s="15"/>
      <c r="E134" s="15"/>
      <c r="F134" s="15"/>
      <c r="G134" s="15"/>
      <c r="H134" s="16" t="s">
        <v>7377</v>
      </c>
    </row>
    <row r="135" spans="1:8" ht="45" x14ac:dyDescent="0.25">
      <c r="A135" s="15" t="s">
        <v>7374</v>
      </c>
      <c r="B135" s="15" t="s">
        <v>7603</v>
      </c>
      <c r="C135" s="15" t="s">
        <v>7604</v>
      </c>
      <c r="D135" s="15"/>
      <c r="E135" s="15"/>
      <c r="F135" s="15"/>
      <c r="G135" s="15"/>
      <c r="H135" s="16" t="s">
        <v>7377</v>
      </c>
    </row>
    <row r="136" spans="1:8" ht="45" x14ac:dyDescent="0.25">
      <c r="A136" s="15" t="s">
        <v>7374</v>
      </c>
      <c r="B136" s="15" t="s">
        <v>7605</v>
      </c>
      <c r="C136" s="15" t="s">
        <v>7606</v>
      </c>
      <c r="D136" s="15"/>
      <c r="E136" s="15"/>
      <c r="F136" s="15"/>
      <c r="G136" s="15"/>
      <c r="H136" s="16" t="s">
        <v>7377</v>
      </c>
    </row>
    <row r="137" spans="1:8" x14ac:dyDescent="0.25">
      <c r="A137" s="15" t="s">
        <v>7374</v>
      </c>
      <c r="B137" s="15" t="s">
        <v>7607</v>
      </c>
      <c r="C137" s="15" t="s">
        <v>7608</v>
      </c>
      <c r="D137" s="15"/>
      <c r="E137" s="15"/>
      <c r="F137" s="15"/>
      <c r="G137" s="15"/>
      <c r="H137" s="16" t="s">
        <v>7377</v>
      </c>
    </row>
    <row r="138" spans="1:8" x14ac:dyDescent="0.25">
      <c r="A138" s="15" t="s">
        <v>7374</v>
      </c>
      <c r="B138" s="15" t="s">
        <v>7609</v>
      </c>
      <c r="C138" s="15" t="s">
        <v>7608</v>
      </c>
      <c r="D138" s="15"/>
      <c r="E138" s="15"/>
      <c r="F138" s="15"/>
      <c r="G138" s="15"/>
      <c r="H138" s="16" t="s">
        <v>7377</v>
      </c>
    </row>
    <row r="139" spans="1:8" x14ac:dyDescent="0.25">
      <c r="A139" s="15" t="s">
        <v>7374</v>
      </c>
      <c r="B139" s="15" t="s">
        <v>7610</v>
      </c>
      <c r="C139" s="15" t="s">
        <v>7611</v>
      </c>
      <c r="D139" s="15"/>
      <c r="E139" s="15"/>
      <c r="F139" s="15"/>
      <c r="G139" s="15"/>
      <c r="H139" s="16" t="s">
        <v>7377</v>
      </c>
    </row>
    <row r="140" spans="1:8" ht="45" x14ac:dyDescent="0.25">
      <c r="A140" s="15" t="s">
        <v>7374</v>
      </c>
      <c r="B140" s="15" t="s">
        <v>7612</v>
      </c>
      <c r="C140" s="15" t="s">
        <v>7613</v>
      </c>
      <c r="D140" s="15"/>
      <c r="E140" s="15"/>
      <c r="F140" s="15"/>
      <c r="G140" s="15"/>
      <c r="H140" s="16" t="s">
        <v>7377</v>
      </c>
    </row>
    <row r="141" spans="1:8" ht="30" x14ac:dyDescent="0.25">
      <c r="A141" s="15" t="s">
        <v>7374</v>
      </c>
      <c r="B141" s="15" t="s">
        <v>7614</v>
      </c>
      <c r="C141" s="15" t="s">
        <v>7615</v>
      </c>
      <c r="D141" s="15"/>
      <c r="E141" s="15"/>
      <c r="F141" s="15"/>
      <c r="G141" s="15"/>
      <c r="H141" s="16" t="s">
        <v>7377</v>
      </c>
    </row>
    <row r="142" spans="1:8" x14ac:dyDescent="0.25">
      <c r="A142" s="15" t="s">
        <v>7374</v>
      </c>
      <c r="B142" s="15" t="s">
        <v>7616</v>
      </c>
      <c r="C142" s="15" t="s">
        <v>7617</v>
      </c>
      <c r="D142" s="15"/>
      <c r="E142" s="15"/>
      <c r="F142" s="15"/>
      <c r="G142" s="15"/>
      <c r="H142" s="16" t="s">
        <v>7377</v>
      </c>
    </row>
    <row r="143" spans="1:8" x14ac:dyDescent="0.25">
      <c r="A143" s="15" t="s">
        <v>7374</v>
      </c>
      <c r="B143" s="15" t="s">
        <v>7618</v>
      </c>
      <c r="C143" s="15" t="s">
        <v>7619</v>
      </c>
      <c r="D143" s="15"/>
      <c r="E143" s="15"/>
      <c r="F143" s="15"/>
      <c r="G143" s="15"/>
      <c r="H143" s="16" t="s">
        <v>7377</v>
      </c>
    </row>
    <row r="144" spans="1:8" ht="30" x14ac:dyDescent="0.25">
      <c r="A144" s="15" t="s">
        <v>7374</v>
      </c>
      <c r="B144" s="15" t="s">
        <v>7620</v>
      </c>
      <c r="C144" s="15" t="s">
        <v>7621</v>
      </c>
      <c r="D144" s="15"/>
      <c r="E144" s="15"/>
      <c r="F144" s="15"/>
      <c r="G144" s="15"/>
      <c r="H144" s="16" t="s">
        <v>7377</v>
      </c>
    </row>
    <row r="145" spans="1:8" ht="30" x14ac:dyDescent="0.25">
      <c r="A145" s="15" t="s">
        <v>7374</v>
      </c>
      <c r="B145" s="15" t="s">
        <v>7622</v>
      </c>
      <c r="C145" s="15" t="s">
        <v>7623</v>
      </c>
      <c r="D145" s="15"/>
      <c r="E145" s="15"/>
      <c r="F145" s="15"/>
      <c r="G145" s="15"/>
      <c r="H145" s="16" t="s">
        <v>7377</v>
      </c>
    </row>
    <row r="146" spans="1:8" ht="45" x14ac:dyDescent="0.25">
      <c r="A146" s="15" t="s">
        <v>7374</v>
      </c>
      <c r="B146" s="15" t="s">
        <v>7624</v>
      </c>
      <c r="C146" s="15" t="s">
        <v>7625</v>
      </c>
      <c r="D146" s="15"/>
      <c r="E146" s="15"/>
      <c r="F146" s="15"/>
      <c r="G146" s="15"/>
      <c r="H146" s="16" t="s">
        <v>7377</v>
      </c>
    </row>
    <row r="147" spans="1:8" ht="30" x14ac:dyDescent="0.25">
      <c r="A147" s="15" t="s">
        <v>7374</v>
      </c>
      <c r="B147" s="15" t="s">
        <v>7626</v>
      </c>
      <c r="C147" s="15" t="s">
        <v>7453</v>
      </c>
      <c r="D147" s="15"/>
      <c r="E147" s="15"/>
      <c r="F147" s="15"/>
      <c r="G147" s="15"/>
      <c r="H147" s="16" t="s">
        <v>7377</v>
      </c>
    </row>
    <row r="148" spans="1:8" ht="30" x14ac:dyDescent="0.25">
      <c r="A148" s="15" t="s">
        <v>7374</v>
      </c>
      <c r="B148" s="15" t="s">
        <v>7627</v>
      </c>
      <c r="C148" s="15" t="s">
        <v>7455</v>
      </c>
      <c r="D148" s="15"/>
      <c r="E148" s="15"/>
      <c r="F148" s="15"/>
      <c r="G148" s="15"/>
      <c r="H148" s="16" t="s">
        <v>7377</v>
      </c>
    </row>
    <row r="149" spans="1:8" ht="30" x14ac:dyDescent="0.25">
      <c r="A149" s="15" t="s">
        <v>7374</v>
      </c>
      <c r="B149" s="15" t="s">
        <v>7628</v>
      </c>
      <c r="C149" s="15" t="s">
        <v>7461</v>
      </c>
      <c r="D149" s="15"/>
      <c r="E149" s="15"/>
      <c r="F149" s="15"/>
      <c r="G149" s="15"/>
      <c r="H149" s="16" t="s">
        <v>7377</v>
      </c>
    </row>
    <row r="150" spans="1:8" ht="30" x14ac:dyDescent="0.25">
      <c r="A150" s="15" t="s">
        <v>7374</v>
      </c>
      <c r="B150" s="15" t="s">
        <v>7629</v>
      </c>
      <c r="C150" s="15" t="s">
        <v>7463</v>
      </c>
      <c r="D150" s="15"/>
      <c r="E150" s="15"/>
      <c r="F150" s="15"/>
      <c r="G150" s="15"/>
      <c r="H150" s="16" t="s">
        <v>7377</v>
      </c>
    </row>
    <row r="151" spans="1:8" ht="30" x14ac:dyDescent="0.25">
      <c r="A151" s="15" t="s">
        <v>7374</v>
      </c>
      <c r="B151" s="15" t="s">
        <v>7630</v>
      </c>
      <c r="C151" s="15" t="s">
        <v>7465</v>
      </c>
      <c r="D151" s="15"/>
      <c r="E151" s="15"/>
      <c r="F151" s="15"/>
      <c r="G151" s="15"/>
      <c r="H151" s="16" t="s">
        <v>7377</v>
      </c>
    </row>
    <row r="152" spans="1:8" ht="30" x14ac:dyDescent="0.25">
      <c r="A152" s="15" t="s">
        <v>7374</v>
      </c>
      <c r="B152" s="15" t="s">
        <v>7631</v>
      </c>
      <c r="C152" s="15" t="s">
        <v>7632</v>
      </c>
      <c r="D152" s="15"/>
      <c r="E152" s="15"/>
      <c r="F152" s="15"/>
      <c r="G152" s="15"/>
      <c r="H152" s="16" t="s">
        <v>7377</v>
      </c>
    </row>
    <row r="153" spans="1:8" ht="30" x14ac:dyDescent="0.25">
      <c r="A153" s="15" t="s">
        <v>7374</v>
      </c>
      <c r="B153" s="15" t="s">
        <v>7633</v>
      </c>
      <c r="C153" s="15" t="s">
        <v>7461</v>
      </c>
      <c r="D153" s="15"/>
      <c r="E153" s="15"/>
      <c r="F153" s="15"/>
      <c r="G153" s="15"/>
      <c r="H153" s="16" t="s">
        <v>7377</v>
      </c>
    </row>
    <row r="154" spans="1:8" ht="30" x14ac:dyDescent="0.25">
      <c r="A154" s="15" t="s">
        <v>7374</v>
      </c>
      <c r="B154" s="15" t="s">
        <v>7634</v>
      </c>
      <c r="C154" s="15" t="s">
        <v>7463</v>
      </c>
      <c r="D154" s="15"/>
      <c r="E154" s="15"/>
      <c r="F154" s="15"/>
      <c r="G154" s="15"/>
      <c r="H154" s="16" t="s">
        <v>7377</v>
      </c>
    </row>
    <row r="155" spans="1:8" ht="30" x14ac:dyDescent="0.25">
      <c r="A155" s="15" t="s">
        <v>7374</v>
      </c>
      <c r="B155" s="15" t="s">
        <v>7635</v>
      </c>
      <c r="C155" s="15" t="s">
        <v>1599</v>
      </c>
      <c r="D155" s="15"/>
      <c r="E155" s="15"/>
      <c r="F155" s="15"/>
      <c r="G155" s="15"/>
      <c r="H155" s="16" t="s">
        <v>7377</v>
      </c>
    </row>
    <row r="156" spans="1:8" ht="30" x14ac:dyDescent="0.25">
      <c r="A156" s="15" t="s">
        <v>7374</v>
      </c>
      <c r="B156" s="15" t="s">
        <v>7636</v>
      </c>
      <c r="C156" s="15" t="s">
        <v>7465</v>
      </c>
      <c r="D156" s="15"/>
      <c r="E156" s="15"/>
      <c r="F156" s="15"/>
      <c r="G156" s="15"/>
      <c r="H156" s="16" t="s">
        <v>7377</v>
      </c>
    </row>
    <row r="157" spans="1:8" ht="45" x14ac:dyDescent="0.25">
      <c r="A157" s="15" t="s">
        <v>7374</v>
      </c>
      <c r="B157" s="15" t="s">
        <v>7637</v>
      </c>
      <c r="C157" s="15" t="s">
        <v>7598</v>
      </c>
      <c r="D157" s="15"/>
      <c r="E157" s="15"/>
      <c r="F157" s="15"/>
      <c r="G157" s="15"/>
      <c r="H157" s="16" t="s">
        <v>7377</v>
      </c>
    </row>
    <row r="158" spans="1:8" ht="45" x14ac:dyDescent="0.25">
      <c r="A158" s="15" t="s">
        <v>7374</v>
      </c>
      <c r="B158" s="15" t="s">
        <v>7638</v>
      </c>
      <c r="C158" s="15" t="s">
        <v>7600</v>
      </c>
      <c r="D158" s="15"/>
      <c r="E158" s="15"/>
      <c r="F158" s="15"/>
      <c r="G158" s="15"/>
      <c r="H158" s="16" t="s">
        <v>7377</v>
      </c>
    </row>
    <row r="159" spans="1:8" ht="45" x14ac:dyDescent="0.25">
      <c r="A159" s="15" t="s">
        <v>7374</v>
      </c>
      <c r="B159" s="15" t="s">
        <v>7639</v>
      </c>
      <c r="C159" s="15" t="s">
        <v>7602</v>
      </c>
      <c r="D159" s="15"/>
      <c r="E159" s="15"/>
      <c r="F159" s="15"/>
      <c r="G159" s="15"/>
      <c r="H159" s="16" t="s">
        <v>7377</v>
      </c>
    </row>
    <row r="160" spans="1:8" ht="45" x14ac:dyDescent="0.25">
      <c r="A160" s="15" t="s">
        <v>7374</v>
      </c>
      <c r="B160" s="15" t="s">
        <v>7640</v>
      </c>
      <c r="C160" s="15" t="s">
        <v>7604</v>
      </c>
      <c r="D160" s="15"/>
      <c r="E160" s="15"/>
      <c r="F160" s="15"/>
      <c r="G160" s="15"/>
      <c r="H160" s="16" t="s">
        <v>7377</v>
      </c>
    </row>
    <row r="161" spans="1:8" ht="45" x14ac:dyDescent="0.25">
      <c r="A161" s="15" t="s">
        <v>7374</v>
      </c>
      <c r="B161" s="15" t="s">
        <v>7641</v>
      </c>
      <c r="C161" s="15" t="s">
        <v>7606</v>
      </c>
      <c r="D161" s="15"/>
      <c r="E161" s="15"/>
      <c r="F161" s="15"/>
      <c r="G161" s="15"/>
      <c r="H161" s="16" t="s">
        <v>7377</v>
      </c>
    </row>
    <row r="162" spans="1:8" ht="45" x14ac:dyDescent="0.25">
      <c r="A162" s="15" t="s">
        <v>7374</v>
      </c>
      <c r="B162" s="15" t="s">
        <v>7642</v>
      </c>
      <c r="C162" s="15" t="s">
        <v>7598</v>
      </c>
      <c r="D162" s="15"/>
      <c r="E162" s="15"/>
      <c r="F162" s="15"/>
      <c r="G162" s="15"/>
      <c r="H162" s="16" t="s">
        <v>7377</v>
      </c>
    </row>
    <row r="163" spans="1:8" ht="45" x14ac:dyDescent="0.25">
      <c r="A163" s="15" t="s">
        <v>7374</v>
      </c>
      <c r="B163" s="15" t="s">
        <v>7643</v>
      </c>
      <c r="C163" s="15" t="s">
        <v>7600</v>
      </c>
      <c r="D163" s="15"/>
      <c r="E163" s="15"/>
      <c r="F163" s="15"/>
      <c r="G163" s="15"/>
      <c r="H163" s="16" t="s">
        <v>7377</v>
      </c>
    </row>
    <row r="164" spans="1:8" ht="45" x14ac:dyDescent="0.25">
      <c r="A164" s="15" t="s">
        <v>7374</v>
      </c>
      <c r="B164" s="15" t="s">
        <v>7644</v>
      </c>
      <c r="C164" s="15" t="s">
        <v>7602</v>
      </c>
      <c r="D164" s="15"/>
      <c r="E164" s="15"/>
      <c r="F164" s="15"/>
      <c r="G164" s="15"/>
      <c r="H164" s="16" t="s">
        <v>7377</v>
      </c>
    </row>
    <row r="165" spans="1:8" ht="45" x14ac:dyDescent="0.25">
      <c r="A165" s="15" t="s">
        <v>7374</v>
      </c>
      <c r="B165" s="15" t="s">
        <v>7645</v>
      </c>
      <c r="C165" s="15" t="s">
        <v>7604</v>
      </c>
      <c r="D165" s="15"/>
      <c r="E165" s="15"/>
      <c r="F165" s="15"/>
      <c r="G165" s="15"/>
      <c r="H165" s="16" t="s">
        <v>7377</v>
      </c>
    </row>
    <row r="166" spans="1:8" ht="45" x14ac:dyDescent="0.25">
      <c r="A166" s="15" t="s">
        <v>7374</v>
      </c>
      <c r="B166" s="15" t="s">
        <v>7646</v>
      </c>
      <c r="C166" s="15" t="s">
        <v>7606</v>
      </c>
      <c r="D166" s="15"/>
      <c r="E166" s="15"/>
      <c r="F166" s="15"/>
      <c r="G166" s="15"/>
      <c r="H166" s="16" t="s">
        <v>7377</v>
      </c>
    </row>
    <row r="167" spans="1:8" ht="30" x14ac:dyDescent="0.25">
      <c r="A167" s="15" t="s">
        <v>7374</v>
      </c>
      <c r="B167" s="15" t="s">
        <v>7647</v>
      </c>
      <c r="C167" s="15" t="s">
        <v>7648</v>
      </c>
      <c r="D167" s="15"/>
      <c r="E167" s="15"/>
      <c r="F167" s="15"/>
      <c r="G167" s="15"/>
      <c r="H167" s="16" t="s">
        <v>7377</v>
      </c>
    </row>
    <row r="168" spans="1:8" x14ac:dyDescent="0.25">
      <c r="A168" s="15" t="s">
        <v>7374</v>
      </c>
      <c r="B168" s="15" t="s">
        <v>7649</v>
      </c>
      <c r="C168" s="15" t="s">
        <v>7650</v>
      </c>
      <c r="D168" s="15"/>
      <c r="E168" s="15"/>
      <c r="F168" s="15"/>
      <c r="G168" s="15"/>
      <c r="H168" s="16" t="s">
        <v>7377</v>
      </c>
    </row>
    <row r="169" spans="1:8" ht="30" x14ac:dyDescent="0.25">
      <c r="A169" s="15" t="s">
        <v>7374</v>
      </c>
      <c r="B169" s="15" t="s">
        <v>7651</v>
      </c>
      <c r="C169" s="15" t="s">
        <v>7596</v>
      </c>
      <c r="D169" s="15"/>
      <c r="E169" s="15"/>
      <c r="F169" s="15"/>
      <c r="G169" s="15"/>
      <c r="H169" s="16" t="s">
        <v>7377</v>
      </c>
    </row>
    <row r="170" spans="1:8" ht="45" x14ac:dyDescent="0.25">
      <c r="A170" s="15" t="s">
        <v>7374</v>
      </c>
      <c r="B170" s="15" t="s">
        <v>7652</v>
      </c>
      <c r="C170" s="15" t="s">
        <v>7598</v>
      </c>
      <c r="D170" s="15"/>
      <c r="E170" s="15"/>
      <c r="F170" s="15"/>
      <c r="G170" s="15"/>
      <c r="H170" s="16" t="s">
        <v>7377</v>
      </c>
    </row>
    <row r="171" spans="1:8" ht="45" x14ac:dyDescent="0.25">
      <c r="A171" s="15" t="s">
        <v>7374</v>
      </c>
      <c r="B171" s="15" t="s">
        <v>7653</v>
      </c>
      <c r="C171" s="15" t="s">
        <v>7600</v>
      </c>
      <c r="D171" s="15"/>
      <c r="E171" s="15"/>
      <c r="F171" s="15"/>
      <c r="G171" s="15"/>
      <c r="H171" s="16" t="s">
        <v>7377</v>
      </c>
    </row>
    <row r="172" spans="1:8" ht="45" x14ac:dyDescent="0.25">
      <c r="A172" s="15" t="s">
        <v>7374</v>
      </c>
      <c r="B172" s="15" t="s">
        <v>7654</v>
      </c>
      <c r="C172" s="15" t="s">
        <v>7602</v>
      </c>
      <c r="D172" s="15"/>
      <c r="E172" s="15"/>
      <c r="F172" s="15"/>
      <c r="G172" s="15"/>
      <c r="H172" s="16" t="s">
        <v>7377</v>
      </c>
    </row>
    <row r="173" spans="1:8" ht="45" x14ac:dyDescent="0.25">
      <c r="A173" s="15" t="s">
        <v>7374</v>
      </c>
      <c r="B173" s="15" t="s">
        <v>7655</v>
      </c>
      <c r="C173" s="15" t="s">
        <v>7604</v>
      </c>
      <c r="D173" s="15"/>
      <c r="E173" s="15"/>
      <c r="F173" s="15"/>
      <c r="G173" s="15"/>
      <c r="H173" s="16" t="s">
        <v>7377</v>
      </c>
    </row>
    <row r="174" spans="1:8" ht="45" x14ac:dyDescent="0.25">
      <c r="A174" s="15" t="s">
        <v>7374</v>
      </c>
      <c r="B174" s="15" t="s">
        <v>7656</v>
      </c>
      <c r="C174" s="15" t="s">
        <v>7606</v>
      </c>
      <c r="D174" s="15"/>
      <c r="E174" s="15"/>
      <c r="F174" s="15"/>
      <c r="G174" s="15"/>
      <c r="H174" s="16" t="s">
        <v>7377</v>
      </c>
    </row>
    <row r="175" spans="1:8" x14ac:dyDescent="0.25">
      <c r="A175" s="15" t="s">
        <v>7374</v>
      </c>
      <c r="B175" s="15" t="s">
        <v>7657</v>
      </c>
      <c r="C175" s="15" t="s">
        <v>7608</v>
      </c>
      <c r="D175" s="15"/>
      <c r="E175" s="15"/>
      <c r="F175" s="15"/>
      <c r="G175" s="15"/>
      <c r="H175" s="16" t="s">
        <v>7377</v>
      </c>
    </row>
    <row r="176" spans="1:8" ht="30" x14ac:dyDescent="0.25">
      <c r="A176" s="15" t="s">
        <v>7374</v>
      </c>
      <c r="B176" s="15" t="s">
        <v>7658</v>
      </c>
      <c r="C176" s="15" t="s">
        <v>7659</v>
      </c>
      <c r="D176" s="15"/>
      <c r="E176" s="15"/>
      <c r="F176" s="15"/>
      <c r="G176" s="15"/>
      <c r="H176" s="16" t="s">
        <v>7377</v>
      </c>
    </row>
    <row r="177" spans="1:8" x14ac:dyDescent="0.25">
      <c r="A177" s="15" t="s">
        <v>7374</v>
      </c>
      <c r="B177" s="15" t="s">
        <v>7660</v>
      </c>
      <c r="C177" s="15" t="s">
        <v>7661</v>
      </c>
      <c r="D177" s="15"/>
      <c r="E177" s="15"/>
      <c r="F177" s="15"/>
      <c r="G177" s="15"/>
      <c r="H177" s="16" t="s">
        <v>7377</v>
      </c>
    </row>
    <row r="178" spans="1:8" ht="45" x14ac:dyDescent="0.25">
      <c r="A178" s="15" t="s">
        <v>7374</v>
      </c>
      <c r="B178" s="15" t="s">
        <v>7662</v>
      </c>
      <c r="C178" s="15" t="s">
        <v>7663</v>
      </c>
      <c r="D178" s="15"/>
      <c r="E178" s="15"/>
      <c r="F178" s="15"/>
      <c r="G178" s="15"/>
      <c r="H178" s="16" t="s">
        <v>7377</v>
      </c>
    </row>
    <row r="179" spans="1:8" ht="30" x14ac:dyDescent="0.25">
      <c r="A179" s="15" t="s">
        <v>7374</v>
      </c>
      <c r="B179" s="15" t="s">
        <v>7664</v>
      </c>
      <c r="C179" s="15" t="s">
        <v>7665</v>
      </c>
      <c r="D179" s="15"/>
      <c r="E179" s="15"/>
      <c r="F179" s="15"/>
      <c r="G179" s="15"/>
      <c r="H179" s="16" t="s">
        <v>7377</v>
      </c>
    </row>
    <row r="180" spans="1:8" ht="30" x14ac:dyDescent="0.25">
      <c r="A180" s="15" t="s">
        <v>7374</v>
      </c>
      <c r="B180" s="15" t="s">
        <v>7666</v>
      </c>
      <c r="C180" s="15" t="s">
        <v>7667</v>
      </c>
      <c r="D180" s="15"/>
      <c r="E180" s="15"/>
      <c r="F180" s="15"/>
      <c r="G180" s="15"/>
      <c r="H180" s="16" t="s">
        <v>7377</v>
      </c>
    </row>
    <row r="181" spans="1:8" x14ac:dyDescent="0.25">
      <c r="A181" s="15" t="s">
        <v>7374</v>
      </c>
      <c r="B181" s="15" t="s">
        <v>7668</v>
      </c>
      <c r="C181" s="15" t="s">
        <v>7669</v>
      </c>
      <c r="D181" s="15"/>
      <c r="E181" s="15"/>
      <c r="F181" s="15"/>
      <c r="G181" s="15"/>
      <c r="H181" s="16" t="s">
        <v>7377</v>
      </c>
    </row>
    <row r="182" spans="1:8" x14ac:dyDescent="0.25">
      <c r="A182" s="15" t="s">
        <v>7374</v>
      </c>
      <c r="B182" s="15" t="s">
        <v>7670</v>
      </c>
      <c r="C182" s="15" t="s">
        <v>7661</v>
      </c>
      <c r="D182" s="15"/>
      <c r="E182" s="15"/>
      <c r="F182" s="15"/>
      <c r="G182" s="15"/>
      <c r="H182" s="16" t="s">
        <v>7377</v>
      </c>
    </row>
    <row r="183" spans="1:8" ht="45" x14ac:dyDescent="0.25">
      <c r="A183" s="15" t="s">
        <v>7374</v>
      </c>
      <c r="B183" s="15" t="s">
        <v>7671</v>
      </c>
      <c r="C183" s="15" t="s">
        <v>7672</v>
      </c>
      <c r="D183" s="15"/>
      <c r="E183" s="15"/>
      <c r="F183" s="15"/>
      <c r="G183" s="15"/>
      <c r="H183" s="16" t="s">
        <v>7377</v>
      </c>
    </row>
    <row r="184" spans="1:8" ht="30" x14ac:dyDescent="0.25">
      <c r="A184" s="15" t="s">
        <v>7374</v>
      </c>
      <c r="B184" s="15" t="s">
        <v>7673</v>
      </c>
      <c r="C184" s="15" t="s">
        <v>7453</v>
      </c>
      <c r="D184" s="15"/>
      <c r="E184" s="15"/>
      <c r="F184" s="15"/>
      <c r="G184" s="15"/>
      <c r="H184" s="16" t="s">
        <v>7377</v>
      </c>
    </row>
    <row r="185" spans="1:8" ht="45" x14ac:dyDescent="0.25">
      <c r="A185" s="15" t="s">
        <v>7374</v>
      </c>
      <c r="B185" s="15" t="s">
        <v>7674</v>
      </c>
      <c r="C185" s="15" t="s">
        <v>7455</v>
      </c>
      <c r="D185" s="15"/>
      <c r="E185" s="15"/>
      <c r="F185" s="15"/>
      <c r="G185" s="15"/>
      <c r="H185" s="16" t="s">
        <v>7377</v>
      </c>
    </row>
    <row r="186" spans="1:8" ht="30" x14ac:dyDescent="0.25">
      <c r="A186" s="15" t="s">
        <v>7374</v>
      </c>
      <c r="B186" s="15" t="s">
        <v>7675</v>
      </c>
      <c r="C186" s="15" t="s">
        <v>7461</v>
      </c>
      <c r="D186" s="15"/>
      <c r="E186" s="15"/>
      <c r="F186" s="15"/>
      <c r="G186" s="15"/>
      <c r="H186" s="16" t="s">
        <v>7377</v>
      </c>
    </row>
    <row r="187" spans="1:8" ht="30" x14ac:dyDescent="0.25">
      <c r="A187" s="15" t="s">
        <v>7374</v>
      </c>
      <c r="B187" s="15" t="s">
        <v>7676</v>
      </c>
      <c r="C187" s="15" t="s">
        <v>7463</v>
      </c>
      <c r="D187" s="15"/>
      <c r="E187" s="15"/>
      <c r="F187" s="15"/>
      <c r="G187" s="15"/>
      <c r="H187" s="16" t="s">
        <v>7377</v>
      </c>
    </row>
    <row r="188" spans="1:8" ht="30" x14ac:dyDescent="0.25">
      <c r="A188" s="15" t="s">
        <v>7374</v>
      </c>
      <c r="B188" s="15" t="s">
        <v>7677</v>
      </c>
      <c r="C188" s="15" t="s">
        <v>7465</v>
      </c>
      <c r="D188" s="15"/>
      <c r="E188" s="15"/>
      <c r="F188" s="15"/>
      <c r="G188" s="15"/>
      <c r="H188" s="16" t="s">
        <v>7377</v>
      </c>
    </row>
    <row r="189" spans="1:8" ht="45" x14ac:dyDescent="0.25">
      <c r="A189" s="15" t="s">
        <v>7374</v>
      </c>
      <c r="B189" s="15" t="s">
        <v>7678</v>
      </c>
      <c r="C189" s="15" t="s">
        <v>7679</v>
      </c>
      <c r="D189" s="15"/>
      <c r="E189" s="15"/>
      <c r="F189" s="15"/>
      <c r="G189" s="15"/>
      <c r="H189" s="16" t="s">
        <v>7377</v>
      </c>
    </row>
    <row r="190" spans="1:8" ht="30" x14ac:dyDescent="0.25">
      <c r="A190" s="15" t="s">
        <v>7374</v>
      </c>
      <c r="B190" s="15" t="s">
        <v>7680</v>
      </c>
      <c r="C190" s="15" t="s">
        <v>7461</v>
      </c>
      <c r="D190" s="15"/>
      <c r="E190" s="15"/>
      <c r="F190" s="15"/>
      <c r="G190" s="15"/>
      <c r="H190" s="16" t="s">
        <v>7377</v>
      </c>
    </row>
    <row r="191" spans="1:8" ht="30" x14ac:dyDescent="0.25">
      <c r="A191" s="15" t="s">
        <v>7374</v>
      </c>
      <c r="B191" s="15" t="s">
        <v>7681</v>
      </c>
      <c r="C191" s="15" t="s">
        <v>7463</v>
      </c>
      <c r="D191" s="15"/>
      <c r="E191" s="15"/>
      <c r="F191" s="15"/>
      <c r="G191" s="15"/>
      <c r="H191" s="16" t="s">
        <v>7377</v>
      </c>
    </row>
    <row r="192" spans="1:8" ht="30" x14ac:dyDescent="0.25">
      <c r="A192" s="15" t="s">
        <v>7374</v>
      </c>
      <c r="B192" s="15" t="s">
        <v>7682</v>
      </c>
      <c r="C192" s="15" t="s">
        <v>1599</v>
      </c>
      <c r="D192" s="15"/>
      <c r="E192" s="15"/>
      <c r="F192" s="15"/>
      <c r="G192" s="15"/>
      <c r="H192" s="16" t="s">
        <v>7377</v>
      </c>
    </row>
    <row r="193" spans="1:8" ht="30" x14ac:dyDescent="0.25">
      <c r="A193" s="15" t="s">
        <v>7374</v>
      </c>
      <c r="B193" s="15" t="s">
        <v>7683</v>
      </c>
      <c r="C193" s="15" t="s">
        <v>7465</v>
      </c>
      <c r="D193" s="15"/>
      <c r="E193" s="15"/>
      <c r="F193" s="15"/>
      <c r="G193" s="15"/>
      <c r="H193" s="16" t="s">
        <v>7377</v>
      </c>
    </row>
    <row r="194" spans="1:8" ht="45" x14ac:dyDescent="0.25">
      <c r="A194" s="15" t="s">
        <v>7374</v>
      </c>
      <c r="B194" s="15" t="s">
        <v>7684</v>
      </c>
      <c r="C194" s="15" t="s">
        <v>7598</v>
      </c>
      <c r="D194" s="15"/>
      <c r="E194" s="15"/>
      <c r="F194" s="15"/>
      <c r="G194" s="15"/>
      <c r="H194" s="16" t="s">
        <v>7377</v>
      </c>
    </row>
    <row r="195" spans="1:8" ht="45" x14ac:dyDescent="0.25">
      <c r="A195" s="15" t="s">
        <v>7374</v>
      </c>
      <c r="B195" s="15" t="s">
        <v>7685</v>
      </c>
      <c r="C195" s="15" t="s">
        <v>7600</v>
      </c>
      <c r="D195" s="15"/>
      <c r="E195" s="15"/>
      <c r="F195" s="15"/>
      <c r="G195" s="15"/>
      <c r="H195" s="16" t="s">
        <v>7377</v>
      </c>
    </row>
    <row r="196" spans="1:8" ht="45" x14ac:dyDescent="0.25">
      <c r="A196" s="15" t="s">
        <v>7374</v>
      </c>
      <c r="B196" s="15" t="s">
        <v>7686</v>
      </c>
      <c r="C196" s="15" t="s">
        <v>7602</v>
      </c>
      <c r="D196" s="15"/>
      <c r="E196" s="15"/>
      <c r="F196" s="15"/>
      <c r="G196" s="15"/>
      <c r="H196" s="16" t="s">
        <v>7377</v>
      </c>
    </row>
    <row r="197" spans="1:8" ht="45" x14ac:dyDescent="0.25">
      <c r="A197" s="15" t="s">
        <v>7374</v>
      </c>
      <c r="B197" s="15" t="s">
        <v>7687</v>
      </c>
      <c r="C197" s="15" t="s">
        <v>7604</v>
      </c>
      <c r="D197" s="15"/>
      <c r="E197" s="15"/>
      <c r="F197" s="15"/>
      <c r="G197" s="15"/>
      <c r="H197" s="16" t="s">
        <v>7377</v>
      </c>
    </row>
    <row r="198" spans="1:8" ht="45" x14ac:dyDescent="0.25">
      <c r="A198" s="15" t="s">
        <v>7374</v>
      </c>
      <c r="B198" s="15" t="s">
        <v>7688</v>
      </c>
      <c r="C198" s="15" t="s">
        <v>7606</v>
      </c>
      <c r="D198" s="15"/>
      <c r="E198" s="15"/>
      <c r="F198" s="15"/>
      <c r="G198" s="15"/>
      <c r="H198" s="16" t="s">
        <v>7377</v>
      </c>
    </row>
    <row r="199" spans="1:8" ht="45" x14ac:dyDescent="0.25">
      <c r="A199" s="15" t="s">
        <v>7374</v>
      </c>
      <c r="B199" s="15" t="s">
        <v>7689</v>
      </c>
      <c r="C199" s="15" t="s">
        <v>7598</v>
      </c>
      <c r="D199" s="15"/>
      <c r="E199" s="15"/>
      <c r="F199" s="15"/>
      <c r="G199" s="15"/>
      <c r="H199" s="16" t="s">
        <v>7377</v>
      </c>
    </row>
    <row r="200" spans="1:8" ht="45" x14ac:dyDescent="0.25">
      <c r="A200" s="15" t="s">
        <v>7374</v>
      </c>
      <c r="B200" s="15" t="s">
        <v>7690</v>
      </c>
      <c r="C200" s="15" t="s">
        <v>7600</v>
      </c>
      <c r="D200" s="15"/>
      <c r="E200" s="15"/>
      <c r="F200" s="15"/>
      <c r="G200" s="15"/>
      <c r="H200" s="16" t="s">
        <v>7377</v>
      </c>
    </row>
    <row r="201" spans="1:8" ht="45" x14ac:dyDescent="0.25">
      <c r="A201" s="15" t="s">
        <v>7374</v>
      </c>
      <c r="B201" s="15" t="s">
        <v>7691</v>
      </c>
      <c r="C201" s="15" t="s">
        <v>7602</v>
      </c>
      <c r="D201" s="15"/>
      <c r="E201" s="15"/>
      <c r="F201" s="15"/>
      <c r="G201" s="15"/>
      <c r="H201" s="16" t="s">
        <v>7377</v>
      </c>
    </row>
    <row r="202" spans="1:8" ht="45" x14ac:dyDescent="0.25">
      <c r="A202" s="15" t="s">
        <v>7374</v>
      </c>
      <c r="B202" s="15" t="s">
        <v>7692</v>
      </c>
      <c r="C202" s="15" t="s">
        <v>7604</v>
      </c>
      <c r="D202" s="15"/>
      <c r="E202" s="15"/>
      <c r="F202" s="15"/>
      <c r="G202" s="15"/>
      <c r="H202" s="16" t="s">
        <v>7377</v>
      </c>
    </row>
    <row r="203" spans="1:8" ht="45" x14ac:dyDescent="0.25">
      <c r="A203" s="15" t="s">
        <v>7374</v>
      </c>
      <c r="B203" s="15" t="s">
        <v>7693</v>
      </c>
      <c r="C203" s="15" t="s">
        <v>7606</v>
      </c>
      <c r="D203" s="15"/>
      <c r="E203" s="15"/>
      <c r="F203" s="15"/>
      <c r="G203" s="15"/>
      <c r="H203" s="16" t="s">
        <v>7377</v>
      </c>
    </row>
    <row r="204" spans="1:8" ht="30" x14ac:dyDescent="0.25">
      <c r="A204" s="15" t="s">
        <v>7374</v>
      </c>
      <c r="B204" s="15" t="s">
        <v>7694</v>
      </c>
      <c r="C204" s="15" t="s">
        <v>7695</v>
      </c>
      <c r="D204" s="15"/>
      <c r="E204" s="15"/>
      <c r="F204" s="15"/>
      <c r="G204" s="15"/>
      <c r="H204" s="16" t="s">
        <v>7377</v>
      </c>
    </row>
    <row r="205" spans="1:8" ht="30" x14ac:dyDescent="0.25">
      <c r="A205" s="15" t="s">
        <v>7374</v>
      </c>
      <c r="B205" s="15" t="s">
        <v>7696</v>
      </c>
      <c r="C205" s="15" t="s">
        <v>7697</v>
      </c>
      <c r="D205" s="15"/>
      <c r="E205" s="15"/>
      <c r="F205" s="15"/>
      <c r="G205" s="15"/>
      <c r="H205" s="16" t="s">
        <v>7377</v>
      </c>
    </row>
    <row r="206" spans="1:8" ht="30" x14ac:dyDescent="0.25">
      <c r="A206" s="15" t="s">
        <v>7374</v>
      </c>
      <c r="B206" s="15" t="s">
        <v>7698</v>
      </c>
      <c r="C206" s="15" t="s">
        <v>7699</v>
      </c>
      <c r="D206" s="15"/>
      <c r="E206" s="15"/>
      <c r="F206" s="15"/>
      <c r="G206" s="15"/>
      <c r="H206" s="16" t="s">
        <v>7377</v>
      </c>
    </row>
    <row r="207" spans="1:8" ht="30" x14ac:dyDescent="0.25">
      <c r="A207" s="15" t="s">
        <v>7374</v>
      </c>
      <c r="B207" s="15" t="s">
        <v>7700</v>
      </c>
      <c r="C207" s="15" t="s">
        <v>7701</v>
      </c>
      <c r="D207" s="15"/>
      <c r="E207" s="15"/>
      <c r="F207" s="15"/>
      <c r="G207" s="15"/>
      <c r="H207" s="16" t="s">
        <v>7377</v>
      </c>
    </row>
    <row r="208" spans="1:8" ht="30" x14ac:dyDescent="0.25">
      <c r="A208" s="15" t="s">
        <v>7374</v>
      </c>
      <c r="B208" s="15" t="s">
        <v>7702</v>
      </c>
      <c r="C208" s="15" t="s">
        <v>7596</v>
      </c>
      <c r="D208" s="15"/>
      <c r="E208" s="15"/>
      <c r="F208" s="15"/>
      <c r="G208" s="15"/>
      <c r="H208" s="16" t="s">
        <v>7377</v>
      </c>
    </row>
    <row r="209" spans="1:8" x14ac:dyDescent="0.25">
      <c r="A209" s="15" t="s">
        <v>7374</v>
      </c>
      <c r="B209" s="15" t="s">
        <v>7703</v>
      </c>
      <c r="C209" s="15" t="s">
        <v>7704</v>
      </c>
      <c r="D209" s="15"/>
      <c r="E209" s="15"/>
      <c r="F209" s="15"/>
      <c r="G209" s="15"/>
      <c r="H209" s="16" t="s">
        <v>7377</v>
      </c>
    </row>
    <row r="210" spans="1:8" ht="45" x14ac:dyDescent="0.25">
      <c r="A210" s="15" t="s">
        <v>7374</v>
      </c>
      <c r="B210" s="15" t="s">
        <v>7705</v>
      </c>
      <c r="C210" s="15" t="s">
        <v>7598</v>
      </c>
      <c r="D210" s="15"/>
      <c r="E210" s="15"/>
      <c r="F210" s="15"/>
      <c r="G210" s="15"/>
      <c r="H210" s="16" t="s">
        <v>7377</v>
      </c>
    </row>
    <row r="211" spans="1:8" ht="45" x14ac:dyDescent="0.25">
      <c r="A211" s="15" t="s">
        <v>7374</v>
      </c>
      <c r="B211" s="15" t="s">
        <v>7706</v>
      </c>
      <c r="C211" s="15" t="s">
        <v>7600</v>
      </c>
      <c r="D211" s="15"/>
      <c r="E211" s="15"/>
      <c r="F211" s="15"/>
      <c r="G211" s="15"/>
      <c r="H211" s="16" t="s">
        <v>7377</v>
      </c>
    </row>
    <row r="212" spans="1:8" ht="45" x14ac:dyDescent="0.25">
      <c r="A212" s="15" t="s">
        <v>7374</v>
      </c>
      <c r="B212" s="15" t="s">
        <v>7707</v>
      </c>
      <c r="C212" s="15" t="s">
        <v>7602</v>
      </c>
      <c r="D212" s="15"/>
      <c r="E212" s="15"/>
      <c r="F212" s="15"/>
      <c r="G212" s="15"/>
      <c r="H212" s="16" t="s">
        <v>7377</v>
      </c>
    </row>
    <row r="213" spans="1:8" ht="45" x14ac:dyDescent="0.25">
      <c r="A213" s="15" t="s">
        <v>7374</v>
      </c>
      <c r="B213" s="15" t="s">
        <v>7708</v>
      </c>
      <c r="C213" s="15" t="s">
        <v>7604</v>
      </c>
      <c r="D213" s="15"/>
      <c r="E213" s="15"/>
      <c r="F213" s="15"/>
      <c r="G213" s="15"/>
      <c r="H213" s="16" t="s">
        <v>7377</v>
      </c>
    </row>
    <row r="214" spans="1:8" ht="45" x14ac:dyDescent="0.25">
      <c r="A214" s="15" t="s">
        <v>7374</v>
      </c>
      <c r="B214" s="15" t="s">
        <v>7709</v>
      </c>
      <c r="C214" s="15" t="s">
        <v>7606</v>
      </c>
      <c r="D214" s="15"/>
      <c r="E214" s="15"/>
      <c r="F214" s="15"/>
      <c r="G214" s="15"/>
      <c r="H214" s="16" t="s">
        <v>7377</v>
      </c>
    </row>
    <row r="215" spans="1:8" ht="30" x14ac:dyDescent="0.25">
      <c r="A215" s="15" t="s">
        <v>7374</v>
      </c>
      <c r="B215" s="15" t="s">
        <v>7710</v>
      </c>
      <c r="C215" s="15" t="s">
        <v>7711</v>
      </c>
      <c r="D215" s="15"/>
      <c r="E215" s="15"/>
      <c r="F215" s="15"/>
      <c r="G215" s="15"/>
      <c r="H215" s="16" t="s">
        <v>7377</v>
      </c>
    </row>
    <row r="216" spans="1:8" ht="30" x14ac:dyDescent="0.25">
      <c r="A216" s="15" t="s">
        <v>7374</v>
      </c>
      <c r="B216" s="15" t="s">
        <v>7712</v>
      </c>
      <c r="C216" s="15" t="s">
        <v>7615</v>
      </c>
      <c r="D216" s="15"/>
      <c r="E216" s="15"/>
      <c r="F216" s="15"/>
      <c r="G216" s="15"/>
      <c r="H216" s="16" t="s">
        <v>7377</v>
      </c>
    </row>
    <row r="217" spans="1:8" ht="30" x14ac:dyDescent="0.25">
      <c r="A217" s="15" t="s">
        <v>7374</v>
      </c>
      <c r="B217" s="15" t="s">
        <v>7713</v>
      </c>
      <c r="C217" s="15" t="s">
        <v>7714</v>
      </c>
      <c r="D217" s="15"/>
      <c r="E217" s="15"/>
      <c r="F217" s="15"/>
      <c r="G217" s="15"/>
      <c r="H217" s="16" t="s">
        <v>7377</v>
      </c>
    </row>
    <row r="218" spans="1:8" ht="30" x14ac:dyDescent="0.25">
      <c r="A218" s="15" t="s">
        <v>7374</v>
      </c>
      <c r="B218" s="15" t="s">
        <v>7715</v>
      </c>
      <c r="C218" s="15" t="s">
        <v>7716</v>
      </c>
      <c r="D218" s="15"/>
      <c r="E218" s="15"/>
      <c r="F218" s="15"/>
      <c r="G218" s="15"/>
      <c r="H218" s="16" t="s">
        <v>7377</v>
      </c>
    </row>
    <row r="219" spans="1:8" ht="30" x14ac:dyDescent="0.25">
      <c r="A219" s="15" t="s">
        <v>7374</v>
      </c>
      <c r="B219" s="15" t="s">
        <v>7717</v>
      </c>
      <c r="C219" s="15" t="s">
        <v>7711</v>
      </c>
      <c r="D219" s="15"/>
      <c r="E219" s="15"/>
      <c r="F219" s="15"/>
      <c r="G219" s="15"/>
      <c r="H219" s="16" t="s">
        <v>7377</v>
      </c>
    </row>
    <row r="220" spans="1:8" ht="30" x14ac:dyDescent="0.25">
      <c r="A220" s="15" t="s">
        <v>7374</v>
      </c>
      <c r="B220" s="15" t="s">
        <v>7718</v>
      </c>
      <c r="C220" s="15" t="s">
        <v>7719</v>
      </c>
      <c r="D220" s="15"/>
      <c r="E220" s="15"/>
      <c r="F220" s="15"/>
      <c r="G220" s="15"/>
      <c r="H220" s="16" t="s">
        <v>7377</v>
      </c>
    </row>
    <row r="221" spans="1:8" ht="30" x14ac:dyDescent="0.25">
      <c r="A221" s="15" t="s">
        <v>7374</v>
      </c>
      <c r="B221" s="15" t="s">
        <v>7720</v>
      </c>
      <c r="C221" s="15" t="s">
        <v>7721</v>
      </c>
      <c r="D221" s="15"/>
      <c r="E221" s="15"/>
      <c r="F221" s="15"/>
      <c r="G221" s="15"/>
      <c r="H221" s="16" t="s">
        <v>7377</v>
      </c>
    </row>
    <row r="222" spans="1:8" ht="45" x14ac:dyDescent="0.25">
      <c r="A222" s="15" t="s">
        <v>7374</v>
      </c>
      <c r="B222" s="15" t="s">
        <v>7722</v>
      </c>
      <c r="C222" s="15" t="s">
        <v>97</v>
      </c>
      <c r="D222" s="15"/>
      <c r="E222" s="15"/>
      <c r="F222" s="15"/>
      <c r="G222" s="15"/>
      <c r="H222" s="16" t="s">
        <v>7377</v>
      </c>
    </row>
    <row r="223" spans="1:8" ht="30" x14ac:dyDescent="0.25">
      <c r="A223" s="15" t="s">
        <v>7374</v>
      </c>
      <c r="B223" s="15" t="s">
        <v>7723</v>
      </c>
      <c r="C223" s="15" t="s">
        <v>7724</v>
      </c>
      <c r="D223" s="15"/>
      <c r="E223" s="15"/>
      <c r="F223" s="15"/>
      <c r="G223" s="15"/>
      <c r="H223" s="16" t="s">
        <v>7377</v>
      </c>
    </row>
    <row r="224" spans="1:8" ht="30" x14ac:dyDescent="0.25">
      <c r="A224" s="15" t="s">
        <v>7374</v>
      </c>
      <c r="B224" s="15" t="s">
        <v>7725</v>
      </c>
      <c r="C224" s="15" t="s">
        <v>97</v>
      </c>
      <c r="D224" s="15"/>
      <c r="E224" s="15"/>
      <c r="F224" s="15"/>
      <c r="G224" s="15"/>
      <c r="H224" s="16" t="s">
        <v>7377</v>
      </c>
    </row>
    <row r="225" spans="1:8" ht="30" x14ac:dyDescent="0.25">
      <c r="A225" s="15" t="s">
        <v>7374</v>
      </c>
      <c r="B225" s="15" t="s">
        <v>7726</v>
      </c>
      <c r="C225" s="15" t="s">
        <v>91</v>
      </c>
      <c r="D225" s="15"/>
      <c r="E225" s="15"/>
      <c r="F225" s="15"/>
      <c r="G225" s="15"/>
      <c r="H225" s="16" t="s">
        <v>7377</v>
      </c>
    </row>
    <row r="226" spans="1:8" ht="30" x14ac:dyDescent="0.25">
      <c r="A226" s="15" t="s">
        <v>7374</v>
      </c>
      <c r="B226" s="15" t="s">
        <v>7727</v>
      </c>
      <c r="C226" s="15" t="s">
        <v>7728</v>
      </c>
      <c r="D226" s="15"/>
      <c r="E226" s="15"/>
      <c r="F226" s="15"/>
      <c r="G226" s="15"/>
      <c r="H226" s="16" t="s">
        <v>7377</v>
      </c>
    </row>
    <row r="227" spans="1:8" ht="30" x14ac:dyDescent="0.25">
      <c r="A227" s="15" t="s">
        <v>7374</v>
      </c>
      <c r="B227" s="15" t="s">
        <v>7729</v>
      </c>
      <c r="C227" s="15" t="s">
        <v>97</v>
      </c>
      <c r="D227" s="15"/>
      <c r="E227" s="15"/>
      <c r="F227" s="15"/>
      <c r="G227" s="15"/>
      <c r="H227" s="16" t="s">
        <v>7377</v>
      </c>
    </row>
    <row r="228" spans="1:8" ht="45" x14ac:dyDescent="0.25">
      <c r="A228" s="15" t="s">
        <v>7374</v>
      </c>
      <c r="B228" s="15" t="s">
        <v>7730</v>
      </c>
      <c r="C228" s="15" t="s">
        <v>91</v>
      </c>
      <c r="D228" s="15"/>
      <c r="E228" s="15"/>
      <c r="F228" s="15"/>
      <c r="G228" s="15"/>
      <c r="H228" s="16" t="s">
        <v>7377</v>
      </c>
    </row>
    <row r="229" spans="1:8" ht="30" x14ac:dyDescent="0.25">
      <c r="A229" s="15" t="s">
        <v>7374</v>
      </c>
      <c r="B229" s="15" t="s">
        <v>7731</v>
      </c>
      <c r="C229" s="15" t="s">
        <v>7728</v>
      </c>
      <c r="D229" s="15"/>
      <c r="E229" s="15"/>
      <c r="F229" s="15"/>
      <c r="G229" s="15"/>
      <c r="H229" s="16" t="s">
        <v>7377</v>
      </c>
    </row>
    <row r="230" spans="1:8" ht="45" x14ac:dyDescent="0.25">
      <c r="A230" s="15" t="s">
        <v>7374</v>
      </c>
      <c r="B230" s="15" t="s">
        <v>7732</v>
      </c>
      <c r="C230" s="15" t="s">
        <v>7733</v>
      </c>
      <c r="D230" s="15"/>
      <c r="E230" s="15"/>
      <c r="F230" s="15"/>
      <c r="G230" s="15"/>
      <c r="H230" s="16" t="s">
        <v>7377</v>
      </c>
    </row>
    <row r="231" spans="1:8" ht="45" x14ac:dyDescent="0.25">
      <c r="A231" s="15" t="s">
        <v>7374</v>
      </c>
      <c r="B231" s="15" t="s">
        <v>7734</v>
      </c>
      <c r="C231" s="15" t="s">
        <v>7735</v>
      </c>
      <c r="D231" s="15"/>
      <c r="E231" s="15"/>
      <c r="F231" s="15"/>
      <c r="G231" s="15"/>
      <c r="H231" s="16" t="s">
        <v>7377</v>
      </c>
    </row>
    <row r="232" spans="1:8" ht="30" x14ac:dyDescent="0.25">
      <c r="A232" s="15" t="s">
        <v>7374</v>
      </c>
      <c r="B232" s="15" t="s">
        <v>7736</v>
      </c>
      <c r="C232" s="15" t="s">
        <v>7433</v>
      </c>
      <c r="D232" s="15"/>
      <c r="E232" s="15"/>
      <c r="F232" s="15"/>
      <c r="G232" s="15"/>
      <c r="H232" s="16" t="s">
        <v>7377</v>
      </c>
    </row>
    <row r="233" spans="1:8" ht="30" x14ac:dyDescent="0.25">
      <c r="A233" s="15" t="s">
        <v>7374</v>
      </c>
      <c r="B233" s="15" t="s">
        <v>7737</v>
      </c>
      <c r="C233" s="15" t="s">
        <v>7738</v>
      </c>
      <c r="D233" s="15"/>
      <c r="E233" s="15"/>
      <c r="F233" s="15"/>
      <c r="G233" s="15"/>
      <c r="H233" s="16" t="s">
        <v>7377</v>
      </c>
    </row>
    <row r="234" spans="1:8" ht="30" x14ac:dyDescent="0.25">
      <c r="A234" s="15" t="s">
        <v>7374</v>
      </c>
      <c r="B234" s="15" t="s">
        <v>7739</v>
      </c>
      <c r="C234" s="15" t="s">
        <v>7740</v>
      </c>
      <c r="D234" s="15"/>
      <c r="E234" s="15"/>
      <c r="F234" s="15"/>
      <c r="G234" s="15"/>
      <c r="H234" s="16" t="s">
        <v>7377</v>
      </c>
    </row>
    <row r="235" spans="1:8" ht="30" x14ac:dyDescent="0.25">
      <c r="A235" s="15" t="s">
        <v>7374</v>
      </c>
      <c r="B235" s="15" t="s">
        <v>7741</v>
      </c>
      <c r="C235" s="15" t="s">
        <v>7742</v>
      </c>
      <c r="D235" s="15"/>
      <c r="E235" s="15"/>
      <c r="F235" s="15"/>
      <c r="G235" s="15"/>
      <c r="H235" s="16" t="s">
        <v>7377</v>
      </c>
    </row>
    <row r="236" spans="1:8" ht="45" x14ac:dyDescent="0.25">
      <c r="A236" s="15" t="s">
        <v>7374</v>
      </c>
      <c r="B236" s="15" t="s">
        <v>7743</v>
      </c>
      <c r="C236" s="15" t="s">
        <v>7744</v>
      </c>
      <c r="D236" s="15"/>
      <c r="E236" s="15"/>
      <c r="F236" s="15"/>
      <c r="G236" s="15"/>
      <c r="H236" s="16" t="s">
        <v>7377</v>
      </c>
    </row>
    <row r="237" spans="1:8" ht="30" x14ac:dyDescent="0.25">
      <c r="A237" s="15" t="s">
        <v>7374</v>
      </c>
      <c r="B237" s="15" t="s">
        <v>7745</v>
      </c>
      <c r="C237" s="15" t="s">
        <v>7746</v>
      </c>
      <c r="D237" s="15"/>
      <c r="E237" s="15"/>
      <c r="F237" s="15"/>
      <c r="G237" s="15"/>
      <c r="H237" s="16" t="s">
        <v>7377</v>
      </c>
    </row>
    <row r="238" spans="1:8" ht="30" x14ac:dyDescent="0.25">
      <c r="A238" s="15" t="s">
        <v>7374</v>
      </c>
      <c r="B238" s="15" t="s">
        <v>7747</v>
      </c>
      <c r="C238" s="15" t="s">
        <v>7748</v>
      </c>
      <c r="D238" s="15"/>
      <c r="E238" s="15"/>
      <c r="F238" s="15"/>
      <c r="G238" s="15"/>
      <c r="H238" s="16" t="s">
        <v>7377</v>
      </c>
    </row>
    <row r="239" spans="1:8" ht="30" x14ac:dyDescent="0.25">
      <c r="A239" s="15" t="s">
        <v>7374</v>
      </c>
      <c r="B239" s="15" t="s">
        <v>7749</v>
      </c>
      <c r="C239" s="15" t="s">
        <v>7619</v>
      </c>
      <c r="D239" s="15"/>
      <c r="E239" s="15"/>
      <c r="F239" s="15"/>
      <c r="G239" s="15"/>
      <c r="H239" s="16" t="s">
        <v>7377</v>
      </c>
    </row>
    <row r="240" spans="1:8" ht="45" x14ac:dyDescent="0.25">
      <c r="A240" s="15" t="s">
        <v>7374</v>
      </c>
      <c r="B240" s="15" t="s">
        <v>7750</v>
      </c>
      <c r="C240" s="15" t="s">
        <v>7751</v>
      </c>
      <c r="D240" s="15"/>
      <c r="E240" s="15"/>
      <c r="F240" s="15"/>
      <c r="G240" s="15"/>
      <c r="H240" s="16" t="s">
        <v>7377</v>
      </c>
    </row>
    <row r="241" spans="1:8" ht="30" x14ac:dyDescent="0.25">
      <c r="A241" s="15" t="s">
        <v>7374</v>
      </c>
      <c r="B241" s="15" t="s">
        <v>7752</v>
      </c>
      <c r="C241" s="15" t="s">
        <v>7740</v>
      </c>
      <c r="D241" s="15"/>
      <c r="E241" s="15"/>
      <c r="F241" s="15"/>
      <c r="G241" s="15"/>
      <c r="H241" s="16" t="s">
        <v>7377</v>
      </c>
    </row>
    <row r="242" spans="1:8" ht="30" x14ac:dyDescent="0.25">
      <c r="A242" s="15" t="s">
        <v>7374</v>
      </c>
      <c r="B242" s="15" t="s">
        <v>7753</v>
      </c>
      <c r="C242" s="15" t="s">
        <v>7754</v>
      </c>
      <c r="D242" s="15"/>
      <c r="E242" s="15"/>
      <c r="F242" s="15"/>
      <c r="G242" s="15"/>
      <c r="H242" s="16" t="s">
        <v>7377</v>
      </c>
    </row>
    <row r="243" spans="1:8" ht="45" x14ac:dyDescent="0.25">
      <c r="A243" s="15" t="s">
        <v>7374</v>
      </c>
      <c r="B243" s="15" t="s">
        <v>7755</v>
      </c>
      <c r="C243" s="15" t="s">
        <v>7528</v>
      </c>
      <c r="D243" s="15"/>
      <c r="E243" s="15"/>
      <c r="F243" s="15"/>
      <c r="G243" s="15"/>
      <c r="H243" s="16" t="s">
        <v>7377</v>
      </c>
    </row>
    <row r="244" spans="1:8" ht="45" x14ac:dyDescent="0.25">
      <c r="A244" s="15" t="s">
        <v>7374</v>
      </c>
      <c r="B244" s="15" t="s">
        <v>7756</v>
      </c>
      <c r="C244" s="15" t="s">
        <v>7757</v>
      </c>
      <c r="D244" s="15"/>
      <c r="E244" s="15"/>
      <c r="F244" s="15"/>
      <c r="G244" s="15"/>
      <c r="H244" s="16" t="s">
        <v>7377</v>
      </c>
    </row>
    <row r="245" spans="1:8" ht="60" x14ac:dyDescent="0.25">
      <c r="A245" s="15" t="s">
        <v>7374</v>
      </c>
      <c r="B245" s="15" t="s">
        <v>7758</v>
      </c>
      <c r="C245" s="15" t="s">
        <v>7530</v>
      </c>
      <c r="D245" s="15"/>
      <c r="E245" s="15"/>
      <c r="F245" s="15"/>
      <c r="G245" s="15"/>
      <c r="H245" s="16" t="s">
        <v>7377</v>
      </c>
    </row>
    <row r="246" spans="1:8" ht="45" x14ac:dyDescent="0.25">
      <c r="A246" s="15" t="s">
        <v>7374</v>
      </c>
      <c r="B246" s="15" t="s">
        <v>7759</v>
      </c>
      <c r="C246" s="15" t="s">
        <v>7532</v>
      </c>
      <c r="D246" s="15"/>
      <c r="E246" s="15"/>
      <c r="F246" s="15"/>
      <c r="G246" s="15"/>
      <c r="H246" s="16" t="s">
        <v>7377</v>
      </c>
    </row>
    <row r="247" spans="1:8" ht="75" x14ac:dyDescent="0.25">
      <c r="A247" s="15" t="s">
        <v>7374</v>
      </c>
      <c r="B247" s="15" t="s">
        <v>7760</v>
      </c>
      <c r="C247" s="15" t="s">
        <v>7534</v>
      </c>
      <c r="D247" s="15"/>
      <c r="E247" s="15"/>
      <c r="F247" s="15"/>
      <c r="G247" s="15"/>
      <c r="H247" s="16" t="s">
        <v>7377</v>
      </c>
    </row>
    <row r="248" spans="1:8" ht="30" x14ac:dyDescent="0.25">
      <c r="A248" s="15" t="s">
        <v>7374</v>
      </c>
      <c r="B248" s="15" t="s">
        <v>7761</v>
      </c>
      <c r="C248" s="15" t="s">
        <v>7748</v>
      </c>
      <c r="D248" s="15"/>
      <c r="E248" s="15"/>
      <c r="F248" s="15"/>
      <c r="G248" s="15"/>
      <c r="H248" s="16" t="s">
        <v>7377</v>
      </c>
    </row>
    <row r="249" spans="1:8" ht="30" x14ac:dyDescent="0.25">
      <c r="A249" s="15" t="s">
        <v>7374</v>
      </c>
      <c r="B249" s="15" t="s">
        <v>7762</v>
      </c>
      <c r="C249" s="15" t="s">
        <v>7619</v>
      </c>
      <c r="D249" s="15"/>
      <c r="E249" s="15"/>
      <c r="F249" s="15"/>
      <c r="G249" s="15"/>
      <c r="H249" s="16" t="s">
        <v>7377</v>
      </c>
    </row>
    <row r="250" spans="1:8" ht="30" x14ac:dyDescent="0.25">
      <c r="A250" s="15" t="s">
        <v>7374</v>
      </c>
      <c r="B250" s="15" t="s">
        <v>7763</v>
      </c>
      <c r="C250" s="15" t="s">
        <v>7764</v>
      </c>
      <c r="D250" s="15"/>
      <c r="E250" s="15"/>
      <c r="F250" s="15"/>
      <c r="G250" s="15"/>
      <c r="H250" s="16" t="s">
        <v>7377</v>
      </c>
    </row>
    <row r="251" spans="1:8" ht="30" x14ac:dyDescent="0.25">
      <c r="A251" s="15" t="s">
        <v>7374</v>
      </c>
      <c r="B251" s="15" t="s">
        <v>7765</v>
      </c>
      <c r="C251" s="15" t="s">
        <v>7766</v>
      </c>
      <c r="D251" s="15"/>
      <c r="E251" s="15"/>
      <c r="F251" s="15"/>
      <c r="G251" s="15"/>
      <c r="H251" s="16" t="s">
        <v>7377</v>
      </c>
    </row>
    <row r="252" spans="1:8" ht="30" x14ac:dyDescent="0.25">
      <c r="A252" s="15" t="s">
        <v>7374</v>
      </c>
      <c r="B252" s="15" t="s">
        <v>7767</v>
      </c>
      <c r="C252" s="15" t="s">
        <v>7768</v>
      </c>
      <c r="D252" s="15"/>
      <c r="E252" s="15"/>
      <c r="F252" s="15"/>
      <c r="G252" s="15"/>
      <c r="H252" s="16" t="s">
        <v>7377</v>
      </c>
    </row>
    <row r="253" spans="1:8" ht="30" x14ac:dyDescent="0.25">
      <c r="A253" s="15" t="s">
        <v>7374</v>
      </c>
      <c r="B253" s="15" t="s">
        <v>7769</v>
      </c>
      <c r="C253" s="15" t="s">
        <v>7746</v>
      </c>
      <c r="D253" s="15"/>
      <c r="E253" s="15"/>
      <c r="F253" s="15"/>
      <c r="G253" s="15"/>
      <c r="H253" s="16" t="s">
        <v>7377</v>
      </c>
    </row>
    <row r="254" spans="1:8" ht="30" x14ac:dyDescent="0.25">
      <c r="A254" s="15" t="s">
        <v>7374</v>
      </c>
      <c r="B254" s="15" t="s">
        <v>7770</v>
      </c>
      <c r="C254" s="15" t="s">
        <v>7748</v>
      </c>
      <c r="D254" s="15"/>
      <c r="E254" s="15"/>
      <c r="F254" s="15"/>
      <c r="G254" s="15"/>
      <c r="H254" s="16" t="s">
        <v>7377</v>
      </c>
    </row>
    <row r="255" spans="1:8" ht="30" x14ac:dyDescent="0.25">
      <c r="A255" s="15" t="s">
        <v>7374</v>
      </c>
      <c r="B255" s="15" t="s">
        <v>7771</v>
      </c>
      <c r="C255" s="15" t="s">
        <v>7619</v>
      </c>
      <c r="D255" s="15"/>
      <c r="E255" s="15"/>
      <c r="F255" s="15"/>
      <c r="G255" s="15"/>
      <c r="H255" s="16" t="s">
        <v>7377</v>
      </c>
    </row>
    <row r="256" spans="1:8" ht="45" x14ac:dyDescent="0.25">
      <c r="A256" s="15" t="s">
        <v>7374</v>
      </c>
      <c r="B256" s="15" t="s">
        <v>7772</v>
      </c>
      <c r="C256" s="15" t="s">
        <v>7773</v>
      </c>
      <c r="D256" s="15"/>
      <c r="E256" s="15"/>
      <c r="F256" s="15"/>
      <c r="G256" s="15"/>
      <c r="H256" s="16" t="s">
        <v>7377</v>
      </c>
    </row>
    <row r="257" spans="1:8" ht="30" x14ac:dyDescent="0.25">
      <c r="A257" s="15" t="s">
        <v>7374</v>
      </c>
      <c r="B257" s="15" t="s">
        <v>7774</v>
      </c>
      <c r="C257" s="15" t="s">
        <v>7748</v>
      </c>
      <c r="D257" s="15"/>
      <c r="E257" s="15"/>
      <c r="F257" s="15"/>
      <c r="G257" s="15"/>
      <c r="H257" s="16" t="s">
        <v>7377</v>
      </c>
    </row>
    <row r="258" spans="1:8" ht="30" x14ac:dyDescent="0.25">
      <c r="A258" s="15" t="s">
        <v>7374</v>
      </c>
      <c r="B258" s="15" t="s">
        <v>7775</v>
      </c>
      <c r="C258" s="15" t="s">
        <v>7619</v>
      </c>
      <c r="D258" s="15"/>
      <c r="E258" s="15"/>
      <c r="F258" s="15"/>
      <c r="G258" s="15"/>
      <c r="H258" s="16" t="s">
        <v>7377</v>
      </c>
    </row>
    <row r="259" spans="1:8" ht="30" x14ac:dyDescent="0.25">
      <c r="A259" s="15" t="s">
        <v>7374</v>
      </c>
      <c r="B259" s="15" t="s">
        <v>7776</v>
      </c>
      <c r="C259" s="15" t="s">
        <v>7746</v>
      </c>
      <c r="D259" s="15"/>
      <c r="E259" s="15"/>
      <c r="F259" s="15"/>
      <c r="G259" s="15"/>
      <c r="H259" s="16" t="s">
        <v>7377</v>
      </c>
    </row>
    <row r="260" spans="1:8" ht="30" x14ac:dyDescent="0.25">
      <c r="A260" s="15" t="s">
        <v>7374</v>
      </c>
      <c r="B260" s="15" t="s">
        <v>7777</v>
      </c>
      <c r="C260" s="15" t="s">
        <v>7748</v>
      </c>
      <c r="D260" s="15"/>
      <c r="E260" s="15"/>
      <c r="F260" s="15"/>
      <c r="G260" s="15"/>
      <c r="H260" s="16" t="s">
        <v>7377</v>
      </c>
    </row>
    <row r="261" spans="1:8" ht="30" x14ac:dyDescent="0.25">
      <c r="A261" s="15" t="s">
        <v>7374</v>
      </c>
      <c r="B261" s="15" t="s">
        <v>7778</v>
      </c>
      <c r="C261" s="15" t="s">
        <v>7619</v>
      </c>
      <c r="D261" s="15"/>
      <c r="E261" s="15"/>
      <c r="F261" s="15"/>
      <c r="G261" s="15"/>
      <c r="H261" s="16" t="s">
        <v>7377</v>
      </c>
    </row>
    <row r="262" spans="1:8" ht="30" x14ac:dyDescent="0.25">
      <c r="A262" s="15" t="s">
        <v>7374</v>
      </c>
      <c r="B262" s="15" t="s">
        <v>7779</v>
      </c>
      <c r="C262" s="15" t="s">
        <v>7461</v>
      </c>
      <c r="D262" s="15"/>
      <c r="E262" s="15"/>
      <c r="F262" s="15"/>
      <c r="G262" s="15"/>
      <c r="H262" s="16" t="s">
        <v>7377</v>
      </c>
    </row>
    <row r="263" spans="1:8" ht="30" x14ac:dyDescent="0.25">
      <c r="A263" s="15" t="s">
        <v>7374</v>
      </c>
      <c r="B263" s="15" t="s">
        <v>7780</v>
      </c>
      <c r="C263" s="15" t="s">
        <v>7463</v>
      </c>
      <c r="D263" s="15"/>
      <c r="E263" s="15"/>
      <c r="F263" s="15"/>
      <c r="G263" s="15"/>
      <c r="H263" s="16" t="s">
        <v>7377</v>
      </c>
    </row>
    <row r="264" spans="1:8" ht="30" x14ac:dyDescent="0.25">
      <c r="A264" s="15" t="s">
        <v>7374</v>
      </c>
      <c r="B264" s="15" t="s">
        <v>7781</v>
      </c>
      <c r="C264" s="15" t="s">
        <v>7465</v>
      </c>
      <c r="D264" s="15"/>
      <c r="E264" s="15"/>
      <c r="F264" s="15"/>
      <c r="G264" s="15"/>
      <c r="H264" s="16" t="s">
        <v>7377</v>
      </c>
    </row>
    <row r="265" spans="1:8" ht="45" x14ac:dyDescent="0.25">
      <c r="A265" s="15" t="s">
        <v>7374</v>
      </c>
      <c r="B265" s="15" t="s">
        <v>7782</v>
      </c>
      <c r="C265" s="15" t="s">
        <v>7598</v>
      </c>
      <c r="D265" s="15"/>
      <c r="E265" s="15"/>
      <c r="F265" s="15"/>
      <c r="G265" s="15"/>
      <c r="H265" s="16" t="s">
        <v>7377</v>
      </c>
    </row>
    <row r="266" spans="1:8" ht="45" x14ac:dyDescent="0.25">
      <c r="A266" s="15" t="s">
        <v>7374</v>
      </c>
      <c r="B266" s="15" t="s">
        <v>7783</v>
      </c>
      <c r="C266" s="15" t="s">
        <v>7600</v>
      </c>
      <c r="D266" s="15"/>
      <c r="E266" s="15"/>
      <c r="F266" s="15"/>
      <c r="G266" s="15"/>
      <c r="H266" s="16" t="s">
        <v>7377</v>
      </c>
    </row>
    <row r="267" spans="1:8" ht="45" x14ac:dyDescent="0.25">
      <c r="A267" s="15" t="s">
        <v>7374</v>
      </c>
      <c r="B267" s="15" t="s">
        <v>7784</v>
      </c>
      <c r="C267" s="15" t="s">
        <v>7602</v>
      </c>
      <c r="D267" s="15"/>
      <c r="E267" s="15"/>
      <c r="F267" s="15"/>
      <c r="G267" s="15"/>
      <c r="H267" s="16" t="s">
        <v>7377</v>
      </c>
    </row>
    <row r="268" spans="1:8" ht="45" x14ac:dyDescent="0.25">
      <c r="A268" s="15" t="s">
        <v>7374</v>
      </c>
      <c r="B268" s="15" t="s">
        <v>7785</v>
      </c>
      <c r="C268" s="15" t="s">
        <v>7604</v>
      </c>
      <c r="D268" s="15"/>
      <c r="E268" s="15"/>
      <c r="F268" s="15"/>
      <c r="G268" s="15"/>
      <c r="H268" s="16" t="s">
        <v>7377</v>
      </c>
    </row>
    <row r="269" spans="1:8" ht="45" x14ac:dyDescent="0.25">
      <c r="A269" s="15" t="s">
        <v>7374</v>
      </c>
      <c r="B269" s="15" t="s">
        <v>7786</v>
      </c>
      <c r="C269" s="15" t="s">
        <v>7606</v>
      </c>
      <c r="D269" s="15"/>
      <c r="E269" s="15"/>
      <c r="F269" s="15"/>
      <c r="G269" s="15"/>
      <c r="H269" s="16" t="s">
        <v>7377</v>
      </c>
    </row>
    <row r="270" spans="1:8" ht="45" x14ac:dyDescent="0.25">
      <c r="A270" s="15" t="s">
        <v>7374</v>
      </c>
      <c r="B270" s="15" t="s">
        <v>7787</v>
      </c>
      <c r="C270" s="15" t="s">
        <v>7598</v>
      </c>
      <c r="D270" s="15"/>
      <c r="E270" s="15"/>
      <c r="F270" s="15"/>
      <c r="G270" s="15"/>
      <c r="H270" s="16" t="s">
        <v>7377</v>
      </c>
    </row>
    <row r="271" spans="1:8" ht="45" x14ac:dyDescent="0.25">
      <c r="A271" s="15" t="s">
        <v>7374</v>
      </c>
      <c r="B271" s="15" t="s">
        <v>7788</v>
      </c>
      <c r="C271" s="15" t="s">
        <v>7600</v>
      </c>
      <c r="D271" s="15"/>
      <c r="E271" s="15"/>
      <c r="F271" s="15"/>
      <c r="G271" s="15"/>
      <c r="H271" s="16" t="s">
        <v>7377</v>
      </c>
    </row>
    <row r="272" spans="1:8" ht="45" x14ac:dyDescent="0.25">
      <c r="A272" s="15" t="s">
        <v>7374</v>
      </c>
      <c r="B272" s="15" t="s">
        <v>7789</v>
      </c>
      <c r="C272" s="15" t="s">
        <v>7602</v>
      </c>
      <c r="D272" s="15"/>
      <c r="E272" s="15"/>
      <c r="F272" s="15"/>
      <c r="G272" s="15"/>
      <c r="H272" s="16" t="s">
        <v>7377</v>
      </c>
    </row>
    <row r="273" spans="1:8" ht="45" x14ac:dyDescent="0.25">
      <c r="A273" s="15" t="s">
        <v>7374</v>
      </c>
      <c r="B273" s="15" t="s">
        <v>7790</v>
      </c>
      <c r="C273" s="15" t="s">
        <v>7604</v>
      </c>
      <c r="D273" s="15"/>
      <c r="E273" s="15"/>
      <c r="F273" s="15"/>
      <c r="G273" s="15"/>
      <c r="H273" s="16" t="s">
        <v>7377</v>
      </c>
    </row>
    <row r="274" spans="1:8" ht="45" x14ac:dyDescent="0.25">
      <c r="A274" s="15" t="s">
        <v>7374</v>
      </c>
      <c r="B274" s="15" t="s">
        <v>7791</v>
      </c>
      <c r="C274" s="15" t="s">
        <v>7606</v>
      </c>
      <c r="D274" s="15"/>
      <c r="E274" s="15"/>
      <c r="F274" s="15"/>
      <c r="G274" s="15"/>
      <c r="H274" s="16" t="s">
        <v>7377</v>
      </c>
    </row>
    <row r="275" spans="1:8" ht="30" x14ac:dyDescent="0.25">
      <c r="A275" s="15" t="s">
        <v>7374</v>
      </c>
      <c r="B275" s="15" t="s">
        <v>7792</v>
      </c>
      <c r="C275" s="15" t="s">
        <v>7648</v>
      </c>
      <c r="D275" s="15"/>
      <c r="E275" s="15"/>
      <c r="F275" s="15"/>
      <c r="G275" s="15"/>
      <c r="H275" s="16" t="s">
        <v>7377</v>
      </c>
    </row>
    <row r="276" spans="1:8" x14ac:dyDescent="0.25">
      <c r="A276" s="15" t="s">
        <v>7374</v>
      </c>
      <c r="B276" s="15" t="s">
        <v>7793</v>
      </c>
      <c r="C276" s="15" t="s">
        <v>7650</v>
      </c>
      <c r="D276" s="15"/>
      <c r="E276" s="15"/>
      <c r="F276" s="15"/>
      <c r="G276" s="15"/>
      <c r="H276" s="16" t="s">
        <v>7377</v>
      </c>
    </row>
    <row r="277" spans="1:8" ht="30" x14ac:dyDescent="0.25">
      <c r="A277" s="15" t="s">
        <v>7374</v>
      </c>
      <c r="B277" s="15" t="s">
        <v>7794</v>
      </c>
      <c r="C277" s="15" t="s">
        <v>7596</v>
      </c>
      <c r="D277" s="15"/>
      <c r="E277" s="15"/>
      <c r="F277" s="15"/>
      <c r="G277" s="15"/>
      <c r="H277" s="16" t="s">
        <v>7377</v>
      </c>
    </row>
    <row r="278" spans="1:8" ht="45" x14ac:dyDescent="0.25">
      <c r="A278" s="15" t="s">
        <v>7374</v>
      </c>
      <c r="B278" s="15" t="s">
        <v>7795</v>
      </c>
      <c r="C278" s="15" t="s">
        <v>7598</v>
      </c>
      <c r="D278" s="15"/>
      <c r="E278" s="15"/>
      <c r="F278" s="15"/>
      <c r="G278" s="15"/>
      <c r="H278" s="16" t="s">
        <v>7377</v>
      </c>
    </row>
    <row r="279" spans="1:8" ht="45" x14ac:dyDescent="0.25">
      <c r="A279" s="15" t="s">
        <v>7374</v>
      </c>
      <c r="B279" s="15" t="s">
        <v>7796</v>
      </c>
      <c r="C279" s="15" t="s">
        <v>7600</v>
      </c>
      <c r="D279" s="15"/>
      <c r="E279" s="15"/>
      <c r="F279" s="15"/>
      <c r="G279" s="15"/>
      <c r="H279" s="16" t="s">
        <v>7377</v>
      </c>
    </row>
    <row r="280" spans="1:8" ht="45" x14ac:dyDescent="0.25">
      <c r="A280" s="15" t="s">
        <v>7374</v>
      </c>
      <c r="B280" s="15" t="s">
        <v>7797</v>
      </c>
      <c r="C280" s="15" t="s">
        <v>7602</v>
      </c>
      <c r="D280" s="15"/>
      <c r="E280" s="15"/>
      <c r="F280" s="15"/>
      <c r="G280" s="15"/>
      <c r="H280" s="16" t="s">
        <v>7377</v>
      </c>
    </row>
    <row r="281" spans="1:8" ht="45" x14ac:dyDescent="0.25">
      <c r="A281" s="15" t="s">
        <v>7374</v>
      </c>
      <c r="B281" s="15" t="s">
        <v>7798</v>
      </c>
      <c r="C281" s="15" t="s">
        <v>7604</v>
      </c>
      <c r="D281" s="15"/>
      <c r="E281" s="15"/>
      <c r="F281" s="15"/>
      <c r="G281" s="15"/>
      <c r="H281" s="16" t="s">
        <v>7377</v>
      </c>
    </row>
    <row r="282" spans="1:8" ht="45" x14ac:dyDescent="0.25">
      <c r="A282" s="15" t="s">
        <v>7374</v>
      </c>
      <c r="B282" s="15" t="s">
        <v>7799</v>
      </c>
      <c r="C282" s="15" t="s">
        <v>7606</v>
      </c>
      <c r="D282" s="15"/>
      <c r="E282" s="15"/>
      <c r="F282" s="15"/>
      <c r="G282" s="15"/>
      <c r="H282" s="16" t="s">
        <v>7377</v>
      </c>
    </row>
    <row r="283" spans="1:8" x14ac:dyDescent="0.25">
      <c r="A283" s="15" t="s">
        <v>7374</v>
      </c>
      <c r="B283" s="15" t="s">
        <v>7800</v>
      </c>
      <c r="C283" s="15" t="s">
        <v>7608</v>
      </c>
      <c r="D283" s="15"/>
      <c r="E283" s="15"/>
      <c r="F283" s="15"/>
      <c r="G283" s="15"/>
      <c r="H283" s="16" t="s">
        <v>7377</v>
      </c>
    </row>
    <row r="284" spans="1:8" ht="30" x14ac:dyDescent="0.25">
      <c r="A284" s="15" t="s">
        <v>7374</v>
      </c>
      <c r="B284" s="15" t="s">
        <v>7801</v>
      </c>
      <c r="C284" s="15" t="s">
        <v>7802</v>
      </c>
      <c r="D284" s="15"/>
      <c r="E284" s="15"/>
      <c r="F284" s="15"/>
      <c r="G284" s="15"/>
      <c r="H284" s="16" t="s">
        <v>7377</v>
      </c>
    </row>
    <row r="285" spans="1:8" ht="45" x14ac:dyDescent="0.25">
      <c r="A285" s="15" t="s">
        <v>7374</v>
      </c>
      <c r="B285" s="15" t="s">
        <v>7803</v>
      </c>
      <c r="C285" s="15" t="s">
        <v>7804</v>
      </c>
      <c r="D285" s="15"/>
      <c r="E285" s="15"/>
      <c r="F285" s="15"/>
      <c r="G285" s="15"/>
      <c r="H285" s="16" t="s">
        <v>7377</v>
      </c>
    </row>
    <row r="286" spans="1:8" ht="45" x14ac:dyDescent="0.25">
      <c r="A286" s="15" t="s">
        <v>7374</v>
      </c>
      <c r="B286" s="15" t="s">
        <v>7805</v>
      </c>
      <c r="C286" s="15" t="s">
        <v>7806</v>
      </c>
      <c r="D286" s="15"/>
      <c r="E286" s="15"/>
      <c r="F286" s="15"/>
      <c r="G286" s="15"/>
      <c r="H286" s="16" t="s">
        <v>7377</v>
      </c>
    </row>
    <row r="287" spans="1:8" ht="30" x14ac:dyDescent="0.25">
      <c r="A287" s="15" t="s">
        <v>7374</v>
      </c>
      <c r="B287" s="15" t="s">
        <v>7807</v>
      </c>
      <c r="C287" s="15" t="s">
        <v>7808</v>
      </c>
      <c r="D287" s="15"/>
      <c r="E287" s="15"/>
      <c r="F287" s="15"/>
      <c r="G287" s="15"/>
      <c r="H287" s="16" t="s">
        <v>7377</v>
      </c>
    </row>
    <row r="288" spans="1:8" ht="60" x14ac:dyDescent="0.25">
      <c r="A288" s="15" t="s">
        <v>7374</v>
      </c>
      <c r="B288" s="15" t="s">
        <v>7809</v>
      </c>
      <c r="C288" s="15" t="s">
        <v>7810</v>
      </c>
      <c r="D288" s="15"/>
      <c r="E288" s="15"/>
      <c r="F288" s="15"/>
      <c r="G288" s="15"/>
      <c r="H288" s="16" t="s">
        <v>7377</v>
      </c>
    </row>
    <row r="289" spans="1:8" ht="60" x14ac:dyDescent="0.25">
      <c r="A289" s="15" t="s">
        <v>7811</v>
      </c>
      <c r="B289" s="15" t="s">
        <v>7812</v>
      </c>
      <c r="C289" s="15" t="s">
        <v>7813</v>
      </c>
      <c r="D289" s="15">
        <v>1452</v>
      </c>
      <c r="E289" s="15" t="s">
        <v>7814</v>
      </c>
      <c r="F289" s="15">
        <v>5</v>
      </c>
      <c r="G289" s="15" t="s">
        <v>7815</v>
      </c>
      <c r="H289" s="15"/>
    </row>
    <row r="290" spans="1:8" ht="45" x14ac:dyDescent="0.25">
      <c r="A290" s="15" t="s">
        <v>7811</v>
      </c>
      <c r="B290" s="15" t="s">
        <v>7816</v>
      </c>
      <c r="C290" s="15" t="s">
        <v>7817</v>
      </c>
      <c r="D290" s="15">
        <v>10</v>
      </c>
      <c r="E290" s="15" t="s">
        <v>7818</v>
      </c>
      <c r="F290" s="15">
        <v>60</v>
      </c>
      <c r="G290" s="15" t="s">
        <v>7819</v>
      </c>
      <c r="H290" s="15"/>
    </row>
    <row r="291" spans="1:8" ht="165" x14ac:dyDescent="0.25">
      <c r="A291" s="15" t="s">
        <v>7811</v>
      </c>
      <c r="B291" s="15" t="s">
        <v>7820</v>
      </c>
      <c r="C291" s="15" t="s">
        <v>7821</v>
      </c>
      <c r="D291" s="15">
        <v>11</v>
      </c>
      <c r="E291" s="15" t="s">
        <v>7814</v>
      </c>
      <c r="F291" s="15">
        <v>5</v>
      </c>
      <c r="G291" s="15" t="s">
        <v>7822</v>
      </c>
      <c r="H291" s="15"/>
    </row>
    <row r="292" spans="1:8" ht="45" x14ac:dyDescent="0.25">
      <c r="A292" s="15" t="s">
        <v>7811</v>
      </c>
      <c r="B292" s="15" t="s">
        <v>7823</v>
      </c>
      <c r="C292" s="15" t="s">
        <v>7824</v>
      </c>
      <c r="D292" s="15">
        <v>12</v>
      </c>
      <c r="E292" s="15" t="s">
        <v>7818</v>
      </c>
      <c r="F292" s="15">
        <v>60</v>
      </c>
      <c r="G292" s="15" t="s">
        <v>7819</v>
      </c>
      <c r="H292" s="15"/>
    </row>
    <row r="293" spans="1:8" ht="165" x14ac:dyDescent="0.25">
      <c r="A293" s="15" t="s">
        <v>7811</v>
      </c>
      <c r="B293" s="15" t="s">
        <v>7825</v>
      </c>
      <c r="C293" s="15" t="s">
        <v>7826</v>
      </c>
      <c r="D293" s="15">
        <v>842</v>
      </c>
      <c r="E293" s="15" t="s">
        <v>7814</v>
      </c>
      <c r="F293" s="15">
        <v>5</v>
      </c>
      <c r="G293" s="15" t="s">
        <v>7827</v>
      </c>
      <c r="H293" s="15"/>
    </row>
    <row r="294" spans="1:8" ht="180" x14ac:dyDescent="0.25">
      <c r="A294" s="15" t="s">
        <v>7811</v>
      </c>
      <c r="B294" s="15" t="s">
        <v>7828</v>
      </c>
      <c r="C294" s="15" t="s">
        <v>7829</v>
      </c>
      <c r="D294" s="15">
        <v>14</v>
      </c>
      <c r="E294" s="15" t="s">
        <v>7814</v>
      </c>
      <c r="F294" s="15">
        <v>5</v>
      </c>
      <c r="G294" s="15" t="s">
        <v>7830</v>
      </c>
      <c r="H294" s="15"/>
    </row>
    <row r="295" spans="1:8" ht="210" x14ac:dyDescent="0.25">
      <c r="A295" s="15" t="s">
        <v>7811</v>
      </c>
      <c r="B295" s="15" t="s">
        <v>7831</v>
      </c>
      <c r="C295" s="15" t="s">
        <v>7832</v>
      </c>
      <c r="D295" s="15">
        <v>15</v>
      </c>
      <c r="E295" s="15" t="s">
        <v>7814</v>
      </c>
      <c r="F295" s="15">
        <v>5</v>
      </c>
      <c r="G295" s="15" t="s">
        <v>7833</v>
      </c>
      <c r="H295" s="15"/>
    </row>
    <row r="296" spans="1:8" ht="90" x14ac:dyDescent="0.25">
      <c r="A296" s="15" t="s">
        <v>7811</v>
      </c>
      <c r="B296" s="15" t="s">
        <v>7834</v>
      </c>
      <c r="C296" s="15" t="s">
        <v>7835</v>
      </c>
      <c r="D296" s="15">
        <v>1121</v>
      </c>
      <c r="E296" s="15" t="s">
        <v>7814</v>
      </c>
      <c r="F296" s="15">
        <v>5</v>
      </c>
      <c r="G296" s="15" t="s">
        <v>7815</v>
      </c>
      <c r="H296" s="15"/>
    </row>
    <row r="297" spans="1:8" ht="45" x14ac:dyDescent="0.25">
      <c r="A297" s="15" t="s">
        <v>7811</v>
      </c>
      <c r="B297" s="15" t="s">
        <v>7836</v>
      </c>
      <c r="C297" s="15" t="s">
        <v>7837</v>
      </c>
      <c r="D297" s="15">
        <v>1876</v>
      </c>
      <c r="E297" s="15" t="s">
        <v>7838</v>
      </c>
      <c r="F297" s="15">
        <v>8</v>
      </c>
      <c r="G297" s="15" t="s">
        <v>7819</v>
      </c>
      <c r="H297" s="15"/>
    </row>
    <row r="298" spans="1:8" ht="60" x14ac:dyDescent="0.25">
      <c r="A298" s="15" t="s">
        <v>7811</v>
      </c>
      <c r="B298" s="15" t="s">
        <v>7839</v>
      </c>
      <c r="C298" s="15" t="s">
        <v>7840</v>
      </c>
      <c r="D298" s="15">
        <v>24</v>
      </c>
      <c r="E298" s="15" t="s">
        <v>7814</v>
      </c>
      <c r="F298" s="15">
        <v>5</v>
      </c>
      <c r="G298" s="15" t="s">
        <v>7841</v>
      </c>
      <c r="H298" s="15"/>
    </row>
    <row r="299" spans="1:8" ht="45" x14ac:dyDescent="0.25">
      <c r="A299" s="15" t="s">
        <v>7811</v>
      </c>
      <c r="B299" s="15" t="s">
        <v>136</v>
      </c>
      <c r="C299" s="15" t="s">
        <v>7842</v>
      </c>
      <c r="D299" s="15">
        <v>20</v>
      </c>
      <c r="E299" s="15" t="s">
        <v>7818</v>
      </c>
      <c r="F299" s="15">
        <v>80</v>
      </c>
      <c r="G299" s="15" t="s">
        <v>7819</v>
      </c>
      <c r="H299" s="15"/>
    </row>
    <row r="300" spans="1:8" ht="150" x14ac:dyDescent="0.25">
      <c r="A300" s="15" t="s">
        <v>7811</v>
      </c>
      <c r="B300" s="15" t="s">
        <v>7843</v>
      </c>
      <c r="C300" s="15" t="s">
        <v>7844</v>
      </c>
      <c r="D300" s="15">
        <v>1311</v>
      </c>
      <c r="E300" s="15" t="s">
        <v>7814</v>
      </c>
      <c r="F300" s="15">
        <v>5</v>
      </c>
      <c r="G300" s="15" t="s">
        <v>7845</v>
      </c>
      <c r="H300" s="15"/>
    </row>
    <row r="301" spans="1:8" ht="165" x14ac:dyDescent="0.25">
      <c r="A301" s="15" t="s">
        <v>7811</v>
      </c>
      <c r="B301" s="15" t="s">
        <v>7846</v>
      </c>
      <c r="C301" s="15" t="s">
        <v>7847</v>
      </c>
      <c r="D301" s="15">
        <v>21</v>
      </c>
      <c r="E301" s="15" t="s">
        <v>7818</v>
      </c>
      <c r="F301" s="15">
        <v>35</v>
      </c>
      <c r="G301" s="15" t="s">
        <v>7848</v>
      </c>
      <c r="H301" s="15"/>
    </row>
    <row r="302" spans="1:8" ht="75" x14ac:dyDescent="0.25">
      <c r="A302" s="15" t="s">
        <v>7811</v>
      </c>
      <c r="B302" s="15" t="s">
        <v>7849</v>
      </c>
      <c r="C302" s="15" t="s">
        <v>7850</v>
      </c>
      <c r="D302" s="15">
        <v>22</v>
      </c>
      <c r="E302" s="15" t="s">
        <v>7814</v>
      </c>
      <c r="F302" s="15">
        <v>5</v>
      </c>
      <c r="G302" s="15" t="s">
        <v>7851</v>
      </c>
      <c r="H302" s="15"/>
    </row>
    <row r="303" spans="1:8" ht="409.5" x14ac:dyDescent="0.25">
      <c r="A303" s="15" t="s">
        <v>7811</v>
      </c>
      <c r="B303" s="15" t="s">
        <v>7852</v>
      </c>
      <c r="C303" s="15" t="s">
        <v>7853</v>
      </c>
      <c r="D303" s="15">
        <v>679</v>
      </c>
      <c r="E303" s="15" t="s">
        <v>7814</v>
      </c>
      <c r="F303" s="15">
        <v>5</v>
      </c>
      <c r="G303" s="15" t="s">
        <v>7854</v>
      </c>
      <c r="H303" s="15"/>
    </row>
    <row r="304" spans="1:8" ht="45" x14ac:dyDescent="0.25">
      <c r="A304" s="15" t="s">
        <v>7811</v>
      </c>
      <c r="B304" s="15" t="s">
        <v>7855</v>
      </c>
      <c r="C304" s="15" t="s">
        <v>7856</v>
      </c>
      <c r="D304" s="15">
        <v>517</v>
      </c>
      <c r="E304" s="15" t="s">
        <v>7838</v>
      </c>
      <c r="F304" s="15">
        <v>8</v>
      </c>
      <c r="G304" s="15" t="s">
        <v>7819</v>
      </c>
      <c r="H304" s="15"/>
    </row>
    <row r="305" spans="1:8" ht="45" x14ac:dyDescent="0.25">
      <c r="A305" s="15" t="s">
        <v>7811</v>
      </c>
      <c r="B305" s="15" t="s">
        <v>7857</v>
      </c>
      <c r="C305" s="15" t="s">
        <v>7858</v>
      </c>
      <c r="D305" s="15">
        <v>1518</v>
      </c>
      <c r="E305" s="15" t="s">
        <v>7859</v>
      </c>
      <c r="F305" s="15">
        <v>4</v>
      </c>
      <c r="G305" s="15" t="s">
        <v>7819</v>
      </c>
      <c r="H305" s="15"/>
    </row>
    <row r="306" spans="1:8" ht="105" x14ac:dyDescent="0.25">
      <c r="A306" s="15" t="s">
        <v>7811</v>
      </c>
      <c r="B306" s="15" t="s">
        <v>7860</v>
      </c>
      <c r="C306" s="15" t="s">
        <v>7861</v>
      </c>
      <c r="D306" s="15">
        <v>498</v>
      </c>
      <c r="E306" s="15" t="s">
        <v>7814</v>
      </c>
      <c r="F306" s="15">
        <v>5</v>
      </c>
      <c r="G306" s="15" t="s">
        <v>7862</v>
      </c>
      <c r="H306" s="15"/>
    </row>
    <row r="307" spans="1:8" ht="45" x14ac:dyDescent="0.25">
      <c r="A307" s="15" t="s">
        <v>7811</v>
      </c>
      <c r="B307" s="15" t="s">
        <v>7863</v>
      </c>
      <c r="C307" s="15" t="s">
        <v>7864</v>
      </c>
      <c r="D307" s="15">
        <v>202</v>
      </c>
      <c r="E307" s="15" t="s">
        <v>7818</v>
      </c>
      <c r="F307" s="15">
        <v>60</v>
      </c>
      <c r="G307" s="15" t="s">
        <v>7819</v>
      </c>
      <c r="H307" s="15"/>
    </row>
    <row r="308" spans="1:8" ht="45" x14ac:dyDescent="0.25">
      <c r="A308" s="15" t="s">
        <v>7811</v>
      </c>
      <c r="B308" s="15" t="s">
        <v>7865</v>
      </c>
      <c r="C308" s="15" t="s">
        <v>7866</v>
      </c>
      <c r="D308" s="15">
        <v>344</v>
      </c>
      <c r="E308" s="15" t="s">
        <v>7818</v>
      </c>
      <c r="F308" s="15">
        <v>60</v>
      </c>
      <c r="G308" s="15" t="s">
        <v>7819</v>
      </c>
      <c r="H308" s="15"/>
    </row>
    <row r="309" spans="1:8" ht="45" x14ac:dyDescent="0.25">
      <c r="A309" s="15" t="s">
        <v>7811</v>
      </c>
      <c r="B309" s="15" t="s">
        <v>7867</v>
      </c>
      <c r="C309" s="15" t="s">
        <v>7868</v>
      </c>
      <c r="D309" s="15">
        <v>715</v>
      </c>
      <c r="E309" s="15" t="s">
        <v>7818</v>
      </c>
      <c r="F309" s="15">
        <v>60</v>
      </c>
      <c r="G309" s="15" t="s">
        <v>7819</v>
      </c>
      <c r="H309" s="15"/>
    </row>
    <row r="310" spans="1:8" ht="60" x14ac:dyDescent="0.25">
      <c r="A310" s="15" t="s">
        <v>7811</v>
      </c>
      <c r="B310" s="15" t="s">
        <v>7869</v>
      </c>
      <c r="C310" s="15" t="s">
        <v>7870</v>
      </c>
      <c r="D310" s="15">
        <v>351</v>
      </c>
      <c r="E310" s="15" t="s">
        <v>7818</v>
      </c>
      <c r="F310" s="15">
        <v>60</v>
      </c>
      <c r="G310" s="15" t="s">
        <v>7819</v>
      </c>
      <c r="H310" s="15"/>
    </row>
    <row r="311" spans="1:8" ht="45" x14ac:dyDescent="0.25">
      <c r="A311" s="15" t="s">
        <v>7811</v>
      </c>
      <c r="B311" s="15" t="s">
        <v>7871</v>
      </c>
      <c r="C311" s="15" t="s">
        <v>7872</v>
      </c>
      <c r="D311" s="15">
        <v>26</v>
      </c>
      <c r="E311" s="15" t="s">
        <v>7838</v>
      </c>
      <c r="F311" s="15">
        <v>8</v>
      </c>
      <c r="G311" s="15" t="s">
        <v>7819</v>
      </c>
      <c r="H311" s="15"/>
    </row>
    <row r="312" spans="1:8" ht="45" x14ac:dyDescent="0.25">
      <c r="A312" s="15" t="s">
        <v>7811</v>
      </c>
      <c r="B312" s="15" t="s">
        <v>7873</v>
      </c>
      <c r="C312" s="15" t="s">
        <v>7874</v>
      </c>
      <c r="D312" s="15">
        <v>27</v>
      </c>
      <c r="E312" s="15" t="s">
        <v>7838</v>
      </c>
      <c r="F312" s="15">
        <v>8</v>
      </c>
      <c r="G312" s="15" t="s">
        <v>7819</v>
      </c>
      <c r="H312" s="15"/>
    </row>
    <row r="313" spans="1:8" ht="45" x14ac:dyDescent="0.25">
      <c r="A313" s="15" t="s">
        <v>7811</v>
      </c>
      <c r="B313" s="15" t="s">
        <v>7875</v>
      </c>
      <c r="C313" s="15" t="s">
        <v>7876</v>
      </c>
      <c r="D313" s="15">
        <v>524</v>
      </c>
      <c r="E313" s="15" t="s">
        <v>7877</v>
      </c>
      <c r="F313" s="15">
        <v>6.2</v>
      </c>
      <c r="G313" s="15" t="s">
        <v>7819</v>
      </c>
      <c r="H313" s="15"/>
    </row>
    <row r="314" spans="1:8" ht="405" x14ac:dyDescent="0.25">
      <c r="A314" s="15" t="s">
        <v>7811</v>
      </c>
      <c r="B314" s="15" t="s">
        <v>7878</v>
      </c>
      <c r="C314" s="15" t="s">
        <v>7879</v>
      </c>
      <c r="D314" s="15">
        <v>937</v>
      </c>
      <c r="E314" s="15" t="s">
        <v>7814</v>
      </c>
      <c r="F314" s="15">
        <v>5</v>
      </c>
      <c r="G314" s="15" t="s">
        <v>7880</v>
      </c>
      <c r="H314" s="15"/>
    </row>
    <row r="315" spans="1:8" ht="45" x14ac:dyDescent="0.25">
      <c r="A315" s="15" t="s">
        <v>7811</v>
      </c>
      <c r="B315" s="15" t="s">
        <v>7881</v>
      </c>
      <c r="C315" s="15" t="s">
        <v>7882</v>
      </c>
      <c r="D315" s="15">
        <v>616</v>
      </c>
      <c r="E315" s="15" t="s">
        <v>7838</v>
      </c>
      <c r="F315" s="15">
        <v>8</v>
      </c>
      <c r="G315" s="15" t="s">
        <v>7819</v>
      </c>
      <c r="H315" s="15"/>
    </row>
    <row r="316" spans="1:8" ht="210" x14ac:dyDescent="0.25">
      <c r="A316" s="15" t="s">
        <v>7811</v>
      </c>
      <c r="B316" s="15" t="s">
        <v>7883</v>
      </c>
      <c r="C316" s="15" t="s">
        <v>7884</v>
      </c>
      <c r="D316" s="15">
        <v>617</v>
      </c>
      <c r="E316" s="15" t="s">
        <v>7814</v>
      </c>
      <c r="F316" s="15">
        <v>5</v>
      </c>
      <c r="G316" s="15" t="s">
        <v>7885</v>
      </c>
      <c r="H316" s="15"/>
    </row>
    <row r="317" spans="1:8" ht="45" x14ac:dyDescent="0.25">
      <c r="A317" s="15" t="s">
        <v>7811</v>
      </c>
      <c r="B317" s="15" t="s">
        <v>7886</v>
      </c>
      <c r="C317" s="15" t="s">
        <v>7887</v>
      </c>
      <c r="D317" s="15">
        <v>525</v>
      </c>
      <c r="E317" s="15" t="s">
        <v>7877</v>
      </c>
      <c r="F317" s="15">
        <v>6.2</v>
      </c>
      <c r="G317" s="15" t="s">
        <v>7819</v>
      </c>
      <c r="H317" s="15"/>
    </row>
    <row r="318" spans="1:8" ht="405" x14ac:dyDescent="0.25">
      <c r="A318" s="15" t="s">
        <v>7811</v>
      </c>
      <c r="B318" s="15" t="s">
        <v>7888</v>
      </c>
      <c r="C318" s="15" t="s">
        <v>7889</v>
      </c>
      <c r="D318" s="15">
        <v>30</v>
      </c>
      <c r="E318" s="15" t="s">
        <v>7814</v>
      </c>
      <c r="F318" s="15">
        <v>5</v>
      </c>
      <c r="G318" s="15" t="s">
        <v>7890</v>
      </c>
      <c r="H318" s="15"/>
    </row>
    <row r="319" spans="1:8" ht="45" x14ac:dyDescent="0.25">
      <c r="A319" s="15" t="s">
        <v>7811</v>
      </c>
      <c r="B319" s="15" t="s">
        <v>7891</v>
      </c>
      <c r="C319" s="15" t="s">
        <v>7892</v>
      </c>
      <c r="D319" s="15">
        <v>1598</v>
      </c>
      <c r="E319" s="15" t="s">
        <v>7818</v>
      </c>
      <c r="F319" s="15">
        <v>60</v>
      </c>
      <c r="G319" s="15" t="s">
        <v>7819</v>
      </c>
      <c r="H319" s="15"/>
    </row>
    <row r="320" spans="1:8" ht="150" x14ac:dyDescent="0.25">
      <c r="A320" s="15" t="s">
        <v>7811</v>
      </c>
      <c r="B320" s="15" t="s">
        <v>7893</v>
      </c>
      <c r="C320" s="15" t="s">
        <v>7894</v>
      </c>
      <c r="D320" s="15">
        <v>891</v>
      </c>
      <c r="E320" s="15" t="s">
        <v>7814</v>
      </c>
      <c r="F320" s="15">
        <v>5</v>
      </c>
      <c r="G320" s="15" t="s">
        <v>7895</v>
      </c>
      <c r="H320" s="15"/>
    </row>
    <row r="321" spans="1:8" ht="45" x14ac:dyDescent="0.25">
      <c r="A321" s="15" t="s">
        <v>7811</v>
      </c>
      <c r="B321" s="15" t="s">
        <v>7896</v>
      </c>
      <c r="C321" s="15" t="s">
        <v>7897</v>
      </c>
      <c r="D321" s="15">
        <v>1075</v>
      </c>
      <c r="E321" s="15" t="s">
        <v>7877</v>
      </c>
      <c r="F321" s="15">
        <v>2.2000000000000002</v>
      </c>
      <c r="G321" s="15" t="s">
        <v>7819</v>
      </c>
      <c r="H321" s="15"/>
    </row>
    <row r="322" spans="1:8" ht="120" x14ac:dyDescent="0.25">
      <c r="A322" s="15" t="s">
        <v>7811</v>
      </c>
      <c r="B322" s="15" t="s">
        <v>7898</v>
      </c>
      <c r="C322" s="15" t="s">
        <v>7899</v>
      </c>
      <c r="D322" s="15">
        <v>1296</v>
      </c>
      <c r="E322" s="15" t="s">
        <v>7814</v>
      </c>
      <c r="F322" s="15">
        <v>5</v>
      </c>
      <c r="G322" s="15" t="s">
        <v>7900</v>
      </c>
      <c r="H322" s="15"/>
    </row>
    <row r="323" spans="1:8" ht="45" x14ac:dyDescent="0.25">
      <c r="A323" s="15" t="s">
        <v>7811</v>
      </c>
      <c r="B323" s="15" t="s">
        <v>7901</v>
      </c>
      <c r="C323" s="15" t="s">
        <v>7902</v>
      </c>
      <c r="D323" s="15">
        <v>33</v>
      </c>
      <c r="E323" s="15" t="s">
        <v>7818</v>
      </c>
      <c r="F323" s="15">
        <v>35</v>
      </c>
      <c r="G323" s="15" t="s">
        <v>7819</v>
      </c>
      <c r="H323" s="15"/>
    </row>
    <row r="324" spans="1:8" ht="45" x14ac:dyDescent="0.25">
      <c r="A324" s="15" t="s">
        <v>7811</v>
      </c>
      <c r="B324" s="15" t="s">
        <v>7903</v>
      </c>
      <c r="C324" s="15" t="s">
        <v>7904</v>
      </c>
      <c r="D324" s="15">
        <v>1424</v>
      </c>
      <c r="E324" s="15" t="s">
        <v>7818</v>
      </c>
      <c r="F324" s="15">
        <v>35</v>
      </c>
      <c r="G324" s="15" t="s">
        <v>7819</v>
      </c>
      <c r="H324" s="15"/>
    </row>
    <row r="325" spans="1:8" ht="45" x14ac:dyDescent="0.25">
      <c r="A325" s="15" t="s">
        <v>7811</v>
      </c>
      <c r="B325" s="15" t="s">
        <v>7905</v>
      </c>
      <c r="C325" s="15" t="s">
        <v>7906</v>
      </c>
      <c r="D325" s="15">
        <v>542</v>
      </c>
      <c r="E325" s="15" t="s">
        <v>7859</v>
      </c>
      <c r="F325" s="15">
        <v>2</v>
      </c>
      <c r="G325" s="15" t="s">
        <v>7819</v>
      </c>
      <c r="H325" s="15"/>
    </row>
    <row r="326" spans="1:8" ht="75" x14ac:dyDescent="0.25">
      <c r="A326" s="15" t="s">
        <v>7811</v>
      </c>
      <c r="B326" s="15" t="s">
        <v>7907</v>
      </c>
      <c r="C326" s="15" t="s">
        <v>7908</v>
      </c>
      <c r="D326" s="15">
        <v>36</v>
      </c>
      <c r="E326" s="15" t="s">
        <v>7814</v>
      </c>
      <c r="F326" s="15">
        <v>5</v>
      </c>
      <c r="G326" s="15" t="s">
        <v>7815</v>
      </c>
      <c r="H326" s="15"/>
    </row>
    <row r="327" spans="1:8" ht="45" x14ac:dyDescent="0.25">
      <c r="A327" s="15" t="s">
        <v>7811</v>
      </c>
      <c r="B327" s="15" t="s">
        <v>7909</v>
      </c>
      <c r="C327" s="15" t="s">
        <v>7910</v>
      </c>
      <c r="D327" s="15">
        <v>682</v>
      </c>
      <c r="E327" s="15" t="s">
        <v>7818</v>
      </c>
      <c r="F327" s="15">
        <v>35</v>
      </c>
      <c r="G327" s="15" t="s">
        <v>7819</v>
      </c>
      <c r="H327" s="15"/>
    </row>
    <row r="328" spans="1:8" ht="45" x14ac:dyDescent="0.25">
      <c r="A328" s="15" t="s">
        <v>7811</v>
      </c>
      <c r="B328" s="15" t="s">
        <v>7911</v>
      </c>
      <c r="C328" s="15" t="s">
        <v>7912</v>
      </c>
      <c r="D328" s="15">
        <v>692</v>
      </c>
      <c r="E328" s="15" t="s">
        <v>7818</v>
      </c>
      <c r="F328" s="15">
        <v>35</v>
      </c>
      <c r="G328" s="15" t="s">
        <v>7819</v>
      </c>
      <c r="H328" s="15"/>
    </row>
    <row r="329" spans="1:8" ht="45" x14ac:dyDescent="0.25">
      <c r="A329" s="15" t="s">
        <v>7811</v>
      </c>
      <c r="B329" s="15" t="s">
        <v>7913</v>
      </c>
      <c r="C329" s="15" t="s">
        <v>7914</v>
      </c>
      <c r="D329" s="15">
        <v>1255</v>
      </c>
      <c r="E329" s="15" t="s">
        <v>7859</v>
      </c>
      <c r="F329" s="15">
        <v>7</v>
      </c>
      <c r="G329" s="15" t="s">
        <v>7819</v>
      </c>
      <c r="H329" s="15"/>
    </row>
    <row r="330" spans="1:8" ht="45" x14ac:dyDescent="0.25">
      <c r="A330" s="15" t="s">
        <v>7811</v>
      </c>
      <c r="B330" s="15" t="s">
        <v>7915</v>
      </c>
      <c r="C330" s="15" t="s">
        <v>7916</v>
      </c>
      <c r="D330" s="15">
        <v>1560</v>
      </c>
      <c r="E330" s="15" t="s">
        <v>7859</v>
      </c>
      <c r="F330" s="15">
        <v>5</v>
      </c>
      <c r="G330" s="15" t="s">
        <v>7819</v>
      </c>
      <c r="H330" s="15"/>
    </row>
    <row r="331" spans="1:8" ht="45" x14ac:dyDescent="0.25">
      <c r="A331" s="15" t="s">
        <v>7811</v>
      </c>
      <c r="B331" s="15" t="s">
        <v>7917</v>
      </c>
      <c r="C331" s="15" t="s">
        <v>7918</v>
      </c>
      <c r="D331" s="15">
        <v>1558</v>
      </c>
      <c r="E331" s="15" t="s">
        <v>7859</v>
      </c>
      <c r="F331" s="15">
        <v>5</v>
      </c>
      <c r="G331" s="15" t="s">
        <v>7819</v>
      </c>
      <c r="H331" s="15"/>
    </row>
    <row r="332" spans="1:8" ht="45" x14ac:dyDescent="0.25">
      <c r="A332" s="15" t="s">
        <v>7811</v>
      </c>
      <c r="B332" s="15" t="s">
        <v>7919</v>
      </c>
      <c r="C332" s="15" t="s">
        <v>7920</v>
      </c>
      <c r="D332" s="15">
        <v>1559</v>
      </c>
      <c r="E332" s="15" t="s">
        <v>7859</v>
      </c>
      <c r="F332" s="15">
        <v>5</v>
      </c>
      <c r="G332" s="15" t="s">
        <v>7819</v>
      </c>
      <c r="H332" s="15"/>
    </row>
    <row r="333" spans="1:8" ht="45" x14ac:dyDescent="0.25">
      <c r="A333" s="15" t="s">
        <v>7811</v>
      </c>
      <c r="B333" s="15" t="s">
        <v>7921</v>
      </c>
      <c r="C333" s="15" t="s">
        <v>7922</v>
      </c>
      <c r="D333" s="15">
        <v>1562</v>
      </c>
      <c r="E333" s="15" t="s">
        <v>7859</v>
      </c>
      <c r="F333" s="15">
        <v>5</v>
      </c>
      <c r="G333" s="15" t="s">
        <v>7819</v>
      </c>
      <c r="H333" s="15"/>
    </row>
    <row r="334" spans="1:8" ht="45" x14ac:dyDescent="0.25">
      <c r="A334" s="15" t="s">
        <v>7811</v>
      </c>
      <c r="B334" s="15" t="s">
        <v>7923</v>
      </c>
      <c r="C334" s="15" t="s">
        <v>7924</v>
      </c>
      <c r="D334" s="15">
        <v>1561</v>
      </c>
      <c r="E334" s="15" t="s">
        <v>7859</v>
      </c>
      <c r="F334" s="15">
        <v>5</v>
      </c>
      <c r="G334" s="15" t="s">
        <v>7819</v>
      </c>
      <c r="H334" s="15"/>
    </row>
    <row r="335" spans="1:8" ht="45" x14ac:dyDescent="0.25">
      <c r="A335" s="15" t="s">
        <v>7811</v>
      </c>
      <c r="B335" s="15" t="s">
        <v>7925</v>
      </c>
      <c r="C335" s="15" t="s">
        <v>7926</v>
      </c>
      <c r="D335" s="15">
        <v>531</v>
      </c>
      <c r="E335" s="15" t="s">
        <v>7877</v>
      </c>
      <c r="F335" s="15">
        <v>6.2</v>
      </c>
      <c r="G335" s="15" t="s">
        <v>7819</v>
      </c>
      <c r="H335" s="15"/>
    </row>
    <row r="336" spans="1:8" ht="345" x14ac:dyDescent="0.25">
      <c r="A336" s="15" t="s">
        <v>7811</v>
      </c>
      <c r="B336" s="15" t="s">
        <v>7927</v>
      </c>
      <c r="C336" s="15" t="s">
        <v>7928</v>
      </c>
      <c r="D336" s="15">
        <v>38</v>
      </c>
      <c r="E336" s="15" t="s">
        <v>7814</v>
      </c>
      <c r="F336" s="15">
        <v>5</v>
      </c>
      <c r="G336" s="15" t="s">
        <v>7929</v>
      </c>
      <c r="H336" s="15"/>
    </row>
    <row r="337" spans="1:8" ht="60" x14ac:dyDescent="0.25">
      <c r="A337" s="15" t="s">
        <v>7811</v>
      </c>
      <c r="B337" s="15" t="s">
        <v>7930</v>
      </c>
      <c r="C337" s="15" t="s">
        <v>7931</v>
      </c>
      <c r="D337" s="15">
        <v>459</v>
      </c>
      <c r="E337" s="15" t="s">
        <v>7814</v>
      </c>
      <c r="F337" s="15">
        <v>5</v>
      </c>
      <c r="G337" s="15" t="s">
        <v>7932</v>
      </c>
      <c r="H337" s="15"/>
    </row>
    <row r="338" spans="1:8" ht="45" x14ac:dyDescent="0.25">
      <c r="A338" s="15" t="s">
        <v>7811</v>
      </c>
      <c r="B338" s="15" t="s">
        <v>7933</v>
      </c>
      <c r="C338" s="15" t="s">
        <v>7934</v>
      </c>
      <c r="D338" s="15">
        <v>919</v>
      </c>
      <c r="E338" s="15" t="s">
        <v>7818</v>
      </c>
      <c r="F338" s="15">
        <v>45</v>
      </c>
      <c r="G338" s="15" t="s">
        <v>7819</v>
      </c>
      <c r="H338" s="15"/>
    </row>
    <row r="339" spans="1:8" ht="45" x14ac:dyDescent="0.25">
      <c r="A339" s="15" t="s">
        <v>7811</v>
      </c>
      <c r="B339" s="15" t="s">
        <v>7935</v>
      </c>
      <c r="C339" s="15" t="s">
        <v>7936</v>
      </c>
      <c r="D339" s="15">
        <v>920</v>
      </c>
      <c r="E339" s="15" t="s">
        <v>7818</v>
      </c>
      <c r="F339" s="15">
        <v>60</v>
      </c>
      <c r="G339" s="15" t="s">
        <v>7819</v>
      </c>
      <c r="H339" s="15"/>
    </row>
    <row r="340" spans="1:8" ht="45" x14ac:dyDescent="0.25">
      <c r="A340" s="15" t="s">
        <v>7811</v>
      </c>
      <c r="B340" s="15" t="s">
        <v>7937</v>
      </c>
      <c r="C340" s="15" t="s">
        <v>7938</v>
      </c>
      <c r="D340" s="15">
        <v>451</v>
      </c>
      <c r="E340" s="15" t="s">
        <v>7818</v>
      </c>
      <c r="F340" s="15">
        <v>80</v>
      </c>
      <c r="G340" s="15" t="s">
        <v>7819</v>
      </c>
      <c r="H340" s="15"/>
    </row>
    <row r="341" spans="1:8" ht="180" x14ac:dyDescent="0.25">
      <c r="A341" s="15" t="s">
        <v>7811</v>
      </c>
      <c r="B341" s="15" t="s">
        <v>7939</v>
      </c>
      <c r="C341" s="15" t="s">
        <v>7940</v>
      </c>
      <c r="D341" s="15">
        <v>928</v>
      </c>
      <c r="E341" s="15" t="s">
        <v>7814</v>
      </c>
      <c r="F341" s="15">
        <v>5</v>
      </c>
      <c r="G341" s="15" t="s">
        <v>7941</v>
      </c>
      <c r="H341" s="15"/>
    </row>
    <row r="342" spans="1:8" ht="165" x14ac:dyDescent="0.25">
      <c r="A342" s="15" t="s">
        <v>7811</v>
      </c>
      <c r="B342" s="15" t="s">
        <v>7942</v>
      </c>
      <c r="C342" s="15" t="s">
        <v>7943</v>
      </c>
      <c r="D342" s="15">
        <v>939</v>
      </c>
      <c r="E342" s="15" t="s">
        <v>7814</v>
      </c>
      <c r="F342" s="15">
        <v>5</v>
      </c>
      <c r="G342" s="15" t="s">
        <v>7944</v>
      </c>
      <c r="H342" s="15"/>
    </row>
    <row r="343" spans="1:8" ht="45" x14ac:dyDescent="0.25">
      <c r="A343" s="15" t="s">
        <v>7811</v>
      </c>
      <c r="B343" s="15" t="s">
        <v>7945</v>
      </c>
      <c r="C343" s="15" t="s">
        <v>7946</v>
      </c>
      <c r="D343" s="15">
        <v>39</v>
      </c>
      <c r="E343" s="15" t="s">
        <v>7838</v>
      </c>
      <c r="F343" s="15">
        <v>8</v>
      </c>
      <c r="G343" s="15" t="s">
        <v>7819</v>
      </c>
      <c r="H343" s="15"/>
    </row>
    <row r="344" spans="1:8" ht="45" x14ac:dyDescent="0.25">
      <c r="A344" s="15" t="s">
        <v>7811</v>
      </c>
      <c r="B344" s="15" t="s">
        <v>7947</v>
      </c>
      <c r="C344" s="15" t="s">
        <v>7948</v>
      </c>
      <c r="D344" s="15">
        <v>44</v>
      </c>
      <c r="E344" s="15" t="s">
        <v>7818</v>
      </c>
      <c r="F344" s="15">
        <v>60</v>
      </c>
      <c r="G344" s="15" t="s">
        <v>7819</v>
      </c>
      <c r="H344" s="15"/>
    </row>
    <row r="345" spans="1:8" ht="135" x14ac:dyDescent="0.25">
      <c r="A345" s="15" t="s">
        <v>7811</v>
      </c>
      <c r="B345" s="15" t="s">
        <v>7949</v>
      </c>
      <c r="C345" s="15" t="s">
        <v>7950</v>
      </c>
      <c r="D345" s="15">
        <v>45</v>
      </c>
      <c r="E345" s="15" t="s">
        <v>7814</v>
      </c>
      <c r="F345" s="15">
        <v>5</v>
      </c>
      <c r="G345" s="15" t="s">
        <v>7951</v>
      </c>
      <c r="H345" s="15"/>
    </row>
    <row r="346" spans="1:8" ht="45" x14ac:dyDescent="0.25">
      <c r="A346" s="15" t="s">
        <v>7811</v>
      </c>
      <c r="B346" s="15" t="s">
        <v>7952</v>
      </c>
      <c r="C346" s="15" t="s">
        <v>7953</v>
      </c>
      <c r="D346" s="15">
        <v>1143</v>
      </c>
      <c r="E346" s="15" t="s">
        <v>7818</v>
      </c>
      <c r="F346" s="15">
        <v>60</v>
      </c>
      <c r="G346" s="15" t="s">
        <v>7819</v>
      </c>
      <c r="H346" s="15"/>
    </row>
    <row r="347" spans="1:8" ht="45" x14ac:dyDescent="0.25">
      <c r="A347" s="15" t="s">
        <v>7811</v>
      </c>
      <c r="B347" s="15" t="s">
        <v>7954</v>
      </c>
      <c r="C347" s="15" t="s">
        <v>7955</v>
      </c>
      <c r="D347" s="15">
        <v>1611</v>
      </c>
      <c r="E347" s="15" t="s">
        <v>7818</v>
      </c>
      <c r="F347" s="15">
        <v>50</v>
      </c>
      <c r="G347" s="15" t="s">
        <v>7819</v>
      </c>
      <c r="H347" s="15"/>
    </row>
    <row r="348" spans="1:8" ht="120" x14ac:dyDescent="0.25">
      <c r="A348" s="15" t="s">
        <v>7811</v>
      </c>
      <c r="B348" s="15" t="s">
        <v>7956</v>
      </c>
      <c r="C348" s="15" t="s">
        <v>7957</v>
      </c>
      <c r="D348" s="15">
        <v>1393</v>
      </c>
      <c r="E348" s="15" t="s">
        <v>7814</v>
      </c>
      <c r="F348" s="15">
        <v>5</v>
      </c>
      <c r="G348" s="15" t="s">
        <v>7958</v>
      </c>
      <c r="H348" s="15"/>
    </row>
    <row r="349" spans="1:8" ht="105" x14ac:dyDescent="0.25">
      <c r="A349" s="15" t="s">
        <v>7811</v>
      </c>
      <c r="B349" s="15" t="s">
        <v>7959</v>
      </c>
      <c r="C349" s="15" t="s">
        <v>7960</v>
      </c>
      <c r="D349" s="15">
        <v>49</v>
      </c>
      <c r="E349" s="15" t="s">
        <v>7814</v>
      </c>
      <c r="F349" s="15">
        <v>5</v>
      </c>
      <c r="G349" s="15" t="s">
        <v>7961</v>
      </c>
      <c r="H349" s="15"/>
    </row>
    <row r="350" spans="1:8" ht="45" x14ac:dyDescent="0.25">
      <c r="A350" s="15" t="s">
        <v>7811</v>
      </c>
      <c r="B350" s="15" t="s">
        <v>7962</v>
      </c>
      <c r="C350" s="15" t="s">
        <v>7963</v>
      </c>
      <c r="D350" s="15">
        <v>1487</v>
      </c>
      <c r="E350" s="15" t="s">
        <v>7818</v>
      </c>
      <c r="F350" s="15">
        <v>50</v>
      </c>
      <c r="G350" s="15" t="s">
        <v>7819</v>
      </c>
      <c r="H350" s="15"/>
    </row>
    <row r="351" spans="1:8" ht="45" x14ac:dyDescent="0.25">
      <c r="A351" s="15" t="s">
        <v>7811</v>
      </c>
      <c r="B351" s="15" t="s">
        <v>7964</v>
      </c>
      <c r="C351" s="15" t="s">
        <v>7965</v>
      </c>
      <c r="D351" s="15">
        <v>1488</v>
      </c>
      <c r="E351" s="15" t="s">
        <v>7859</v>
      </c>
      <c r="F351" s="15">
        <v>5</v>
      </c>
      <c r="G351" s="15" t="s">
        <v>7819</v>
      </c>
      <c r="H351" s="15"/>
    </row>
    <row r="352" spans="1:8" ht="45" x14ac:dyDescent="0.25">
      <c r="A352" s="15" t="s">
        <v>7811</v>
      </c>
      <c r="B352" s="15" t="s">
        <v>7966</v>
      </c>
      <c r="C352" s="15" t="s">
        <v>7967</v>
      </c>
      <c r="D352" s="15">
        <v>1486</v>
      </c>
      <c r="E352" s="15" t="s">
        <v>7818</v>
      </c>
      <c r="F352" s="15">
        <v>5</v>
      </c>
      <c r="G352" s="15" t="s">
        <v>7819</v>
      </c>
      <c r="H352" s="15"/>
    </row>
    <row r="353" spans="1:8" ht="45" x14ac:dyDescent="0.25">
      <c r="A353" s="15" t="s">
        <v>7811</v>
      </c>
      <c r="B353" s="15" t="s">
        <v>7968</v>
      </c>
      <c r="C353" s="15" t="s">
        <v>7407</v>
      </c>
      <c r="D353" s="15">
        <v>1615</v>
      </c>
      <c r="E353" s="15" t="s">
        <v>7818</v>
      </c>
      <c r="F353" s="15">
        <v>80</v>
      </c>
      <c r="G353" s="15" t="s">
        <v>7819</v>
      </c>
      <c r="H353" s="15"/>
    </row>
    <row r="354" spans="1:8" ht="45" x14ac:dyDescent="0.25">
      <c r="A354" s="15" t="s">
        <v>7811</v>
      </c>
      <c r="B354" s="15" t="s">
        <v>7969</v>
      </c>
      <c r="C354" s="15" t="s">
        <v>7970</v>
      </c>
      <c r="D354" s="15">
        <v>1352</v>
      </c>
      <c r="E354" s="15" t="s">
        <v>7818</v>
      </c>
      <c r="F354" s="15">
        <v>60</v>
      </c>
      <c r="G354" s="15" t="s">
        <v>7819</v>
      </c>
      <c r="H354" s="15"/>
    </row>
    <row r="355" spans="1:8" ht="45" x14ac:dyDescent="0.25">
      <c r="A355" s="15" t="s">
        <v>7811</v>
      </c>
      <c r="B355" s="15" t="s">
        <v>7971</v>
      </c>
      <c r="C355" s="15" t="s">
        <v>7972</v>
      </c>
      <c r="D355" s="15">
        <v>1629</v>
      </c>
      <c r="E355" s="15" t="s">
        <v>7818</v>
      </c>
      <c r="F355" s="15">
        <v>30</v>
      </c>
      <c r="G355" s="15" t="s">
        <v>7819</v>
      </c>
      <c r="H355" s="15"/>
    </row>
    <row r="356" spans="1:8" ht="45" x14ac:dyDescent="0.25">
      <c r="A356" s="15" t="s">
        <v>7811</v>
      </c>
      <c r="B356" s="15" t="s">
        <v>7973</v>
      </c>
      <c r="C356" s="15" t="s">
        <v>7974</v>
      </c>
      <c r="D356" s="15">
        <v>1353</v>
      </c>
      <c r="E356" s="15" t="s">
        <v>7818</v>
      </c>
      <c r="F356" s="15">
        <v>45</v>
      </c>
      <c r="G356" s="15" t="s">
        <v>7819</v>
      </c>
      <c r="H356" s="15"/>
    </row>
    <row r="357" spans="1:8" ht="45" x14ac:dyDescent="0.25">
      <c r="A357" s="15" t="s">
        <v>7811</v>
      </c>
      <c r="B357" s="15" t="s">
        <v>7975</v>
      </c>
      <c r="C357" s="15" t="s">
        <v>7976</v>
      </c>
      <c r="D357" s="15">
        <v>1351</v>
      </c>
      <c r="E357" s="15" t="s">
        <v>7818</v>
      </c>
      <c r="F357" s="15">
        <v>45</v>
      </c>
      <c r="G357" s="15" t="s">
        <v>7819</v>
      </c>
      <c r="H357" s="15"/>
    </row>
    <row r="358" spans="1:8" ht="45" x14ac:dyDescent="0.25">
      <c r="A358" s="15" t="s">
        <v>7811</v>
      </c>
      <c r="B358" s="15" t="s">
        <v>7977</v>
      </c>
      <c r="C358" s="15" t="s">
        <v>7978</v>
      </c>
      <c r="D358" s="15">
        <v>199</v>
      </c>
      <c r="E358" s="15" t="s">
        <v>7859</v>
      </c>
      <c r="F358" s="15">
        <v>3</v>
      </c>
      <c r="G358" s="15" t="s">
        <v>7819</v>
      </c>
      <c r="H358" s="15"/>
    </row>
    <row r="359" spans="1:8" ht="135" x14ac:dyDescent="0.25">
      <c r="A359" s="15" t="s">
        <v>7811</v>
      </c>
      <c r="B359" s="15" t="s">
        <v>7979</v>
      </c>
      <c r="C359" s="15" t="s">
        <v>7980</v>
      </c>
      <c r="D359" s="15">
        <v>1513</v>
      </c>
      <c r="E359" s="15" t="s">
        <v>7814</v>
      </c>
      <c r="F359" s="15">
        <v>5</v>
      </c>
      <c r="G359" s="15" t="s">
        <v>7981</v>
      </c>
      <c r="H359" s="15"/>
    </row>
    <row r="360" spans="1:8" ht="45" x14ac:dyDescent="0.25">
      <c r="A360" s="15" t="s">
        <v>7811</v>
      </c>
      <c r="B360" s="15" t="s">
        <v>7979</v>
      </c>
      <c r="C360" s="15" t="s">
        <v>7980</v>
      </c>
      <c r="D360" s="15">
        <v>1513</v>
      </c>
      <c r="E360" s="15" t="s">
        <v>7814</v>
      </c>
      <c r="F360" s="15">
        <v>5</v>
      </c>
      <c r="G360" s="15" t="s">
        <v>7819</v>
      </c>
      <c r="H360" s="15"/>
    </row>
    <row r="361" spans="1:8" ht="90" x14ac:dyDescent="0.25">
      <c r="A361" s="15" t="s">
        <v>7811</v>
      </c>
      <c r="B361" s="15" t="s">
        <v>7982</v>
      </c>
      <c r="C361" s="15" t="s">
        <v>7983</v>
      </c>
      <c r="D361" s="15">
        <v>54</v>
      </c>
      <c r="E361" s="15" t="s">
        <v>7814</v>
      </c>
      <c r="F361" s="15">
        <v>5</v>
      </c>
      <c r="G361" s="15" t="s">
        <v>7984</v>
      </c>
      <c r="H361" s="15"/>
    </row>
    <row r="362" spans="1:8" ht="409.5" x14ac:dyDescent="0.25">
      <c r="A362" s="15" t="s">
        <v>7811</v>
      </c>
      <c r="B362" s="15" t="s">
        <v>7985</v>
      </c>
      <c r="C362" s="15" t="s">
        <v>7986</v>
      </c>
      <c r="D362" s="15">
        <v>2061</v>
      </c>
      <c r="E362" s="15" t="s">
        <v>7814</v>
      </c>
      <c r="F362" s="15">
        <v>5</v>
      </c>
      <c r="G362" s="15" t="s">
        <v>7987</v>
      </c>
      <c r="H362" s="15"/>
    </row>
    <row r="363" spans="1:8" ht="240" x14ac:dyDescent="0.25">
      <c r="A363" s="15" t="s">
        <v>7811</v>
      </c>
      <c r="B363" s="15" t="s">
        <v>7988</v>
      </c>
      <c r="C363" s="15" t="s">
        <v>7989</v>
      </c>
      <c r="D363" s="15">
        <v>55</v>
      </c>
      <c r="E363" s="15" t="s">
        <v>7814</v>
      </c>
      <c r="F363" s="15">
        <v>5</v>
      </c>
      <c r="G363" s="15" t="s">
        <v>7990</v>
      </c>
      <c r="H363" s="15"/>
    </row>
    <row r="364" spans="1:8" ht="315" x14ac:dyDescent="0.25">
      <c r="A364" s="15" t="s">
        <v>7811</v>
      </c>
      <c r="B364" s="15" t="s">
        <v>7991</v>
      </c>
      <c r="C364" s="15" t="s">
        <v>7992</v>
      </c>
      <c r="D364" s="15">
        <v>57</v>
      </c>
      <c r="E364" s="15" t="s">
        <v>7814</v>
      </c>
      <c r="F364" s="15">
        <v>5</v>
      </c>
      <c r="G364" s="15" t="s">
        <v>7993</v>
      </c>
      <c r="H364" s="15"/>
    </row>
    <row r="365" spans="1:8" ht="409.5" x14ac:dyDescent="0.25">
      <c r="A365" s="25" t="s">
        <v>7811</v>
      </c>
      <c r="B365" s="25" t="s">
        <v>7994</v>
      </c>
      <c r="C365" s="25" t="s">
        <v>7995</v>
      </c>
      <c r="D365" s="25">
        <v>59</v>
      </c>
      <c r="E365" s="25" t="s">
        <v>7814</v>
      </c>
      <c r="F365" s="25">
        <v>5</v>
      </c>
      <c r="G365" s="8" t="s">
        <v>11352</v>
      </c>
      <c r="H365" s="25"/>
    </row>
    <row r="366" spans="1:8" ht="409.5" x14ac:dyDescent="0.25">
      <c r="A366" s="26"/>
      <c r="B366" s="26"/>
      <c r="C366" s="26"/>
      <c r="D366" s="26"/>
      <c r="E366" s="26"/>
      <c r="F366" s="26"/>
      <c r="G366" s="8" t="s">
        <v>11353</v>
      </c>
      <c r="H366" s="26"/>
    </row>
    <row r="367" spans="1:8" ht="409.5" x14ac:dyDescent="0.25">
      <c r="A367" s="26"/>
      <c r="B367" s="26"/>
      <c r="C367" s="26"/>
      <c r="D367" s="26"/>
      <c r="E367" s="26"/>
      <c r="F367" s="26"/>
      <c r="G367" s="8" t="s">
        <v>11354</v>
      </c>
      <c r="H367" s="26"/>
    </row>
    <row r="368" spans="1:8" ht="45" x14ac:dyDescent="0.25">
      <c r="A368" s="15" t="s">
        <v>7811</v>
      </c>
      <c r="B368" s="15" t="s">
        <v>7996</v>
      </c>
      <c r="C368" s="15" t="s">
        <v>7997</v>
      </c>
      <c r="D368" s="15">
        <v>60</v>
      </c>
      <c r="E368" s="15" t="s">
        <v>7818</v>
      </c>
      <c r="F368" s="15">
        <v>45</v>
      </c>
      <c r="G368" s="15" t="s">
        <v>7819</v>
      </c>
      <c r="H368" s="15"/>
    </row>
    <row r="369" spans="1:8" ht="45" x14ac:dyDescent="0.25">
      <c r="A369" s="15" t="s">
        <v>7811</v>
      </c>
      <c r="B369" s="15" t="s">
        <v>7998</v>
      </c>
      <c r="C369" s="15" t="s">
        <v>7999</v>
      </c>
      <c r="D369" s="15">
        <v>68</v>
      </c>
      <c r="E369" s="15" t="s">
        <v>7818</v>
      </c>
      <c r="F369" s="15">
        <v>60</v>
      </c>
      <c r="G369" s="15" t="s">
        <v>7819</v>
      </c>
      <c r="H369" s="15"/>
    </row>
    <row r="370" spans="1:8" ht="90" x14ac:dyDescent="0.25">
      <c r="A370" s="15" t="s">
        <v>7811</v>
      </c>
      <c r="B370" s="15" t="s">
        <v>8000</v>
      </c>
      <c r="C370" s="15" t="s">
        <v>8001</v>
      </c>
      <c r="D370" s="15">
        <v>1632</v>
      </c>
      <c r="E370" s="15" t="s">
        <v>7877</v>
      </c>
      <c r="F370" s="15">
        <v>10.199999999999999</v>
      </c>
      <c r="G370" s="15" t="s">
        <v>7819</v>
      </c>
      <c r="H370" s="15"/>
    </row>
    <row r="371" spans="1:8" ht="60" x14ac:dyDescent="0.25">
      <c r="A371" s="15" t="s">
        <v>7811</v>
      </c>
      <c r="B371" s="15" t="s">
        <v>8002</v>
      </c>
      <c r="C371" s="15" t="s">
        <v>8003</v>
      </c>
      <c r="D371" s="15">
        <v>948</v>
      </c>
      <c r="E371" s="15" t="s">
        <v>7814</v>
      </c>
      <c r="F371" s="15">
        <v>5</v>
      </c>
      <c r="G371" s="15" t="s">
        <v>7815</v>
      </c>
      <c r="H371" s="15"/>
    </row>
    <row r="372" spans="1:8" ht="45" x14ac:dyDescent="0.25">
      <c r="A372" s="15" t="s">
        <v>7811</v>
      </c>
      <c r="B372" s="15" t="s">
        <v>7278</v>
      </c>
      <c r="C372" s="15" t="s">
        <v>8004</v>
      </c>
      <c r="D372" s="15">
        <v>69</v>
      </c>
      <c r="E372" s="15" t="s">
        <v>7818</v>
      </c>
      <c r="F372" s="15">
        <v>60</v>
      </c>
      <c r="G372" s="15" t="s">
        <v>7819</v>
      </c>
      <c r="H372" s="15"/>
    </row>
    <row r="373" spans="1:8" ht="75" x14ac:dyDescent="0.25">
      <c r="A373" s="15" t="s">
        <v>7811</v>
      </c>
      <c r="B373" s="15" t="s">
        <v>8005</v>
      </c>
      <c r="C373" s="15" t="s">
        <v>8006</v>
      </c>
      <c r="D373" s="15">
        <v>558</v>
      </c>
      <c r="E373" s="15" t="s">
        <v>7818</v>
      </c>
      <c r="F373" s="15">
        <v>80</v>
      </c>
      <c r="G373" s="15" t="s">
        <v>7819</v>
      </c>
      <c r="H373" s="15"/>
    </row>
    <row r="374" spans="1:8" ht="45" x14ac:dyDescent="0.25">
      <c r="A374" s="15" t="s">
        <v>7811</v>
      </c>
      <c r="B374" s="15" t="s">
        <v>8007</v>
      </c>
      <c r="C374" s="15" t="s">
        <v>8008</v>
      </c>
      <c r="D374" s="15">
        <v>71</v>
      </c>
      <c r="E374" s="15" t="s">
        <v>7838</v>
      </c>
      <c r="F374" s="15">
        <v>8</v>
      </c>
      <c r="G374" s="15" t="s">
        <v>7819</v>
      </c>
      <c r="H374" s="15"/>
    </row>
    <row r="375" spans="1:8" ht="45" x14ac:dyDescent="0.25">
      <c r="A375" s="15" t="s">
        <v>7811</v>
      </c>
      <c r="B375" s="15" t="s">
        <v>8009</v>
      </c>
      <c r="C375" s="15" t="s">
        <v>8010</v>
      </c>
      <c r="D375" s="15">
        <v>72</v>
      </c>
      <c r="E375" s="15" t="s">
        <v>7859</v>
      </c>
      <c r="F375" s="15">
        <v>2</v>
      </c>
      <c r="G375" s="15" t="s">
        <v>7819</v>
      </c>
      <c r="H375" s="15"/>
    </row>
    <row r="376" spans="1:8" ht="45" x14ac:dyDescent="0.25">
      <c r="A376" s="15" t="s">
        <v>7811</v>
      </c>
      <c r="B376" s="15" t="s">
        <v>8011</v>
      </c>
      <c r="C376" s="15" t="s">
        <v>8012</v>
      </c>
      <c r="D376" s="15">
        <v>1114</v>
      </c>
      <c r="E376" s="15" t="s">
        <v>7818</v>
      </c>
      <c r="F376" s="15">
        <v>30</v>
      </c>
      <c r="G376" s="15" t="s">
        <v>7819</v>
      </c>
      <c r="H376" s="15"/>
    </row>
    <row r="377" spans="1:8" ht="105" x14ac:dyDescent="0.25">
      <c r="A377" s="15" t="s">
        <v>7811</v>
      </c>
      <c r="B377" s="15" t="s">
        <v>8013</v>
      </c>
      <c r="C377" s="15" t="s">
        <v>8014</v>
      </c>
      <c r="D377" s="15">
        <v>1224</v>
      </c>
      <c r="E377" s="15" t="s">
        <v>7814</v>
      </c>
      <c r="F377" s="15">
        <v>5</v>
      </c>
      <c r="G377" s="15" t="s">
        <v>8015</v>
      </c>
      <c r="H377" s="15"/>
    </row>
    <row r="378" spans="1:8" ht="60" x14ac:dyDescent="0.25">
      <c r="A378" s="15" t="s">
        <v>7811</v>
      </c>
      <c r="B378" s="15" t="s">
        <v>8016</v>
      </c>
      <c r="C378" s="15" t="s">
        <v>8017</v>
      </c>
      <c r="D378" s="15">
        <v>1379</v>
      </c>
      <c r="E378" s="15" t="s">
        <v>7814</v>
      </c>
      <c r="F378" s="15">
        <v>5</v>
      </c>
      <c r="G378" s="15" t="s">
        <v>7815</v>
      </c>
      <c r="H378" s="15"/>
    </row>
    <row r="379" spans="1:8" ht="45" x14ac:dyDescent="0.25">
      <c r="A379" s="15" t="s">
        <v>7811</v>
      </c>
      <c r="B379" s="15" t="s">
        <v>8018</v>
      </c>
      <c r="C379" s="15" t="s">
        <v>8019</v>
      </c>
      <c r="D379" s="15">
        <v>960</v>
      </c>
      <c r="E379" s="15" t="s">
        <v>7818</v>
      </c>
      <c r="F379" s="15">
        <v>30</v>
      </c>
      <c r="G379" s="15" t="s">
        <v>7819</v>
      </c>
      <c r="H379" s="15"/>
    </row>
    <row r="380" spans="1:8" ht="45" x14ac:dyDescent="0.25">
      <c r="A380" s="15" t="s">
        <v>7811</v>
      </c>
      <c r="B380" s="15" t="s">
        <v>8020</v>
      </c>
      <c r="C380" s="15" t="s">
        <v>8021</v>
      </c>
      <c r="D380" s="15">
        <v>1199</v>
      </c>
      <c r="E380" s="15" t="s">
        <v>7818</v>
      </c>
      <c r="F380" s="15">
        <v>60</v>
      </c>
      <c r="G380" s="15" t="s">
        <v>7819</v>
      </c>
      <c r="H380" s="15"/>
    </row>
    <row r="381" spans="1:8" ht="105" x14ac:dyDescent="0.25">
      <c r="A381" s="15" t="s">
        <v>7811</v>
      </c>
      <c r="B381" s="15" t="s">
        <v>8022</v>
      </c>
      <c r="C381" s="15" t="s">
        <v>8023</v>
      </c>
      <c r="D381" s="15">
        <v>1297</v>
      </c>
      <c r="E381" s="15" t="s">
        <v>7814</v>
      </c>
      <c r="F381" s="15">
        <v>5</v>
      </c>
      <c r="G381" s="15" t="s">
        <v>8024</v>
      </c>
      <c r="H381" s="15"/>
    </row>
    <row r="382" spans="1:8" ht="45" x14ac:dyDescent="0.25">
      <c r="A382" s="15" t="s">
        <v>7811</v>
      </c>
      <c r="B382" s="15" t="s">
        <v>8025</v>
      </c>
      <c r="C382" s="15" t="s">
        <v>8026</v>
      </c>
      <c r="D382" s="15">
        <v>1200</v>
      </c>
      <c r="E382" s="15" t="s">
        <v>7818</v>
      </c>
      <c r="F382" s="15">
        <v>10</v>
      </c>
      <c r="G382" s="15" t="s">
        <v>7819</v>
      </c>
      <c r="H382" s="15"/>
    </row>
    <row r="383" spans="1:8" ht="165" x14ac:dyDescent="0.25">
      <c r="A383" s="15" t="s">
        <v>7811</v>
      </c>
      <c r="B383" s="15" t="s">
        <v>8027</v>
      </c>
      <c r="C383" s="15" t="s">
        <v>8028</v>
      </c>
      <c r="D383" s="15">
        <v>1033</v>
      </c>
      <c r="E383" s="15" t="s">
        <v>7814</v>
      </c>
      <c r="F383" s="15">
        <v>5</v>
      </c>
      <c r="G383" s="15" t="s">
        <v>8029</v>
      </c>
      <c r="H383" s="15"/>
    </row>
    <row r="384" spans="1:8" ht="225" x14ac:dyDescent="0.25">
      <c r="A384" s="15" t="s">
        <v>7811</v>
      </c>
      <c r="B384" s="15" t="s">
        <v>8030</v>
      </c>
      <c r="C384" s="15" t="s">
        <v>8031</v>
      </c>
      <c r="D384" s="15">
        <v>420</v>
      </c>
      <c r="E384" s="15" t="s">
        <v>7814</v>
      </c>
      <c r="F384" s="15">
        <v>5</v>
      </c>
      <c r="G384" s="15" t="s">
        <v>8032</v>
      </c>
      <c r="H384" s="15"/>
    </row>
    <row r="385" spans="1:8" ht="60" x14ac:dyDescent="0.25">
      <c r="A385" s="15" t="s">
        <v>7811</v>
      </c>
      <c r="B385" s="15" t="s">
        <v>8033</v>
      </c>
      <c r="C385" s="15" t="s">
        <v>8034</v>
      </c>
      <c r="D385" s="15">
        <v>489</v>
      </c>
      <c r="E385" s="15" t="s">
        <v>7814</v>
      </c>
      <c r="F385" s="15">
        <v>5</v>
      </c>
      <c r="G385" s="15" t="s">
        <v>7815</v>
      </c>
      <c r="H385" s="15"/>
    </row>
    <row r="386" spans="1:8" ht="60" x14ac:dyDescent="0.25">
      <c r="A386" s="15" t="s">
        <v>7811</v>
      </c>
      <c r="B386" s="15" t="s">
        <v>8035</v>
      </c>
      <c r="C386" s="15" t="s">
        <v>8036</v>
      </c>
      <c r="D386" s="15">
        <v>490</v>
      </c>
      <c r="E386" s="15" t="s">
        <v>7814</v>
      </c>
      <c r="F386" s="15">
        <v>5</v>
      </c>
      <c r="G386" s="15" t="s">
        <v>7815</v>
      </c>
      <c r="H386" s="15"/>
    </row>
    <row r="387" spans="1:8" ht="45" x14ac:dyDescent="0.25">
      <c r="A387" s="15" t="s">
        <v>7811</v>
      </c>
      <c r="B387" s="15" t="s">
        <v>8037</v>
      </c>
      <c r="C387" s="15" t="s">
        <v>8038</v>
      </c>
      <c r="D387" s="15">
        <v>866</v>
      </c>
      <c r="E387" s="15" t="s">
        <v>7818</v>
      </c>
      <c r="F387" s="15">
        <v>60</v>
      </c>
      <c r="G387" s="15" t="s">
        <v>7819</v>
      </c>
      <c r="H387" s="15"/>
    </row>
    <row r="388" spans="1:8" ht="240" x14ac:dyDescent="0.25">
      <c r="A388" s="15" t="s">
        <v>7811</v>
      </c>
      <c r="B388" s="15" t="s">
        <v>8039</v>
      </c>
      <c r="C388" s="15" t="s">
        <v>8040</v>
      </c>
      <c r="D388" s="15">
        <v>76</v>
      </c>
      <c r="E388" s="15" t="s">
        <v>7814</v>
      </c>
      <c r="F388" s="15">
        <v>5</v>
      </c>
      <c r="G388" s="15" t="s">
        <v>8041</v>
      </c>
      <c r="H388" s="15"/>
    </row>
    <row r="389" spans="1:8" ht="45" x14ac:dyDescent="0.25">
      <c r="A389" s="15" t="s">
        <v>7811</v>
      </c>
      <c r="B389" s="15" t="s">
        <v>8042</v>
      </c>
      <c r="C389" s="15" t="s">
        <v>8043</v>
      </c>
      <c r="D389" s="15">
        <v>450</v>
      </c>
      <c r="E389" s="15" t="s">
        <v>7818</v>
      </c>
      <c r="F389" s="15">
        <v>80</v>
      </c>
      <c r="G389" s="15" t="s">
        <v>7819</v>
      </c>
      <c r="H389" s="15"/>
    </row>
    <row r="390" spans="1:8" ht="45" x14ac:dyDescent="0.25">
      <c r="A390" s="15" t="s">
        <v>7811</v>
      </c>
      <c r="B390" s="15" t="s">
        <v>8044</v>
      </c>
      <c r="C390" s="15" t="s">
        <v>8045</v>
      </c>
      <c r="D390" s="15">
        <v>77</v>
      </c>
      <c r="E390" s="15" t="s">
        <v>7877</v>
      </c>
      <c r="F390" s="15">
        <v>7.2</v>
      </c>
      <c r="G390" s="15" t="s">
        <v>7819</v>
      </c>
      <c r="H390" s="15"/>
    </row>
    <row r="391" spans="1:8" ht="60" x14ac:dyDescent="0.25">
      <c r="A391" s="15" t="s">
        <v>7811</v>
      </c>
      <c r="B391" s="15" t="s">
        <v>8046</v>
      </c>
      <c r="C391" s="15" t="s">
        <v>8047</v>
      </c>
      <c r="D391" s="15">
        <v>403</v>
      </c>
      <c r="E391" s="15" t="s">
        <v>7838</v>
      </c>
      <c r="F391" s="15">
        <v>8</v>
      </c>
      <c r="G391" s="15" t="s">
        <v>7819</v>
      </c>
      <c r="H391" s="15"/>
    </row>
    <row r="392" spans="1:8" ht="60" x14ac:dyDescent="0.25">
      <c r="A392" s="15" t="s">
        <v>7811</v>
      </c>
      <c r="B392" s="15" t="s">
        <v>8048</v>
      </c>
      <c r="C392" s="15" t="s">
        <v>8049</v>
      </c>
      <c r="D392" s="15">
        <v>402</v>
      </c>
      <c r="E392" s="15" t="s">
        <v>7818</v>
      </c>
      <c r="F392" s="15">
        <v>60</v>
      </c>
      <c r="G392" s="15" t="s">
        <v>7819</v>
      </c>
      <c r="H392" s="15"/>
    </row>
    <row r="393" spans="1:8" ht="120" x14ac:dyDescent="0.25">
      <c r="A393" s="15" t="s">
        <v>7811</v>
      </c>
      <c r="B393" s="15" t="s">
        <v>8050</v>
      </c>
      <c r="C393" s="15" t="s">
        <v>8051</v>
      </c>
      <c r="D393" s="15">
        <v>401</v>
      </c>
      <c r="E393" s="15" t="s">
        <v>7814</v>
      </c>
      <c r="F393" s="15">
        <v>5</v>
      </c>
      <c r="G393" s="15" t="s">
        <v>8052</v>
      </c>
      <c r="H393" s="15"/>
    </row>
    <row r="394" spans="1:8" ht="90" x14ac:dyDescent="0.25">
      <c r="A394" s="15" t="s">
        <v>7811</v>
      </c>
      <c r="B394" s="15" t="s">
        <v>8053</v>
      </c>
      <c r="C394" s="15" t="s">
        <v>8054</v>
      </c>
      <c r="D394" s="15">
        <v>534</v>
      </c>
      <c r="E394" s="15" t="s">
        <v>7814</v>
      </c>
      <c r="F394" s="15">
        <v>5</v>
      </c>
      <c r="G394" s="15" t="s">
        <v>8055</v>
      </c>
      <c r="H394" s="15"/>
    </row>
    <row r="395" spans="1:8" ht="90" x14ac:dyDescent="0.25">
      <c r="A395" s="15" t="s">
        <v>7811</v>
      </c>
      <c r="B395" s="15" t="s">
        <v>8056</v>
      </c>
      <c r="C395" s="15" t="s">
        <v>8057</v>
      </c>
      <c r="D395" s="15">
        <v>78</v>
      </c>
      <c r="E395" s="15" t="s">
        <v>7814</v>
      </c>
      <c r="F395" s="15">
        <v>5</v>
      </c>
      <c r="G395" s="15" t="s">
        <v>8058</v>
      </c>
      <c r="H395" s="15"/>
    </row>
    <row r="396" spans="1:8" ht="45" x14ac:dyDescent="0.25">
      <c r="A396" s="15" t="s">
        <v>7811</v>
      </c>
      <c r="B396" s="15" t="s">
        <v>8059</v>
      </c>
      <c r="C396" s="15" t="s">
        <v>8060</v>
      </c>
      <c r="D396" s="15">
        <v>981</v>
      </c>
      <c r="E396" s="15" t="s">
        <v>7877</v>
      </c>
      <c r="F396" s="15">
        <v>6.2</v>
      </c>
      <c r="G396" s="15" t="s">
        <v>7819</v>
      </c>
      <c r="H396" s="15"/>
    </row>
    <row r="397" spans="1:8" ht="45" x14ac:dyDescent="0.25">
      <c r="A397" s="15" t="s">
        <v>7811</v>
      </c>
      <c r="B397" s="15" t="s">
        <v>8061</v>
      </c>
      <c r="C397" s="15" t="s">
        <v>8062</v>
      </c>
      <c r="D397" s="15">
        <v>1522</v>
      </c>
      <c r="E397" s="15" t="s">
        <v>7818</v>
      </c>
      <c r="F397" s="15">
        <v>80</v>
      </c>
      <c r="G397" s="15" t="s">
        <v>7819</v>
      </c>
      <c r="H397" s="15"/>
    </row>
    <row r="398" spans="1:8" ht="45" x14ac:dyDescent="0.25">
      <c r="A398" s="15" t="s">
        <v>7811</v>
      </c>
      <c r="B398" s="15" t="s">
        <v>8063</v>
      </c>
      <c r="C398" s="15" t="s">
        <v>8064</v>
      </c>
      <c r="D398" s="15">
        <v>1523</v>
      </c>
      <c r="E398" s="15" t="s">
        <v>7818</v>
      </c>
      <c r="F398" s="15">
        <v>80</v>
      </c>
      <c r="G398" s="15" t="s">
        <v>7819</v>
      </c>
      <c r="H398" s="15"/>
    </row>
    <row r="399" spans="1:8" ht="120" x14ac:dyDescent="0.25">
      <c r="A399" s="15" t="s">
        <v>7811</v>
      </c>
      <c r="B399" s="15" t="s">
        <v>8065</v>
      </c>
      <c r="C399" s="15" t="s">
        <v>8066</v>
      </c>
      <c r="D399" s="15">
        <v>927</v>
      </c>
      <c r="E399" s="15" t="s">
        <v>7814</v>
      </c>
      <c r="F399" s="15">
        <v>5</v>
      </c>
      <c r="G399" s="15" t="s">
        <v>8067</v>
      </c>
      <c r="H399" s="15"/>
    </row>
    <row r="400" spans="1:8" ht="45" x14ac:dyDescent="0.25">
      <c r="A400" s="15" t="s">
        <v>7811</v>
      </c>
      <c r="B400" s="15" t="s">
        <v>8068</v>
      </c>
      <c r="C400" s="15" t="s">
        <v>8069</v>
      </c>
      <c r="D400" s="15">
        <v>79</v>
      </c>
      <c r="E400" s="15" t="s">
        <v>7838</v>
      </c>
      <c r="F400" s="15">
        <v>8</v>
      </c>
      <c r="G400" s="15" t="s">
        <v>7819</v>
      </c>
      <c r="H400" s="15"/>
    </row>
    <row r="401" spans="1:8" ht="45" x14ac:dyDescent="0.25">
      <c r="A401" s="15" t="s">
        <v>7811</v>
      </c>
      <c r="B401" s="15" t="s">
        <v>8070</v>
      </c>
      <c r="C401" s="15" t="s">
        <v>8071</v>
      </c>
      <c r="D401" s="15">
        <v>1461</v>
      </c>
      <c r="E401" s="15" t="s">
        <v>7818</v>
      </c>
      <c r="F401" s="15">
        <v>10</v>
      </c>
      <c r="G401" s="15" t="s">
        <v>7819</v>
      </c>
      <c r="H401" s="15"/>
    </row>
    <row r="402" spans="1:8" ht="45" x14ac:dyDescent="0.25">
      <c r="A402" s="15" t="s">
        <v>7811</v>
      </c>
      <c r="B402" s="15" t="s">
        <v>8072</v>
      </c>
      <c r="C402" s="15" t="s">
        <v>8073</v>
      </c>
      <c r="D402" s="15">
        <v>1460</v>
      </c>
      <c r="E402" s="15" t="s">
        <v>7818</v>
      </c>
      <c r="F402" s="15">
        <v>10</v>
      </c>
      <c r="G402" s="15" t="s">
        <v>7819</v>
      </c>
      <c r="H402" s="15"/>
    </row>
    <row r="403" spans="1:8" ht="45" x14ac:dyDescent="0.25">
      <c r="A403" s="15" t="s">
        <v>7811</v>
      </c>
      <c r="B403" s="15" t="s">
        <v>8074</v>
      </c>
      <c r="C403" s="15" t="s">
        <v>8075</v>
      </c>
      <c r="D403" s="15">
        <v>1456</v>
      </c>
      <c r="E403" s="15" t="s">
        <v>7818</v>
      </c>
      <c r="F403" s="15">
        <v>25</v>
      </c>
      <c r="G403" s="15" t="s">
        <v>7819</v>
      </c>
      <c r="H403" s="15"/>
    </row>
    <row r="404" spans="1:8" ht="45" x14ac:dyDescent="0.25">
      <c r="A404" s="15" t="s">
        <v>7811</v>
      </c>
      <c r="B404" s="15" t="s">
        <v>8076</v>
      </c>
      <c r="C404" s="15" t="s">
        <v>8077</v>
      </c>
      <c r="D404" s="15">
        <v>520</v>
      </c>
      <c r="E404" s="15" t="s">
        <v>7877</v>
      </c>
      <c r="F404" s="15">
        <v>6.2</v>
      </c>
      <c r="G404" s="15" t="s">
        <v>7819</v>
      </c>
      <c r="H404" s="15"/>
    </row>
    <row r="405" spans="1:8" ht="75" x14ac:dyDescent="0.25">
      <c r="A405" s="15" t="s">
        <v>7811</v>
      </c>
      <c r="B405" s="15" t="s">
        <v>8078</v>
      </c>
      <c r="C405" s="15" t="s">
        <v>8079</v>
      </c>
      <c r="D405" s="15">
        <v>519</v>
      </c>
      <c r="E405" s="15" t="s">
        <v>7814</v>
      </c>
      <c r="F405" s="15">
        <v>5</v>
      </c>
      <c r="G405" s="15" t="s">
        <v>8080</v>
      </c>
      <c r="H405" s="15"/>
    </row>
    <row r="406" spans="1:8" ht="240" x14ac:dyDescent="0.25">
      <c r="A406" s="15" t="s">
        <v>7811</v>
      </c>
      <c r="B406" s="15" t="s">
        <v>8081</v>
      </c>
      <c r="C406" s="15" t="s">
        <v>8082</v>
      </c>
      <c r="D406" s="15">
        <v>518</v>
      </c>
      <c r="E406" s="15" t="s">
        <v>7814</v>
      </c>
      <c r="F406" s="15">
        <v>5</v>
      </c>
      <c r="G406" s="15" t="s">
        <v>8083</v>
      </c>
      <c r="H406" s="15"/>
    </row>
    <row r="407" spans="1:8" ht="45" x14ac:dyDescent="0.25">
      <c r="A407" s="15" t="s">
        <v>7811</v>
      </c>
      <c r="B407" s="15" t="s">
        <v>8084</v>
      </c>
      <c r="C407" s="15" t="s">
        <v>8085</v>
      </c>
      <c r="D407" s="15">
        <v>516</v>
      </c>
      <c r="E407" s="15" t="s">
        <v>7838</v>
      </c>
      <c r="F407" s="15">
        <v>8</v>
      </c>
      <c r="G407" s="15" t="s">
        <v>7819</v>
      </c>
      <c r="H407" s="15"/>
    </row>
    <row r="408" spans="1:8" ht="150" x14ac:dyDescent="0.25">
      <c r="A408" s="15" t="s">
        <v>7811</v>
      </c>
      <c r="B408" s="15" t="s">
        <v>8086</v>
      </c>
      <c r="C408" s="15" t="s">
        <v>8087</v>
      </c>
      <c r="D408" s="15">
        <v>1169</v>
      </c>
      <c r="E408" s="15" t="s">
        <v>7814</v>
      </c>
      <c r="F408" s="15">
        <v>5</v>
      </c>
      <c r="G408" s="15" t="s">
        <v>8088</v>
      </c>
      <c r="H408" s="15"/>
    </row>
    <row r="409" spans="1:8" ht="45" x14ac:dyDescent="0.25">
      <c r="A409" s="15" t="s">
        <v>7811</v>
      </c>
      <c r="B409" s="15" t="s">
        <v>8089</v>
      </c>
      <c r="C409" s="15" t="s">
        <v>8090</v>
      </c>
      <c r="D409" s="15">
        <v>864</v>
      </c>
      <c r="E409" s="15" t="s">
        <v>7818</v>
      </c>
      <c r="F409" s="15">
        <v>60</v>
      </c>
      <c r="G409" s="15" t="s">
        <v>7819</v>
      </c>
      <c r="H409" s="15"/>
    </row>
    <row r="410" spans="1:8" ht="45" x14ac:dyDescent="0.25">
      <c r="A410" s="15" t="s">
        <v>7811</v>
      </c>
      <c r="B410" s="15" t="s">
        <v>8091</v>
      </c>
      <c r="C410" s="15" t="s">
        <v>8092</v>
      </c>
      <c r="D410" s="15">
        <v>759</v>
      </c>
      <c r="E410" s="15" t="s">
        <v>7818</v>
      </c>
      <c r="F410" s="15">
        <v>8</v>
      </c>
      <c r="G410" s="15" t="s">
        <v>7819</v>
      </c>
      <c r="H410" s="15"/>
    </row>
    <row r="411" spans="1:8" ht="105" x14ac:dyDescent="0.25">
      <c r="A411" s="15" t="s">
        <v>7811</v>
      </c>
      <c r="B411" s="15" t="s">
        <v>8093</v>
      </c>
      <c r="C411" s="15" t="s">
        <v>8094</v>
      </c>
      <c r="D411" s="15">
        <v>624</v>
      </c>
      <c r="E411" s="15" t="s">
        <v>7814</v>
      </c>
      <c r="F411" s="15">
        <v>5</v>
      </c>
      <c r="G411" s="15" t="s">
        <v>8095</v>
      </c>
      <c r="H411" s="15"/>
    </row>
    <row r="412" spans="1:8" ht="45" x14ac:dyDescent="0.25">
      <c r="A412" s="15" t="s">
        <v>7811</v>
      </c>
      <c r="B412" s="15" t="s">
        <v>8096</v>
      </c>
      <c r="C412" s="15" t="s">
        <v>8097</v>
      </c>
      <c r="D412" s="15">
        <v>1016</v>
      </c>
      <c r="E412" s="15" t="s">
        <v>7877</v>
      </c>
      <c r="F412" s="15">
        <v>2.2000000000000002</v>
      </c>
      <c r="G412" s="15" t="s">
        <v>7819</v>
      </c>
      <c r="H412" s="15"/>
    </row>
    <row r="413" spans="1:8" ht="45" x14ac:dyDescent="0.25">
      <c r="A413" s="15" t="s">
        <v>7811</v>
      </c>
      <c r="B413" s="15" t="s">
        <v>8098</v>
      </c>
      <c r="C413" s="15" t="s">
        <v>8099</v>
      </c>
      <c r="D413" s="15">
        <v>1014</v>
      </c>
      <c r="E413" s="15" t="s">
        <v>7859</v>
      </c>
      <c r="F413" s="15">
        <v>2</v>
      </c>
      <c r="G413" s="15" t="s">
        <v>7819</v>
      </c>
      <c r="H413" s="15"/>
    </row>
    <row r="414" spans="1:8" ht="45" x14ac:dyDescent="0.25">
      <c r="A414" s="15" t="s">
        <v>7811</v>
      </c>
      <c r="B414" s="15" t="s">
        <v>8100</v>
      </c>
      <c r="C414" s="15" t="s">
        <v>8101</v>
      </c>
      <c r="D414" s="15">
        <v>1015</v>
      </c>
      <c r="E414" s="15" t="s">
        <v>7859</v>
      </c>
      <c r="F414" s="15">
        <v>4</v>
      </c>
      <c r="G414" s="15" t="s">
        <v>7819</v>
      </c>
      <c r="H414" s="15"/>
    </row>
    <row r="415" spans="1:8" ht="75" x14ac:dyDescent="0.25">
      <c r="A415" s="15" t="s">
        <v>7811</v>
      </c>
      <c r="B415" s="15" t="s">
        <v>8102</v>
      </c>
      <c r="C415" s="15" t="s">
        <v>8103</v>
      </c>
      <c r="D415" s="15">
        <v>584</v>
      </c>
      <c r="E415" s="15" t="s">
        <v>7814</v>
      </c>
      <c r="F415" s="15">
        <v>5</v>
      </c>
      <c r="G415" s="15" t="s">
        <v>8104</v>
      </c>
      <c r="H415" s="15"/>
    </row>
    <row r="416" spans="1:8" ht="45" x14ac:dyDescent="0.25">
      <c r="A416" s="15" t="s">
        <v>7811</v>
      </c>
      <c r="B416" s="15" t="s">
        <v>8105</v>
      </c>
      <c r="C416" s="15" t="s">
        <v>8106</v>
      </c>
      <c r="D416" s="15">
        <v>880</v>
      </c>
      <c r="E416" s="15" t="s">
        <v>7818</v>
      </c>
      <c r="F416" s="15">
        <v>80</v>
      </c>
      <c r="G416" s="15" t="s">
        <v>7819</v>
      </c>
      <c r="H416" s="15"/>
    </row>
    <row r="417" spans="1:8" ht="45" x14ac:dyDescent="0.25">
      <c r="A417" s="15" t="s">
        <v>7811</v>
      </c>
      <c r="B417" s="15" t="s">
        <v>8107</v>
      </c>
      <c r="C417" s="15" t="s">
        <v>8108</v>
      </c>
      <c r="D417" s="15">
        <v>881</v>
      </c>
      <c r="E417" s="15" t="s">
        <v>7818</v>
      </c>
      <c r="F417" s="15">
        <v>30</v>
      </c>
      <c r="G417" s="15" t="s">
        <v>7819</v>
      </c>
      <c r="H417" s="15"/>
    </row>
    <row r="418" spans="1:8" ht="105" x14ac:dyDescent="0.25">
      <c r="A418" s="15" t="s">
        <v>7811</v>
      </c>
      <c r="B418" s="15" t="s">
        <v>8109</v>
      </c>
      <c r="C418" s="15" t="s">
        <v>8110</v>
      </c>
      <c r="D418" s="15">
        <v>879</v>
      </c>
      <c r="E418" s="15" t="s">
        <v>7818</v>
      </c>
      <c r="F418" s="15">
        <v>30</v>
      </c>
      <c r="G418" s="15" t="s">
        <v>7819</v>
      </c>
      <c r="H418" s="15"/>
    </row>
    <row r="419" spans="1:8" ht="255" x14ac:dyDescent="0.25">
      <c r="A419" s="15" t="s">
        <v>7811</v>
      </c>
      <c r="B419" s="15" t="s">
        <v>8111</v>
      </c>
      <c r="C419" s="15" t="s">
        <v>8112</v>
      </c>
      <c r="D419" s="15">
        <v>922</v>
      </c>
      <c r="E419" s="15" t="s">
        <v>7814</v>
      </c>
      <c r="F419" s="15">
        <v>5</v>
      </c>
      <c r="G419" s="15" t="s">
        <v>8113</v>
      </c>
      <c r="H419" s="15"/>
    </row>
    <row r="420" spans="1:8" ht="45" x14ac:dyDescent="0.25">
      <c r="A420" s="15" t="s">
        <v>7811</v>
      </c>
      <c r="B420" s="15" t="s">
        <v>8114</v>
      </c>
      <c r="C420" s="15" t="s">
        <v>8115</v>
      </c>
      <c r="D420" s="15">
        <v>1877</v>
      </c>
      <c r="E420" s="15" t="s">
        <v>7818</v>
      </c>
      <c r="F420" s="15">
        <v>50</v>
      </c>
      <c r="G420" s="15" t="s">
        <v>7819</v>
      </c>
      <c r="H420" s="15"/>
    </row>
    <row r="421" spans="1:8" ht="60" x14ac:dyDescent="0.25">
      <c r="A421" s="15" t="s">
        <v>7811</v>
      </c>
      <c r="B421" s="15" t="s">
        <v>8116</v>
      </c>
      <c r="C421" s="15" t="s">
        <v>8117</v>
      </c>
      <c r="D421" s="15">
        <v>878</v>
      </c>
      <c r="E421" s="15" t="s">
        <v>7814</v>
      </c>
      <c r="F421" s="15">
        <v>5</v>
      </c>
      <c r="G421" s="15" t="s">
        <v>8118</v>
      </c>
      <c r="H421" s="15"/>
    </row>
    <row r="422" spans="1:8" ht="120" x14ac:dyDescent="0.25">
      <c r="A422" s="15" t="s">
        <v>7811</v>
      </c>
      <c r="B422" s="15" t="s">
        <v>8119</v>
      </c>
      <c r="C422" s="15" t="s">
        <v>8120</v>
      </c>
      <c r="D422" s="15">
        <v>1520</v>
      </c>
      <c r="E422" s="15" t="s">
        <v>7814</v>
      </c>
      <c r="F422" s="15">
        <v>5</v>
      </c>
      <c r="G422" s="15" t="s">
        <v>8121</v>
      </c>
      <c r="H422" s="15"/>
    </row>
    <row r="423" spans="1:8" ht="45" x14ac:dyDescent="0.25">
      <c r="A423" s="15" t="s">
        <v>7811</v>
      </c>
      <c r="B423" s="15" t="s">
        <v>8122</v>
      </c>
      <c r="C423" s="15" t="s">
        <v>8123</v>
      </c>
      <c r="D423" s="15">
        <v>1328</v>
      </c>
      <c r="E423" s="15" t="s">
        <v>7818</v>
      </c>
      <c r="F423" s="15">
        <v>45</v>
      </c>
      <c r="G423" s="15" t="s">
        <v>7819</v>
      </c>
      <c r="H423" s="15"/>
    </row>
    <row r="424" spans="1:8" ht="45" x14ac:dyDescent="0.25">
      <c r="A424" s="15" t="s">
        <v>7811</v>
      </c>
      <c r="B424" s="15" t="s">
        <v>8124</v>
      </c>
      <c r="C424" s="15" t="s">
        <v>8125</v>
      </c>
      <c r="D424" s="15">
        <v>1327</v>
      </c>
      <c r="E424" s="15" t="s">
        <v>7859</v>
      </c>
      <c r="F424" s="15">
        <v>3</v>
      </c>
      <c r="G424" s="15" t="s">
        <v>7819</v>
      </c>
      <c r="H424" s="15"/>
    </row>
    <row r="425" spans="1:8" ht="45" x14ac:dyDescent="0.25">
      <c r="A425" s="15" t="s">
        <v>7811</v>
      </c>
      <c r="B425" s="15" t="s">
        <v>8126</v>
      </c>
      <c r="C425" s="15" t="s">
        <v>8127</v>
      </c>
      <c r="D425" s="15">
        <v>1325</v>
      </c>
      <c r="E425" s="15" t="s">
        <v>7818</v>
      </c>
      <c r="F425" s="15">
        <v>45</v>
      </c>
      <c r="G425" s="15" t="s">
        <v>7819</v>
      </c>
      <c r="H425" s="15"/>
    </row>
    <row r="426" spans="1:8" ht="45" x14ac:dyDescent="0.25">
      <c r="A426" s="15" t="s">
        <v>7811</v>
      </c>
      <c r="B426" s="15" t="s">
        <v>8128</v>
      </c>
      <c r="C426" s="15" t="s">
        <v>8129</v>
      </c>
      <c r="D426" s="15">
        <v>1330</v>
      </c>
      <c r="E426" s="15" t="s">
        <v>7818</v>
      </c>
      <c r="F426" s="15">
        <v>6</v>
      </c>
      <c r="G426" s="15" t="s">
        <v>7819</v>
      </c>
      <c r="H426" s="15"/>
    </row>
    <row r="427" spans="1:8" ht="45" x14ac:dyDescent="0.25">
      <c r="A427" s="15" t="s">
        <v>7811</v>
      </c>
      <c r="B427" s="15" t="s">
        <v>8130</v>
      </c>
      <c r="C427" s="15" t="s">
        <v>8131</v>
      </c>
      <c r="D427" s="15">
        <v>1332</v>
      </c>
      <c r="E427" s="15" t="s">
        <v>7818</v>
      </c>
      <c r="F427" s="15">
        <v>6</v>
      </c>
      <c r="G427" s="15" t="s">
        <v>7819</v>
      </c>
      <c r="H427" s="15"/>
    </row>
    <row r="428" spans="1:8" ht="45" x14ac:dyDescent="0.25">
      <c r="A428" s="15" t="s">
        <v>7811</v>
      </c>
      <c r="B428" s="15" t="s">
        <v>8132</v>
      </c>
      <c r="C428" s="15" t="s">
        <v>8133</v>
      </c>
      <c r="D428" s="15">
        <v>1329</v>
      </c>
      <c r="E428" s="15" t="s">
        <v>7818</v>
      </c>
      <c r="F428" s="15">
        <v>6</v>
      </c>
      <c r="G428" s="15" t="s">
        <v>7819</v>
      </c>
      <c r="H428" s="15"/>
    </row>
    <row r="429" spans="1:8" ht="45" x14ac:dyDescent="0.25">
      <c r="A429" s="15" t="s">
        <v>7811</v>
      </c>
      <c r="B429" s="15" t="s">
        <v>8134</v>
      </c>
      <c r="C429" s="15" t="s">
        <v>8135</v>
      </c>
      <c r="D429" s="15">
        <v>1331</v>
      </c>
      <c r="E429" s="15" t="s">
        <v>7818</v>
      </c>
      <c r="F429" s="15">
        <v>6</v>
      </c>
      <c r="G429" s="15" t="s">
        <v>7819</v>
      </c>
      <c r="H429" s="15"/>
    </row>
    <row r="430" spans="1:8" ht="45" x14ac:dyDescent="0.25">
      <c r="A430" s="15" t="s">
        <v>7811</v>
      </c>
      <c r="B430" s="15" t="s">
        <v>8136</v>
      </c>
      <c r="C430" s="15" t="s">
        <v>8137</v>
      </c>
      <c r="D430" s="15">
        <v>1324</v>
      </c>
      <c r="E430" s="15" t="s">
        <v>7818</v>
      </c>
      <c r="F430" s="15">
        <v>30</v>
      </c>
      <c r="G430" s="15" t="s">
        <v>7819</v>
      </c>
      <c r="H430" s="15"/>
    </row>
    <row r="431" spans="1:8" ht="60" x14ac:dyDescent="0.25">
      <c r="A431" s="15" t="s">
        <v>7811</v>
      </c>
      <c r="B431" s="15" t="s">
        <v>8138</v>
      </c>
      <c r="C431" s="15" t="s">
        <v>8139</v>
      </c>
      <c r="D431" s="15">
        <v>1326</v>
      </c>
      <c r="E431" s="15" t="s">
        <v>7814</v>
      </c>
      <c r="F431" s="15">
        <v>5</v>
      </c>
      <c r="G431" s="15" t="s">
        <v>8140</v>
      </c>
      <c r="H431" s="15"/>
    </row>
    <row r="432" spans="1:8" ht="45" x14ac:dyDescent="0.25">
      <c r="A432" s="15" t="s">
        <v>7811</v>
      </c>
      <c r="B432" s="15" t="s">
        <v>8141</v>
      </c>
      <c r="C432" s="15" t="s">
        <v>8142</v>
      </c>
      <c r="D432" s="15">
        <v>1336</v>
      </c>
      <c r="E432" s="15" t="s">
        <v>7818</v>
      </c>
      <c r="F432" s="15">
        <v>10</v>
      </c>
      <c r="G432" s="15" t="s">
        <v>7819</v>
      </c>
      <c r="H432" s="15"/>
    </row>
    <row r="433" spans="1:8" ht="45" x14ac:dyDescent="0.25">
      <c r="A433" s="15" t="s">
        <v>7811</v>
      </c>
      <c r="B433" s="15" t="s">
        <v>8143</v>
      </c>
      <c r="C433" s="15" t="s">
        <v>8144</v>
      </c>
      <c r="D433" s="15">
        <v>1334</v>
      </c>
      <c r="E433" s="15" t="s">
        <v>7818</v>
      </c>
      <c r="F433" s="15">
        <v>45</v>
      </c>
      <c r="G433" s="15" t="s">
        <v>7819</v>
      </c>
      <c r="H433" s="15"/>
    </row>
    <row r="434" spans="1:8" ht="45" x14ac:dyDescent="0.25">
      <c r="A434" s="15" t="s">
        <v>7811</v>
      </c>
      <c r="B434" s="15" t="s">
        <v>8145</v>
      </c>
      <c r="C434" s="15" t="s">
        <v>8146</v>
      </c>
      <c r="D434" s="15">
        <v>1339</v>
      </c>
      <c r="E434" s="15" t="s">
        <v>7818</v>
      </c>
      <c r="F434" s="15">
        <v>6</v>
      </c>
      <c r="G434" s="15" t="s">
        <v>7819</v>
      </c>
      <c r="H434" s="15"/>
    </row>
    <row r="435" spans="1:8" ht="45" x14ac:dyDescent="0.25">
      <c r="A435" s="15" t="s">
        <v>7811</v>
      </c>
      <c r="B435" s="15" t="s">
        <v>8147</v>
      </c>
      <c r="C435" s="15" t="s">
        <v>8148</v>
      </c>
      <c r="D435" s="15">
        <v>1338</v>
      </c>
      <c r="E435" s="15" t="s">
        <v>7818</v>
      </c>
      <c r="F435" s="15">
        <v>30</v>
      </c>
      <c r="G435" s="15" t="s">
        <v>7819</v>
      </c>
      <c r="H435" s="15"/>
    </row>
    <row r="436" spans="1:8" ht="45" x14ac:dyDescent="0.25">
      <c r="A436" s="15" t="s">
        <v>7811</v>
      </c>
      <c r="B436" s="15" t="s">
        <v>8149</v>
      </c>
      <c r="C436" s="15" t="s">
        <v>8150</v>
      </c>
      <c r="D436" s="15">
        <v>1333</v>
      </c>
      <c r="E436" s="15" t="s">
        <v>7818</v>
      </c>
      <c r="F436" s="15">
        <v>30</v>
      </c>
      <c r="G436" s="15" t="s">
        <v>7819</v>
      </c>
      <c r="H436" s="15"/>
    </row>
    <row r="437" spans="1:8" ht="45" x14ac:dyDescent="0.25">
      <c r="A437" s="15" t="s">
        <v>7811</v>
      </c>
      <c r="B437" s="15" t="s">
        <v>8151</v>
      </c>
      <c r="C437" s="15" t="s">
        <v>8152</v>
      </c>
      <c r="D437" s="15">
        <v>1335</v>
      </c>
      <c r="E437" s="15" t="s">
        <v>7818</v>
      </c>
      <c r="F437" s="15">
        <v>6</v>
      </c>
      <c r="G437" s="15" t="s">
        <v>7819</v>
      </c>
      <c r="H437" s="15"/>
    </row>
    <row r="438" spans="1:8" ht="45" x14ac:dyDescent="0.25">
      <c r="A438" s="15" t="s">
        <v>7811</v>
      </c>
      <c r="B438" s="15" t="s">
        <v>8153</v>
      </c>
      <c r="C438" s="15" t="s">
        <v>8150</v>
      </c>
      <c r="D438" s="15">
        <v>1337</v>
      </c>
      <c r="E438" s="15" t="s">
        <v>7818</v>
      </c>
      <c r="F438" s="15">
        <v>30</v>
      </c>
      <c r="G438" s="15" t="s">
        <v>7819</v>
      </c>
      <c r="H438" s="15"/>
    </row>
    <row r="439" spans="1:8" ht="405" x14ac:dyDescent="0.25">
      <c r="A439" s="15" t="s">
        <v>7811</v>
      </c>
      <c r="B439" s="15" t="s">
        <v>8154</v>
      </c>
      <c r="C439" s="15" t="s">
        <v>8155</v>
      </c>
      <c r="D439" s="15">
        <v>429</v>
      </c>
      <c r="E439" s="15" t="s">
        <v>7814</v>
      </c>
      <c r="F439" s="15">
        <v>5</v>
      </c>
      <c r="G439" s="15" t="s">
        <v>7890</v>
      </c>
      <c r="H439" s="15"/>
    </row>
    <row r="440" spans="1:8" ht="45" x14ac:dyDescent="0.25">
      <c r="A440" s="15" t="s">
        <v>7811</v>
      </c>
      <c r="B440" s="15" t="s">
        <v>8156</v>
      </c>
      <c r="C440" s="15" t="s">
        <v>8157</v>
      </c>
      <c r="D440" s="15">
        <v>1471</v>
      </c>
      <c r="E440" s="15" t="s">
        <v>7859</v>
      </c>
      <c r="F440" s="15">
        <v>5</v>
      </c>
      <c r="G440" s="15" t="s">
        <v>7819</v>
      </c>
      <c r="H440" s="15"/>
    </row>
    <row r="441" spans="1:8" ht="45" x14ac:dyDescent="0.25">
      <c r="A441" s="15" t="s">
        <v>7811</v>
      </c>
      <c r="B441" s="15" t="s">
        <v>8158</v>
      </c>
      <c r="C441" s="15" t="s">
        <v>8159</v>
      </c>
      <c r="D441" s="15">
        <v>86</v>
      </c>
      <c r="E441" s="15" t="s">
        <v>7818</v>
      </c>
      <c r="F441" s="15">
        <v>45</v>
      </c>
      <c r="G441" s="15" t="s">
        <v>7819</v>
      </c>
      <c r="H441" s="15"/>
    </row>
    <row r="442" spans="1:8" ht="45" x14ac:dyDescent="0.25">
      <c r="A442" s="15" t="s">
        <v>7811</v>
      </c>
      <c r="B442" s="15" t="s">
        <v>8160</v>
      </c>
      <c r="C442" s="15" t="s">
        <v>8161</v>
      </c>
      <c r="D442" s="15">
        <v>87</v>
      </c>
      <c r="E442" s="15" t="s">
        <v>7838</v>
      </c>
      <c r="F442" s="15">
        <v>8</v>
      </c>
      <c r="G442" s="15" t="s">
        <v>7819</v>
      </c>
      <c r="H442" s="15"/>
    </row>
    <row r="443" spans="1:8" ht="105" x14ac:dyDescent="0.25">
      <c r="A443" s="15" t="s">
        <v>7811</v>
      </c>
      <c r="B443" s="15" t="s">
        <v>8162</v>
      </c>
      <c r="C443" s="15" t="s">
        <v>8163</v>
      </c>
      <c r="D443" s="15">
        <v>88</v>
      </c>
      <c r="E443" s="15" t="s">
        <v>7814</v>
      </c>
      <c r="F443" s="15">
        <v>5</v>
      </c>
      <c r="G443" s="15" t="s">
        <v>8164</v>
      </c>
      <c r="H443" s="15"/>
    </row>
    <row r="444" spans="1:8" ht="60" x14ac:dyDescent="0.25">
      <c r="A444" s="15" t="s">
        <v>7811</v>
      </c>
      <c r="B444" s="15" t="s">
        <v>8165</v>
      </c>
      <c r="C444" s="15" t="s">
        <v>8166</v>
      </c>
      <c r="D444" s="15">
        <v>947</v>
      </c>
      <c r="E444" s="15" t="s">
        <v>7814</v>
      </c>
      <c r="F444" s="15">
        <v>5</v>
      </c>
      <c r="G444" s="15" t="s">
        <v>8167</v>
      </c>
      <c r="H444" s="15"/>
    </row>
    <row r="445" spans="1:8" ht="45" x14ac:dyDescent="0.25">
      <c r="A445" s="15" t="s">
        <v>7811</v>
      </c>
      <c r="B445" s="15" t="s">
        <v>8168</v>
      </c>
      <c r="C445" s="15" t="s">
        <v>8169</v>
      </c>
      <c r="D445" s="15">
        <v>1009</v>
      </c>
      <c r="E445" s="15" t="s">
        <v>7859</v>
      </c>
      <c r="F445" s="15">
        <v>4</v>
      </c>
      <c r="G445" s="15" t="s">
        <v>7819</v>
      </c>
      <c r="H445" s="15"/>
    </row>
    <row r="446" spans="1:8" ht="45" x14ac:dyDescent="0.25">
      <c r="A446" s="15" t="s">
        <v>7811</v>
      </c>
      <c r="B446" s="15" t="s">
        <v>8170</v>
      </c>
      <c r="C446" s="15" t="s">
        <v>8171</v>
      </c>
      <c r="D446" s="15">
        <v>1035</v>
      </c>
      <c r="E446" s="15" t="s">
        <v>7877</v>
      </c>
      <c r="F446" s="15">
        <v>8.1999999999999993</v>
      </c>
      <c r="G446" s="15" t="s">
        <v>7819</v>
      </c>
      <c r="H446" s="15"/>
    </row>
    <row r="447" spans="1:8" ht="45" x14ac:dyDescent="0.25">
      <c r="A447" s="15" t="s">
        <v>7811</v>
      </c>
      <c r="B447" s="15" t="s">
        <v>8172</v>
      </c>
      <c r="C447" s="15" t="s">
        <v>8173</v>
      </c>
      <c r="D447" s="15">
        <v>1012</v>
      </c>
      <c r="E447" s="15" t="s">
        <v>7877</v>
      </c>
      <c r="F447" s="15">
        <v>8.1999999999999993</v>
      </c>
      <c r="G447" s="15" t="s">
        <v>7819</v>
      </c>
      <c r="H447" s="15"/>
    </row>
    <row r="448" spans="1:8" ht="409.5" x14ac:dyDescent="0.25">
      <c r="A448" s="15" t="s">
        <v>7811</v>
      </c>
      <c r="B448" s="15" t="s">
        <v>8174</v>
      </c>
      <c r="C448" s="15" t="s">
        <v>8175</v>
      </c>
      <c r="D448" s="15">
        <v>971</v>
      </c>
      <c r="E448" s="15" t="s">
        <v>7814</v>
      </c>
      <c r="F448" s="15">
        <v>5</v>
      </c>
      <c r="G448" s="15" t="s">
        <v>8176</v>
      </c>
      <c r="H448" s="15"/>
    </row>
    <row r="449" spans="1:8" ht="45" x14ac:dyDescent="0.25">
      <c r="A449" s="15" t="s">
        <v>7811</v>
      </c>
      <c r="B449" s="15" t="s">
        <v>8177</v>
      </c>
      <c r="C449" s="15" t="s">
        <v>8178</v>
      </c>
      <c r="D449" s="15">
        <v>977</v>
      </c>
      <c r="E449" s="15" t="s">
        <v>7838</v>
      </c>
      <c r="F449" s="15">
        <v>8</v>
      </c>
      <c r="G449" s="15" t="s">
        <v>7819</v>
      </c>
      <c r="H449" s="15"/>
    </row>
    <row r="450" spans="1:8" ht="45" x14ac:dyDescent="0.25">
      <c r="A450" s="15" t="s">
        <v>7811</v>
      </c>
      <c r="B450" s="15" t="s">
        <v>8179</v>
      </c>
      <c r="C450" s="15" t="s">
        <v>8180</v>
      </c>
      <c r="D450" s="15">
        <v>1552</v>
      </c>
      <c r="E450" s="15" t="s">
        <v>7838</v>
      </c>
      <c r="F450" s="15">
        <v>8</v>
      </c>
      <c r="G450" s="15" t="s">
        <v>7819</v>
      </c>
      <c r="H450" s="15"/>
    </row>
    <row r="451" spans="1:8" ht="45" x14ac:dyDescent="0.25">
      <c r="A451" s="15" t="s">
        <v>7811</v>
      </c>
      <c r="B451" s="15" t="s">
        <v>8181</v>
      </c>
      <c r="C451" s="15" t="s">
        <v>8182</v>
      </c>
      <c r="D451" s="15">
        <v>1551</v>
      </c>
      <c r="E451" s="15" t="s">
        <v>7838</v>
      </c>
      <c r="F451" s="15">
        <v>8</v>
      </c>
      <c r="G451" s="15" t="s">
        <v>7819</v>
      </c>
      <c r="H451" s="15"/>
    </row>
    <row r="452" spans="1:8" ht="180" x14ac:dyDescent="0.25">
      <c r="A452" s="15" t="s">
        <v>7811</v>
      </c>
      <c r="B452" s="15" t="s">
        <v>8183</v>
      </c>
      <c r="C452" s="15" t="s">
        <v>8184</v>
      </c>
      <c r="D452" s="15">
        <v>972</v>
      </c>
      <c r="E452" s="15" t="s">
        <v>7814</v>
      </c>
      <c r="F452" s="15">
        <v>5</v>
      </c>
      <c r="G452" s="15" t="s">
        <v>8185</v>
      </c>
      <c r="H452" s="15"/>
    </row>
    <row r="453" spans="1:8" ht="45" x14ac:dyDescent="0.25">
      <c r="A453" s="15" t="s">
        <v>7811</v>
      </c>
      <c r="B453" s="15" t="s">
        <v>8186</v>
      </c>
      <c r="C453" s="15" t="s">
        <v>8187</v>
      </c>
      <c r="D453" s="15">
        <v>1010</v>
      </c>
      <c r="E453" s="15" t="s">
        <v>7877</v>
      </c>
      <c r="F453" s="15">
        <v>8.1999999999999993</v>
      </c>
      <c r="G453" s="15" t="s">
        <v>7819</v>
      </c>
      <c r="H453" s="15"/>
    </row>
    <row r="454" spans="1:8" ht="45" x14ac:dyDescent="0.25">
      <c r="A454" s="15" t="s">
        <v>7811</v>
      </c>
      <c r="B454" s="15" t="s">
        <v>8188</v>
      </c>
      <c r="C454" s="15" t="s">
        <v>8189</v>
      </c>
      <c r="D454" s="15">
        <v>976</v>
      </c>
      <c r="E454" s="15" t="s">
        <v>7838</v>
      </c>
      <c r="F454" s="15">
        <v>8</v>
      </c>
      <c r="G454" s="15" t="s">
        <v>7819</v>
      </c>
      <c r="H454" s="15"/>
    </row>
    <row r="455" spans="1:8" ht="45" x14ac:dyDescent="0.25">
      <c r="A455" s="15" t="s">
        <v>7811</v>
      </c>
      <c r="B455" s="15" t="s">
        <v>8190</v>
      </c>
      <c r="C455" s="15" t="s">
        <v>8191</v>
      </c>
      <c r="D455" s="15">
        <v>974</v>
      </c>
      <c r="E455" s="15" t="s">
        <v>7818</v>
      </c>
      <c r="F455" s="15">
        <v>80</v>
      </c>
      <c r="G455" s="15" t="s">
        <v>7819</v>
      </c>
      <c r="H455" s="15"/>
    </row>
    <row r="456" spans="1:8" ht="45" x14ac:dyDescent="0.25">
      <c r="A456" s="15" t="s">
        <v>7811</v>
      </c>
      <c r="B456" s="15" t="s">
        <v>8192</v>
      </c>
      <c r="C456" s="15" t="s">
        <v>8193</v>
      </c>
      <c r="D456" s="15">
        <v>975</v>
      </c>
      <c r="E456" s="15" t="s">
        <v>7838</v>
      </c>
      <c r="F456" s="15">
        <v>8</v>
      </c>
      <c r="G456" s="15" t="s">
        <v>7819</v>
      </c>
      <c r="H456" s="15"/>
    </row>
    <row r="457" spans="1:8" ht="360" x14ac:dyDescent="0.25">
      <c r="A457" s="15" t="s">
        <v>7811</v>
      </c>
      <c r="B457" s="15" t="s">
        <v>8194</v>
      </c>
      <c r="C457" s="15" t="s">
        <v>8195</v>
      </c>
      <c r="D457" s="15">
        <v>1553</v>
      </c>
      <c r="E457" s="15" t="s">
        <v>7814</v>
      </c>
      <c r="F457" s="15">
        <v>5</v>
      </c>
      <c r="G457" s="15" t="s">
        <v>8196</v>
      </c>
      <c r="H457" s="15"/>
    </row>
    <row r="458" spans="1:8" ht="360" x14ac:dyDescent="0.25">
      <c r="A458" s="15" t="s">
        <v>7811</v>
      </c>
      <c r="B458" s="15" t="s">
        <v>8197</v>
      </c>
      <c r="C458" s="15" t="s">
        <v>8198</v>
      </c>
      <c r="D458" s="15">
        <v>973</v>
      </c>
      <c r="E458" s="15" t="s">
        <v>7814</v>
      </c>
      <c r="F458" s="15">
        <v>5</v>
      </c>
      <c r="G458" s="15" t="s">
        <v>8196</v>
      </c>
      <c r="H458" s="15"/>
    </row>
    <row r="459" spans="1:8" ht="45" x14ac:dyDescent="0.25">
      <c r="A459" s="15" t="s">
        <v>7811</v>
      </c>
      <c r="B459" s="15" t="s">
        <v>8199</v>
      </c>
      <c r="C459" s="15" t="s">
        <v>8200</v>
      </c>
      <c r="D459" s="15">
        <v>848</v>
      </c>
      <c r="E459" s="15" t="s">
        <v>7838</v>
      </c>
      <c r="F459" s="15">
        <v>8</v>
      </c>
      <c r="G459" s="15" t="s">
        <v>7819</v>
      </c>
      <c r="H459" s="15"/>
    </row>
    <row r="460" spans="1:8" ht="45" x14ac:dyDescent="0.25">
      <c r="A460" s="15" t="s">
        <v>7811</v>
      </c>
      <c r="B460" s="15" t="s">
        <v>8201</v>
      </c>
      <c r="C460" s="15" t="s">
        <v>8202</v>
      </c>
      <c r="D460" s="15">
        <v>847</v>
      </c>
      <c r="E460" s="15" t="s">
        <v>7814</v>
      </c>
      <c r="F460" s="15">
        <v>5</v>
      </c>
      <c r="G460" s="15" t="s">
        <v>8203</v>
      </c>
      <c r="H460" s="15"/>
    </row>
    <row r="461" spans="1:8" ht="45" x14ac:dyDescent="0.25">
      <c r="A461" s="15" t="s">
        <v>7811</v>
      </c>
      <c r="B461" s="15" t="s">
        <v>8204</v>
      </c>
      <c r="C461" s="15" t="s">
        <v>8205</v>
      </c>
      <c r="D461" s="15">
        <v>814</v>
      </c>
      <c r="E461" s="15" t="s">
        <v>7838</v>
      </c>
      <c r="F461" s="15">
        <v>8</v>
      </c>
      <c r="G461" s="15" t="s">
        <v>7819</v>
      </c>
      <c r="H461" s="15"/>
    </row>
    <row r="462" spans="1:8" ht="45" x14ac:dyDescent="0.25">
      <c r="A462" s="15" t="s">
        <v>7811</v>
      </c>
      <c r="B462" s="15" t="s">
        <v>8206</v>
      </c>
      <c r="C462" s="15" t="s">
        <v>8207</v>
      </c>
      <c r="D462" s="15">
        <v>845</v>
      </c>
      <c r="E462" s="15" t="s">
        <v>7877</v>
      </c>
      <c r="F462" s="15">
        <v>3.1</v>
      </c>
      <c r="G462" s="15" t="s">
        <v>7819</v>
      </c>
      <c r="H462" s="15"/>
    </row>
    <row r="463" spans="1:8" ht="165" x14ac:dyDescent="0.25">
      <c r="A463" s="15" t="s">
        <v>7811</v>
      </c>
      <c r="B463" s="15" t="s">
        <v>8208</v>
      </c>
      <c r="C463" s="15" t="s">
        <v>8209</v>
      </c>
      <c r="D463" s="15">
        <v>570</v>
      </c>
      <c r="E463" s="15" t="s">
        <v>7814</v>
      </c>
      <c r="F463" s="15">
        <v>5</v>
      </c>
      <c r="G463" s="15" t="s">
        <v>8210</v>
      </c>
      <c r="H463" s="15"/>
    </row>
    <row r="464" spans="1:8" ht="409.5" x14ac:dyDescent="0.25">
      <c r="A464" s="15" t="s">
        <v>7811</v>
      </c>
      <c r="B464" s="15" t="s">
        <v>8211</v>
      </c>
      <c r="C464" s="15" t="s">
        <v>8212</v>
      </c>
      <c r="D464" s="15">
        <v>712</v>
      </c>
      <c r="E464" s="15" t="s">
        <v>7814</v>
      </c>
      <c r="F464" s="15">
        <v>5</v>
      </c>
      <c r="G464" s="15" t="s">
        <v>8213</v>
      </c>
      <c r="H464" s="15"/>
    </row>
    <row r="465" spans="1:8" ht="90" x14ac:dyDescent="0.25">
      <c r="A465" s="15" t="s">
        <v>7811</v>
      </c>
      <c r="B465" s="15" t="s">
        <v>8214</v>
      </c>
      <c r="C465" s="15" t="s">
        <v>8215</v>
      </c>
      <c r="D465" s="15">
        <v>1648</v>
      </c>
      <c r="E465" s="15" t="s">
        <v>7814</v>
      </c>
      <c r="F465" s="15">
        <v>5</v>
      </c>
      <c r="G465" s="15" t="s">
        <v>8216</v>
      </c>
      <c r="H465" s="15"/>
    </row>
    <row r="466" spans="1:8" ht="409.5" x14ac:dyDescent="0.25">
      <c r="A466" s="15" t="s">
        <v>7811</v>
      </c>
      <c r="B466" s="15" t="s">
        <v>8217</v>
      </c>
      <c r="C466" s="15" t="s">
        <v>8218</v>
      </c>
      <c r="D466" s="15">
        <v>932</v>
      </c>
      <c r="E466" s="15" t="s">
        <v>7814</v>
      </c>
      <c r="F466" s="15">
        <v>5</v>
      </c>
      <c r="G466" s="15" t="s">
        <v>8219</v>
      </c>
      <c r="H466" s="15"/>
    </row>
    <row r="467" spans="1:8" ht="60" x14ac:dyDescent="0.25">
      <c r="A467" s="15" t="s">
        <v>7811</v>
      </c>
      <c r="B467" s="15" t="s">
        <v>8220</v>
      </c>
      <c r="C467" s="15" t="s">
        <v>8221</v>
      </c>
      <c r="D467" s="15">
        <v>800</v>
      </c>
      <c r="E467" s="15" t="s">
        <v>7818</v>
      </c>
      <c r="F467" s="15">
        <v>35</v>
      </c>
      <c r="G467" s="15" t="s">
        <v>7819</v>
      </c>
      <c r="H467" s="15"/>
    </row>
    <row r="468" spans="1:8" ht="45" x14ac:dyDescent="0.25">
      <c r="A468" s="15" t="s">
        <v>7811</v>
      </c>
      <c r="B468" s="15" t="s">
        <v>8222</v>
      </c>
      <c r="C468" s="15" t="s">
        <v>8223</v>
      </c>
      <c r="D468" s="15">
        <v>1507</v>
      </c>
      <c r="E468" s="15" t="s">
        <v>7818</v>
      </c>
      <c r="F468" s="15">
        <v>45</v>
      </c>
      <c r="G468" s="15" t="s">
        <v>7819</v>
      </c>
      <c r="H468" s="15"/>
    </row>
    <row r="469" spans="1:8" ht="409.5" x14ac:dyDescent="0.25">
      <c r="A469" s="15" t="s">
        <v>7811</v>
      </c>
      <c r="B469" s="15" t="s">
        <v>8224</v>
      </c>
      <c r="C469" s="15" t="s">
        <v>8225</v>
      </c>
      <c r="D469" s="15">
        <v>1173</v>
      </c>
      <c r="E469" s="15" t="s">
        <v>7814</v>
      </c>
      <c r="F469" s="15">
        <v>5</v>
      </c>
      <c r="G469" s="15" t="s">
        <v>8226</v>
      </c>
      <c r="H469" s="15"/>
    </row>
    <row r="470" spans="1:8" ht="45" x14ac:dyDescent="0.25">
      <c r="A470" s="15" t="s">
        <v>7811</v>
      </c>
      <c r="B470" s="15" t="s">
        <v>8227</v>
      </c>
      <c r="C470" s="15" t="s">
        <v>8228</v>
      </c>
      <c r="D470" s="15">
        <v>863</v>
      </c>
      <c r="E470" s="15" t="s">
        <v>7859</v>
      </c>
      <c r="F470" s="15">
        <v>8</v>
      </c>
      <c r="G470" s="15" t="s">
        <v>7819</v>
      </c>
      <c r="H470" s="15"/>
    </row>
    <row r="471" spans="1:8" ht="60" x14ac:dyDescent="0.25">
      <c r="A471" s="15" t="s">
        <v>7811</v>
      </c>
      <c r="B471" s="15" t="s">
        <v>8229</v>
      </c>
      <c r="C471" s="15" t="s">
        <v>8230</v>
      </c>
      <c r="D471" s="15">
        <v>1419</v>
      </c>
      <c r="E471" s="15" t="s">
        <v>7814</v>
      </c>
      <c r="F471" s="15">
        <v>5</v>
      </c>
      <c r="G471" s="15" t="s">
        <v>7815</v>
      </c>
      <c r="H471" s="15"/>
    </row>
    <row r="472" spans="1:8" ht="300" x14ac:dyDescent="0.25">
      <c r="A472" s="15" t="s">
        <v>7811</v>
      </c>
      <c r="B472" s="15" t="s">
        <v>8231</v>
      </c>
      <c r="C472" s="15" t="s">
        <v>8232</v>
      </c>
      <c r="D472" s="15">
        <v>1246</v>
      </c>
      <c r="E472" s="15" t="s">
        <v>7814</v>
      </c>
      <c r="F472" s="15">
        <v>5</v>
      </c>
      <c r="G472" s="15" t="s">
        <v>8233</v>
      </c>
      <c r="H472" s="15"/>
    </row>
    <row r="473" spans="1:8" ht="60" x14ac:dyDescent="0.25">
      <c r="A473" s="15" t="s">
        <v>7811</v>
      </c>
      <c r="B473" s="15" t="s">
        <v>8234</v>
      </c>
      <c r="C473" s="15" t="s">
        <v>8235</v>
      </c>
      <c r="D473" s="15">
        <v>1572</v>
      </c>
      <c r="E473" s="15" t="s">
        <v>7814</v>
      </c>
      <c r="F473" s="15">
        <v>5</v>
      </c>
      <c r="G473" s="15" t="s">
        <v>8236</v>
      </c>
      <c r="H473" s="15"/>
    </row>
    <row r="474" spans="1:8" ht="135" x14ac:dyDescent="0.25">
      <c r="A474" s="15" t="s">
        <v>7811</v>
      </c>
      <c r="B474" s="15" t="s">
        <v>8237</v>
      </c>
      <c r="C474" s="15" t="s">
        <v>8238</v>
      </c>
      <c r="D474" s="15">
        <v>1556</v>
      </c>
      <c r="E474" s="15" t="s">
        <v>7814</v>
      </c>
      <c r="F474" s="15">
        <v>5</v>
      </c>
      <c r="G474" s="15" t="s">
        <v>8239</v>
      </c>
      <c r="H474" s="15"/>
    </row>
    <row r="475" spans="1:8" ht="45" x14ac:dyDescent="0.25">
      <c r="A475" s="15" t="s">
        <v>7811</v>
      </c>
      <c r="B475" s="15" t="s">
        <v>8240</v>
      </c>
      <c r="C475" s="15" t="s">
        <v>8241</v>
      </c>
      <c r="D475" s="15">
        <v>1650</v>
      </c>
      <c r="E475" s="15" t="s">
        <v>7877</v>
      </c>
      <c r="F475" s="15">
        <v>5.2</v>
      </c>
      <c r="G475" s="15" t="s">
        <v>7819</v>
      </c>
      <c r="H475" s="15"/>
    </row>
    <row r="476" spans="1:8" ht="240" x14ac:dyDescent="0.25">
      <c r="A476" s="15" t="s">
        <v>7811</v>
      </c>
      <c r="B476" s="15" t="s">
        <v>8242</v>
      </c>
      <c r="C476" s="15" t="s">
        <v>8243</v>
      </c>
      <c r="D476" s="15">
        <v>1276</v>
      </c>
      <c r="E476" s="15" t="s">
        <v>7814</v>
      </c>
      <c r="F476" s="15">
        <v>5</v>
      </c>
      <c r="G476" s="15" t="s">
        <v>8244</v>
      </c>
      <c r="H476" s="15"/>
    </row>
    <row r="477" spans="1:8" ht="165" x14ac:dyDescent="0.25">
      <c r="A477" s="15" t="s">
        <v>7811</v>
      </c>
      <c r="B477" s="15" t="s">
        <v>8245</v>
      </c>
      <c r="C477" s="15" t="s">
        <v>8246</v>
      </c>
      <c r="D477" s="15">
        <v>940</v>
      </c>
      <c r="E477" s="15" t="s">
        <v>7814</v>
      </c>
      <c r="F477" s="15">
        <v>5</v>
      </c>
      <c r="G477" s="15" t="s">
        <v>8247</v>
      </c>
      <c r="H477" s="15"/>
    </row>
    <row r="478" spans="1:8" ht="90" x14ac:dyDescent="0.25">
      <c r="A478" s="15" t="s">
        <v>7811</v>
      </c>
      <c r="B478" s="15" t="s">
        <v>8248</v>
      </c>
      <c r="C478" s="15" t="s">
        <v>8249</v>
      </c>
      <c r="D478" s="15">
        <v>640</v>
      </c>
      <c r="E478" s="15" t="s">
        <v>7814</v>
      </c>
      <c r="F478" s="15">
        <v>5</v>
      </c>
      <c r="G478" s="15" t="s">
        <v>8250</v>
      </c>
      <c r="H478" s="15"/>
    </row>
    <row r="479" spans="1:8" ht="105" x14ac:dyDescent="0.25">
      <c r="A479" s="15" t="s">
        <v>7811</v>
      </c>
      <c r="B479" s="15" t="s">
        <v>8248</v>
      </c>
      <c r="C479" s="15" t="s">
        <v>8249</v>
      </c>
      <c r="D479" s="15">
        <v>640</v>
      </c>
      <c r="E479" s="15" t="s">
        <v>7814</v>
      </c>
      <c r="F479" s="15">
        <v>5</v>
      </c>
      <c r="G479" s="15" t="s">
        <v>8251</v>
      </c>
      <c r="H479" s="15"/>
    </row>
    <row r="480" spans="1:8" ht="180" x14ac:dyDescent="0.25">
      <c r="A480" s="15" t="s">
        <v>7811</v>
      </c>
      <c r="B480" s="15" t="s">
        <v>8252</v>
      </c>
      <c r="C480" s="15" t="s">
        <v>8253</v>
      </c>
      <c r="D480" s="15">
        <v>94</v>
      </c>
      <c r="E480" s="15" t="s">
        <v>7814</v>
      </c>
      <c r="F480" s="15">
        <v>5</v>
      </c>
      <c r="G480" s="15" t="s">
        <v>8254</v>
      </c>
      <c r="H480" s="15"/>
    </row>
    <row r="481" spans="1:8" ht="90" x14ac:dyDescent="0.25">
      <c r="A481" s="15" t="s">
        <v>7811</v>
      </c>
      <c r="B481" s="15" t="s">
        <v>8255</v>
      </c>
      <c r="C481" s="15" t="s">
        <v>8256</v>
      </c>
      <c r="D481" s="15">
        <v>1146</v>
      </c>
      <c r="E481" s="15" t="s">
        <v>7814</v>
      </c>
      <c r="F481" s="15">
        <v>5</v>
      </c>
      <c r="G481" s="15" t="s">
        <v>8257</v>
      </c>
      <c r="H481" s="15"/>
    </row>
    <row r="482" spans="1:8" ht="120" x14ac:dyDescent="0.25">
      <c r="A482" s="15" t="s">
        <v>7811</v>
      </c>
      <c r="B482" s="15" t="s">
        <v>8258</v>
      </c>
      <c r="C482" s="15" t="s">
        <v>8259</v>
      </c>
      <c r="D482" s="15">
        <v>953</v>
      </c>
      <c r="E482" s="15" t="s">
        <v>7814</v>
      </c>
      <c r="F482" s="15">
        <v>5</v>
      </c>
      <c r="G482" s="15" t="s">
        <v>8067</v>
      </c>
      <c r="H482" s="15"/>
    </row>
    <row r="483" spans="1:8" ht="105" x14ac:dyDescent="0.25">
      <c r="A483" s="15" t="s">
        <v>7811</v>
      </c>
      <c r="B483" s="15" t="s">
        <v>8260</v>
      </c>
      <c r="C483" s="15" t="s">
        <v>8261</v>
      </c>
      <c r="D483" s="15">
        <v>978</v>
      </c>
      <c r="E483" s="15" t="s">
        <v>7814</v>
      </c>
      <c r="F483" s="15">
        <v>5</v>
      </c>
      <c r="G483" s="15" t="s">
        <v>8262</v>
      </c>
      <c r="H483" s="15"/>
    </row>
    <row r="484" spans="1:8" ht="75" x14ac:dyDescent="0.25">
      <c r="A484" s="15" t="s">
        <v>7811</v>
      </c>
      <c r="B484" s="15" t="s">
        <v>8263</v>
      </c>
      <c r="C484" s="15" t="s">
        <v>8264</v>
      </c>
      <c r="D484" s="15">
        <v>96</v>
      </c>
      <c r="E484" s="15" t="s">
        <v>7814</v>
      </c>
      <c r="F484" s="15">
        <v>5</v>
      </c>
      <c r="G484" s="15" t="s">
        <v>8265</v>
      </c>
      <c r="H484" s="15"/>
    </row>
    <row r="485" spans="1:8" ht="90" x14ac:dyDescent="0.25">
      <c r="A485" s="15" t="s">
        <v>7811</v>
      </c>
      <c r="B485" s="15" t="s">
        <v>8266</v>
      </c>
      <c r="C485" s="15" t="s">
        <v>8267</v>
      </c>
      <c r="D485" s="15">
        <v>1293</v>
      </c>
      <c r="E485" s="15" t="s">
        <v>7814</v>
      </c>
      <c r="F485" s="15">
        <v>5</v>
      </c>
      <c r="G485" s="15" t="s">
        <v>8268</v>
      </c>
      <c r="H485" s="15"/>
    </row>
    <row r="486" spans="1:8" ht="45" x14ac:dyDescent="0.25">
      <c r="A486" s="15" t="s">
        <v>7811</v>
      </c>
      <c r="B486" s="15" t="s">
        <v>8269</v>
      </c>
      <c r="C486" s="15" t="s">
        <v>8270</v>
      </c>
      <c r="D486" s="15">
        <v>1525</v>
      </c>
      <c r="E486" s="15" t="s">
        <v>7818</v>
      </c>
      <c r="F486" s="15">
        <v>80</v>
      </c>
      <c r="G486" s="15" t="s">
        <v>7819</v>
      </c>
      <c r="H486" s="15"/>
    </row>
    <row r="487" spans="1:8" ht="150" x14ac:dyDescent="0.25">
      <c r="A487" s="15" t="s">
        <v>7811</v>
      </c>
      <c r="B487" s="15" t="s">
        <v>8271</v>
      </c>
      <c r="C487" s="15" t="s">
        <v>8272</v>
      </c>
      <c r="D487" s="15">
        <v>892</v>
      </c>
      <c r="E487" s="15" t="s">
        <v>7814</v>
      </c>
      <c r="F487" s="15">
        <v>5</v>
      </c>
      <c r="G487" s="15" t="s">
        <v>8273</v>
      </c>
      <c r="H487" s="15"/>
    </row>
    <row r="488" spans="1:8" ht="45" x14ac:dyDescent="0.25">
      <c r="A488" s="15" t="s">
        <v>7811</v>
      </c>
      <c r="B488" s="15" t="s">
        <v>8274</v>
      </c>
      <c r="C488" s="15" t="s">
        <v>8275</v>
      </c>
      <c r="D488" s="15">
        <v>1209</v>
      </c>
      <c r="E488" s="15" t="s">
        <v>7859</v>
      </c>
      <c r="F488" s="15">
        <v>5</v>
      </c>
      <c r="G488" s="15" t="s">
        <v>7819</v>
      </c>
      <c r="H488" s="15"/>
    </row>
    <row r="489" spans="1:8" ht="165" x14ac:dyDescent="0.25">
      <c r="A489" s="15" t="s">
        <v>7811</v>
      </c>
      <c r="B489" s="15" t="s">
        <v>8276</v>
      </c>
      <c r="C489" s="15" t="s">
        <v>8277</v>
      </c>
      <c r="D489" s="15">
        <v>1172</v>
      </c>
      <c r="E489" s="15" t="s">
        <v>7814</v>
      </c>
      <c r="F489" s="15">
        <v>5</v>
      </c>
      <c r="G489" s="15" t="s">
        <v>8278</v>
      </c>
      <c r="H489" s="15"/>
    </row>
    <row r="490" spans="1:8" ht="225" x14ac:dyDescent="0.25">
      <c r="A490" s="15" t="s">
        <v>7811</v>
      </c>
      <c r="B490" s="15" t="s">
        <v>8279</v>
      </c>
      <c r="C490" s="15" t="s">
        <v>8280</v>
      </c>
      <c r="D490" s="15">
        <v>938</v>
      </c>
      <c r="E490" s="15" t="s">
        <v>7814</v>
      </c>
      <c r="F490" s="15">
        <v>5</v>
      </c>
      <c r="G490" s="15" t="s">
        <v>8281</v>
      </c>
      <c r="H490" s="15"/>
    </row>
    <row r="491" spans="1:8" ht="45" x14ac:dyDescent="0.25">
      <c r="A491" s="15" t="s">
        <v>7811</v>
      </c>
      <c r="B491" s="15" t="s">
        <v>8282</v>
      </c>
      <c r="C491" s="15" t="s">
        <v>8283</v>
      </c>
      <c r="D491" s="15">
        <v>504</v>
      </c>
      <c r="E491" s="15" t="s">
        <v>7877</v>
      </c>
      <c r="F491" s="15">
        <v>6.2</v>
      </c>
      <c r="G491" s="15" t="s">
        <v>7819</v>
      </c>
      <c r="H491" s="15"/>
    </row>
    <row r="492" spans="1:8" ht="45" x14ac:dyDescent="0.25">
      <c r="A492" s="15" t="s">
        <v>7811</v>
      </c>
      <c r="B492" s="15" t="s">
        <v>8284</v>
      </c>
      <c r="C492" s="15" t="s">
        <v>8285</v>
      </c>
      <c r="D492" s="15">
        <v>502</v>
      </c>
      <c r="E492" s="15" t="s">
        <v>7818</v>
      </c>
      <c r="F492" s="15">
        <v>60</v>
      </c>
      <c r="G492" s="15" t="s">
        <v>7819</v>
      </c>
      <c r="H492" s="15"/>
    </row>
    <row r="493" spans="1:8" ht="45" x14ac:dyDescent="0.25">
      <c r="A493" s="15" t="s">
        <v>7811</v>
      </c>
      <c r="B493" s="15" t="s">
        <v>8286</v>
      </c>
      <c r="C493" s="15" t="s">
        <v>8287</v>
      </c>
      <c r="D493" s="15">
        <v>503</v>
      </c>
      <c r="E493" s="15" t="s">
        <v>7818</v>
      </c>
      <c r="F493" s="15">
        <v>60</v>
      </c>
      <c r="G493" s="15" t="s">
        <v>7819</v>
      </c>
      <c r="H493" s="15"/>
    </row>
    <row r="494" spans="1:8" ht="45" x14ac:dyDescent="0.25">
      <c r="A494" s="15" t="s">
        <v>7811</v>
      </c>
      <c r="B494" s="15" t="s">
        <v>8288</v>
      </c>
      <c r="C494" s="15" t="s">
        <v>8289</v>
      </c>
      <c r="D494" s="15">
        <v>368</v>
      </c>
      <c r="E494" s="15" t="s">
        <v>7838</v>
      </c>
      <c r="F494" s="15">
        <v>8</v>
      </c>
      <c r="G494" s="15" t="s">
        <v>7819</v>
      </c>
      <c r="H494" s="15"/>
    </row>
    <row r="495" spans="1:8" ht="165" x14ac:dyDescent="0.25">
      <c r="A495" s="15" t="s">
        <v>7811</v>
      </c>
      <c r="B495" s="15" t="s">
        <v>8290</v>
      </c>
      <c r="C495" s="15" t="s">
        <v>8291</v>
      </c>
      <c r="D495" s="15">
        <v>1109</v>
      </c>
      <c r="E495" s="15" t="s">
        <v>7814</v>
      </c>
      <c r="F495" s="15">
        <v>5</v>
      </c>
      <c r="G495" s="15" t="s">
        <v>8292</v>
      </c>
      <c r="H495" s="15"/>
    </row>
    <row r="496" spans="1:8" ht="45" x14ac:dyDescent="0.25">
      <c r="A496" s="15" t="s">
        <v>7811</v>
      </c>
      <c r="B496" s="15" t="s">
        <v>8293</v>
      </c>
      <c r="C496" s="15" t="s">
        <v>8294</v>
      </c>
      <c r="D496" s="15">
        <v>904</v>
      </c>
      <c r="E496" s="15" t="s">
        <v>7838</v>
      </c>
      <c r="F496" s="15">
        <v>8</v>
      </c>
      <c r="G496" s="15" t="s">
        <v>7819</v>
      </c>
      <c r="H496" s="15"/>
    </row>
    <row r="497" spans="1:8" ht="45" x14ac:dyDescent="0.25">
      <c r="A497" s="15" t="s">
        <v>7811</v>
      </c>
      <c r="B497" s="15" t="s">
        <v>8295</v>
      </c>
      <c r="C497" s="15" t="s">
        <v>8296</v>
      </c>
      <c r="D497" s="15">
        <v>1130</v>
      </c>
      <c r="E497" s="15" t="s">
        <v>7818</v>
      </c>
      <c r="F497" s="15">
        <v>80</v>
      </c>
      <c r="G497" s="15" t="s">
        <v>7819</v>
      </c>
      <c r="H497" s="15"/>
    </row>
    <row r="498" spans="1:8" ht="90" x14ac:dyDescent="0.25">
      <c r="A498" s="15" t="s">
        <v>7811</v>
      </c>
      <c r="B498" s="15" t="s">
        <v>8297</v>
      </c>
      <c r="C498" s="15" t="s">
        <v>8298</v>
      </c>
      <c r="D498" s="15">
        <v>903</v>
      </c>
      <c r="E498" s="15" t="s">
        <v>7814</v>
      </c>
      <c r="F498" s="15">
        <v>5</v>
      </c>
      <c r="G498" s="15" t="s">
        <v>8299</v>
      </c>
      <c r="H498" s="15"/>
    </row>
    <row r="499" spans="1:8" ht="45" x14ac:dyDescent="0.25">
      <c r="A499" s="15" t="s">
        <v>7811</v>
      </c>
      <c r="B499" s="15" t="s">
        <v>8300</v>
      </c>
      <c r="C499" s="15" t="s">
        <v>8301</v>
      </c>
      <c r="D499" s="15">
        <v>913</v>
      </c>
      <c r="E499" s="15" t="s">
        <v>7818</v>
      </c>
      <c r="F499" s="15">
        <v>80</v>
      </c>
      <c r="G499" s="15" t="s">
        <v>7819</v>
      </c>
      <c r="H499" s="15"/>
    </row>
    <row r="500" spans="1:8" ht="45" x14ac:dyDescent="0.25">
      <c r="A500" s="15" t="s">
        <v>7811</v>
      </c>
      <c r="B500" s="15" t="s">
        <v>8302</v>
      </c>
      <c r="C500" s="15" t="s">
        <v>8303</v>
      </c>
      <c r="D500" s="15">
        <v>918</v>
      </c>
      <c r="E500" s="15" t="s">
        <v>7818</v>
      </c>
      <c r="F500" s="15">
        <v>30</v>
      </c>
      <c r="G500" s="15" t="s">
        <v>7819</v>
      </c>
      <c r="H500" s="15"/>
    </row>
    <row r="501" spans="1:8" ht="120" x14ac:dyDescent="0.25">
      <c r="A501" s="15" t="s">
        <v>7811</v>
      </c>
      <c r="B501" s="15" t="s">
        <v>8304</v>
      </c>
      <c r="C501" s="15" t="s">
        <v>8305</v>
      </c>
      <c r="D501" s="15">
        <v>651</v>
      </c>
      <c r="E501" s="15" t="s">
        <v>7818</v>
      </c>
      <c r="F501" s="15">
        <v>60</v>
      </c>
      <c r="G501" s="15" t="s">
        <v>7819</v>
      </c>
      <c r="H501" s="15"/>
    </row>
    <row r="502" spans="1:8" ht="150" x14ac:dyDescent="0.25">
      <c r="A502" s="15" t="s">
        <v>7811</v>
      </c>
      <c r="B502" s="15" t="s">
        <v>8306</v>
      </c>
      <c r="C502" s="15" t="s">
        <v>8307</v>
      </c>
      <c r="D502" s="15">
        <v>1094</v>
      </c>
      <c r="E502" s="15" t="s">
        <v>7814</v>
      </c>
      <c r="F502" s="15">
        <v>5</v>
      </c>
      <c r="G502" s="15" t="s">
        <v>8308</v>
      </c>
      <c r="H502" s="15"/>
    </row>
    <row r="503" spans="1:8" ht="360" x14ac:dyDescent="0.25">
      <c r="A503" s="15" t="s">
        <v>7811</v>
      </c>
      <c r="B503" s="15" t="s">
        <v>8309</v>
      </c>
      <c r="C503" s="15" t="s">
        <v>8310</v>
      </c>
      <c r="D503" s="15">
        <v>1093</v>
      </c>
      <c r="E503" s="15" t="s">
        <v>7814</v>
      </c>
      <c r="F503" s="15">
        <v>5</v>
      </c>
      <c r="G503" s="15" t="s">
        <v>8311</v>
      </c>
      <c r="H503" s="15"/>
    </row>
    <row r="504" spans="1:8" ht="45" x14ac:dyDescent="0.25">
      <c r="A504" s="15" t="s">
        <v>7811</v>
      </c>
      <c r="B504" s="15" t="s">
        <v>8312</v>
      </c>
      <c r="C504" s="15" t="s">
        <v>8313</v>
      </c>
      <c r="D504" s="15">
        <v>1396</v>
      </c>
      <c r="E504" s="15" t="s">
        <v>7877</v>
      </c>
      <c r="F504" s="15">
        <v>6</v>
      </c>
      <c r="G504" s="15" t="s">
        <v>7819</v>
      </c>
      <c r="H504" s="15"/>
    </row>
    <row r="505" spans="1:8" ht="45" x14ac:dyDescent="0.25">
      <c r="A505" s="15" t="s">
        <v>7811</v>
      </c>
      <c r="B505" s="15" t="s">
        <v>8314</v>
      </c>
      <c r="C505" s="15" t="s">
        <v>8315</v>
      </c>
      <c r="D505" s="15">
        <v>433</v>
      </c>
      <c r="E505" s="15" t="s">
        <v>7818</v>
      </c>
      <c r="F505" s="15">
        <v>60</v>
      </c>
      <c r="G505" s="15" t="s">
        <v>7819</v>
      </c>
      <c r="H505" s="15"/>
    </row>
    <row r="506" spans="1:8" ht="270" x14ac:dyDescent="0.25">
      <c r="A506" s="15" t="s">
        <v>7811</v>
      </c>
      <c r="B506" s="15" t="s">
        <v>8316</v>
      </c>
      <c r="C506" s="15" t="s">
        <v>8317</v>
      </c>
      <c r="D506" s="15">
        <v>912</v>
      </c>
      <c r="E506" s="15" t="s">
        <v>7814</v>
      </c>
      <c r="F506" s="15">
        <v>5</v>
      </c>
      <c r="G506" s="15" t="s">
        <v>8318</v>
      </c>
      <c r="H506" s="15"/>
    </row>
    <row r="507" spans="1:8" ht="45" x14ac:dyDescent="0.25">
      <c r="A507" s="15" t="s">
        <v>7811</v>
      </c>
      <c r="B507" s="15" t="s">
        <v>8319</v>
      </c>
      <c r="C507" s="15" t="s">
        <v>8320</v>
      </c>
      <c r="D507" s="15">
        <v>767</v>
      </c>
      <c r="E507" s="15" t="s">
        <v>7838</v>
      </c>
      <c r="F507" s="15">
        <v>8</v>
      </c>
      <c r="G507" s="15" t="s">
        <v>7819</v>
      </c>
      <c r="H507" s="15"/>
    </row>
    <row r="508" spans="1:8" ht="180" x14ac:dyDescent="0.25">
      <c r="A508" s="15" t="s">
        <v>7811</v>
      </c>
      <c r="B508" s="15" t="s">
        <v>8321</v>
      </c>
      <c r="C508" s="15" t="s">
        <v>8322</v>
      </c>
      <c r="D508" s="15">
        <v>1095</v>
      </c>
      <c r="E508" s="15" t="s">
        <v>7818</v>
      </c>
      <c r="F508" s="15">
        <v>2</v>
      </c>
      <c r="G508" s="15" t="s">
        <v>7819</v>
      </c>
      <c r="H508" s="15"/>
    </row>
    <row r="509" spans="1:8" ht="45" x14ac:dyDescent="0.25">
      <c r="A509" s="15" t="s">
        <v>7811</v>
      </c>
      <c r="B509" s="15" t="s">
        <v>8323</v>
      </c>
      <c r="C509" s="15" t="s">
        <v>8324</v>
      </c>
      <c r="D509" s="15">
        <v>872</v>
      </c>
      <c r="E509" s="15" t="s">
        <v>7838</v>
      </c>
      <c r="F509" s="15">
        <v>8</v>
      </c>
      <c r="G509" s="15" t="s">
        <v>7819</v>
      </c>
      <c r="H509" s="15"/>
    </row>
    <row r="510" spans="1:8" ht="60" x14ac:dyDescent="0.25">
      <c r="A510" s="15" t="s">
        <v>7811</v>
      </c>
      <c r="B510" s="15" t="s">
        <v>8325</v>
      </c>
      <c r="C510" s="15" t="s">
        <v>8326</v>
      </c>
      <c r="D510" s="15">
        <v>873</v>
      </c>
      <c r="E510" s="15" t="s">
        <v>7814</v>
      </c>
      <c r="F510" s="15">
        <v>5</v>
      </c>
      <c r="G510" s="15" t="s">
        <v>8327</v>
      </c>
      <c r="H510" s="15"/>
    </row>
    <row r="511" spans="1:8" ht="180" x14ac:dyDescent="0.25">
      <c r="A511" s="15" t="s">
        <v>7811</v>
      </c>
      <c r="B511" s="15" t="s">
        <v>8328</v>
      </c>
      <c r="C511" s="15" t="s">
        <v>8329</v>
      </c>
      <c r="D511" s="15">
        <v>874</v>
      </c>
      <c r="E511" s="15" t="s">
        <v>7814</v>
      </c>
      <c r="F511" s="15">
        <v>5</v>
      </c>
      <c r="G511" s="15" t="s">
        <v>8330</v>
      </c>
      <c r="H511" s="15"/>
    </row>
    <row r="512" spans="1:8" ht="45" x14ac:dyDescent="0.25">
      <c r="A512" s="15" t="s">
        <v>7811</v>
      </c>
      <c r="B512" s="15" t="s">
        <v>8331</v>
      </c>
      <c r="C512" s="15" t="s">
        <v>8332</v>
      </c>
      <c r="D512" s="15">
        <v>1455</v>
      </c>
      <c r="E512" s="15" t="s">
        <v>7859</v>
      </c>
      <c r="F512" s="15">
        <v>2</v>
      </c>
      <c r="G512" s="15" t="s">
        <v>7819</v>
      </c>
      <c r="H512" s="15"/>
    </row>
    <row r="513" spans="1:8" ht="60" x14ac:dyDescent="0.25">
      <c r="A513" s="15" t="s">
        <v>7811</v>
      </c>
      <c r="B513" s="15" t="s">
        <v>8333</v>
      </c>
      <c r="C513" s="15" t="s">
        <v>8334</v>
      </c>
      <c r="D513" s="15">
        <v>469</v>
      </c>
      <c r="E513" s="15" t="s">
        <v>7838</v>
      </c>
      <c r="F513" s="15">
        <v>8</v>
      </c>
      <c r="G513" s="15" t="s">
        <v>7819</v>
      </c>
      <c r="H513" s="15"/>
    </row>
    <row r="514" spans="1:8" ht="60" x14ac:dyDescent="0.25">
      <c r="A514" s="15" t="s">
        <v>7811</v>
      </c>
      <c r="B514" s="15" t="s">
        <v>8335</v>
      </c>
      <c r="C514" s="15" t="s">
        <v>8336</v>
      </c>
      <c r="D514" s="15">
        <v>470</v>
      </c>
      <c r="E514" s="15" t="s">
        <v>7838</v>
      </c>
      <c r="F514" s="15">
        <v>8</v>
      </c>
      <c r="G514" s="15" t="s">
        <v>7819</v>
      </c>
      <c r="H514" s="15"/>
    </row>
    <row r="515" spans="1:8" ht="120" x14ac:dyDescent="0.25">
      <c r="A515" s="15" t="s">
        <v>7811</v>
      </c>
      <c r="B515" s="15" t="s">
        <v>8337</v>
      </c>
      <c r="C515" s="15" t="s">
        <v>8338</v>
      </c>
      <c r="D515" s="15">
        <v>468</v>
      </c>
      <c r="E515" s="15" t="s">
        <v>7814</v>
      </c>
      <c r="F515" s="15">
        <v>5</v>
      </c>
      <c r="G515" s="15" t="s">
        <v>8339</v>
      </c>
      <c r="H515" s="15"/>
    </row>
    <row r="516" spans="1:8" ht="45" x14ac:dyDescent="0.25">
      <c r="A516" s="15" t="s">
        <v>7811</v>
      </c>
      <c r="B516" s="15" t="s">
        <v>8340</v>
      </c>
      <c r="C516" s="15" t="s">
        <v>8341</v>
      </c>
      <c r="D516" s="15">
        <v>1517</v>
      </c>
      <c r="E516" s="15" t="s">
        <v>7859</v>
      </c>
      <c r="F516" s="15">
        <v>4</v>
      </c>
      <c r="G516" s="15" t="s">
        <v>7819</v>
      </c>
      <c r="H516" s="15"/>
    </row>
    <row r="517" spans="1:8" ht="195" x14ac:dyDescent="0.25">
      <c r="A517" s="15" t="s">
        <v>7811</v>
      </c>
      <c r="B517" s="15" t="s">
        <v>8342</v>
      </c>
      <c r="C517" s="15" t="s">
        <v>8343</v>
      </c>
      <c r="D517" s="15">
        <v>890</v>
      </c>
      <c r="E517" s="15" t="s">
        <v>7814</v>
      </c>
      <c r="F517" s="15">
        <v>5</v>
      </c>
      <c r="G517" s="15" t="s">
        <v>8344</v>
      </c>
      <c r="H517" s="15"/>
    </row>
    <row r="518" spans="1:8" ht="45" x14ac:dyDescent="0.25">
      <c r="A518" s="15" t="s">
        <v>7811</v>
      </c>
      <c r="B518" s="15" t="s">
        <v>8345</v>
      </c>
      <c r="C518" s="15" t="s">
        <v>8346</v>
      </c>
      <c r="D518" s="15">
        <v>98</v>
      </c>
      <c r="E518" s="15" t="s">
        <v>7838</v>
      </c>
      <c r="F518" s="15">
        <v>8</v>
      </c>
      <c r="G518" s="15" t="s">
        <v>7819</v>
      </c>
      <c r="H518" s="15"/>
    </row>
    <row r="519" spans="1:8" ht="45" x14ac:dyDescent="0.25">
      <c r="A519" s="15" t="s">
        <v>7811</v>
      </c>
      <c r="B519" s="15" t="s">
        <v>8347</v>
      </c>
      <c r="C519" s="15" t="s">
        <v>8348</v>
      </c>
      <c r="D519" s="15">
        <v>1501</v>
      </c>
      <c r="E519" s="15" t="s">
        <v>7818</v>
      </c>
      <c r="F519" s="15">
        <v>60</v>
      </c>
      <c r="G519" s="15" t="s">
        <v>7819</v>
      </c>
      <c r="H519" s="15"/>
    </row>
    <row r="520" spans="1:8" ht="60" x14ac:dyDescent="0.25">
      <c r="A520" s="15" t="s">
        <v>7811</v>
      </c>
      <c r="B520" s="15" t="s">
        <v>8349</v>
      </c>
      <c r="C520" s="15" t="s">
        <v>8350</v>
      </c>
      <c r="D520" s="15">
        <v>757</v>
      </c>
      <c r="E520" s="15" t="s">
        <v>7818</v>
      </c>
      <c r="F520" s="15">
        <v>35</v>
      </c>
      <c r="G520" s="15" t="s">
        <v>7819</v>
      </c>
      <c r="H520" s="15"/>
    </row>
    <row r="521" spans="1:8" ht="45" x14ac:dyDescent="0.25">
      <c r="A521" s="15" t="s">
        <v>7811</v>
      </c>
      <c r="B521" s="15" t="s">
        <v>8351</v>
      </c>
      <c r="C521" s="15" t="s">
        <v>8352</v>
      </c>
      <c r="D521" s="15">
        <v>764</v>
      </c>
      <c r="E521" s="15" t="s">
        <v>7818</v>
      </c>
      <c r="F521" s="15">
        <v>35</v>
      </c>
      <c r="G521" s="15" t="s">
        <v>7819</v>
      </c>
      <c r="H521" s="15"/>
    </row>
    <row r="522" spans="1:8" ht="45" x14ac:dyDescent="0.25">
      <c r="A522" s="15" t="s">
        <v>7811</v>
      </c>
      <c r="B522" s="15" t="s">
        <v>8353</v>
      </c>
      <c r="C522" s="15" t="s">
        <v>8354</v>
      </c>
      <c r="D522" s="15">
        <v>765</v>
      </c>
      <c r="E522" s="15" t="s">
        <v>7818</v>
      </c>
      <c r="F522" s="15">
        <v>60</v>
      </c>
      <c r="G522" s="15" t="s">
        <v>7819</v>
      </c>
      <c r="H522" s="15"/>
    </row>
    <row r="523" spans="1:8" ht="409.5" x14ac:dyDescent="0.25">
      <c r="A523" s="15" t="s">
        <v>7811</v>
      </c>
      <c r="B523" s="15" t="s">
        <v>8355</v>
      </c>
      <c r="C523" s="15" t="s">
        <v>8356</v>
      </c>
      <c r="D523" s="15">
        <v>323</v>
      </c>
      <c r="E523" s="15" t="s">
        <v>7814</v>
      </c>
      <c r="F523" s="15">
        <v>5</v>
      </c>
      <c r="G523" s="8" t="s">
        <v>11355</v>
      </c>
      <c r="H523" s="15"/>
    </row>
    <row r="524" spans="1:8" ht="409.5" x14ac:dyDescent="0.25">
      <c r="A524" s="25" t="s">
        <v>7811</v>
      </c>
      <c r="B524" s="25" t="s">
        <v>8357</v>
      </c>
      <c r="C524" s="25" t="s">
        <v>8358</v>
      </c>
      <c r="D524" s="25">
        <v>100</v>
      </c>
      <c r="E524" s="25" t="s">
        <v>7814</v>
      </c>
      <c r="F524" s="25">
        <v>5</v>
      </c>
      <c r="G524" s="8" t="s">
        <v>11356</v>
      </c>
      <c r="H524" s="18"/>
    </row>
    <row r="525" spans="1:8" ht="409.5" x14ac:dyDescent="0.25">
      <c r="A525" s="26"/>
      <c r="B525" s="26"/>
      <c r="C525" s="26"/>
      <c r="D525" s="26"/>
      <c r="E525" s="26"/>
      <c r="F525" s="26"/>
      <c r="G525" s="8" t="s">
        <v>11357</v>
      </c>
      <c r="H525" s="19"/>
    </row>
    <row r="526" spans="1:8" ht="409.5" x14ac:dyDescent="0.25">
      <c r="A526" s="26"/>
      <c r="B526" s="26"/>
      <c r="C526" s="26"/>
      <c r="D526" s="26"/>
      <c r="E526" s="26"/>
      <c r="F526" s="26"/>
      <c r="G526" s="8" t="s">
        <v>11358</v>
      </c>
      <c r="H526" s="19"/>
    </row>
    <row r="527" spans="1:8" ht="409.5" x14ac:dyDescent="0.25">
      <c r="A527" s="26"/>
      <c r="B527" s="26"/>
      <c r="C527" s="26"/>
      <c r="D527" s="26"/>
      <c r="E527" s="26"/>
      <c r="F527" s="26"/>
      <c r="G527" s="8" t="s">
        <v>11359</v>
      </c>
      <c r="H527" s="19"/>
    </row>
    <row r="528" spans="1:8" ht="409.5" x14ac:dyDescent="0.25">
      <c r="A528" s="26"/>
      <c r="B528" s="26"/>
      <c r="C528" s="26"/>
      <c r="D528" s="26"/>
      <c r="E528" s="26"/>
      <c r="F528" s="26"/>
      <c r="G528" s="8" t="s">
        <v>11360</v>
      </c>
      <c r="H528" s="19"/>
    </row>
    <row r="529" spans="1:8" ht="409.5" x14ac:dyDescent="0.25">
      <c r="A529" s="26"/>
      <c r="B529" s="26"/>
      <c r="C529" s="26"/>
      <c r="D529" s="26"/>
      <c r="E529" s="26"/>
      <c r="F529" s="26"/>
      <c r="G529" s="8" t="s">
        <v>11361</v>
      </c>
      <c r="H529" s="19"/>
    </row>
    <row r="530" spans="1:8" ht="409.5" x14ac:dyDescent="0.25">
      <c r="A530" s="26"/>
      <c r="B530" s="26"/>
      <c r="C530" s="26"/>
      <c r="D530" s="26"/>
      <c r="E530" s="26"/>
      <c r="F530" s="26"/>
      <c r="G530" s="8" t="s">
        <v>11362</v>
      </c>
      <c r="H530" s="19"/>
    </row>
    <row r="531" spans="1:8" ht="409.5" x14ac:dyDescent="0.25">
      <c r="A531" s="26"/>
      <c r="B531" s="26"/>
      <c r="C531" s="26"/>
      <c r="D531" s="26"/>
      <c r="E531" s="26"/>
      <c r="F531" s="26"/>
      <c r="G531" s="8" t="s">
        <v>11363</v>
      </c>
      <c r="H531" s="19"/>
    </row>
    <row r="532" spans="1:8" ht="409.5" x14ac:dyDescent="0.25">
      <c r="A532" s="26"/>
      <c r="B532" s="26"/>
      <c r="C532" s="26"/>
      <c r="D532" s="26"/>
      <c r="E532" s="26"/>
      <c r="F532" s="26"/>
      <c r="G532" s="8" t="s">
        <v>11364</v>
      </c>
      <c r="H532" s="19"/>
    </row>
    <row r="533" spans="1:8" ht="409.5" x14ac:dyDescent="0.25">
      <c r="A533" s="26"/>
      <c r="B533" s="26"/>
      <c r="C533" s="26"/>
      <c r="D533" s="26"/>
      <c r="E533" s="26"/>
      <c r="F533" s="26"/>
      <c r="G533" s="8" t="s">
        <v>11365</v>
      </c>
      <c r="H533" s="19"/>
    </row>
    <row r="534" spans="1:8" ht="409.5" x14ac:dyDescent="0.25">
      <c r="A534" s="26"/>
      <c r="B534" s="26"/>
      <c r="C534" s="26"/>
      <c r="D534" s="26"/>
      <c r="E534" s="26"/>
      <c r="F534" s="26"/>
      <c r="G534" s="8" t="s">
        <v>11366</v>
      </c>
      <c r="H534" s="19"/>
    </row>
    <row r="535" spans="1:8" ht="409.5" x14ac:dyDescent="0.25">
      <c r="A535" s="26"/>
      <c r="B535" s="26"/>
      <c r="C535" s="26"/>
      <c r="D535" s="26"/>
      <c r="E535" s="26"/>
      <c r="F535" s="26"/>
      <c r="G535" s="8" t="s">
        <v>11367</v>
      </c>
      <c r="H535" s="19"/>
    </row>
    <row r="536" spans="1:8" ht="409.5" x14ac:dyDescent="0.25">
      <c r="A536" s="26"/>
      <c r="B536" s="26"/>
      <c r="C536" s="26"/>
      <c r="D536" s="26"/>
      <c r="E536" s="26"/>
      <c r="F536" s="26"/>
      <c r="G536" s="8" t="s">
        <v>11368</v>
      </c>
      <c r="H536" s="19"/>
    </row>
    <row r="537" spans="1:8" ht="409.5" x14ac:dyDescent="0.25">
      <c r="A537" s="26"/>
      <c r="B537" s="26"/>
      <c r="C537" s="26"/>
      <c r="D537" s="26"/>
      <c r="E537" s="26"/>
      <c r="F537" s="26"/>
      <c r="G537" s="8" t="s">
        <v>11369</v>
      </c>
      <c r="H537" s="19"/>
    </row>
    <row r="538" spans="1:8" ht="409.5" x14ac:dyDescent="0.25">
      <c r="A538" s="26"/>
      <c r="B538" s="26"/>
      <c r="C538" s="26"/>
      <c r="D538" s="26"/>
      <c r="E538" s="26"/>
      <c r="F538" s="26"/>
      <c r="G538" s="8" t="s">
        <v>11370</v>
      </c>
      <c r="H538" s="19"/>
    </row>
    <row r="539" spans="1:8" ht="409.5" x14ac:dyDescent="0.25">
      <c r="A539" s="26"/>
      <c r="B539" s="26"/>
      <c r="C539" s="26"/>
      <c r="D539" s="26"/>
      <c r="E539" s="26"/>
      <c r="F539" s="26"/>
      <c r="G539" s="8" t="s">
        <v>11371</v>
      </c>
      <c r="H539" s="19"/>
    </row>
    <row r="540" spans="1:8" ht="45" x14ac:dyDescent="0.25">
      <c r="A540" s="15" t="s">
        <v>7811</v>
      </c>
      <c r="B540" s="15" t="s">
        <v>8359</v>
      </c>
      <c r="C540" s="15" t="s">
        <v>8360</v>
      </c>
      <c r="D540" s="15">
        <v>317</v>
      </c>
      <c r="E540" s="15" t="s">
        <v>7818</v>
      </c>
      <c r="F540" s="15">
        <v>30</v>
      </c>
      <c r="G540" s="15" t="s">
        <v>7819</v>
      </c>
      <c r="H540" s="15"/>
    </row>
    <row r="541" spans="1:8" ht="60" x14ac:dyDescent="0.25">
      <c r="A541" s="15" t="s">
        <v>7811</v>
      </c>
      <c r="B541" s="15" t="s">
        <v>8361</v>
      </c>
      <c r="C541" s="15" t="s">
        <v>8362</v>
      </c>
      <c r="D541" s="15">
        <v>1123</v>
      </c>
      <c r="E541" s="15" t="s">
        <v>7818</v>
      </c>
      <c r="F541" s="15">
        <v>30</v>
      </c>
      <c r="G541" s="15" t="s">
        <v>7819</v>
      </c>
      <c r="H541" s="15"/>
    </row>
    <row r="542" spans="1:8" ht="60" x14ac:dyDescent="0.25">
      <c r="A542" s="15" t="s">
        <v>7811</v>
      </c>
      <c r="B542" s="15" t="s">
        <v>8363</v>
      </c>
      <c r="C542" s="15" t="s">
        <v>8364</v>
      </c>
      <c r="D542" s="15">
        <v>1122</v>
      </c>
      <c r="E542" s="15" t="s">
        <v>7814</v>
      </c>
      <c r="F542" s="15">
        <v>5</v>
      </c>
      <c r="G542" s="15" t="s">
        <v>7815</v>
      </c>
      <c r="H542" s="15"/>
    </row>
    <row r="543" spans="1:8" ht="45" x14ac:dyDescent="0.25">
      <c r="A543" s="15" t="s">
        <v>7811</v>
      </c>
      <c r="B543" s="15" t="s">
        <v>8365</v>
      </c>
      <c r="C543" s="15" t="s">
        <v>8366</v>
      </c>
      <c r="D543" s="15">
        <v>1193</v>
      </c>
      <c r="E543" s="15" t="s">
        <v>7859</v>
      </c>
      <c r="F543" s="15">
        <v>5</v>
      </c>
      <c r="G543" s="15" t="s">
        <v>7819</v>
      </c>
      <c r="H543" s="15"/>
    </row>
    <row r="544" spans="1:8" ht="45" x14ac:dyDescent="0.25">
      <c r="A544" s="15" t="s">
        <v>7811</v>
      </c>
      <c r="B544" s="15" t="s">
        <v>8367</v>
      </c>
      <c r="C544" s="15" t="s">
        <v>8368</v>
      </c>
      <c r="D544" s="15">
        <v>511</v>
      </c>
      <c r="E544" s="15" t="s">
        <v>7877</v>
      </c>
      <c r="F544" s="15">
        <v>7.2</v>
      </c>
      <c r="G544" s="15" t="s">
        <v>7819</v>
      </c>
      <c r="H544" s="15"/>
    </row>
    <row r="545" spans="1:8" ht="45" x14ac:dyDescent="0.25">
      <c r="A545" s="15" t="s">
        <v>7811</v>
      </c>
      <c r="B545" s="15" t="s">
        <v>8369</v>
      </c>
      <c r="C545" s="15" t="s">
        <v>8370</v>
      </c>
      <c r="D545" s="15">
        <v>513</v>
      </c>
      <c r="E545" s="15" t="s">
        <v>7838</v>
      </c>
      <c r="F545" s="15">
        <v>8</v>
      </c>
      <c r="G545" s="15" t="s">
        <v>7819</v>
      </c>
      <c r="H545" s="15"/>
    </row>
    <row r="546" spans="1:8" ht="45" x14ac:dyDescent="0.25">
      <c r="A546" s="15" t="s">
        <v>7811</v>
      </c>
      <c r="B546" s="15" t="s">
        <v>8371</v>
      </c>
      <c r="C546" s="15" t="s">
        <v>8372</v>
      </c>
      <c r="D546" s="15">
        <v>508</v>
      </c>
      <c r="E546" s="15" t="s">
        <v>7818</v>
      </c>
      <c r="F546" s="15">
        <v>80</v>
      </c>
      <c r="G546" s="15" t="s">
        <v>7819</v>
      </c>
      <c r="H546" s="15"/>
    </row>
    <row r="547" spans="1:8" ht="45" x14ac:dyDescent="0.25">
      <c r="A547" s="15" t="s">
        <v>7811</v>
      </c>
      <c r="B547" s="15" t="s">
        <v>8373</v>
      </c>
      <c r="C547" s="15" t="s">
        <v>8374</v>
      </c>
      <c r="D547" s="15">
        <v>514</v>
      </c>
      <c r="E547" s="15" t="s">
        <v>7838</v>
      </c>
      <c r="F547" s="15">
        <v>8</v>
      </c>
      <c r="G547" s="15" t="s">
        <v>7819</v>
      </c>
      <c r="H547" s="15"/>
    </row>
    <row r="548" spans="1:8" ht="45" x14ac:dyDescent="0.25">
      <c r="A548" s="15" t="s">
        <v>7811</v>
      </c>
      <c r="B548" s="15" t="s">
        <v>8375</v>
      </c>
      <c r="C548" s="15" t="s">
        <v>8376</v>
      </c>
      <c r="D548" s="15">
        <v>510</v>
      </c>
      <c r="E548" s="15" t="s">
        <v>7818</v>
      </c>
      <c r="F548" s="15">
        <v>45</v>
      </c>
      <c r="G548" s="15" t="s">
        <v>7819</v>
      </c>
      <c r="H548" s="15"/>
    </row>
    <row r="549" spans="1:8" ht="150" x14ac:dyDescent="0.25">
      <c r="A549" s="15" t="s">
        <v>7811</v>
      </c>
      <c r="B549" s="15" t="s">
        <v>8377</v>
      </c>
      <c r="C549" s="15" t="s">
        <v>8378</v>
      </c>
      <c r="D549" s="15">
        <v>509</v>
      </c>
      <c r="E549" s="15" t="s">
        <v>7818</v>
      </c>
      <c r="F549" s="15">
        <v>60</v>
      </c>
      <c r="G549" s="15" t="s">
        <v>8379</v>
      </c>
      <c r="H549" s="15"/>
    </row>
    <row r="550" spans="1:8" ht="240" x14ac:dyDescent="0.25">
      <c r="A550" s="15" t="s">
        <v>7811</v>
      </c>
      <c r="B550" s="15" t="s">
        <v>8380</v>
      </c>
      <c r="C550" s="15" t="s">
        <v>8381</v>
      </c>
      <c r="D550" s="15">
        <v>1164</v>
      </c>
      <c r="E550" s="15" t="s">
        <v>7814</v>
      </c>
      <c r="F550" s="15">
        <v>5</v>
      </c>
      <c r="G550" s="15" t="s">
        <v>8382</v>
      </c>
      <c r="H550" s="15"/>
    </row>
    <row r="551" spans="1:8" ht="45" x14ac:dyDescent="0.25">
      <c r="A551" s="15" t="s">
        <v>7811</v>
      </c>
      <c r="B551" s="15" t="s">
        <v>8383</v>
      </c>
      <c r="C551" s="15" t="s">
        <v>8384</v>
      </c>
      <c r="D551" s="15">
        <v>413</v>
      </c>
      <c r="E551" s="15" t="s">
        <v>7818</v>
      </c>
      <c r="F551" s="15">
        <v>30</v>
      </c>
      <c r="G551" s="15" t="s">
        <v>7819</v>
      </c>
      <c r="H551" s="15"/>
    </row>
    <row r="552" spans="1:8" ht="270" x14ac:dyDescent="0.25">
      <c r="A552" s="15" t="s">
        <v>7811</v>
      </c>
      <c r="B552" s="15" t="s">
        <v>8385</v>
      </c>
      <c r="C552" s="15" t="s">
        <v>8386</v>
      </c>
      <c r="D552" s="15">
        <v>416</v>
      </c>
      <c r="E552" s="15" t="s">
        <v>7814</v>
      </c>
      <c r="F552" s="15">
        <v>5</v>
      </c>
      <c r="G552" s="15" t="s">
        <v>8387</v>
      </c>
      <c r="H552" s="15"/>
    </row>
    <row r="553" spans="1:8" ht="45" x14ac:dyDescent="0.25">
      <c r="A553" s="15" t="s">
        <v>7811</v>
      </c>
      <c r="B553" s="15" t="s">
        <v>8388</v>
      </c>
      <c r="C553" s="15" t="s">
        <v>8389</v>
      </c>
      <c r="D553" s="15">
        <v>417</v>
      </c>
      <c r="E553" s="15" t="s">
        <v>7818</v>
      </c>
      <c r="F553" s="15">
        <v>35</v>
      </c>
      <c r="G553" s="15" t="s">
        <v>7819</v>
      </c>
      <c r="H553" s="15"/>
    </row>
    <row r="554" spans="1:8" ht="45" x14ac:dyDescent="0.25">
      <c r="A554" s="15" t="s">
        <v>7811</v>
      </c>
      <c r="B554" s="15" t="s">
        <v>8390</v>
      </c>
      <c r="C554" s="15" t="s">
        <v>8391</v>
      </c>
      <c r="D554" s="15">
        <v>418</v>
      </c>
      <c r="E554" s="15" t="s">
        <v>7838</v>
      </c>
      <c r="F554" s="15">
        <v>8</v>
      </c>
      <c r="G554" s="15" t="s">
        <v>7819</v>
      </c>
      <c r="H554" s="15"/>
    </row>
    <row r="555" spans="1:8" ht="90" x14ac:dyDescent="0.25">
      <c r="A555" s="15" t="s">
        <v>7811</v>
      </c>
      <c r="B555" s="15" t="s">
        <v>8392</v>
      </c>
      <c r="C555" s="15" t="s">
        <v>8393</v>
      </c>
      <c r="D555" s="15">
        <v>412</v>
      </c>
      <c r="E555" s="15" t="s">
        <v>7814</v>
      </c>
      <c r="F555" s="15">
        <v>5</v>
      </c>
      <c r="G555" s="15" t="s">
        <v>8394</v>
      </c>
      <c r="H555" s="15"/>
    </row>
    <row r="556" spans="1:8" ht="45" x14ac:dyDescent="0.25">
      <c r="A556" s="15" t="s">
        <v>7811</v>
      </c>
      <c r="B556" s="15" t="s">
        <v>8395</v>
      </c>
      <c r="C556" s="15" t="s">
        <v>8396</v>
      </c>
      <c r="D556" s="15">
        <v>430</v>
      </c>
      <c r="E556" s="15" t="s">
        <v>7818</v>
      </c>
      <c r="F556" s="15">
        <v>35</v>
      </c>
      <c r="G556" s="15" t="s">
        <v>7819</v>
      </c>
      <c r="H556" s="15"/>
    </row>
    <row r="557" spans="1:8" ht="60" x14ac:dyDescent="0.25">
      <c r="A557" s="15" t="s">
        <v>7811</v>
      </c>
      <c r="B557" s="15" t="s">
        <v>8397</v>
      </c>
      <c r="C557" s="15" t="s">
        <v>8398</v>
      </c>
      <c r="D557" s="15">
        <v>419</v>
      </c>
      <c r="E557" s="15" t="s">
        <v>7818</v>
      </c>
      <c r="F557" s="15">
        <v>30</v>
      </c>
      <c r="G557" s="15" t="s">
        <v>7819</v>
      </c>
      <c r="H557" s="15"/>
    </row>
    <row r="558" spans="1:8" ht="45" x14ac:dyDescent="0.25">
      <c r="A558" s="15" t="s">
        <v>7811</v>
      </c>
      <c r="B558" s="15" t="s">
        <v>8399</v>
      </c>
      <c r="C558" s="15" t="s">
        <v>8400</v>
      </c>
      <c r="D558" s="15">
        <v>396</v>
      </c>
      <c r="E558" s="15" t="s">
        <v>7818</v>
      </c>
      <c r="F558" s="15">
        <v>60</v>
      </c>
      <c r="G558" s="15" t="s">
        <v>7819</v>
      </c>
      <c r="H558" s="15"/>
    </row>
    <row r="559" spans="1:8" ht="45" x14ac:dyDescent="0.25">
      <c r="A559" s="15" t="s">
        <v>7811</v>
      </c>
      <c r="B559" s="15" t="s">
        <v>8401</v>
      </c>
      <c r="C559" s="15" t="s">
        <v>8402</v>
      </c>
      <c r="D559" s="15">
        <v>422</v>
      </c>
      <c r="E559" s="15" t="s">
        <v>7877</v>
      </c>
      <c r="F559" s="15">
        <v>5.2</v>
      </c>
      <c r="G559" s="15" t="s">
        <v>7819</v>
      </c>
      <c r="H559" s="15"/>
    </row>
    <row r="560" spans="1:8" ht="45" x14ac:dyDescent="0.25">
      <c r="A560" s="15" t="s">
        <v>7811</v>
      </c>
      <c r="B560" s="15" t="s">
        <v>8403</v>
      </c>
      <c r="C560" s="15" t="s">
        <v>8404</v>
      </c>
      <c r="D560" s="15">
        <v>410</v>
      </c>
      <c r="E560" s="15" t="s">
        <v>7838</v>
      </c>
      <c r="F560" s="15">
        <v>8</v>
      </c>
      <c r="G560" s="15" t="s">
        <v>7819</v>
      </c>
      <c r="H560" s="15"/>
    </row>
    <row r="561" spans="1:8" ht="409.5" x14ac:dyDescent="0.25">
      <c r="A561" s="15" t="s">
        <v>7811</v>
      </c>
      <c r="B561" s="15" t="s">
        <v>8405</v>
      </c>
      <c r="C561" s="15" t="s">
        <v>8406</v>
      </c>
      <c r="D561" s="15">
        <v>405</v>
      </c>
      <c r="E561" s="15" t="s">
        <v>7814</v>
      </c>
      <c r="F561" s="15">
        <v>5</v>
      </c>
      <c r="G561" s="15" t="s">
        <v>8407</v>
      </c>
      <c r="H561" s="15"/>
    </row>
    <row r="562" spans="1:8" ht="45" x14ac:dyDescent="0.25">
      <c r="A562" s="15" t="s">
        <v>7811</v>
      </c>
      <c r="B562" s="15" t="s">
        <v>8408</v>
      </c>
      <c r="C562" s="15" t="s">
        <v>8409</v>
      </c>
      <c r="D562" s="15">
        <v>407</v>
      </c>
      <c r="E562" s="15" t="s">
        <v>7859</v>
      </c>
      <c r="F562" s="15">
        <v>3</v>
      </c>
      <c r="G562" s="15" t="s">
        <v>7819</v>
      </c>
      <c r="H562" s="15"/>
    </row>
    <row r="563" spans="1:8" ht="45" x14ac:dyDescent="0.25">
      <c r="A563" s="15" t="s">
        <v>7811</v>
      </c>
      <c r="B563" s="15" t="s">
        <v>8410</v>
      </c>
      <c r="C563" s="15" t="s">
        <v>8411</v>
      </c>
      <c r="D563" s="15">
        <v>408</v>
      </c>
      <c r="E563" s="15" t="s">
        <v>7859</v>
      </c>
      <c r="F563" s="15">
        <v>3</v>
      </c>
      <c r="G563" s="15" t="s">
        <v>7819</v>
      </c>
      <c r="H563" s="15"/>
    </row>
    <row r="564" spans="1:8" ht="45" x14ac:dyDescent="0.25">
      <c r="A564" s="15" t="s">
        <v>7811</v>
      </c>
      <c r="B564" s="15" t="s">
        <v>8412</v>
      </c>
      <c r="C564" s="15" t="s">
        <v>8413</v>
      </c>
      <c r="D564" s="15">
        <v>425</v>
      </c>
      <c r="E564" s="15" t="s">
        <v>7838</v>
      </c>
      <c r="F564" s="15">
        <v>8</v>
      </c>
      <c r="G564" s="15" t="s">
        <v>7819</v>
      </c>
      <c r="H564" s="15"/>
    </row>
    <row r="565" spans="1:8" ht="45" x14ac:dyDescent="0.25">
      <c r="A565" s="15" t="s">
        <v>7811</v>
      </c>
      <c r="B565" s="15" t="s">
        <v>8414</v>
      </c>
      <c r="C565" s="15" t="s">
        <v>8415</v>
      </c>
      <c r="D565" s="15">
        <v>426</v>
      </c>
      <c r="E565" s="15" t="s">
        <v>7818</v>
      </c>
      <c r="F565" s="15">
        <v>60</v>
      </c>
      <c r="G565" s="15" t="s">
        <v>7819</v>
      </c>
      <c r="H565" s="15"/>
    </row>
    <row r="566" spans="1:8" ht="45" x14ac:dyDescent="0.25">
      <c r="A566" s="15" t="s">
        <v>7811</v>
      </c>
      <c r="B566" s="15" t="s">
        <v>8416</v>
      </c>
      <c r="C566" s="15" t="s">
        <v>8417</v>
      </c>
      <c r="D566" s="15">
        <v>657</v>
      </c>
      <c r="E566" s="15" t="s">
        <v>7877</v>
      </c>
      <c r="F566" s="15">
        <v>2.1</v>
      </c>
      <c r="G566" s="15" t="s">
        <v>7819</v>
      </c>
      <c r="H566" s="15"/>
    </row>
    <row r="567" spans="1:8" ht="45" x14ac:dyDescent="0.25">
      <c r="A567" s="15" t="s">
        <v>7811</v>
      </c>
      <c r="B567" s="15" t="s">
        <v>8418</v>
      </c>
      <c r="C567" s="15" t="s">
        <v>8419</v>
      </c>
      <c r="D567" s="15">
        <v>659</v>
      </c>
      <c r="E567" s="15" t="s">
        <v>7877</v>
      </c>
      <c r="F567" s="15">
        <v>2.1</v>
      </c>
      <c r="G567" s="15" t="s">
        <v>7819</v>
      </c>
      <c r="H567" s="15"/>
    </row>
    <row r="568" spans="1:8" ht="45" x14ac:dyDescent="0.25">
      <c r="A568" s="15" t="s">
        <v>7811</v>
      </c>
      <c r="B568" s="15" t="s">
        <v>8420</v>
      </c>
      <c r="C568" s="15" t="s">
        <v>8421</v>
      </c>
      <c r="D568" s="15">
        <v>658</v>
      </c>
      <c r="E568" s="15" t="s">
        <v>7877</v>
      </c>
      <c r="F568" s="15">
        <v>2.1</v>
      </c>
      <c r="G568" s="15" t="s">
        <v>7819</v>
      </c>
      <c r="H568" s="15"/>
    </row>
    <row r="569" spans="1:8" ht="45" x14ac:dyDescent="0.25">
      <c r="A569" s="15" t="s">
        <v>7811</v>
      </c>
      <c r="B569" s="15" t="s">
        <v>8422</v>
      </c>
      <c r="C569" s="15" t="s">
        <v>8423</v>
      </c>
      <c r="D569" s="15">
        <v>375</v>
      </c>
      <c r="E569" s="15" t="s">
        <v>7877</v>
      </c>
      <c r="F569" s="15">
        <v>2.1</v>
      </c>
      <c r="G569" s="15" t="s">
        <v>7819</v>
      </c>
      <c r="H569" s="15"/>
    </row>
    <row r="570" spans="1:8" ht="45" x14ac:dyDescent="0.25">
      <c r="A570" s="15" t="s">
        <v>7811</v>
      </c>
      <c r="B570" s="15" t="s">
        <v>8424</v>
      </c>
      <c r="C570" s="15" t="s">
        <v>8425</v>
      </c>
      <c r="D570" s="15">
        <v>661</v>
      </c>
      <c r="E570" s="15" t="s">
        <v>7877</v>
      </c>
      <c r="F570" s="15">
        <v>2.1</v>
      </c>
      <c r="G570" s="15" t="s">
        <v>7819</v>
      </c>
      <c r="H570" s="15"/>
    </row>
    <row r="571" spans="1:8" ht="45" x14ac:dyDescent="0.25">
      <c r="A571" s="15" t="s">
        <v>7811</v>
      </c>
      <c r="B571" s="15" t="s">
        <v>8426</v>
      </c>
      <c r="C571" s="15" t="s">
        <v>8427</v>
      </c>
      <c r="D571" s="15">
        <v>663</v>
      </c>
      <c r="E571" s="15" t="s">
        <v>7877</v>
      </c>
      <c r="F571" s="15">
        <v>2.1</v>
      </c>
      <c r="G571" s="15" t="s">
        <v>7819</v>
      </c>
      <c r="H571" s="15"/>
    </row>
    <row r="572" spans="1:8" ht="45" x14ac:dyDescent="0.25">
      <c r="A572" s="15" t="s">
        <v>7811</v>
      </c>
      <c r="B572" s="15" t="s">
        <v>8428</v>
      </c>
      <c r="C572" s="15" t="s">
        <v>8429</v>
      </c>
      <c r="D572" s="15">
        <v>662</v>
      </c>
      <c r="E572" s="15" t="s">
        <v>7877</v>
      </c>
      <c r="F572" s="15">
        <v>2.1</v>
      </c>
      <c r="G572" s="15" t="s">
        <v>7819</v>
      </c>
      <c r="H572" s="15"/>
    </row>
    <row r="573" spans="1:8" ht="45" x14ac:dyDescent="0.25">
      <c r="A573" s="15" t="s">
        <v>7811</v>
      </c>
      <c r="B573" s="15" t="s">
        <v>8430</v>
      </c>
      <c r="C573" s="15" t="s">
        <v>2197</v>
      </c>
      <c r="D573" s="15">
        <v>1361</v>
      </c>
      <c r="E573" s="15" t="s">
        <v>7818</v>
      </c>
      <c r="F573" s="15">
        <v>35</v>
      </c>
      <c r="G573" s="15" t="s">
        <v>7819</v>
      </c>
      <c r="H573" s="15"/>
    </row>
    <row r="574" spans="1:8" ht="45" x14ac:dyDescent="0.25">
      <c r="A574" s="15" t="s">
        <v>7811</v>
      </c>
      <c r="B574" s="15" t="s">
        <v>8431</v>
      </c>
      <c r="C574" s="15" t="s">
        <v>8432</v>
      </c>
      <c r="D574" s="15">
        <v>109</v>
      </c>
      <c r="E574" s="15" t="s">
        <v>7818</v>
      </c>
      <c r="F574" s="15">
        <v>45</v>
      </c>
      <c r="G574" s="15" t="s">
        <v>7819</v>
      </c>
      <c r="H574" s="15"/>
    </row>
    <row r="575" spans="1:8" ht="60" x14ac:dyDescent="0.25">
      <c r="A575" s="15" t="s">
        <v>7811</v>
      </c>
      <c r="B575" s="15" t="s">
        <v>8433</v>
      </c>
      <c r="C575" s="15" t="s">
        <v>8434</v>
      </c>
      <c r="D575" s="15">
        <v>1454</v>
      </c>
      <c r="E575" s="15" t="s">
        <v>7814</v>
      </c>
      <c r="F575" s="15">
        <v>5</v>
      </c>
      <c r="G575" s="15" t="s">
        <v>7815</v>
      </c>
      <c r="H575" s="15"/>
    </row>
    <row r="576" spans="1:8" ht="105" x14ac:dyDescent="0.25">
      <c r="A576" s="15" t="s">
        <v>7811</v>
      </c>
      <c r="B576" s="15" t="s">
        <v>8435</v>
      </c>
      <c r="C576" s="15" t="s">
        <v>8436</v>
      </c>
      <c r="D576" s="15">
        <v>636</v>
      </c>
      <c r="E576" s="15" t="s">
        <v>7814</v>
      </c>
      <c r="F576" s="15">
        <v>5</v>
      </c>
      <c r="G576" s="15" t="s">
        <v>8251</v>
      </c>
      <c r="H576" s="15"/>
    </row>
    <row r="577" spans="1:8" ht="45" x14ac:dyDescent="0.25">
      <c r="A577" s="15" t="s">
        <v>7811</v>
      </c>
      <c r="B577" s="15" t="s">
        <v>8437</v>
      </c>
      <c r="C577" s="15" t="s">
        <v>8438</v>
      </c>
      <c r="D577" s="15">
        <v>1473</v>
      </c>
      <c r="E577" s="15" t="s">
        <v>7859</v>
      </c>
      <c r="F577" s="15">
        <v>5</v>
      </c>
      <c r="G577" s="15" t="s">
        <v>7819</v>
      </c>
      <c r="H577" s="15"/>
    </row>
    <row r="578" spans="1:8" ht="60" x14ac:dyDescent="0.25">
      <c r="A578" s="15" t="s">
        <v>7811</v>
      </c>
      <c r="B578" s="15" t="s">
        <v>8439</v>
      </c>
      <c r="C578" s="15" t="s">
        <v>8440</v>
      </c>
      <c r="D578" s="15">
        <v>1472</v>
      </c>
      <c r="E578" s="15" t="s">
        <v>7814</v>
      </c>
      <c r="F578" s="15">
        <v>5</v>
      </c>
      <c r="G578" s="15" t="s">
        <v>7815</v>
      </c>
      <c r="H578" s="15"/>
    </row>
    <row r="579" spans="1:8" ht="45" x14ac:dyDescent="0.25">
      <c r="A579" s="15" t="s">
        <v>7811</v>
      </c>
      <c r="B579" s="15" t="s">
        <v>8441</v>
      </c>
      <c r="C579" s="15" t="s">
        <v>8442</v>
      </c>
      <c r="D579" s="15">
        <v>397</v>
      </c>
      <c r="E579" s="15" t="s">
        <v>7838</v>
      </c>
      <c r="F579" s="15">
        <v>8</v>
      </c>
      <c r="G579" s="15" t="s">
        <v>7819</v>
      </c>
      <c r="H579" s="15"/>
    </row>
    <row r="580" spans="1:8" ht="45" x14ac:dyDescent="0.25">
      <c r="A580" s="15" t="s">
        <v>7811</v>
      </c>
      <c r="B580" s="15" t="s">
        <v>8443</v>
      </c>
      <c r="C580" s="15" t="s">
        <v>8444</v>
      </c>
      <c r="D580" s="15">
        <v>843</v>
      </c>
      <c r="E580" s="15" t="s">
        <v>7838</v>
      </c>
      <c r="F580" s="15">
        <v>8</v>
      </c>
      <c r="G580" s="15" t="s">
        <v>7819</v>
      </c>
      <c r="H580" s="15"/>
    </row>
    <row r="581" spans="1:8" ht="45" x14ac:dyDescent="0.25">
      <c r="A581" s="15" t="s">
        <v>7811</v>
      </c>
      <c r="B581" s="15" t="s">
        <v>8445</v>
      </c>
      <c r="C581" s="15" t="s">
        <v>1354</v>
      </c>
      <c r="D581" s="15">
        <v>112</v>
      </c>
      <c r="E581" s="15" t="s">
        <v>7838</v>
      </c>
      <c r="F581" s="15">
        <v>8</v>
      </c>
      <c r="G581" s="15" t="s">
        <v>7819</v>
      </c>
      <c r="H581" s="15"/>
    </row>
    <row r="582" spans="1:8" ht="45" x14ac:dyDescent="0.25">
      <c r="A582" s="15" t="s">
        <v>7811</v>
      </c>
      <c r="B582" s="15" t="s">
        <v>8446</v>
      </c>
      <c r="C582" s="15" t="s">
        <v>8447</v>
      </c>
      <c r="D582" s="15">
        <v>1008</v>
      </c>
      <c r="E582" s="15" t="s">
        <v>7838</v>
      </c>
      <c r="F582" s="15">
        <v>8</v>
      </c>
      <c r="G582" s="15" t="s">
        <v>7819</v>
      </c>
      <c r="H582" s="15"/>
    </row>
    <row r="583" spans="1:8" ht="45" x14ac:dyDescent="0.25">
      <c r="A583" s="15" t="s">
        <v>7811</v>
      </c>
      <c r="B583" s="15" t="s">
        <v>8448</v>
      </c>
      <c r="C583" s="15" t="s">
        <v>8449</v>
      </c>
      <c r="D583" s="15">
        <v>875</v>
      </c>
      <c r="E583" s="15" t="s">
        <v>7838</v>
      </c>
      <c r="F583" s="15">
        <v>8</v>
      </c>
      <c r="G583" s="15" t="s">
        <v>7819</v>
      </c>
      <c r="H583" s="15"/>
    </row>
    <row r="584" spans="1:8" ht="45" x14ac:dyDescent="0.25">
      <c r="A584" s="15" t="s">
        <v>7811</v>
      </c>
      <c r="B584" s="15" t="s">
        <v>8450</v>
      </c>
      <c r="C584" s="15" t="s">
        <v>8451</v>
      </c>
      <c r="D584" s="15">
        <v>113</v>
      </c>
      <c r="E584" s="15" t="s">
        <v>7838</v>
      </c>
      <c r="F584" s="15">
        <v>8</v>
      </c>
      <c r="G584" s="15" t="s">
        <v>7819</v>
      </c>
      <c r="H584" s="15"/>
    </row>
    <row r="585" spans="1:8" ht="45" x14ac:dyDescent="0.25">
      <c r="A585" s="15" t="s">
        <v>7811</v>
      </c>
      <c r="B585" s="15" t="s">
        <v>8452</v>
      </c>
      <c r="C585" s="15" t="s">
        <v>8453</v>
      </c>
      <c r="D585" s="15">
        <v>576</v>
      </c>
      <c r="E585" s="15" t="s">
        <v>7838</v>
      </c>
      <c r="F585" s="15">
        <v>8</v>
      </c>
      <c r="G585" s="15" t="s">
        <v>7819</v>
      </c>
      <c r="H585" s="15"/>
    </row>
    <row r="586" spans="1:8" ht="45" x14ac:dyDescent="0.25">
      <c r="A586" s="15" t="s">
        <v>7811</v>
      </c>
      <c r="B586" s="15" t="s">
        <v>8454</v>
      </c>
      <c r="C586" s="15" t="s">
        <v>8455</v>
      </c>
      <c r="D586" s="15">
        <v>1034</v>
      </c>
      <c r="E586" s="15" t="s">
        <v>7838</v>
      </c>
      <c r="F586" s="15">
        <v>8</v>
      </c>
      <c r="G586" s="15" t="s">
        <v>7819</v>
      </c>
      <c r="H586" s="15"/>
    </row>
    <row r="587" spans="1:8" ht="45" x14ac:dyDescent="0.25">
      <c r="A587" s="15" t="s">
        <v>7811</v>
      </c>
      <c r="B587" s="15" t="s">
        <v>8456</v>
      </c>
      <c r="C587" s="15" t="s">
        <v>8457</v>
      </c>
      <c r="D587" s="15">
        <v>1021</v>
      </c>
      <c r="E587" s="15" t="s">
        <v>7838</v>
      </c>
      <c r="F587" s="15">
        <v>8</v>
      </c>
      <c r="G587" s="15" t="s">
        <v>7819</v>
      </c>
      <c r="H587" s="15"/>
    </row>
    <row r="588" spans="1:8" ht="45" x14ac:dyDescent="0.25">
      <c r="A588" s="15" t="s">
        <v>7811</v>
      </c>
      <c r="B588" s="15" t="s">
        <v>8458</v>
      </c>
      <c r="C588" s="15" t="s">
        <v>8459</v>
      </c>
      <c r="D588" s="15">
        <v>114</v>
      </c>
      <c r="E588" s="15" t="s">
        <v>7838</v>
      </c>
      <c r="F588" s="15">
        <v>8</v>
      </c>
      <c r="G588" s="15" t="s">
        <v>7819</v>
      </c>
      <c r="H588" s="15"/>
    </row>
    <row r="589" spans="1:8" ht="45" x14ac:dyDescent="0.25">
      <c r="A589" s="15" t="s">
        <v>7811</v>
      </c>
      <c r="B589" s="15" t="s">
        <v>8460</v>
      </c>
      <c r="C589" s="15" t="s">
        <v>8461</v>
      </c>
      <c r="D589" s="15">
        <v>111</v>
      </c>
      <c r="E589" s="15" t="s">
        <v>7838</v>
      </c>
      <c r="F589" s="15">
        <v>8</v>
      </c>
      <c r="G589" s="15" t="s">
        <v>7819</v>
      </c>
      <c r="H589" s="15"/>
    </row>
    <row r="590" spans="1:8" ht="120" x14ac:dyDescent="0.25">
      <c r="A590" s="15" t="s">
        <v>7811</v>
      </c>
      <c r="B590" s="15" t="s">
        <v>8462</v>
      </c>
      <c r="C590" s="15" t="s">
        <v>8463</v>
      </c>
      <c r="D590" s="15">
        <v>115</v>
      </c>
      <c r="E590" s="15" t="s">
        <v>7814</v>
      </c>
      <c r="F590" s="15">
        <v>5</v>
      </c>
      <c r="G590" s="15" t="s">
        <v>8464</v>
      </c>
      <c r="H590" s="15"/>
    </row>
    <row r="591" spans="1:8" ht="120" x14ac:dyDescent="0.25">
      <c r="A591" s="15" t="s">
        <v>7811</v>
      </c>
      <c r="B591" s="15" t="s">
        <v>8465</v>
      </c>
      <c r="C591" s="15" t="s">
        <v>8466</v>
      </c>
      <c r="D591" s="15">
        <v>623</v>
      </c>
      <c r="E591" s="15" t="s">
        <v>7814</v>
      </c>
      <c r="F591" s="15">
        <v>5</v>
      </c>
      <c r="G591" s="15" t="s">
        <v>8467</v>
      </c>
      <c r="H591" s="15"/>
    </row>
    <row r="592" spans="1:8" ht="45" x14ac:dyDescent="0.25">
      <c r="A592" s="15" t="s">
        <v>7811</v>
      </c>
      <c r="B592" s="15" t="s">
        <v>8468</v>
      </c>
      <c r="C592" s="15" t="s">
        <v>8469</v>
      </c>
      <c r="D592" s="15">
        <v>478</v>
      </c>
      <c r="E592" s="15" t="s">
        <v>7877</v>
      </c>
      <c r="F592" s="15">
        <v>1.2</v>
      </c>
      <c r="G592" s="15" t="s">
        <v>7819</v>
      </c>
      <c r="H592" s="15"/>
    </row>
    <row r="593" spans="1:8" ht="45" x14ac:dyDescent="0.25">
      <c r="A593" s="15" t="s">
        <v>7811</v>
      </c>
      <c r="B593" s="15" t="s">
        <v>8470</v>
      </c>
      <c r="C593" s="15" t="s">
        <v>8471</v>
      </c>
      <c r="D593" s="15">
        <v>646</v>
      </c>
      <c r="E593" s="15" t="s">
        <v>7818</v>
      </c>
      <c r="F593" s="15">
        <v>35</v>
      </c>
      <c r="G593" s="15" t="s">
        <v>7819</v>
      </c>
      <c r="H593" s="15"/>
    </row>
    <row r="594" spans="1:8" ht="45" x14ac:dyDescent="0.25">
      <c r="A594" s="15" t="s">
        <v>7811</v>
      </c>
      <c r="B594" s="15" t="s">
        <v>8472</v>
      </c>
      <c r="C594" s="15" t="s">
        <v>8473</v>
      </c>
      <c r="D594" s="15">
        <v>645</v>
      </c>
      <c r="E594" s="15" t="s">
        <v>7838</v>
      </c>
      <c r="F594" s="15">
        <v>8</v>
      </c>
      <c r="G594" s="15" t="s">
        <v>7819</v>
      </c>
      <c r="H594" s="15"/>
    </row>
    <row r="595" spans="1:8" ht="45" x14ac:dyDescent="0.25">
      <c r="A595" s="15" t="s">
        <v>7811</v>
      </c>
      <c r="B595" s="15" t="s">
        <v>8474</v>
      </c>
      <c r="C595" s="15" t="s">
        <v>8475</v>
      </c>
      <c r="D595" s="15">
        <v>1020</v>
      </c>
      <c r="E595" s="15" t="s">
        <v>7877</v>
      </c>
      <c r="F595" s="15">
        <v>8.1999999999999993</v>
      </c>
      <c r="G595" s="15" t="s">
        <v>7819</v>
      </c>
      <c r="H595" s="15"/>
    </row>
    <row r="596" spans="1:8" ht="195" x14ac:dyDescent="0.25">
      <c r="A596" s="15" t="s">
        <v>7811</v>
      </c>
      <c r="B596" s="15" t="s">
        <v>8476</v>
      </c>
      <c r="C596" s="15" t="s">
        <v>8477</v>
      </c>
      <c r="D596" s="15">
        <v>1013</v>
      </c>
      <c r="E596" s="15" t="s">
        <v>7814</v>
      </c>
      <c r="F596" s="15">
        <v>5</v>
      </c>
      <c r="G596" s="15" t="s">
        <v>8478</v>
      </c>
      <c r="H596" s="15"/>
    </row>
    <row r="597" spans="1:8" ht="45" x14ac:dyDescent="0.25">
      <c r="A597" s="15" t="s">
        <v>7811</v>
      </c>
      <c r="B597" s="15" t="s">
        <v>8479</v>
      </c>
      <c r="C597" s="15" t="s">
        <v>8480</v>
      </c>
      <c r="D597" s="15">
        <v>530</v>
      </c>
      <c r="E597" s="15" t="s">
        <v>7877</v>
      </c>
      <c r="F597" s="15">
        <v>6.2</v>
      </c>
      <c r="G597" s="15" t="s">
        <v>7819</v>
      </c>
      <c r="H597" s="15"/>
    </row>
    <row r="598" spans="1:8" ht="75" x14ac:dyDescent="0.25">
      <c r="A598" s="15" t="s">
        <v>7811</v>
      </c>
      <c r="B598" s="15" t="s">
        <v>8481</v>
      </c>
      <c r="C598" s="15" t="s">
        <v>8482</v>
      </c>
      <c r="D598" s="15">
        <v>529</v>
      </c>
      <c r="E598" s="15" t="s">
        <v>7818</v>
      </c>
      <c r="F598" s="15">
        <v>45</v>
      </c>
      <c r="G598" s="15" t="s">
        <v>7819</v>
      </c>
      <c r="H598" s="15"/>
    </row>
    <row r="599" spans="1:8" ht="375" x14ac:dyDescent="0.25">
      <c r="A599" s="15" t="s">
        <v>7811</v>
      </c>
      <c r="B599" s="15" t="s">
        <v>8483</v>
      </c>
      <c r="C599" s="15" t="s">
        <v>8484</v>
      </c>
      <c r="D599" s="15">
        <v>1270</v>
      </c>
      <c r="E599" s="15" t="s">
        <v>7814</v>
      </c>
      <c r="F599" s="15">
        <v>5</v>
      </c>
      <c r="G599" s="15" t="s">
        <v>8485</v>
      </c>
      <c r="H599" s="15"/>
    </row>
    <row r="600" spans="1:8" ht="45" x14ac:dyDescent="0.25">
      <c r="A600" s="15" t="s">
        <v>7811</v>
      </c>
      <c r="B600" s="15" t="s">
        <v>8486</v>
      </c>
      <c r="C600" s="15" t="s">
        <v>8487</v>
      </c>
      <c r="D600" s="15">
        <v>535</v>
      </c>
      <c r="E600" s="15" t="s">
        <v>7877</v>
      </c>
      <c r="F600" s="15">
        <v>6.2</v>
      </c>
      <c r="G600" s="15" t="s">
        <v>7819</v>
      </c>
      <c r="H600" s="15"/>
    </row>
    <row r="601" spans="1:8" ht="45" x14ac:dyDescent="0.25">
      <c r="A601" s="15" t="s">
        <v>7811</v>
      </c>
      <c r="B601" s="15" t="s">
        <v>8488</v>
      </c>
      <c r="C601" s="15" t="s">
        <v>8489</v>
      </c>
      <c r="D601" s="15">
        <v>536</v>
      </c>
      <c r="E601" s="15" t="s">
        <v>7838</v>
      </c>
      <c r="F601" s="15">
        <v>8</v>
      </c>
      <c r="G601" s="15" t="s">
        <v>7819</v>
      </c>
      <c r="H601" s="15"/>
    </row>
    <row r="602" spans="1:8" ht="45" x14ac:dyDescent="0.25">
      <c r="A602" s="15" t="s">
        <v>7811</v>
      </c>
      <c r="B602" s="15" t="s">
        <v>8490</v>
      </c>
      <c r="C602" s="15" t="s">
        <v>8491</v>
      </c>
      <c r="D602" s="15">
        <v>291</v>
      </c>
      <c r="E602" s="15" t="s">
        <v>7818</v>
      </c>
      <c r="F602" s="15">
        <v>60</v>
      </c>
      <c r="G602" s="15" t="s">
        <v>7819</v>
      </c>
      <c r="H602" s="15"/>
    </row>
    <row r="603" spans="1:8" ht="45" x14ac:dyDescent="0.25">
      <c r="A603" s="15" t="s">
        <v>7811</v>
      </c>
      <c r="B603" s="15" t="s">
        <v>8492</v>
      </c>
      <c r="C603" s="15" t="s">
        <v>8493</v>
      </c>
      <c r="D603" s="15">
        <v>987</v>
      </c>
      <c r="E603" s="15" t="s">
        <v>7818</v>
      </c>
      <c r="F603" s="15">
        <v>80</v>
      </c>
      <c r="G603" s="15" t="s">
        <v>7819</v>
      </c>
      <c r="H603" s="15"/>
    </row>
    <row r="604" spans="1:8" ht="300" x14ac:dyDescent="0.25">
      <c r="A604" s="15" t="s">
        <v>7811</v>
      </c>
      <c r="B604" s="15" t="s">
        <v>8494</v>
      </c>
      <c r="C604" s="15" t="s">
        <v>8495</v>
      </c>
      <c r="D604" s="15">
        <v>1223</v>
      </c>
      <c r="E604" s="15" t="s">
        <v>7814</v>
      </c>
      <c r="F604" s="15">
        <v>5</v>
      </c>
      <c r="G604" s="15" t="s">
        <v>8233</v>
      </c>
      <c r="H604" s="15"/>
    </row>
    <row r="605" spans="1:8" ht="90" x14ac:dyDescent="0.25">
      <c r="A605" s="15" t="s">
        <v>7811</v>
      </c>
      <c r="B605" s="15" t="s">
        <v>8496</v>
      </c>
      <c r="C605" s="15" t="s">
        <v>8497</v>
      </c>
      <c r="D605" s="15">
        <v>1670</v>
      </c>
      <c r="E605" s="15" t="s">
        <v>7814</v>
      </c>
      <c r="F605" s="15">
        <v>5</v>
      </c>
      <c r="G605" s="15" t="s">
        <v>8498</v>
      </c>
      <c r="H605" s="15"/>
    </row>
    <row r="606" spans="1:8" ht="45" x14ac:dyDescent="0.25">
      <c r="A606" s="15" t="s">
        <v>7811</v>
      </c>
      <c r="B606" s="15" t="s">
        <v>8499</v>
      </c>
      <c r="C606" s="15" t="s">
        <v>8500</v>
      </c>
      <c r="D606" s="15">
        <v>766</v>
      </c>
      <c r="E606" s="15" t="s">
        <v>7818</v>
      </c>
      <c r="F606" s="15">
        <v>60</v>
      </c>
      <c r="G606" s="15" t="s">
        <v>7819</v>
      </c>
      <c r="H606" s="15"/>
    </row>
    <row r="607" spans="1:8" ht="45" x14ac:dyDescent="0.25">
      <c r="A607" s="15" t="s">
        <v>7811</v>
      </c>
      <c r="B607" s="15" t="s">
        <v>8501</v>
      </c>
      <c r="C607" s="15" t="s">
        <v>8502</v>
      </c>
      <c r="D607" s="15">
        <v>1174</v>
      </c>
      <c r="E607" s="15" t="s">
        <v>7818</v>
      </c>
      <c r="F607" s="15">
        <v>60</v>
      </c>
      <c r="G607" s="15" t="s">
        <v>7819</v>
      </c>
      <c r="H607" s="15"/>
    </row>
    <row r="608" spans="1:8" ht="90" x14ac:dyDescent="0.25">
      <c r="A608" s="15" t="s">
        <v>7811</v>
      </c>
      <c r="B608" s="15" t="s">
        <v>8503</v>
      </c>
      <c r="C608" s="15" t="s">
        <v>8504</v>
      </c>
      <c r="D608" s="15">
        <v>41</v>
      </c>
      <c r="E608" s="15" t="s">
        <v>7814</v>
      </c>
      <c r="F608" s="15">
        <v>5</v>
      </c>
      <c r="G608" s="15" t="s">
        <v>8505</v>
      </c>
      <c r="H608" s="15"/>
    </row>
    <row r="609" spans="1:8" ht="45" x14ac:dyDescent="0.25">
      <c r="A609" s="15" t="s">
        <v>7811</v>
      </c>
      <c r="B609" s="15" t="s">
        <v>8506</v>
      </c>
      <c r="C609" s="15" t="s">
        <v>8507</v>
      </c>
      <c r="D609" s="15">
        <v>772</v>
      </c>
      <c r="E609" s="15" t="s">
        <v>7818</v>
      </c>
      <c r="F609" s="15">
        <v>35</v>
      </c>
      <c r="G609" s="15" t="s">
        <v>7819</v>
      </c>
      <c r="H609" s="15"/>
    </row>
    <row r="610" spans="1:8" ht="135" x14ac:dyDescent="0.25">
      <c r="A610" s="15" t="s">
        <v>7811</v>
      </c>
      <c r="B610" s="15" t="s">
        <v>8508</v>
      </c>
      <c r="C610" s="15" t="s">
        <v>8509</v>
      </c>
      <c r="D610" s="15">
        <v>1226</v>
      </c>
      <c r="E610" s="15" t="s">
        <v>7814</v>
      </c>
      <c r="F610" s="15">
        <v>5</v>
      </c>
      <c r="G610" s="15" t="s">
        <v>8510</v>
      </c>
      <c r="H610" s="15"/>
    </row>
    <row r="611" spans="1:8" ht="409.5" x14ac:dyDescent="0.25">
      <c r="A611" s="15" t="s">
        <v>7811</v>
      </c>
      <c r="B611" s="15" t="s">
        <v>8511</v>
      </c>
      <c r="C611" s="15" t="s">
        <v>8512</v>
      </c>
      <c r="D611" s="15">
        <v>650</v>
      </c>
      <c r="E611" s="15" t="s">
        <v>7814</v>
      </c>
      <c r="F611" s="15">
        <v>5</v>
      </c>
      <c r="G611" s="15" t="s">
        <v>8513</v>
      </c>
      <c r="H611" s="15"/>
    </row>
    <row r="612" spans="1:8" ht="45" x14ac:dyDescent="0.25">
      <c r="A612" s="15" t="s">
        <v>7811</v>
      </c>
      <c r="B612" s="15" t="s">
        <v>8514</v>
      </c>
      <c r="C612" s="15" t="s">
        <v>8515</v>
      </c>
      <c r="D612" s="15">
        <v>1017</v>
      </c>
      <c r="E612" s="15" t="s">
        <v>7877</v>
      </c>
      <c r="F612" s="15">
        <v>2.2000000000000002</v>
      </c>
      <c r="G612" s="15" t="s">
        <v>7819</v>
      </c>
      <c r="H612" s="15"/>
    </row>
    <row r="613" spans="1:8" ht="409.5" x14ac:dyDescent="0.25">
      <c r="A613" s="25" t="s">
        <v>7811</v>
      </c>
      <c r="B613" s="25" t="s">
        <v>8516</v>
      </c>
      <c r="C613" s="25" t="s">
        <v>8517</v>
      </c>
      <c r="D613" s="25">
        <v>747</v>
      </c>
      <c r="E613" s="25" t="s">
        <v>7814</v>
      </c>
      <c r="F613" s="25">
        <v>5</v>
      </c>
      <c r="G613" s="8" t="s">
        <v>11372</v>
      </c>
      <c r="H613" s="25"/>
    </row>
    <row r="614" spans="1:8" ht="409.5" x14ac:dyDescent="0.25">
      <c r="A614" s="26"/>
      <c r="B614" s="26"/>
      <c r="C614" s="26"/>
      <c r="D614" s="26"/>
      <c r="E614" s="26"/>
      <c r="F614" s="26"/>
      <c r="G614" s="8" t="s">
        <v>11373</v>
      </c>
      <c r="H614" s="26"/>
    </row>
    <row r="615" spans="1:8" ht="45" x14ac:dyDescent="0.25">
      <c r="A615" s="15" t="s">
        <v>7811</v>
      </c>
      <c r="B615" s="15" t="s">
        <v>8518</v>
      </c>
      <c r="C615" s="15" t="s">
        <v>8519</v>
      </c>
      <c r="D615" s="15">
        <v>723</v>
      </c>
      <c r="E615" s="15" t="s">
        <v>7818</v>
      </c>
      <c r="F615" s="15">
        <v>8</v>
      </c>
      <c r="G615" s="15" t="s">
        <v>7819</v>
      </c>
      <c r="H615" s="15"/>
    </row>
    <row r="616" spans="1:8" ht="60" x14ac:dyDescent="0.25">
      <c r="A616" s="15" t="s">
        <v>7811</v>
      </c>
      <c r="B616" s="15" t="s">
        <v>8520</v>
      </c>
      <c r="C616" s="15" t="s">
        <v>8521</v>
      </c>
      <c r="D616" s="15">
        <v>1097</v>
      </c>
      <c r="E616" s="15" t="s">
        <v>7814</v>
      </c>
      <c r="F616" s="15">
        <v>5</v>
      </c>
      <c r="G616" s="15" t="s">
        <v>7815</v>
      </c>
      <c r="H616" s="15"/>
    </row>
    <row r="617" spans="1:8" ht="240" x14ac:dyDescent="0.25">
      <c r="A617" s="15" t="s">
        <v>7811</v>
      </c>
      <c r="B617" s="15" t="s">
        <v>8522</v>
      </c>
      <c r="C617" s="15" t="s">
        <v>8523</v>
      </c>
      <c r="D617" s="15">
        <v>1298</v>
      </c>
      <c r="E617" s="15" t="s">
        <v>7814</v>
      </c>
      <c r="F617" s="15">
        <v>5</v>
      </c>
      <c r="G617" s="15" t="s">
        <v>8524</v>
      </c>
      <c r="H617" s="15"/>
    </row>
    <row r="618" spans="1:8" ht="300" x14ac:dyDescent="0.25">
      <c r="A618" s="15" t="s">
        <v>7811</v>
      </c>
      <c r="B618" s="15" t="s">
        <v>8525</v>
      </c>
      <c r="C618" s="15" t="s">
        <v>8526</v>
      </c>
      <c r="D618" s="15">
        <v>600</v>
      </c>
      <c r="E618" s="15" t="s">
        <v>7814</v>
      </c>
      <c r="F618" s="15">
        <v>5</v>
      </c>
      <c r="G618" s="15" t="s">
        <v>8527</v>
      </c>
      <c r="H618" s="15"/>
    </row>
    <row r="619" spans="1:8" ht="105" x14ac:dyDescent="0.25">
      <c r="A619" s="15" t="s">
        <v>7811</v>
      </c>
      <c r="B619" s="15" t="s">
        <v>8528</v>
      </c>
      <c r="C619" s="15" t="s">
        <v>8529</v>
      </c>
      <c r="D619" s="15">
        <v>601</v>
      </c>
      <c r="E619" s="15" t="s">
        <v>7814</v>
      </c>
      <c r="F619" s="15">
        <v>5</v>
      </c>
      <c r="G619" s="15" t="s">
        <v>8530</v>
      </c>
      <c r="H619" s="15"/>
    </row>
    <row r="620" spans="1:8" ht="90" x14ac:dyDescent="0.25">
      <c r="A620" s="15" t="s">
        <v>7811</v>
      </c>
      <c r="B620" s="15" t="s">
        <v>8531</v>
      </c>
      <c r="C620" s="15" t="s">
        <v>8532</v>
      </c>
      <c r="D620" s="15">
        <v>803</v>
      </c>
      <c r="E620" s="15" t="s">
        <v>7818</v>
      </c>
      <c r="F620" s="15">
        <v>60</v>
      </c>
      <c r="G620" s="15" t="s">
        <v>8533</v>
      </c>
      <c r="H620" s="15"/>
    </row>
    <row r="621" spans="1:8" ht="150" x14ac:dyDescent="0.25">
      <c r="A621" s="15" t="s">
        <v>7811</v>
      </c>
      <c r="B621" s="15" t="s">
        <v>8534</v>
      </c>
      <c r="C621" s="15" t="s">
        <v>8535</v>
      </c>
      <c r="D621" s="15">
        <v>801</v>
      </c>
      <c r="E621" s="15" t="s">
        <v>7814</v>
      </c>
      <c r="F621" s="15">
        <v>5</v>
      </c>
      <c r="G621" s="15" t="s">
        <v>8536</v>
      </c>
      <c r="H621" s="15"/>
    </row>
    <row r="622" spans="1:8" ht="120" x14ac:dyDescent="0.25">
      <c r="A622" s="15" t="s">
        <v>7811</v>
      </c>
      <c r="B622" s="15" t="s">
        <v>8537</v>
      </c>
      <c r="C622" s="15" t="s">
        <v>8538</v>
      </c>
      <c r="D622" s="15">
        <v>802</v>
      </c>
      <c r="E622" s="15" t="s">
        <v>7814</v>
      </c>
      <c r="F622" s="15">
        <v>5</v>
      </c>
      <c r="G622" s="15" t="s">
        <v>8539</v>
      </c>
      <c r="H622" s="15"/>
    </row>
    <row r="623" spans="1:8" ht="135" x14ac:dyDescent="0.25">
      <c r="A623" s="15" t="s">
        <v>7811</v>
      </c>
      <c r="B623" s="15" t="s">
        <v>8540</v>
      </c>
      <c r="C623" s="15" t="s">
        <v>8541</v>
      </c>
      <c r="D623" s="15">
        <v>805</v>
      </c>
      <c r="E623" s="15" t="s">
        <v>7814</v>
      </c>
      <c r="F623" s="15">
        <v>5</v>
      </c>
      <c r="G623" s="15" t="s">
        <v>8542</v>
      </c>
      <c r="H623" s="15"/>
    </row>
    <row r="624" spans="1:8" ht="409.5" x14ac:dyDescent="0.25">
      <c r="A624" s="15" t="s">
        <v>7811</v>
      </c>
      <c r="B624" s="15" t="s">
        <v>8543</v>
      </c>
      <c r="C624" s="15" t="s">
        <v>8544</v>
      </c>
      <c r="D624" s="15">
        <v>804</v>
      </c>
      <c r="E624" s="15" t="s">
        <v>7814</v>
      </c>
      <c r="F624" s="15">
        <v>5</v>
      </c>
      <c r="G624" s="15" t="s">
        <v>8545</v>
      </c>
      <c r="H624" s="15"/>
    </row>
    <row r="625" spans="1:8" ht="45" x14ac:dyDescent="0.25">
      <c r="A625" s="15" t="s">
        <v>7811</v>
      </c>
      <c r="B625" s="15" t="s">
        <v>8546</v>
      </c>
      <c r="C625" s="15" t="s">
        <v>8547</v>
      </c>
      <c r="D625" s="15">
        <v>1279</v>
      </c>
      <c r="E625" s="15" t="s">
        <v>7859</v>
      </c>
      <c r="F625" s="15">
        <v>6</v>
      </c>
      <c r="G625" s="15" t="s">
        <v>7819</v>
      </c>
      <c r="H625" s="15"/>
    </row>
    <row r="626" spans="1:8" ht="375" x14ac:dyDescent="0.25">
      <c r="A626" s="15" t="s">
        <v>7811</v>
      </c>
      <c r="B626" s="15" t="s">
        <v>8548</v>
      </c>
      <c r="C626" s="15" t="s">
        <v>8549</v>
      </c>
      <c r="D626" s="15">
        <v>1272</v>
      </c>
      <c r="E626" s="15" t="s">
        <v>7814</v>
      </c>
      <c r="F626" s="15">
        <v>5</v>
      </c>
      <c r="G626" s="15" t="s">
        <v>8485</v>
      </c>
      <c r="H626" s="15"/>
    </row>
    <row r="627" spans="1:8" ht="375" x14ac:dyDescent="0.25">
      <c r="A627" s="15" t="s">
        <v>7811</v>
      </c>
      <c r="B627" s="15" t="s">
        <v>8550</v>
      </c>
      <c r="C627" s="15" t="s">
        <v>8551</v>
      </c>
      <c r="D627" s="15">
        <v>1271</v>
      </c>
      <c r="E627" s="15" t="s">
        <v>7814</v>
      </c>
      <c r="F627" s="15">
        <v>5</v>
      </c>
      <c r="G627" s="15" t="s">
        <v>8485</v>
      </c>
      <c r="H627" s="15"/>
    </row>
    <row r="628" spans="1:8" ht="45" x14ac:dyDescent="0.25">
      <c r="A628" s="15" t="s">
        <v>7811</v>
      </c>
      <c r="B628" s="15" t="s">
        <v>8552</v>
      </c>
      <c r="C628" s="15" t="s">
        <v>8553</v>
      </c>
      <c r="D628" s="15">
        <v>1231</v>
      </c>
      <c r="E628" s="15" t="s">
        <v>7818</v>
      </c>
      <c r="F628" s="15">
        <v>80</v>
      </c>
      <c r="G628" s="15" t="s">
        <v>7819</v>
      </c>
      <c r="H628" s="15"/>
    </row>
    <row r="629" spans="1:8" ht="60" x14ac:dyDescent="0.25">
      <c r="A629" s="15" t="s">
        <v>7811</v>
      </c>
      <c r="B629" s="15" t="s">
        <v>8554</v>
      </c>
      <c r="C629" s="15" t="s">
        <v>8555</v>
      </c>
      <c r="D629" s="15">
        <v>1225</v>
      </c>
      <c r="E629" s="15" t="s">
        <v>7818</v>
      </c>
      <c r="F629" s="15">
        <v>60</v>
      </c>
      <c r="G629" s="15" t="s">
        <v>7819</v>
      </c>
      <c r="H629" s="15"/>
    </row>
    <row r="630" spans="1:8" ht="375" x14ac:dyDescent="0.25">
      <c r="A630" s="15" t="s">
        <v>7811</v>
      </c>
      <c r="B630" s="15" t="s">
        <v>8556</v>
      </c>
      <c r="C630" s="15" t="s">
        <v>8557</v>
      </c>
      <c r="D630" s="15">
        <v>1265</v>
      </c>
      <c r="E630" s="15" t="s">
        <v>7814</v>
      </c>
      <c r="F630" s="15">
        <v>5</v>
      </c>
      <c r="G630" s="15" t="s">
        <v>8485</v>
      </c>
      <c r="H630" s="15"/>
    </row>
    <row r="631" spans="1:8" ht="390" x14ac:dyDescent="0.25">
      <c r="A631" s="15" t="s">
        <v>7811</v>
      </c>
      <c r="B631" s="15" t="s">
        <v>8558</v>
      </c>
      <c r="C631" s="15" t="s">
        <v>8559</v>
      </c>
      <c r="D631" s="15">
        <v>1269</v>
      </c>
      <c r="E631" s="15" t="s">
        <v>7814</v>
      </c>
      <c r="F631" s="15">
        <v>5</v>
      </c>
      <c r="G631" s="15" t="s">
        <v>8560</v>
      </c>
      <c r="H631" s="15"/>
    </row>
    <row r="632" spans="1:8" ht="375" x14ac:dyDescent="0.25">
      <c r="A632" s="15" t="s">
        <v>7811</v>
      </c>
      <c r="B632" s="15" t="s">
        <v>8561</v>
      </c>
      <c r="C632" s="15" t="s">
        <v>8562</v>
      </c>
      <c r="D632" s="15">
        <v>1233</v>
      </c>
      <c r="E632" s="15" t="s">
        <v>7814</v>
      </c>
      <c r="F632" s="15">
        <v>5</v>
      </c>
      <c r="G632" s="15" t="s">
        <v>8485</v>
      </c>
      <c r="H632" s="15"/>
    </row>
    <row r="633" spans="1:8" ht="270" x14ac:dyDescent="0.25">
      <c r="A633" s="15" t="s">
        <v>7811</v>
      </c>
      <c r="B633" s="15" t="s">
        <v>8563</v>
      </c>
      <c r="C633" s="15" t="s">
        <v>8564</v>
      </c>
      <c r="D633" s="15">
        <v>1236</v>
      </c>
      <c r="E633" s="15" t="s">
        <v>7814</v>
      </c>
      <c r="F633" s="15">
        <v>5</v>
      </c>
      <c r="G633" s="15" t="s">
        <v>8565</v>
      </c>
      <c r="H633" s="15"/>
    </row>
    <row r="634" spans="1:8" ht="45" x14ac:dyDescent="0.25">
      <c r="A634" s="15" t="s">
        <v>7811</v>
      </c>
      <c r="B634" s="15" t="s">
        <v>8566</v>
      </c>
      <c r="C634" s="15" t="s">
        <v>8567</v>
      </c>
      <c r="D634" s="15">
        <v>537</v>
      </c>
      <c r="E634" s="15" t="s">
        <v>7877</v>
      </c>
      <c r="F634" s="15">
        <v>6.2</v>
      </c>
      <c r="G634" s="15" t="s">
        <v>7819</v>
      </c>
      <c r="H634" s="15"/>
    </row>
    <row r="635" spans="1:8" ht="45" x14ac:dyDescent="0.25">
      <c r="A635" s="15" t="s">
        <v>7811</v>
      </c>
      <c r="B635" s="15" t="s">
        <v>8568</v>
      </c>
      <c r="C635" s="15" t="s">
        <v>8569</v>
      </c>
      <c r="D635" s="15">
        <v>496</v>
      </c>
      <c r="E635" s="15" t="s">
        <v>7818</v>
      </c>
      <c r="F635" s="15">
        <v>60</v>
      </c>
      <c r="G635" s="15" t="s">
        <v>7819</v>
      </c>
      <c r="H635" s="15"/>
    </row>
    <row r="636" spans="1:8" ht="409.5" x14ac:dyDescent="0.25">
      <c r="A636" s="15" t="s">
        <v>7811</v>
      </c>
      <c r="B636" s="15" t="s">
        <v>8570</v>
      </c>
      <c r="C636" s="15" t="s">
        <v>8571</v>
      </c>
      <c r="D636" s="15">
        <v>710</v>
      </c>
      <c r="E636" s="15" t="s">
        <v>7814</v>
      </c>
      <c r="F636" s="15">
        <v>5</v>
      </c>
      <c r="G636" s="15" t="s">
        <v>8572</v>
      </c>
      <c r="H636" s="15"/>
    </row>
    <row r="637" spans="1:8" ht="409.5" x14ac:dyDescent="0.25">
      <c r="A637" s="15" t="s">
        <v>7811</v>
      </c>
      <c r="B637" s="15" t="s">
        <v>8573</v>
      </c>
      <c r="C637" s="15" t="s">
        <v>8574</v>
      </c>
      <c r="D637" s="15">
        <v>370</v>
      </c>
      <c r="E637" s="15" t="s">
        <v>7814</v>
      </c>
      <c r="F637" s="15">
        <v>5</v>
      </c>
      <c r="G637" s="15" t="s">
        <v>8575</v>
      </c>
      <c r="H637" s="15"/>
    </row>
    <row r="638" spans="1:8" ht="120" x14ac:dyDescent="0.25">
      <c r="A638" s="15" t="s">
        <v>7811</v>
      </c>
      <c r="B638" s="15" t="s">
        <v>8576</v>
      </c>
      <c r="C638" s="15" t="s">
        <v>8577</v>
      </c>
      <c r="D638" s="15">
        <v>117</v>
      </c>
      <c r="E638" s="15" t="s">
        <v>7814</v>
      </c>
      <c r="F638" s="15">
        <v>5</v>
      </c>
      <c r="G638" s="15" t="s">
        <v>8578</v>
      </c>
      <c r="H638" s="15"/>
    </row>
    <row r="639" spans="1:8" ht="180" x14ac:dyDescent="0.25">
      <c r="A639" s="15" t="s">
        <v>7811</v>
      </c>
      <c r="B639" s="15" t="s">
        <v>8579</v>
      </c>
      <c r="C639" s="15" t="s">
        <v>8580</v>
      </c>
      <c r="D639" s="15">
        <v>118</v>
      </c>
      <c r="E639" s="15" t="s">
        <v>7814</v>
      </c>
      <c r="F639" s="15">
        <v>5</v>
      </c>
      <c r="G639" s="15" t="s">
        <v>8581</v>
      </c>
      <c r="H639" s="15"/>
    </row>
    <row r="640" spans="1:8" ht="45" x14ac:dyDescent="0.25">
      <c r="A640" s="15" t="s">
        <v>7811</v>
      </c>
      <c r="B640" s="15" t="s">
        <v>8582</v>
      </c>
      <c r="C640" s="15" t="s">
        <v>8583</v>
      </c>
      <c r="D640" s="15">
        <v>382</v>
      </c>
      <c r="E640" s="15" t="s">
        <v>7877</v>
      </c>
      <c r="F640" s="15">
        <v>4.0999999999999996</v>
      </c>
      <c r="G640" s="15" t="s">
        <v>7819</v>
      </c>
      <c r="H640" s="15"/>
    </row>
    <row r="641" spans="1:8" ht="45" x14ac:dyDescent="0.25">
      <c r="A641" s="15" t="s">
        <v>7811</v>
      </c>
      <c r="B641" s="15" t="s">
        <v>8584</v>
      </c>
      <c r="C641" s="15" t="s">
        <v>8585</v>
      </c>
      <c r="D641" s="15">
        <v>1267</v>
      </c>
      <c r="E641" s="15" t="s">
        <v>7818</v>
      </c>
      <c r="F641" s="15">
        <v>60</v>
      </c>
      <c r="G641" s="15" t="s">
        <v>7819</v>
      </c>
      <c r="H641" s="15"/>
    </row>
    <row r="642" spans="1:8" ht="45" x14ac:dyDescent="0.25">
      <c r="A642" s="15" t="s">
        <v>7811</v>
      </c>
      <c r="B642" s="15" t="s">
        <v>8586</v>
      </c>
      <c r="C642" s="15" t="s">
        <v>8587</v>
      </c>
      <c r="D642" s="15">
        <v>383</v>
      </c>
      <c r="E642" s="15" t="s">
        <v>7877</v>
      </c>
      <c r="F642" s="15">
        <v>4.0999999999999996</v>
      </c>
      <c r="G642" s="15" t="s">
        <v>7819</v>
      </c>
      <c r="H642" s="15"/>
    </row>
    <row r="643" spans="1:8" ht="345" x14ac:dyDescent="0.25">
      <c r="A643" s="15" t="s">
        <v>7811</v>
      </c>
      <c r="B643" s="15" t="s">
        <v>8588</v>
      </c>
      <c r="C643" s="15" t="s">
        <v>8589</v>
      </c>
      <c r="D643" s="15">
        <v>378</v>
      </c>
      <c r="E643" s="15" t="s">
        <v>7814</v>
      </c>
      <c r="F643" s="15">
        <v>5</v>
      </c>
      <c r="G643" s="15" t="s">
        <v>8590</v>
      </c>
      <c r="H643" s="15"/>
    </row>
    <row r="644" spans="1:8" ht="45" x14ac:dyDescent="0.25">
      <c r="A644" s="15" t="s">
        <v>7811</v>
      </c>
      <c r="B644" s="15" t="s">
        <v>8591</v>
      </c>
      <c r="C644" s="15" t="s">
        <v>8592</v>
      </c>
      <c r="D644" s="15">
        <v>381</v>
      </c>
      <c r="E644" s="15" t="s">
        <v>7859</v>
      </c>
      <c r="F644" s="15">
        <v>3</v>
      </c>
      <c r="G644" s="15" t="s">
        <v>7819</v>
      </c>
      <c r="H644" s="15"/>
    </row>
    <row r="645" spans="1:8" ht="45" x14ac:dyDescent="0.25">
      <c r="A645" s="15" t="s">
        <v>7811</v>
      </c>
      <c r="B645" s="15" t="s">
        <v>8593</v>
      </c>
      <c r="C645" s="15" t="s">
        <v>8594</v>
      </c>
      <c r="D645" s="15">
        <v>380</v>
      </c>
      <c r="E645" s="15" t="s">
        <v>7859</v>
      </c>
      <c r="F645" s="15">
        <v>4</v>
      </c>
      <c r="G645" s="15" t="s">
        <v>7819</v>
      </c>
      <c r="H645" s="15"/>
    </row>
    <row r="646" spans="1:8" ht="75" x14ac:dyDescent="0.25">
      <c r="A646" s="15" t="s">
        <v>7811</v>
      </c>
      <c r="B646" s="15" t="s">
        <v>8595</v>
      </c>
      <c r="C646" s="15" t="s">
        <v>8596</v>
      </c>
      <c r="D646" s="15">
        <v>379</v>
      </c>
      <c r="E646" s="15" t="s">
        <v>7818</v>
      </c>
      <c r="F646" s="15">
        <v>45</v>
      </c>
      <c r="G646" s="15" t="s">
        <v>7819</v>
      </c>
      <c r="H646" s="15"/>
    </row>
    <row r="647" spans="1:8" ht="60" x14ac:dyDescent="0.25">
      <c r="A647" s="15" t="s">
        <v>7811</v>
      </c>
      <c r="B647" s="15" t="s">
        <v>8597</v>
      </c>
      <c r="C647" s="15" t="s">
        <v>8598</v>
      </c>
      <c r="D647" s="15">
        <v>384</v>
      </c>
      <c r="E647" s="15" t="s">
        <v>7818</v>
      </c>
      <c r="F647" s="15">
        <v>45</v>
      </c>
      <c r="G647" s="15" t="s">
        <v>7819</v>
      </c>
      <c r="H647" s="15"/>
    </row>
    <row r="648" spans="1:8" ht="45" x14ac:dyDescent="0.25">
      <c r="A648" s="15" t="s">
        <v>7811</v>
      </c>
      <c r="B648" s="15" t="s">
        <v>8599</v>
      </c>
      <c r="C648" s="15" t="s">
        <v>8600</v>
      </c>
      <c r="D648" s="15">
        <v>1266</v>
      </c>
      <c r="E648" s="15" t="s">
        <v>7818</v>
      </c>
      <c r="F648" s="15">
        <v>30</v>
      </c>
      <c r="G648" s="15" t="s">
        <v>7819</v>
      </c>
      <c r="H648" s="15"/>
    </row>
    <row r="649" spans="1:8" ht="75" x14ac:dyDescent="0.25">
      <c r="A649" s="15" t="s">
        <v>7811</v>
      </c>
      <c r="B649" s="15" t="s">
        <v>8601</v>
      </c>
      <c r="C649" s="15" t="s">
        <v>8602</v>
      </c>
      <c r="D649" s="15">
        <v>390</v>
      </c>
      <c r="E649" s="15" t="s">
        <v>7818</v>
      </c>
      <c r="F649" s="15">
        <v>60</v>
      </c>
      <c r="G649" s="15" t="s">
        <v>7819</v>
      </c>
      <c r="H649" s="15"/>
    </row>
    <row r="650" spans="1:8" ht="120" x14ac:dyDescent="0.25">
      <c r="A650" s="15" t="s">
        <v>7811</v>
      </c>
      <c r="B650" s="15" t="s">
        <v>8603</v>
      </c>
      <c r="C650" s="15" t="s">
        <v>8604</v>
      </c>
      <c r="D650" s="15">
        <v>377</v>
      </c>
      <c r="E650" s="15" t="s">
        <v>7814</v>
      </c>
      <c r="F650" s="15">
        <v>5</v>
      </c>
      <c r="G650" s="15" t="s">
        <v>8605</v>
      </c>
      <c r="H650" s="15"/>
    </row>
    <row r="651" spans="1:8" ht="150" x14ac:dyDescent="0.25">
      <c r="A651" s="15" t="s">
        <v>7811</v>
      </c>
      <c r="B651" s="15" t="s">
        <v>8606</v>
      </c>
      <c r="C651" s="15" t="s">
        <v>8607</v>
      </c>
      <c r="D651" s="15">
        <v>369</v>
      </c>
      <c r="E651" s="15" t="s">
        <v>7814</v>
      </c>
      <c r="F651" s="15">
        <v>5</v>
      </c>
      <c r="G651" s="15" t="s">
        <v>8608</v>
      </c>
      <c r="H651" s="15"/>
    </row>
    <row r="652" spans="1:8" ht="150" x14ac:dyDescent="0.25">
      <c r="A652" s="15" t="s">
        <v>7811</v>
      </c>
      <c r="B652" s="15" t="s">
        <v>8609</v>
      </c>
      <c r="C652" s="15" t="s">
        <v>8610</v>
      </c>
      <c r="D652" s="15">
        <v>371</v>
      </c>
      <c r="E652" s="15" t="s">
        <v>7814</v>
      </c>
      <c r="F652" s="15">
        <v>5</v>
      </c>
      <c r="G652" s="15" t="s">
        <v>8611</v>
      </c>
      <c r="H652" s="15"/>
    </row>
    <row r="653" spans="1:8" ht="120" x14ac:dyDescent="0.25">
      <c r="A653" s="15" t="s">
        <v>7811</v>
      </c>
      <c r="B653" s="15" t="s">
        <v>8612</v>
      </c>
      <c r="C653" s="15" t="s">
        <v>8613</v>
      </c>
      <c r="D653" s="15">
        <v>1268</v>
      </c>
      <c r="E653" s="15" t="s">
        <v>7814</v>
      </c>
      <c r="F653" s="15">
        <v>5</v>
      </c>
      <c r="G653" s="15" t="s">
        <v>8605</v>
      </c>
      <c r="H653" s="15"/>
    </row>
    <row r="654" spans="1:8" ht="345" x14ac:dyDescent="0.25">
      <c r="A654" s="15" t="s">
        <v>7811</v>
      </c>
      <c r="B654" s="15" t="s">
        <v>8612</v>
      </c>
      <c r="C654" s="15" t="s">
        <v>8613</v>
      </c>
      <c r="D654" s="15">
        <v>1268</v>
      </c>
      <c r="E654" s="15" t="s">
        <v>7814</v>
      </c>
      <c r="F654" s="15">
        <v>5</v>
      </c>
      <c r="G654" s="15" t="s">
        <v>8614</v>
      </c>
      <c r="H654" s="15"/>
    </row>
    <row r="655" spans="1:8" ht="45" x14ac:dyDescent="0.25">
      <c r="A655" s="15" t="s">
        <v>7811</v>
      </c>
      <c r="B655" s="15" t="s">
        <v>8615</v>
      </c>
      <c r="C655" s="15" t="s">
        <v>8616</v>
      </c>
      <c r="D655" s="15">
        <v>119</v>
      </c>
      <c r="E655" s="15" t="s">
        <v>7818</v>
      </c>
      <c r="F655" s="15">
        <v>45</v>
      </c>
      <c r="G655" s="15" t="s">
        <v>7819</v>
      </c>
      <c r="H655" s="15"/>
    </row>
    <row r="656" spans="1:8" ht="195" x14ac:dyDescent="0.25">
      <c r="A656" s="15" t="s">
        <v>7811</v>
      </c>
      <c r="B656" s="15" t="s">
        <v>8617</v>
      </c>
      <c r="C656" s="15" t="s">
        <v>8618</v>
      </c>
      <c r="D656" s="15">
        <v>888</v>
      </c>
      <c r="E656" s="15" t="s">
        <v>7814</v>
      </c>
      <c r="F656" s="15">
        <v>5</v>
      </c>
      <c r="G656" s="15" t="s">
        <v>8619</v>
      </c>
      <c r="H656" s="15"/>
    </row>
    <row r="657" spans="1:8" ht="45" x14ac:dyDescent="0.25">
      <c r="A657" s="15" t="s">
        <v>7811</v>
      </c>
      <c r="B657" s="15" t="s">
        <v>8620</v>
      </c>
      <c r="C657" s="15" t="s">
        <v>8621</v>
      </c>
      <c r="D657" s="15">
        <v>533</v>
      </c>
      <c r="E657" s="15" t="s">
        <v>7818</v>
      </c>
      <c r="F657" s="15">
        <v>20</v>
      </c>
      <c r="G657" s="15" t="s">
        <v>7819</v>
      </c>
      <c r="H657" s="15"/>
    </row>
    <row r="658" spans="1:8" ht="45" x14ac:dyDescent="0.25">
      <c r="A658" s="15" t="s">
        <v>7811</v>
      </c>
      <c r="B658" s="15" t="s">
        <v>8622</v>
      </c>
      <c r="C658" s="15" t="s">
        <v>8623</v>
      </c>
      <c r="D658" s="15">
        <v>532</v>
      </c>
      <c r="E658" s="15" t="s">
        <v>7818</v>
      </c>
      <c r="F658" s="15">
        <v>20</v>
      </c>
      <c r="G658" s="15" t="s">
        <v>7819</v>
      </c>
      <c r="H658" s="15"/>
    </row>
    <row r="659" spans="1:8" ht="105" x14ac:dyDescent="0.25">
      <c r="A659" s="15" t="s">
        <v>7811</v>
      </c>
      <c r="B659" s="15" t="s">
        <v>8624</v>
      </c>
      <c r="C659" s="15" t="s">
        <v>8625</v>
      </c>
      <c r="D659" s="15">
        <v>506</v>
      </c>
      <c r="E659" s="15" t="s">
        <v>7814</v>
      </c>
      <c r="F659" s="15">
        <v>5</v>
      </c>
      <c r="G659" s="15" t="s">
        <v>8626</v>
      </c>
      <c r="H659" s="15"/>
    </row>
    <row r="660" spans="1:8" ht="315" x14ac:dyDescent="0.25">
      <c r="A660" s="15" t="s">
        <v>7811</v>
      </c>
      <c r="B660" s="15" t="s">
        <v>8627</v>
      </c>
      <c r="C660" s="15" t="s">
        <v>8628</v>
      </c>
      <c r="D660" s="15">
        <v>343</v>
      </c>
      <c r="E660" s="15" t="s">
        <v>7814</v>
      </c>
      <c r="F660" s="15">
        <v>5</v>
      </c>
      <c r="G660" s="15" t="s">
        <v>8629</v>
      </c>
      <c r="H660" s="15"/>
    </row>
    <row r="661" spans="1:8" ht="45" x14ac:dyDescent="0.25">
      <c r="A661" s="15" t="s">
        <v>7811</v>
      </c>
      <c r="B661" s="15" t="s">
        <v>8630</v>
      </c>
      <c r="C661" s="15" t="s">
        <v>8631</v>
      </c>
      <c r="D661" s="15">
        <v>995</v>
      </c>
      <c r="E661" s="15" t="s">
        <v>7818</v>
      </c>
      <c r="F661" s="15">
        <v>80</v>
      </c>
      <c r="G661" s="15" t="s">
        <v>7819</v>
      </c>
      <c r="H661" s="15"/>
    </row>
    <row r="662" spans="1:8" ht="45" x14ac:dyDescent="0.25">
      <c r="A662" s="15" t="s">
        <v>7811</v>
      </c>
      <c r="B662" s="15" t="s">
        <v>8632</v>
      </c>
      <c r="C662" s="15" t="s">
        <v>8633</v>
      </c>
      <c r="D662" s="15">
        <v>1031</v>
      </c>
      <c r="E662" s="15" t="s">
        <v>7877</v>
      </c>
      <c r="F662" s="15">
        <v>6.2</v>
      </c>
      <c r="G662" s="15" t="s">
        <v>7819</v>
      </c>
      <c r="H662" s="15"/>
    </row>
    <row r="663" spans="1:8" ht="165" x14ac:dyDescent="0.25">
      <c r="A663" s="15" t="s">
        <v>7811</v>
      </c>
      <c r="B663" s="15" t="s">
        <v>8634</v>
      </c>
      <c r="C663" s="15" t="s">
        <v>8635</v>
      </c>
      <c r="D663" s="15">
        <v>614</v>
      </c>
      <c r="E663" s="15" t="s">
        <v>7814</v>
      </c>
      <c r="F663" s="15">
        <v>5</v>
      </c>
      <c r="G663" s="15" t="s">
        <v>8636</v>
      </c>
      <c r="H663" s="15"/>
    </row>
    <row r="664" spans="1:8" ht="409.5" x14ac:dyDescent="0.25">
      <c r="A664" s="15" t="s">
        <v>7811</v>
      </c>
      <c r="B664" s="15" t="s">
        <v>8637</v>
      </c>
      <c r="C664" s="15" t="s">
        <v>8638</v>
      </c>
      <c r="D664" s="15">
        <v>326</v>
      </c>
      <c r="E664" s="15" t="s">
        <v>7814</v>
      </c>
      <c r="F664" s="15">
        <v>5</v>
      </c>
      <c r="G664" s="15" t="s">
        <v>8639</v>
      </c>
      <c r="H664" s="15"/>
    </row>
    <row r="665" spans="1:8" ht="409.5" x14ac:dyDescent="0.25">
      <c r="A665" s="15" t="s">
        <v>7811</v>
      </c>
      <c r="B665" s="15" t="s">
        <v>8640</v>
      </c>
      <c r="C665" s="15" t="s">
        <v>8641</v>
      </c>
      <c r="D665" s="15">
        <v>2149</v>
      </c>
      <c r="E665" s="15" t="s">
        <v>7814</v>
      </c>
      <c r="F665" s="15">
        <v>5</v>
      </c>
      <c r="G665" s="15" t="s">
        <v>8642</v>
      </c>
      <c r="H665" s="15"/>
    </row>
    <row r="666" spans="1:8" ht="45" x14ac:dyDescent="0.25">
      <c r="A666" s="15" t="s">
        <v>7811</v>
      </c>
      <c r="B666" s="15" t="s">
        <v>8643</v>
      </c>
      <c r="C666" s="15" t="s">
        <v>8644</v>
      </c>
      <c r="D666" s="15">
        <v>702</v>
      </c>
      <c r="E666" s="15" t="s">
        <v>7818</v>
      </c>
      <c r="F666" s="15">
        <v>60</v>
      </c>
      <c r="G666" s="15" t="s">
        <v>7819</v>
      </c>
      <c r="H666" s="15"/>
    </row>
    <row r="667" spans="1:8" ht="45" x14ac:dyDescent="0.25">
      <c r="A667" s="15" t="s">
        <v>7811</v>
      </c>
      <c r="B667" s="15" t="s">
        <v>8645</v>
      </c>
      <c r="C667" s="15" t="s">
        <v>8646</v>
      </c>
      <c r="D667" s="15">
        <v>703</v>
      </c>
      <c r="E667" s="15" t="s">
        <v>7818</v>
      </c>
      <c r="F667" s="15">
        <v>60</v>
      </c>
      <c r="G667" s="15" t="s">
        <v>7819</v>
      </c>
      <c r="H667" s="15"/>
    </row>
    <row r="668" spans="1:8" ht="45" x14ac:dyDescent="0.25">
      <c r="A668" s="15" t="s">
        <v>7811</v>
      </c>
      <c r="B668" s="15" t="s">
        <v>8647</v>
      </c>
      <c r="C668" s="15" t="s">
        <v>8648</v>
      </c>
      <c r="D668" s="15">
        <v>705</v>
      </c>
      <c r="E668" s="15" t="s">
        <v>7838</v>
      </c>
      <c r="F668" s="15">
        <v>8</v>
      </c>
      <c r="G668" s="15" t="s">
        <v>7819</v>
      </c>
      <c r="H668" s="15"/>
    </row>
    <row r="669" spans="1:8" ht="45" x14ac:dyDescent="0.25">
      <c r="A669" s="15" t="s">
        <v>7811</v>
      </c>
      <c r="B669" s="15" t="s">
        <v>8649</v>
      </c>
      <c r="C669" s="15" t="s">
        <v>8650</v>
      </c>
      <c r="D669" s="15">
        <v>701</v>
      </c>
      <c r="E669" s="15" t="s">
        <v>7818</v>
      </c>
      <c r="F669" s="15">
        <v>20</v>
      </c>
      <c r="G669" s="15" t="s">
        <v>7819</v>
      </c>
      <c r="H669" s="15"/>
    </row>
    <row r="670" spans="1:8" ht="45" x14ac:dyDescent="0.25">
      <c r="A670" s="15" t="s">
        <v>7811</v>
      </c>
      <c r="B670" s="15" t="s">
        <v>8651</v>
      </c>
      <c r="C670" s="15" t="s">
        <v>8652</v>
      </c>
      <c r="D670" s="15">
        <v>704</v>
      </c>
      <c r="E670" s="15" t="s">
        <v>7838</v>
      </c>
      <c r="F670" s="15">
        <v>8</v>
      </c>
      <c r="G670" s="15" t="s">
        <v>7819</v>
      </c>
      <c r="H670" s="15"/>
    </row>
    <row r="671" spans="1:8" ht="180" x14ac:dyDescent="0.25">
      <c r="A671" s="15" t="s">
        <v>7811</v>
      </c>
      <c r="B671" s="15" t="s">
        <v>8653</v>
      </c>
      <c r="C671" s="15" t="s">
        <v>8654</v>
      </c>
      <c r="D671" s="15">
        <v>708</v>
      </c>
      <c r="E671" s="15" t="s">
        <v>7814</v>
      </c>
      <c r="F671" s="15">
        <v>5</v>
      </c>
      <c r="G671" s="15" t="s">
        <v>8655</v>
      </c>
      <c r="H671" s="15"/>
    </row>
    <row r="672" spans="1:8" ht="45" x14ac:dyDescent="0.25">
      <c r="A672" s="15" t="s">
        <v>7811</v>
      </c>
      <c r="B672" s="15" t="s">
        <v>8656</v>
      </c>
      <c r="C672" s="15" t="s">
        <v>8657</v>
      </c>
      <c r="D672" s="15">
        <v>579</v>
      </c>
      <c r="E672" s="15" t="s">
        <v>7838</v>
      </c>
      <c r="F672" s="15">
        <v>8</v>
      </c>
      <c r="G672" s="15" t="s">
        <v>7819</v>
      </c>
      <c r="H672" s="15"/>
    </row>
    <row r="673" spans="1:8" ht="45" x14ac:dyDescent="0.25">
      <c r="A673" s="15" t="s">
        <v>7811</v>
      </c>
      <c r="B673" s="15" t="s">
        <v>8658</v>
      </c>
      <c r="C673" s="15" t="s">
        <v>8659</v>
      </c>
      <c r="D673" s="15">
        <v>474</v>
      </c>
      <c r="E673" s="15" t="s">
        <v>7818</v>
      </c>
      <c r="F673" s="15">
        <v>16</v>
      </c>
      <c r="G673" s="15" t="s">
        <v>7819</v>
      </c>
      <c r="H673" s="15"/>
    </row>
    <row r="674" spans="1:8" ht="45" x14ac:dyDescent="0.25">
      <c r="A674" s="15" t="s">
        <v>7811</v>
      </c>
      <c r="B674" s="15" t="s">
        <v>8660</v>
      </c>
      <c r="C674" s="15" t="s">
        <v>8661</v>
      </c>
      <c r="D674" s="15">
        <v>1468</v>
      </c>
      <c r="E674" s="15" t="s">
        <v>7838</v>
      </c>
      <c r="F674" s="15">
        <v>8</v>
      </c>
      <c r="G674" s="15" t="s">
        <v>7819</v>
      </c>
      <c r="H674" s="15"/>
    </row>
    <row r="675" spans="1:8" ht="45" x14ac:dyDescent="0.25">
      <c r="A675" s="15" t="s">
        <v>7811</v>
      </c>
      <c r="B675" s="15" t="s">
        <v>8662</v>
      </c>
      <c r="C675" s="15" t="s">
        <v>8663</v>
      </c>
      <c r="D675" s="15">
        <v>1469</v>
      </c>
      <c r="E675" s="15" t="s">
        <v>7859</v>
      </c>
      <c r="F675" s="15">
        <v>5</v>
      </c>
      <c r="G675" s="15" t="s">
        <v>7819</v>
      </c>
      <c r="H675" s="15"/>
    </row>
    <row r="676" spans="1:8" ht="45" x14ac:dyDescent="0.25">
      <c r="A676" s="15" t="s">
        <v>7811</v>
      </c>
      <c r="B676" s="15" t="s">
        <v>8664</v>
      </c>
      <c r="C676" s="15" t="s">
        <v>8665</v>
      </c>
      <c r="D676" s="15">
        <v>123</v>
      </c>
      <c r="E676" s="15" t="s">
        <v>7838</v>
      </c>
      <c r="F676" s="15">
        <v>8</v>
      </c>
      <c r="G676" s="15" t="s">
        <v>7819</v>
      </c>
      <c r="H676" s="15"/>
    </row>
    <row r="677" spans="1:8" ht="210" x14ac:dyDescent="0.25">
      <c r="A677" s="15" t="s">
        <v>7811</v>
      </c>
      <c r="B677" s="15" t="s">
        <v>8666</v>
      </c>
      <c r="C677" s="15" t="s">
        <v>8667</v>
      </c>
      <c r="D677" s="15">
        <v>982</v>
      </c>
      <c r="E677" s="15" t="s">
        <v>7814</v>
      </c>
      <c r="F677" s="15">
        <v>5</v>
      </c>
      <c r="G677" s="15" t="s">
        <v>8668</v>
      </c>
      <c r="H677" s="15"/>
    </row>
    <row r="678" spans="1:8" ht="45" x14ac:dyDescent="0.25">
      <c r="A678" s="15" t="s">
        <v>7811</v>
      </c>
      <c r="B678" s="15" t="s">
        <v>8669</v>
      </c>
      <c r="C678" s="15" t="s">
        <v>8670</v>
      </c>
      <c r="D678" s="15">
        <v>985</v>
      </c>
      <c r="E678" s="15" t="s">
        <v>7818</v>
      </c>
      <c r="F678" s="15">
        <v>60</v>
      </c>
      <c r="G678" s="15" t="s">
        <v>7819</v>
      </c>
      <c r="H678" s="15"/>
    </row>
    <row r="679" spans="1:8" ht="195" x14ac:dyDescent="0.25">
      <c r="A679" s="15" t="s">
        <v>7811</v>
      </c>
      <c r="B679" s="15" t="s">
        <v>8671</v>
      </c>
      <c r="C679" s="15" t="s">
        <v>8672</v>
      </c>
      <c r="D679" s="15">
        <v>984</v>
      </c>
      <c r="E679" s="15" t="s">
        <v>7814</v>
      </c>
      <c r="F679" s="15">
        <v>5</v>
      </c>
      <c r="G679" s="15" t="s">
        <v>8673</v>
      </c>
      <c r="H679" s="15"/>
    </row>
    <row r="680" spans="1:8" ht="135" x14ac:dyDescent="0.25">
      <c r="A680" s="15" t="s">
        <v>7811</v>
      </c>
      <c r="B680" s="15" t="s">
        <v>8674</v>
      </c>
      <c r="C680" s="15" t="s">
        <v>8675</v>
      </c>
      <c r="D680" s="15">
        <v>1170</v>
      </c>
      <c r="E680" s="15" t="s">
        <v>7814</v>
      </c>
      <c r="F680" s="15">
        <v>5</v>
      </c>
      <c r="G680" s="15" t="s">
        <v>8676</v>
      </c>
      <c r="H680" s="15"/>
    </row>
    <row r="681" spans="1:8" ht="150" x14ac:dyDescent="0.25">
      <c r="A681" s="15" t="s">
        <v>7811</v>
      </c>
      <c r="B681" s="15" t="s">
        <v>8677</v>
      </c>
      <c r="C681" s="15" t="s">
        <v>8678</v>
      </c>
      <c r="D681" s="15">
        <v>585</v>
      </c>
      <c r="E681" s="15" t="s">
        <v>7814</v>
      </c>
      <c r="F681" s="15">
        <v>5</v>
      </c>
      <c r="G681" s="15" t="s">
        <v>8679</v>
      </c>
      <c r="H681" s="15"/>
    </row>
    <row r="682" spans="1:8" ht="90" x14ac:dyDescent="0.25">
      <c r="A682" s="15" t="s">
        <v>7811</v>
      </c>
      <c r="B682" s="15" t="s">
        <v>8680</v>
      </c>
      <c r="C682" s="15" t="s">
        <v>8681</v>
      </c>
      <c r="D682" s="15">
        <v>126</v>
      </c>
      <c r="E682" s="15" t="s">
        <v>7859</v>
      </c>
      <c r="F682" s="15">
        <v>7</v>
      </c>
      <c r="G682" s="15" t="s">
        <v>7819</v>
      </c>
      <c r="H682" s="15"/>
    </row>
    <row r="683" spans="1:8" ht="45" x14ac:dyDescent="0.25">
      <c r="A683" s="15" t="s">
        <v>7811</v>
      </c>
      <c r="B683" s="15" t="s">
        <v>8682</v>
      </c>
      <c r="C683" s="15" t="s">
        <v>8683</v>
      </c>
      <c r="D683" s="15">
        <v>1563</v>
      </c>
      <c r="E683" s="15" t="s">
        <v>7859</v>
      </c>
      <c r="F683" s="15">
        <v>7</v>
      </c>
      <c r="G683" s="15" t="s">
        <v>7819</v>
      </c>
      <c r="H683" s="15"/>
    </row>
    <row r="684" spans="1:8" ht="45" x14ac:dyDescent="0.25">
      <c r="A684" s="15" t="s">
        <v>7811</v>
      </c>
      <c r="B684" s="15" t="s">
        <v>8684</v>
      </c>
      <c r="C684" s="15" t="s">
        <v>8685</v>
      </c>
      <c r="D684" s="15">
        <v>128</v>
      </c>
      <c r="E684" s="15" t="s">
        <v>7859</v>
      </c>
      <c r="F684" s="15">
        <v>4</v>
      </c>
      <c r="G684" s="15" t="s">
        <v>7819</v>
      </c>
      <c r="H684" s="15"/>
    </row>
    <row r="685" spans="1:8" ht="45" x14ac:dyDescent="0.25">
      <c r="A685" s="15" t="s">
        <v>7811</v>
      </c>
      <c r="B685" s="15" t="s">
        <v>8686</v>
      </c>
      <c r="C685" s="15" t="s">
        <v>8687</v>
      </c>
      <c r="D685" s="15">
        <v>1565</v>
      </c>
      <c r="E685" s="15" t="s">
        <v>7859</v>
      </c>
      <c r="F685" s="15">
        <v>4</v>
      </c>
      <c r="G685" s="15" t="s">
        <v>7819</v>
      </c>
      <c r="H685" s="15"/>
    </row>
    <row r="686" spans="1:8" ht="45" x14ac:dyDescent="0.25">
      <c r="A686" s="15" t="s">
        <v>7811</v>
      </c>
      <c r="B686" s="15" t="s">
        <v>8688</v>
      </c>
      <c r="C686" s="15" t="s">
        <v>8689</v>
      </c>
      <c r="D686" s="15">
        <v>1564</v>
      </c>
      <c r="E686" s="15" t="s">
        <v>8690</v>
      </c>
      <c r="F686" s="15">
        <v>4</v>
      </c>
      <c r="G686" s="15" t="s">
        <v>7819</v>
      </c>
      <c r="H686" s="15"/>
    </row>
    <row r="687" spans="1:8" ht="225" x14ac:dyDescent="0.25">
      <c r="A687" s="15" t="s">
        <v>7811</v>
      </c>
      <c r="B687" s="15" t="s">
        <v>8691</v>
      </c>
      <c r="C687" s="15" t="s">
        <v>8692</v>
      </c>
      <c r="D687" s="15">
        <v>1548</v>
      </c>
      <c r="E687" s="15" t="s">
        <v>7814</v>
      </c>
      <c r="F687" s="15">
        <v>5</v>
      </c>
      <c r="G687" s="15" t="s">
        <v>8693</v>
      </c>
      <c r="H687" s="15"/>
    </row>
    <row r="688" spans="1:8" ht="165" x14ac:dyDescent="0.25">
      <c r="A688" s="15" t="s">
        <v>7811</v>
      </c>
      <c r="B688" s="15" t="s">
        <v>8694</v>
      </c>
      <c r="C688" s="15" t="s">
        <v>8695</v>
      </c>
      <c r="D688" s="15">
        <v>1524</v>
      </c>
      <c r="E688" s="15" t="s">
        <v>8696</v>
      </c>
      <c r="F688" s="15">
        <v>5</v>
      </c>
      <c r="G688" s="15" t="s">
        <v>8697</v>
      </c>
      <c r="H688" s="15"/>
    </row>
    <row r="689" spans="1:8" ht="45" x14ac:dyDescent="0.25">
      <c r="A689" s="15" t="s">
        <v>7811</v>
      </c>
      <c r="B689" s="15" t="s">
        <v>8698</v>
      </c>
      <c r="C689" s="15" t="s">
        <v>8699</v>
      </c>
      <c r="D689" s="15">
        <v>1342</v>
      </c>
      <c r="E689" s="15" t="s">
        <v>7818</v>
      </c>
      <c r="F689" s="15">
        <v>60</v>
      </c>
      <c r="G689" s="15" t="s">
        <v>7819</v>
      </c>
      <c r="H689" s="15"/>
    </row>
    <row r="690" spans="1:8" ht="60" x14ac:dyDescent="0.25">
      <c r="A690" s="15" t="s">
        <v>7811</v>
      </c>
      <c r="B690" s="15" t="s">
        <v>8700</v>
      </c>
      <c r="C690" s="15" t="s">
        <v>8701</v>
      </c>
      <c r="D690" s="15">
        <v>1112</v>
      </c>
      <c r="E690" s="15" t="s">
        <v>7814</v>
      </c>
      <c r="F690" s="15">
        <v>5</v>
      </c>
      <c r="G690" s="15" t="s">
        <v>8702</v>
      </c>
      <c r="H690" s="15"/>
    </row>
    <row r="691" spans="1:8" ht="45" x14ac:dyDescent="0.25">
      <c r="A691" s="15" t="s">
        <v>7811</v>
      </c>
      <c r="B691" s="15" t="s">
        <v>8703</v>
      </c>
      <c r="C691" s="15" t="s">
        <v>8704</v>
      </c>
      <c r="D691" s="15">
        <v>1341</v>
      </c>
      <c r="E691" s="15" t="s">
        <v>7818</v>
      </c>
      <c r="F691" s="15">
        <v>45</v>
      </c>
      <c r="G691" s="15" t="s">
        <v>7819</v>
      </c>
      <c r="H691" s="15"/>
    </row>
    <row r="692" spans="1:8" ht="165" x14ac:dyDescent="0.25">
      <c r="A692" s="15" t="s">
        <v>7811</v>
      </c>
      <c r="B692" s="15" t="s">
        <v>8705</v>
      </c>
      <c r="C692" s="15" t="s">
        <v>8706</v>
      </c>
      <c r="D692" s="15">
        <v>1113</v>
      </c>
      <c r="E692" s="15" t="s">
        <v>7814</v>
      </c>
      <c r="F692" s="15">
        <v>5</v>
      </c>
      <c r="G692" s="15" t="s">
        <v>8707</v>
      </c>
      <c r="H692" s="15"/>
    </row>
    <row r="693" spans="1:8" ht="75" x14ac:dyDescent="0.25">
      <c r="A693" s="15" t="s">
        <v>7811</v>
      </c>
      <c r="B693" s="15" t="s">
        <v>8708</v>
      </c>
      <c r="C693" s="15" t="s">
        <v>8709</v>
      </c>
      <c r="D693" s="15">
        <v>561</v>
      </c>
      <c r="E693" s="15" t="s">
        <v>7814</v>
      </c>
      <c r="F693" s="15">
        <v>5</v>
      </c>
      <c r="G693" s="15" t="s">
        <v>8710</v>
      </c>
      <c r="H693" s="15"/>
    </row>
    <row r="694" spans="1:8" ht="60" x14ac:dyDescent="0.25">
      <c r="A694" s="15" t="s">
        <v>7811</v>
      </c>
      <c r="B694" s="15" t="s">
        <v>8711</v>
      </c>
      <c r="C694" s="15" t="s">
        <v>8712</v>
      </c>
      <c r="D694" s="15">
        <v>1222</v>
      </c>
      <c r="E694" s="15" t="s">
        <v>7814</v>
      </c>
      <c r="F694" s="15">
        <v>5</v>
      </c>
      <c r="G694" s="15" t="s">
        <v>8713</v>
      </c>
      <c r="H694" s="15"/>
    </row>
    <row r="695" spans="1:8" ht="45" x14ac:dyDescent="0.25">
      <c r="A695" s="15" t="s">
        <v>7811</v>
      </c>
      <c r="B695" s="15" t="s">
        <v>8714</v>
      </c>
      <c r="C695" s="15" t="s">
        <v>8715</v>
      </c>
      <c r="D695" s="15">
        <v>986</v>
      </c>
      <c r="E695" s="15" t="s">
        <v>7877</v>
      </c>
      <c r="F695" s="15">
        <v>6.2</v>
      </c>
      <c r="G695" s="15" t="s">
        <v>7819</v>
      </c>
      <c r="H695" s="15"/>
    </row>
    <row r="696" spans="1:8" ht="45" x14ac:dyDescent="0.25">
      <c r="A696" s="15" t="s">
        <v>7811</v>
      </c>
      <c r="B696" s="15" t="s">
        <v>8716</v>
      </c>
      <c r="C696" s="15" t="s">
        <v>8717</v>
      </c>
      <c r="D696" s="15">
        <v>835</v>
      </c>
      <c r="E696" s="15" t="s">
        <v>7838</v>
      </c>
      <c r="F696" s="15">
        <v>8</v>
      </c>
      <c r="G696" s="15" t="s">
        <v>7819</v>
      </c>
      <c r="H696" s="15"/>
    </row>
    <row r="697" spans="1:8" ht="45" x14ac:dyDescent="0.25">
      <c r="A697" s="15" t="s">
        <v>7811</v>
      </c>
      <c r="B697" s="15" t="s">
        <v>8718</v>
      </c>
      <c r="C697" s="15" t="s">
        <v>8719</v>
      </c>
      <c r="D697" s="15">
        <v>1212</v>
      </c>
      <c r="E697" s="15" t="s">
        <v>7838</v>
      </c>
      <c r="F697" s="15">
        <v>8</v>
      </c>
      <c r="G697" s="15" t="s">
        <v>7819</v>
      </c>
      <c r="H697" s="15"/>
    </row>
    <row r="698" spans="1:8" ht="270" x14ac:dyDescent="0.25">
      <c r="A698" s="15" t="s">
        <v>7811</v>
      </c>
      <c r="B698" s="15" t="s">
        <v>8720</v>
      </c>
      <c r="C698" s="15" t="s">
        <v>8721</v>
      </c>
      <c r="D698" s="15">
        <v>1232</v>
      </c>
      <c r="E698" s="15" t="s">
        <v>7814</v>
      </c>
      <c r="F698" s="15">
        <v>5</v>
      </c>
      <c r="G698" s="15" t="s">
        <v>8565</v>
      </c>
      <c r="H698" s="15"/>
    </row>
    <row r="699" spans="1:8" ht="45" x14ac:dyDescent="0.25">
      <c r="A699" s="15" t="s">
        <v>7811</v>
      </c>
      <c r="B699" s="15" t="s">
        <v>8722</v>
      </c>
      <c r="C699" s="15" t="s">
        <v>8723</v>
      </c>
      <c r="D699" s="15">
        <v>1210</v>
      </c>
      <c r="E699" s="15" t="s">
        <v>7838</v>
      </c>
      <c r="F699" s="15">
        <v>8</v>
      </c>
      <c r="G699" s="15" t="s">
        <v>7819</v>
      </c>
      <c r="H699" s="15"/>
    </row>
    <row r="700" spans="1:8" ht="135" x14ac:dyDescent="0.25">
      <c r="A700" s="15" t="s">
        <v>7811</v>
      </c>
      <c r="B700" s="15" t="s">
        <v>8724</v>
      </c>
      <c r="C700" s="15" t="s">
        <v>8725</v>
      </c>
      <c r="D700" s="15">
        <v>834</v>
      </c>
      <c r="E700" s="15" t="s">
        <v>7814</v>
      </c>
      <c r="F700" s="15">
        <v>5</v>
      </c>
      <c r="G700" s="15" t="s">
        <v>8726</v>
      </c>
      <c r="H700" s="15"/>
    </row>
    <row r="701" spans="1:8" ht="150" x14ac:dyDescent="0.25">
      <c r="A701" s="15" t="s">
        <v>7811</v>
      </c>
      <c r="B701" s="15" t="s">
        <v>8727</v>
      </c>
      <c r="C701" s="15" t="s">
        <v>8728</v>
      </c>
      <c r="D701" s="15">
        <v>833</v>
      </c>
      <c r="E701" s="15" t="s">
        <v>7814</v>
      </c>
      <c r="F701" s="15">
        <v>5</v>
      </c>
      <c r="G701" s="15" t="s">
        <v>8729</v>
      </c>
      <c r="H701" s="15"/>
    </row>
    <row r="702" spans="1:8" ht="360" x14ac:dyDescent="0.25">
      <c r="A702" s="15" t="s">
        <v>7811</v>
      </c>
      <c r="B702" s="15" t="s">
        <v>8730</v>
      </c>
      <c r="C702" s="15" t="s">
        <v>8731</v>
      </c>
      <c r="D702" s="15">
        <v>836</v>
      </c>
      <c r="E702" s="15" t="s">
        <v>7814</v>
      </c>
      <c r="F702" s="15">
        <v>5</v>
      </c>
      <c r="G702" s="15" t="s">
        <v>8732</v>
      </c>
      <c r="H702" s="15"/>
    </row>
    <row r="703" spans="1:8" ht="90" x14ac:dyDescent="0.25">
      <c r="A703" s="15" t="s">
        <v>7811</v>
      </c>
      <c r="B703" s="15" t="s">
        <v>8733</v>
      </c>
      <c r="C703" s="15" t="s">
        <v>8734</v>
      </c>
      <c r="D703" s="15">
        <v>754</v>
      </c>
      <c r="E703" s="15" t="s">
        <v>7814</v>
      </c>
      <c r="F703" s="15">
        <v>5</v>
      </c>
      <c r="G703" s="15" t="s">
        <v>8735</v>
      </c>
      <c r="H703" s="15"/>
    </row>
    <row r="704" spans="1:8" ht="45" x14ac:dyDescent="0.25">
      <c r="A704" s="15" t="s">
        <v>7811</v>
      </c>
      <c r="B704" s="15" t="s">
        <v>8736</v>
      </c>
      <c r="C704" s="15" t="s">
        <v>8737</v>
      </c>
      <c r="D704" s="15">
        <v>1030</v>
      </c>
      <c r="E704" s="15" t="s">
        <v>7859</v>
      </c>
      <c r="F704" s="15">
        <v>2</v>
      </c>
      <c r="G704" s="15" t="s">
        <v>7819</v>
      </c>
      <c r="H704" s="15"/>
    </row>
    <row r="705" spans="1:8" ht="45" x14ac:dyDescent="0.25">
      <c r="A705" s="15" t="s">
        <v>7811</v>
      </c>
      <c r="B705" s="15" t="s">
        <v>8738</v>
      </c>
      <c r="C705" s="15" t="s">
        <v>8739</v>
      </c>
      <c r="D705" s="15">
        <v>1000</v>
      </c>
      <c r="E705" s="15" t="s">
        <v>7838</v>
      </c>
      <c r="F705" s="15">
        <v>8</v>
      </c>
      <c r="G705" s="15" t="s">
        <v>7819</v>
      </c>
      <c r="H705" s="15"/>
    </row>
    <row r="706" spans="1:8" ht="195" x14ac:dyDescent="0.25">
      <c r="A706" s="15" t="s">
        <v>7811</v>
      </c>
      <c r="B706" s="15" t="s">
        <v>8740</v>
      </c>
      <c r="C706" s="15" t="s">
        <v>8741</v>
      </c>
      <c r="D706" s="15">
        <v>696</v>
      </c>
      <c r="E706" s="15" t="s">
        <v>7814</v>
      </c>
      <c r="F706" s="15">
        <v>5</v>
      </c>
      <c r="G706" s="15" t="s">
        <v>8742</v>
      </c>
      <c r="H706" s="15"/>
    </row>
    <row r="707" spans="1:8" ht="45" x14ac:dyDescent="0.25">
      <c r="A707" s="15" t="s">
        <v>7811</v>
      </c>
      <c r="B707" s="15" t="s">
        <v>8743</v>
      </c>
      <c r="C707" s="15" t="s">
        <v>8744</v>
      </c>
      <c r="D707" s="15">
        <v>648</v>
      </c>
      <c r="E707" s="15" t="s">
        <v>7818</v>
      </c>
      <c r="F707" s="15">
        <v>60</v>
      </c>
      <c r="G707" s="15" t="s">
        <v>7819</v>
      </c>
      <c r="H707" s="15"/>
    </row>
    <row r="708" spans="1:8" ht="45" x14ac:dyDescent="0.25">
      <c r="A708" s="15" t="s">
        <v>7811</v>
      </c>
      <c r="B708" s="15" t="s">
        <v>8745</v>
      </c>
      <c r="C708" s="15" t="s">
        <v>8746</v>
      </c>
      <c r="D708" s="15">
        <v>649</v>
      </c>
      <c r="E708" s="15" t="s">
        <v>7838</v>
      </c>
      <c r="F708" s="15">
        <v>8</v>
      </c>
      <c r="G708" s="15" t="s">
        <v>7819</v>
      </c>
      <c r="H708" s="15"/>
    </row>
    <row r="709" spans="1:8" ht="45" x14ac:dyDescent="0.25">
      <c r="A709" s="15" t="s">
        <v>7811</v>
      </c>
      <c r="B709" s="15" t="s">
        <v>8747</v>
      </c>
      <c r="C709" s="15" t="s">
        <v>8748</v>
      </c>
      <c r="D709" s="15">
        <v>1213</v>
      </c>
      <c r="E709" s="15" t="s">
        <v>7818</v>
      </c>
      <c r="F709" s="15">
        <v>60</v>
      </c>
      <c r="G709" s="15" t="s">
        <v>7819</v>
      </c>
      <c r="H709" s="15"/>
    </row>
    <row r="710" spans="1:8" ht="180" x14ac:dyDescent="0.25">
      <c r="A710" s="15" t="s">
        <v>7811</v>
      </c>
      <c r="B710" s="15" t="s">
        <v>8749</v>
      </c>
      <c r="C710" s="15" t="s">
        <v>8750</v>
      </c>
      <c r="D710" s="15">
        <v>901</v>
      </c>
      <c r="E710" s="15" t="s">
        <v>7814</v>
      </c>
      <c r="F710" s="15">
        <v>5</v>
      </c>
      <c r="G710" s="15" t="s">
        <v>8751</v>
      </c>
      <c r="H710" s="15"/>
    </row>
    <row r="711" spans="1:8" ht="150" x14ac:dyDescent="0.25">
      <c r="A711" s="15" t="s">
        <v>7811</v>
      </c>
      <c r="B711" s="15" t="s">
        <v>8752</v>
      </c>
      <c r="C711" s="15" t="s">
        <v>8753</v>
      </c>
      <c r="D711" s="15">
        <v>899</v>
      </c>
      <c r="E711" s="15" t="s">
        <v>7814</v>
      </c>
      <c r="F711" s="15">
        <v>5</v>
      </c>
      <c r="G711" s="15" t="s">
        <v>8754</v>
      </c>
      <c r="H711" s="15"/>
    </row>
    <row r="712" spans="1:8" ht="165" x14ac:dyDescent="0.25">
      <c r="A712" s="15" t="s">
        <v>7811</v>
      </c>
      <c r="B712" s="15" t="s">
        <v>8755</v>
      </c>
      <c r="C712" s="15" t="s">
        <v>8756</v>
      </c>
      <c r="D712" s="15">
        <v>898</v>
      </c>
      <c r="E712" s="15" t="s">
        <v>7814</v>
      </c>
      <c r="F712" s="15">
        <v>5</v>
      </c>
      <c r="G712" s="15" t="s">
        <v>8757</v>
      </c>
      <c r="H712" s="15"/>
    </row>
    <row r="713" spans="1:8" ht="285" x14ac:dyDescent="0.25">
      <c r="A713" s="15" t="s">
        <v>7811</v>
      </c>
      <c r="B713" s="15" t="s">
        <v>8758</v>
      </c>
      <c r="C713" s="15" t="s">
        <v>8759</v>
      </c>
      <c r="D713" s="15">
        <v>1006</v>
      </c>
      <c r="E713" s="15" t="s">
        <v>7814</v>
      </c>
      <c r="F713" s="15">
        <v>5</v>
      </c>
      <c r="G713" s="15" t="s">
        <v>8760</v>
      </c>
      <c r="H713" s="15"/>
    </row>
    <row r="714" spans="1:8" ht="45" x14ac:dyDescent="0.25">
      <c r="A714" s="15" t="s">
        <v>7811</v>
      </c>
      <c r="B714" s="15" t="s">
        <v>8761</v>
      </c>
      <c r="C714" s="15" t="s">
        <v>8762</v>
      </c>
      <c r="D714" s="15">
        <v>1007</v>
      </c>
      <c r="E714" s="15" t="s">
        <v>7877</v>
      </c>
      <c r="F714" s="15">
        <v>8.1999999999999993</v>
      </c>
      <c r="G714" s="15" t="s">
        <v>7819</v>
      </c>
      <c r="H714" s="15"/>
    </row>
    <row r="715" spans="1:8" ht="405" x14ac:dyDescent="0.25">
      <c r="A715" s="15" t="s">
        <v>7811</v>
      </c>
      <c r="B715" s="15" t="s">
        <v>8763</v>
      </c>
      <c r="C715" s="15" t="s">
        <v>8764</v>
      </c>
      <c r="D715" s="15">
        <v>969</v>
      </c>
      <c r="E715" s="15" t="s">
        <v>7814</v>
      </c>
      <c r="F715" s="15">
        <v>5</v>
      </c>
      <c r="G715" s="15" t="s">
        <v>8765</v>
      </c>
      <c r="H715" s="15"/>
    </row>
    <row r="716" spans="1:8" ht="45" x14ac:dyDescent="0.25">
      <c r="A716" s="15" t="s">
        <v>7811</v>
      </c>
      <c r="B716" s="15" t="s">
        <v>8766</v>
      </c>
      <c r="C716" s="15" t="s">
        <v>8767</v>
      </c>
      <c r="D716" s="15">
        <v>1005</v>
      </c>
      <c r="E716" s="15" t="s">
        <v>7877</v>
      </c>
      <c r="F716" s="15">
        <v>8.1999999999999993</v>
      </c>
      <c r="G716" s="15" t="s">
        <v>7819</v>
      </c>
      <c r="H716" s="15"/>
    </row>
    <row r="717" spans="1:8" ht="300" x14ac:dyDescent="0.25">
      <c r="A717" s="15" t="s">
        <v>7811</v>
      </c>
      <c r="B717" s="15" t="s">
        <v>8768</v>
      </c>
      <c r="C717" s="15" t="s">
        <v>8769</v>
      </c>
      <c r="D717" s="15">
        <v>1004</v>
      </c>
      <c r="E717" s="15" t="s">
        <v>7814</v>
      </c>
      <c r="F717" s="15">
        <v>5</v>
      </c>
      <c r="G717" s="15" t="s">
        <v>8770</v>
      </c>
      <c r="H717" s="15"/>
    </row>
    <row r="718" spans="1:8" ht="45" x14ac:dyDescent="0.25">
      <c r="A718" s="15" t="s">
        <v>7811</v>
      </c>
      <c r="B718" s="15" t="s">
        <v>8771</v>
      </c>
      <c r="C718" s="15" t="s">
        <v>8772</v>
      </c>
      <c r="D718" s="15">
        <v>967</v>
      </c>
      <c r="E718" s="15" t="s">
        <v>7818</v>
      </c>
      <c r="F718" s="15">
        <v>80</v>
      </c>
      <c r="G718" s="15" t="s">
        <v>7819</v>
      </c>
      <c r="H718" s="15"/>
    </row>
    <row r="719" spans="1:8" ht="45" x14ac:dyDescent="0.25">
      <c r="A719" s="15" t="s">
        <v>7811</v>
      </c>
      <c r="B719" s="15" t="s">
        <v>8773</v>
      </c>
      <c r="C719" s="15" t="s">
        <v>8774</v>
      </c>
      <c r="D719" s="15">
        <v>968</v>
      </c>
      <c r="E719" s="15" t="s">
        <v>7877</v>
      </c>
      <c r="F719" s="15">
        <v>8.1999999999999993</v>
      </c>
      <c r="G719" s="15" t="s">
        <v>7819</v>
      </c>
      <c r="H719" s="15"/>
    </row>
    <row r="720" spans="1:8" ht="165" x14ac:dyDescent="0.25">
      <c r="A720" s="15" t="s">
        <v>7811</v>
      </c>
      <c r="B720" s="15" t="s">
        <v>8775</v>
      </c>
      <c r="C720" s="15" t="s">
        <v>8776</v>
      </c>
      <c r="D720" s="15">
        <v>966</v>
      </c>
      <c r="E720" s="15" t="s">
        <v>7814</v>
      </c>
      <c r="F720" s="15">
        <v>5</v>
      </c>
      <c r="G720" s="15" t="s">
        <v>8777</v>
      </c>
      <c r="H720" s="15"/>
    </row>
    <row r="721" spans="1:8" ht="120" x14ac:dyDescent="0.25">
      <c r="A721" s="15" t="s">
        <v>7811</v>
      </c>
      <c r="B721" s="15" t="s">
        <v>8778</v>
      </c>
      <c r="C721" s="15" t="s">
        <v>8779</v>
      </c>
      <c r="D721" s="15">
        <v>965</v>
      </c>
      <c r="E721" s="15" t="s">
        <v>7814</v>
      </c>
      <c r="F721" s="15">
        <v>5</v>
      </c>
      <c r="G721" s="15" t="s">
        <v>8780</v>
      </c>
      <c r="H721" s="15"/>
    </row>
    <row r="722" spans="1:8" ht="120" x14ac:dyDescent="0.25">
      <c r="A722" s="15" t="s">
        <v>7811</v>
      </c>
      <c r="B722" s="15" t="s">
        <v>8781</v>
      </c>
      <c r="C722" s="15" t="s">
        <v>8782</v>
      </c>
      <c r="D722" s="15">
        <v>1550</v>
      </c>
      <c r="E722" s="15" t="s">
        <v>7814</v>
      </c>
      <c r="F722" s="15">
        <v>5</v>
      </c>
      <c r="G722" s="15" t="s">
        <v>8783</v>
      </c>
      <c r="H722" s="15"/>
    </row>
    <row r="723" spans="1:8" ht="180" x14ac:dyDescent="0.25">
      <c r="A723" s="15" t="s">
        <v>7811</v>
      </c>
      <c r="B723" s="15" t="s">
        <v>8784</v>
      </c>
      <c r="C723" s="15" t="s">
        <v>8785</v>
      </c>
      <c r="D723" s="15">
        <v>964</v>
      </c>
      <c r="E723" s="15" t="s">
        <v>7814</v>
      </c>
      <c r="F723" s="15">
        <v>5</v>
      </c>
      <c r="G723" s="15" t="s">
        <v>8786</v>
      </c>
      <c r="H723" s="15"/>
    </row>
    <row r="724" spans="1:8" ht="45" x14ac:dyDescent="0.25">
      <c r="A724" s="15" t="s">
        <v>7811</v>
      </c>
      <c r="B724" s="15" t="s">
        <v>8787</v>
      </c>
      <c r="C724" s="15" t="s">
        <v>8788</v>
      </c>
      <c r="D724" s="15">
        <v>1029</v>
      </c>
      <c r="E724" s="15" t="s">
        <v>7877</v>
      </c>
      <c r="F724" s="15">
        <v>8.1999999999999993</v>
      </c>
      <c r="G724" s="15" t="s">
        <v>7819</v>
      </c>
      <c r="H724" s="15"/>
    </row>
    <row r="725" spans="1:8" ht="195" x14ac:dyDescent="0.25">
      <c r="A725" s="15" t="s">
        <v>7811</v>
      </c>
      <c r="B725" s="15" t="s">
        <v>8789</v>
      </c>
      <c r="C725" s="15" t="s">
        <v>8790</v>
      </c>
      <c r="D725" s="15">
        <v>923</v>
      </c>
      <c r="E725" s="15" t="s">
        <v>7814</v>
      </c>
      <c r="F725" s="15">
        <v>5</v>
      </c>
      <c r="G725" s="15" t="s">
        <v>8791</v>
      </c>
      <c r="H725" s="15"/>
    </row>
    <row r="726" spans="1:8" ht="255" x14ac:dyDescent="0.25">
      <c r="A726" s="15" t="s">
        <v>7811</v>
      </c>
      <c r="B726" s="15" t="s">
        <v>8792</v>
      </c>
      <c r="C726" s="15" t="s">
        <v>8793</v>
      </c>
      <c r="D726" s="15">
        <v>129</v>
      </c>
      <c r="E726" s="15" t="s">
        <v>7814</v>
      </c>
      <c r="F726" s="15">
        <v>5</v>
      </c>
      <c r="G726" s="15" t="s">
        <v>8794</v>
      </c>
      <c r="H726" s="15"/>
    </row>
    <row r="727" spans="1:8" ht="90" x14ac:dyDescent="0.25">
      <c r="A727" s="15" t="s">
        <v>7811</v>
      </c>
      <c r="B727" s="15" t="s">
        <v>8795</v>
      </c>
      <c r="C727" s="15" t="s">
        <v>8796</v>
      </c>
      <c r="D727" s="15">
        <v>485</v>
      </c>
      <c r="E727" s="15" t="s">
        <v>7814</v>
      </c>
      <c r="F727" s="15">
        <v>5</v>
      </c>
      <c r="G727" s="15" t="s">
        <v>8797</v>
      </c>
      <c r="H727" s="15"/>
    </row>
    <row r="728" spans="1:8" ht="255" x14ac:dyDescent="0.25">
      <c r="A728" s="15" t="s">
        <v>7811</v>
      </c>
      <c r="B728" s="15" t="s">
        <v>8798</v>
      </c>
      <c r="C728" s="15" t="s">
        <v>8799</v>
      </c>
      <c r="D728" s="15">
        <v>604</v>
      </c>
      <c r="E728" s="15" t="s">
        <v>7814</v>
      </c>
      <c r="F728" s="15">
        <v>5</v>
      </c>
      <c r="G728" s="15" t="s">
        <v>8800</v>
      </c>
      <c r="H728" s="15"/>
    </row>
    <row r="729" spans="1:8" ht="120" x14ac:dyDescent="0.25">
      <c r="A729" s="15" t="s">
        <v>7811</v>
      </c>
      <c r="B729" s="15" t="s">
        <v>8801</v>
      </c>
      <c r="C729" s="15" t="s">
        <v>8802</v>
      </c>
      <c r="D729" s="15">
        <v>1284</v>
      </c>
      <c r="E729" s="15" t="s">
        <v>7814</v>
      </c>
      <c r="F729" s="15">
        <v>5</v>
      </c>
      <c r="G729" s="15" t="s">
        <v>8803</v>
      </c>
      <c r="H729" s="15"/>
    </row>
    <row r="730" spans="1:8" ht="210" x14ac:dyDescent="0.25">
      <c r="A730" s="15" t="s">
        <v>7811</v>
      </c>
      <c r="B730" s="15" t="s">
        <v>8804</v>
      </c>
      <c r="C730" s="15" t="s">
        <v>8805</v>
      </c>
      <c r="D730" s="15">
        <v>1264</v>
      </c>
      <c r="E730" s="15" t="s">
        <v>7814</v>
      </c>
      <c r="F730" s="15">
        <v>5</v>
      </c>
      <c r="G730" s="15" t="s">
        <v>8806</v>
      </c>
      <c r="H730" s="15"/>
    </row>
    <row r="731" spans="1:8" ht="45" x14ac:dyDescent="0.25">
      <c r="A731" s="15" t="s">
        <v>7811</v>
      </c>
      <c r="B731" s="15" t="s">
        <v>8807</v>
      </c>
      <c r="C731" s="15" t="s">
        <v>8808</v>
      </c>
      <c r="D731" s="15">
        <v>1247</v>
      </c>
      <c r="E731" s="15" t="s">
        <v>7818</v>
      </c>
      <c r="F731" s="15">
        <v>60</v>
      </c>
      <c r="G731" s="15" t="s">
        <v>7819</v>
      </c>
      <c r="H731" s="15"/>
    </row>
    <row r="732" spans="1:8" ht="135" x14ac:dyDescent="0.25">
      <c r="A732" s="15" t="s">
        <v>7811</v>
      </c>
      <c r="B732" s="15" t="s">
        <v>8809</v>
      </c>
      <c r="C732" s="15" t="s">
        <v>8810</v>
      </c>
      <c r="D732" s="15">
        <v>608</v>
      </c>
      <c r="E732" s="15" t="s">
        <v>7814</v>
      </c>
      <c r="F732" s="15">
        <v>5</v>
      </c>
      <c r="G732" s="15" t="s">
        <v>8811</v>
      </c>
      <c r="H732" s="15"/>
    </row>
    <row r="733" spans="1:8" ht="105" x14ac:dyDescent="0.25">
      <c r="A733" s="15" t="s">
        <v>7811</v>
      </c>
      <c r="B733" s="15" t="s">
        <v>8812</v>
      </c>
      <c r="C733" s="15" t="s">
        <v>8813</v>
      </c>
      <c r="D733" s="15">
        <v>1258</v>
      </c>
      <c r="E733" s="15" t="s">
        <v>7814</v>
      </c>
      <c r="F733" s="15">
        <v>5</v>
      </c>
      <c r="G733" s="15" t="s">
        <v>8814</v>
      </c>
      <c r="H733" s="15"/>
    </row>
    <row r="734" spans="1:8" ht="105" x14ac:dyDescent="0.25">
      <c r="A734" s="15" t="s">
        <v>7811</v>
      </c>
      <c r="B734" s="15" t="s">
        <v>8815</v>
      </c>
      <c r="C734" s="15" t="s">
        <v>8816</v>
      </c>
      <c r="D734" s="15">
        <v>1263</v>
      </c>
      <c r="E734" s="15" t="s">
        <v>7814</v>
      </c>
      <c r="F734" s="15">
        <v>5</v>
      </c>
      <c r="G734" s="15" t="s">
        <v>8814</v>
      </c>
      <c r="H734" s="15"/>
    </row>
    <row r="735" spans="1:8" ht="180" x14ac:dyDescent="0.25">
      <c r="A735" s="15" t="s">
        <v>7811</v>
      </c>
      <c r="B735" s="15" t="s">
        <v>8817</v>
      </c>
      <c r="C735" s="15" t="s">
        <v>8818</v>
      </c>
      <c r="D735" s="15">
        <v>906</v>
      </c>
      <c r="E735" s="15" t="s">
        <v>7814</v>
      </c>
      <c r="F735" s="15">
        <v>5</v>
      </c>
      <c r="G735" s="15" t="s">
        <v>8819</v>
      </c>
      <c r="H735" s="15"/>
    </row>
    <row r="736" spans="1:8" ht="255" x14ac:dyDescent="0.25">
      <c r="A736" s="15" t="s">
        <v>7811</v>
      </c>
      <c r="B736" s="15" t="s">
        <v>8820</v>
      </c>
      <c r="C736" s="15" t="s">
        <v>8821</v>
      </c>
      <c r="D736" s="15">
        <v>905</v>
      </c>
      <c r="E736" s="15" t="s">
        <v>7814</v>
      </c>
      <c r="F736" s="15">
        <v>5</v>
      </c>
      <c r="G736" s="15" t="s">
        <v>8822</v>
      </c>
      <c r="H736" s="15"/>
    </row>
    <row r="737" spans="1:8" ht="45" x14ac:dyDescent="0.25">
      <c r="A737" s="15" t="s">
        <v>7811</v>
      </c>
      <c r="B737" s="15" t="s">
        <v>8823</v>
      </c>
      <c r="C737" s="15" t="s">
        <v>8824</v>
      </c>
      <c r="D737" s="15">
        <v>853</v>
      </c>
      <c r="E737" s="15" t="s">
        <v>7877</v>
      </c>
      <c r="F737" s="15">
        <v>5.2</v>
      </c>
      <c r="G737" s="15" t="s">
        <v>7819</v>
      </c>
      <c r="H737" s="15"/>
    </row>
    <row r="738" spans="1:8" ht="45" x14ac:dyDescent="0.25">
      <c r="A738" s="15" t="s">
        <v>7811</v>
      </c>
      <c r="B738" s="15" t="s">
        <v>8825</v>
      </c>
      <c r="C738" s="15" t="s">
        <v>8826</v>
      </c>
      <c r="D738" s="15">
        <v>424</v>
      </c>
      <c r="E738" s="15" t="s">
        <v>7838</v>
      </c>
      <c r="F738" s="15">
        <v>8</v>
      </c>
      <c r="G738" s="15" t="s">
        <v>7819</v>
      </c>
      <c r="H738" s="15"/>
    </row>
    <row r="739" spans="1:8" ht="75" x14ac:dyDescent="0.25">
      <c r="A739" s="15" t="s">
        <v>7811</v>
      </c>
      <c r="B739" s="15" t="s">
        <v>8827</v>
      </c>
      <c r="C739" s="15" t="s">
        <v>8828</v>
      </c>
      <c r="D739" s="15">
        <v>423</v>
      </c>
      <c r="E739" s="15" t="s">
        <v>7814</v>
      </c>
      <c r="F739" s="15">
        <v>5</v>
      </c>
      <c r="G739" s="15" t="s">
        <v>8829</v>
      </c>
      <c r="H739" s="15"/>
    </row>
    <row r="740" spans="1:8" ht="255" x14ac:dyDescent="0.25">
      <c r="A740" s="15" t="s">
        <v>7811</v>
      </c>
      <c r="B740" s="15" t="s">
        <v>8830</v>
      </c>
      <c r="C740" s="15" t="s">
        <v>8831</v>
      </c>
      <c r="D740" s="15">
        <v>626</v>
      </c>
      <c r="E740" s="15" t="s">
        <v>7814</v>
      </c>
      <c r="F740" s="15">
        <v>5</v>
      </c>
      <c r="G740" s="15" t="s">
        <v>8832</v>
      </c>
      <c r="H740" s="15"/>
    </row>
    <row r="741" spans="1:8" ht="45" x14ac:dyDescent="0.25">
      <c r="A741" s="15" t="s">
        <v>7811</v>
      </c>
      <c r="B741" s="15" t="s">
        <v>8833</v>
      </c>
      <c r="C741" s="15" t="s">
        <v>8834</v>
      </c>
      <c r="D741" s="15">
        <v>1280</v>
      </c>
      <c r="E741" s="15" t="s">
        <v>7859</v>
      </c>
      <c r="F741" s="15">
        <v>5.2</v>
      </c>
      <c r="G741" s="15" t="s">
        <v>7819</v>
      </c>
      <c r="H741" s="15"/>
    </row>
    <row r="742" spans="1:8" ht="120" x14ac:dyDescent="0.25">
      <c r="A742" s="15" t="s">
        <v>7811</v>
      </c>
      <c r="B742" s="15" t="s">
        <v>8835</v>
      </c>
      <c r="C742" s="15" t="s">
        <v>8836</v>
      </c>
      <c r="D742" s="15">
        <v>1018</v>
      </c>
      <c r="E742" s="15" t="s">
        <v>7814</v>
      </c>
      <c r="F742" s="15">
        <v>5</v>
      </c>
      <c r="G742" s="15" t="s">
        <v>8837</v>
      </c>
      <c r="H742" s="15"/>
    </row>
    <row r="743" spans="1:8" ht="45" x14ac:dyDescent="0.25">
      <c r="A743" s="15" t="s">
        <v>7811</v>
      </c>
      <c r="B743" s="15" t="s">
        <v>8838</v>
      </c>
      <c r="C743" s="15" t="s">
        <v>8839</v>
      </c>
      <c r="D743" s="15">
        <v>634</v>
      </c>
      <c r="E743" s="15" t="s">
        <v>7877</v>
      </c>
      <c r="F743" s="15">
        <v>5.2</v>
      </c>
      <c r="G743" s="15" t="s">
        <v>7819</v>
      </c>
      <c r="H743" s="15"/>
    </row>
    <row r="744" spans="1:8" ht="45" x14ac:dyDescent="0.25">
      <c r="A744" s="15" t="s">
        <v>7811</v>
      </c>
      <c r="B744" s="15" t="s">
        <v>8840</v>
      </c>
      <c r="C744" s="15" t="s">
        <v>8841</v>
      </c>
      <c r="D744" s="15">
        <v>632</v>
      </c>
      <c r="E744" s="15" t="s">
        <v>7818</v>
      </c>
      <c r="F744" s="15">
        <v>60</v>
      </c>
      <c r="G744" s="15" t="s">
        <v>7819</v>
      </c>
      <c r="H744" s="15"/>
    </row>
    <row r="745" spans="1:8" ht="75" x14ac:dyDescent="0.25">
      <c r="A745" s="15" t="s">
        <v>7811</v>
      </c>
      <c r="B745" s="15" t="s">
        <v>8842</v>
      </c>
      <c r="C745" s="15" t="s">
        <v>8843</v>
      </c>
      <c r="D745" s="15">
        <v>630</v>
      </c>
      <c r="E745" s="15" t="s">
        <v>7814</v>
      </c>
      <c r="F745" s="15">
        <v>5</v>
      </c>
      <c r="G745" s="15" t="s">
        <v>8844</v>
      </c>
      <c r="H745" s="15"/>
    </row>
    <row r="746" spans="1:8" ht="300" x14ac:dyDescent="0.25">
      <c r="A746" s="15" t="s">
        <v>7811</v>
      </c>
      <c r="B746" s="15" t="s">
        <v>8845</v>
      </c>
      <c r="C746" s="15" t="s">
        <v>8846</v>
      </c>
      <c r="D746" s="15">
        <v>633</v>
      </c>
      <c r="E746" s="15" t="s">
        <v>7814</v>
      </c>
      <c r="F746" s="15">
        <v>5</v>
      </c>
      <c r="G746" s="15" t="s">
        <v>8847</v>
      </c>
      <c r="H746" s="15"/>
    </row>
    <row r="747" spans="1:8" ht="135" x14ac:dyDescent="0.25">
      <c r="A747" s="15" t="s">
        <v>7811</v>
      </c>
      <c r="B747" s="15" t="s">
        <v>8848</v>
      </c>
      <c r="C747" s="15" t="s">
        <v>8849</v>
      </c>
      <c r="D747" s="15">
        <v>631</v>
      </c>
      <c r="E747" s="15" t="s">
        <v>7814</v>
      </c>
      <c r="F747" s="15">
        <v>5</v>
      </c>
      <c r="G747" s="15" t="s">
        <v>8850</v>
      </c>
      <c r="H747" s="15"/>
    </row>
    <row r="748" spans="1:8" ht="75" x14ac:dyDescent="0.25">
      <c r="A748" s="15" t="s">
        <v>7811</v>
      </c>
      <c r="B748" s="15" t="s">
        <v>8851</v>
      </c>
      <c r="C748" s="15" t="s">
        <v>8852</v>
      </c>
      <c r="D748" s="15">
        <v>1568</v>
      </c>
      <c r="E748" s="15" t="s">
        <v>7814</v>
      </c>
      <c r="F748" s="15">
        <v>5</v>
      </c>
      <c r="G748" s="15" t="s">
        <v>8853</v>
      </c>
      <c r="H748" s="15"/>
    </row>
    <row r="749" spans="1:8" ht="180" x14ac:dyDescent="0.25">
      <c r="A749" s="15" t="s">
        <v>7811</v>
      </c>
      <c r="B749" s="15" t="s">
        <v>8854</v>
      </c>
      <c r="C749" s="15" t="s">
        <v>8855</v>
      </c>
      <c r="D749" s="15">
        <v>895</v>
      </c>
      <c r="E749" s="15" t="s">
        <v>7814</v>
      </c>
      <c r="F749" s="15">
        <v>5</v>
      </c>
      <c r="G749" s="15" t="s">
        <v>8856</v>
      </c>
      <c r="H749" s="15"/>
    </row>
    <row r="750" spans="1:8" ht="45" x14ac:dyDescent="0.25">
      <c r="A750" s="15" t="s">
        <v>7811</v>
      </c>
      <c r="B750" s="15" t="s">
        <v>8857</v>
      </c>
      <c r="C750" s="15" t="s">
        <v>8858</v>
      </c>
      <c r="D750" s="15">
        <v>1135</v>
      </c>
      <c r="E750" s="15" t="s">
        <v>7838</v>
      </c>
      <c r="F750" s="15">
        <v>8</v>
      </c>
      <c r="G750" s="15" t="s">
        <v>7819</v>
      </c>
      <c r="H750" s="15"/>
    </row>
    <row r="751" spans="1:8" ht="45" x14ac:dyDescent="0.25">
      <c r="A751" s="15" t="s">
        <v>7811</v>
      </c>
      <c r="B751" s="15" t="s">
        <v>8859</v>
      </c>
      <c r="C751" s="15" t="s">
        <v>8860</v>
      </c>
      <c r="D751" s="15">
        <v>325</v>
      </c>
      <c r="E751" s="15" t="s">
        <v>7838</v>
      </c>
      <c r="F751" s="15">
        <v>8</v>
      </c>
      <c r="G751" s="15" t="s">
        <v>7819</v>
      </c>
      <c r="H751" s="15"/>
    </row>
    <row r="752" spans="1:8" ht="45" x14ac:dyDescent="0.25">
      <c r="A752" s="15" t="s">
        <v>7811</v>
      </c>
      <c r="B752" s="15" t="s">
        <v>8861</v>
      </c>
      <c r="C752" s="15" t="s">
        <v>8862</v>
      </c>
      <c r="D752" s="15">
        <v>1398</v>
      </c>
      <c r="E752" s="15" t="s">
        <v>7838</v>
      </c>
      <c r="F752" s="15">
        <v>8</v>
      </c>
      <c r="G752" s="15" t="s">
        <v>7819</v>
      </c>
      <c r="H752" s="15"/>
    </row>
    <row r="753" spans="1:8" ht="45" x14ac:dyDescent="0.25">
      <c r="A753" s="15" t="s">
        <v>7811</v>
      </c>
      <c r="B753" s="15" t="s">
        <v>8863</v>
      </c>
      <c r="C753" s="15" t="s">
        <v>8864</v>
      </c>
      <c r="D753" s="15">
        <v>1397</v>
      </c>
      <c r="E753" s="15" t="s">
        <v>7838</v>
      </c>
      <c r="F753" s="15">
        <v>8</v>
      </c>
      <c r="G753" s="15" t="s">
        <v>7819</v>
      </c>
      <c r="H753" s="15"/>
    </row>
    <row r="754" spans="1:8" ht="45" x14ac:dyDescent="0.25">
      <c r="A754" s="15" t="s">
        <v>7811</v>
      </c>
      <c r="B754" s="15" t="s">
        <v>8865</v>
      </c>
      <c r="C754" s="15" t="s">
        <v>8866</v>
      </c>
      <c r="D754" s="15">
        <v>1534</v>
      </c>
      <c r="E754" s="15" t="s">
        <v>7818</v>
      </c>
      <c r="F754" s="15">
        <v>50</v>
      </c>
      <c r="G754" s="15" t="s">
        <v>7819</v>
      </c>
      <c r="H754" s="15"/>
    </row>
    <row r="755" spans="1:8" ht="45" x14ac:dyDescent="0.25">
      <c r="A755" s="15" t="s">
        <v>7811</v>
      </c>
      <c r="B755" s="15" t="s">
        <v>8867</v>
      </c>
      <c r="C755" s="15" t="s">
        <v>8868</v>
      </c>
      <c r="D755" s="15">
        <v>1530</v>
      </c>
      <c r="E755" s="15" t="s">
        <v>7818</v>
      </c>
      <c r="F755" s="15">
        <v>50</v>
      </c>
      <c r="G755" s="15" t="s">
        <v>7819</v>
      </c>
      <c r="H755" s="15"/>
    </row>
    <row r="756" spans="1:8" ht="45" x14ac:dyDescent="0.25">
      <c r="A756" s="15" t="s">
        <v>7811</v>
      </c>
      <c r="B756" s="15" t="s">
        <v>8869</v>
      </c>
      <c r="C756" s="15" t="s">
        <v>8870</v>
      </c>
      <c r="D756" s="15">
        <v>1528</v>
      </c>
      <c r="E756" s="15" t="s">
        <v>7818</v>
      </c>
      <c r="F756" s="15">
        <v>50</v>
      </c>
      <c r="G756" s="15" t="s">
        <v>7819</v>
      </c>
      <c r="H756" s="15"/>
    </row>
    <row r="757" spans="1:8" ht="45" x14ac:dyDescent="0.25">
      <c r="A757" s="15" t="s">
        <v>7811</v>
      </c>
      <c r="B757" s="15" t="s">
        <v>8871</v>
      </c>
      <c r="C757" s="15" t="s">
        <v>8872</v>
      </c>
      <c r="D757" s="15">
        <v>1388</v>
      </c>
      <c r="E757" s="15" t="s">
        <v>7818</v>
      </c>
      <c r="F757" s="15">
        <v>50</v>
      </c>
      <c r="G757" s="15" t="s">
        <v>7819</v>
      </c>
      <c r="H757" s="15"/>
    </row>
    <row r="758" spans="1:8" ht="75" x14ac:dyDescent="0.25">
      <c r="A758" s="15" t="s">
        <v>7811</v>
      </c>
      <c r="B758" s="15" t="s">
        <v>8873</v>
      </c>
      <c r="C758" s="15" t="s">
        <v>8874</v>
      </c>
      <c r="D758" s="15">
        <v>1064</v>
      </c>
      <c r="E758" s="15" t="s">
        <v>7814</v>
      </c>
      <c r="F758" s="15">
        <v>5</v>
      </c>
      <c r="G758" s="15" t="s">
        <v>8104</v>
      </c>
      <c r="H758" s="15"/>
    </row>
    <row r="759" spans="1:8" ht="45" x14ac:dyDescent="0.25">
      <c r="A759" s="15" t="s">
        <v>7811</v>
      </c>
      <c r="B759" s="15" t="s">
        <v>8875</v>
      </c>
      <c r="C759" s="15" t="s">
        <v>8876</v>
      </c>
      <c r="D759" s="15">
        <v>1063</v>
      </c>
      <c r="E759" s="15" t="s">
        <v>7818</v>
      </c>
      <c r="F759" s="15">
        <v>60</v>
      </c>
      <c r="G759" s="15" t="s">
        <v>7819</v>
      </c>
      <c r="H759" s="15"/>
    </row>
    <row r="760" spans="1:8" ht="345" x14ac:dyDescent="0.25">
      <c r="A760" s="15" t="s">
        <v>7811</v>
      </c>
      <c r="B760" s="15" t="s">
        <v>8877</v>
      </c>
      <c r="C760" s="15" t="s">
        <v>8878</v>
      </c>
      <c r="D760" s="15">
        <v>942</v>
      </c>
      <c r="E760" s="15" t="s">
        <v>7814</v>
      </c>
      <c r="F760" s="15">
        <v>5</v>
      </c>
      <c r="G760" s="15" t="s">
        <v>8879</v>
      </c>
      <c r="H760" s="15"/>
    </row>
    <row r="761" spans="1:8" ht="45" x14ac:dyDescent="0.25">
      <c r="A761" s="15" t="s">
        <v>7811</v>
      </c>
      <c r="B761" s="15" t="s">
        <v>8880</v>
      </c>
      <c r="C761" s="15" t="s">
        <v>8881</v>
      </c>
      <c r="D761" s="15">
        <v>539</v>
      </c>
      <c r="E761" s="15" t="s">
        <v>7838</v>
      </c>
      <c r="F761" s="15">
        <v>8</v>
      </c>
      <c r="G761" s="15" t="s">
        <v>7819</v>
      </c>
      <c r="H761" s="15"/>
    </row>
    <row r="762" spans="1:8" ht="75" x14ac:dyDescent="0.25">
      <c r="A762" s="15" t="s">
        <v>7811</v>
      </c>
      <c r="B762" s="15" t="s">
        <v>8882</v>
      </c>
      <c r="C762" s="15" t="s">
        <v>8883</v>
      </c>
      <c r="D762" s="15">
        <v>538</v>
      </c>
      <c r="E762" s="15" t="s">
        <v>7814</v>
      </c>
      <c r="F762" s="15">
        <v>5</v>
      </c>
      <c r="G762" s="15" t="s">
        <v>8884</v>
      </c>
      <c r="H762" s="15"/>
    </row>
    <row r="763" spans="1:8" ht="45" x14ac:dyDescent="0.25">
      <c r="A763" s="15" t="s">
        <v>7811</v>
      </c>
      <c r="B763" s="15" t="s">
        <v>8885</v>
      </c>
      <c r="C763" s="15" t="s">
        <v>8886</v>
      </c>
      <c r="D763" s="15">
        <v>132</v>
      </c>
      <c r="E763" s="15" t="s">
        <v>7818</v>
      </c>
      <c r="F763" s="15">
        <v>35</v>
      </c>
      <c r="G763" s="15" t="s">
        <v>7819</v>
      </c>
      <c r="H763" s="15"/>
    </row>
    <row r="764" spans="1:8" ht="45" x14ac:dyDescent="0.25">
      <c r="A764" s="15" t="s">
        <v>7811</v>
      </c>
      <c r="B764" s="15" t="s">
        <v>8887</v>
      </c>
      <c r="C764" s="15" t="s">
        <v>8888</v>
      </c>
      <c r="D764" s="15">
        <v>313</v>
      </c>
      <c r="E764" s="15" t="s">
        <v>7818</v>
      </c>
      <c r="F764" s="15">
        <v>60</v>
      </c>
      <c r="G764" s="15" t="s">
        <v>7819</v>
      </c>
      <c r="H764" s="15"/>
    </row>
    <row r="765" spans="1:8" ht="105" x14ac:dyDescent="0.25">
      <c r="A765" s="15" t="s">
        <v>7811</v>
      </c>
      <c r="B765" s="15" t="s">
        <v>8889</v>
      </c>
      <c r="C765" s="15" t="s">
        <v>8890</v>
      </c>
      <c r="D765" s="15">
        <v>1529</v>
      </c>
      <c r="E765" s="15" t="s">
        <v>7814</v>
      </c>
      <c r="F765" s="15">
        <v>5</v>
      </c>
      <c r="G765" s="15" t="s">
        <v>8891</v>
      </c>
      <c r="H765" s="15"/>
    </row>
    <row r="766" spans="1:8" ht="120" x14ac:dyDescent="0.25">
      <c r="A766" s="15" t="s">
        <v>7811</v>
      </c>
      <c r="B766" s="15" t="s">
        <v>8892</v>
      </c>
      <c r="C766" s="15" t="s">
        <v>8893</v>
      </c>
      <c r="D766" s="15">
        <v>133</v>
      </c>
      <c r="E766" s="15" t="s">
        <v>7814</v>
      </c>
      <c r="F766" s="15">
        <v>5</v>
      </c>
      <c r="G766" s="15" t="s">
        <v>8894</v>
      </c>
      <c r="H766" s="15"/>
    </row>
    <row r="767" spans="1:8" ht="409.5" x14ac:dyDescent="0.25">
      <c r="A767" s="15" t="s">
        <v>7811</v>
      </c>
      <c r="B767" s="15" t="s">
        <v>8895</v>
      </c>
      <c r="C767" s="15" t="s">
        <v>8896</v>
      </c>
      <c r="D767" s="15">
        <v>505</v>
      </c>
      <c r="E767" s="15" t="s">
        <v>7814</v>
      </c>
      <c r="F767" s="15">
        <v>5</v>
      </c>
      <c r="G767" s="15" t="s">
        <v>8897</v>
      </c>
      <c r="H767" s="15"/>
    </row>
    <row r="768" spans="1:8" ht="45" x14ac:dyDescent="0.25">
      <c r="A768" s="15" t="s">
        <v>7811</v>
      </c>
      <c r="B768" s="15" t="s">
        <v>8898</v>
      </c>
      <c r="C768" s="15" t="s">
        <v>8899</v>
      </c>
      <c r="D768" s="15">
        <v>1392</v>
      </c>
      <c r="E768" s="15" t="s">
        <v>7818</v>
      </c>
      <c r="F768" s="15">
        <v>50</v>
      </c>
      <c r="G768" s="15" t="s">
        <v>7819</v>
      </c>
      <c r="H768" s="15"/>
    </row>
    <row r="769" spans="1:8" ht="90" x14ac:dyDescent="0.25">
      <c r="A769" s="15" t="s">
        <v>7811</v>
      </c>
      <c r="B769" s="15" t="s">
        <v>8900</v>
      </c>
      <c r="C769" s="15" t="s">
        <v>8901</v>
      </c>
      <c r="D769" s="15">
        <v>1101</v>
      </c>
      <c r="E769" s="15" t="s">
        <v>7814</v>
      </c>
      <c r="F769" s="15">
        <v>5</v>
      </c>
      <c r="G769" s="15" t="s">
        <v>8902</v>
      </c>
      <c r="H769" s="15"/>
    </row>
    <row r="770" spans="1:8" ht="45" x14ac:dyDescent="0.25">
      <c r="A770" s="15" t="s">
        <v>7811</v>
      </c>
      <c r="B770" s="15" t="s">
        <v>8903</v>
      </c>
      <c r="C770" s="15" t="s">
        <v>8904</v>
      </c>
      <c r="D770" s="15">
        <v>622</v>
      </c>
      <c r="E770" s="15" t="s">
        <v>7877</v>
      </c>
      <c r="F770" s="15">
        <v>1.2</v>
      </c>
      <c r="G770" s="15" t="s">
        <v>7819</v>
      </c>
      <c r="H770" s="15"/>
    </row>
    <row r="771" spans="1:8" ht="90" x14ac:dyDescent="0.25">
      <c r="A771" s="15" t="s">
        <v>7811</v>
      </c>
      <c r="B771" s="15" t="s">
        <v>8905</v>
      </c>
      <c r="C771" s="15" t="s">
        <v>8906</v>
      </c>
      <c r="D771" s="15">
        <v>134</v>
      </c>
      <c r="E771" s="15" t="s">
        <v>7814</v>
      </c>
      <c r="F771" s="15">
        <v>5</v>
      </c>
      <c r="G771" s="15" t="s">
        <v>8907</v>
      </c>
      <c r="H771" s="15"/>
    </row>
    <row r="772" spans="1:8" ht="75" x14ac:dyDescent="0.25">
      <c r="A772" s="15" t="s">
        <v>7811</v>
      </c>
      <c r="B772" s="15" t="s">
        <v>8908</v>
      </c>
      <c r="C772" s="15" t="s">
        <v>8909</v>
      </c>
      <c r="D772" s="15">
        <v>568</v>
      </c>
      <c r="E772" s="15" t="s">
        <v>7814</v>
      </c>
      <c r="F772" s="15">
        <v>5</v>
      </c>
      <c r="G772" s="15" t="s">
        <v>7819</v>
      </c>
      <c r="H772" s="15"/>
    </row>
    <row r="773" spans="1:8" ht="45" x14ac:dyDescent="0.25">
      <c r="A773" s="15" t="s">
        <v>7811</v>
      </c>
      <c r="B773" s="15" t="s">
        <v>8910</v>
      </c>
      <c r="C773" s="15" t="s">
        <v>8911</v>
      </c>
      <c r="D773" s="15">
        <v>1519</v>
      </c>
      <c r="E773" s="15" t="s">
        <v>7877</v>
      </c>
      <c r="F773" s="15">
        <v>3.1</v>
      </c>
      <c r="G773" s="15" t="s">
        <v>7819</v>
      </c>
      <c r="H773" s="15"/>
    </row>
    <row r="774" spans="1:8" ht="45" x14ac:dyDescent="0.25">
      <c r="A774" s="15" t="s">
        <v>7811</v>
      </c>
      <c r="B774" s="15" t="s">
        <v>8912</v>
      </c>
      <c r="C774" s="15" t="s">
        <v>8913</v>
      </c>
      <c r="D774" s="15">
        <v>1350</v>
      </c>
      <c r="E774" s="15" t="s">
        <v>7838</v>
      </c>
      <c r="F774" s="15">
        <v>8</v>
      </c>
      <c r="G774" s="15" t="s">
        <v>7819</v>
      </c>
      <c r="H774" s="15"/>
    </row>
    <row r="775" spans="1:8" ht="45" x14ac:dyDescent="0.25">
      <c r="A775" s="15" t="s">
        <v>7811</v>
      </c>
      <c r="B775" s="15" t="s">
        <v>8914</v>
      </c>
      <c r="C775" s="15" t="s">
        <v>8915</v>
      </c>
      <c r="D775" s="15">
        <v>861</v>
      </c>
      <c r="E775" s="15" t="s">
        <v>7818</v>
      </c>
      <c r="F775" s="15">
        <v>20</v>
      </c>
      <c r="G775" s="15" t="s">
        <v>7819</v>
      </c>
      <c r="H775" s="15"/>
    </row>
    <row r="776" spans="1:8" ht="45" x14ac:dyDescent="0.25">
      <c r="A776" s="15" t="s">
        <v>7811</v>
      </c>
      <c r="B776" s="15" t="s">
        <v>8916</v>
      </c>
      <c r="C776" s="15" t="s">
        <v>8917</v>
      </c>
      <c r="D776" s="15">
        <v>136</v>
      </c>
      <c r="E776" s="15" t="s">
        <v>7818</v>
      </c>
      <c r="F776" s="15">
        <v>80</v>
      </c>
      <c r="G776" s="15" t="s">
        <v>7819</v>
      </c>
      <c r="H776" s="15"/>
    </row>
    <row r="777" spans="1:8" ht="45" x14ac:dyDescent="0.25">
      <c r="A777" s="15" t="s">
        <v>7811</v>
      </c>
      <c r="B777" s="15" t="s">
        <v>8918</v>
      </c>
      <c r="C777" s="15" t="s">
        <v>8919</v>
      </c>
      <c r="D777" s="15">
        <v>311</v>
      </c>
      <c r="E777" s="15" t="s">
        <v>7818</v>
      </c>
      <c r="F777" s="15">
        <v>60</v>
      </c>
      <c r="G777" s="15" t="s">
        <v>7819</v>
      </c>
      <c r="H777" s="15"/>
    </row>
    <row r="778" spans="1:8" ht="135" x14ac:dyDescent="0.25">
      <c r="A778" s="15" t="s">
        <v>7811</v>
      </c>
      <c r="B778" s="15" t="s">
        <v>8920</v>
      </c>
      <c r="C778" s="15" t="s">
        <v>8921</v>
      </c>
      <c r="D778" s="15">
        <v>312</v>
      </c>
      <c r="E778" s="15" t="s">
        <v>7814</v>
      </c>
      <c r="F778" s="15">
        <v>5</v>
      </c>
      <c r="G778" s="15" t="s">
        <v>8922</v>
      </c>
      <c r="H778" s="15"/>
    </row>
    <row r="779" spans="1:8" ht="45" x14ac:dyDescent="0.25">
      <c r="A779" s="15" t="s">
        <v>7811</v>
      </c>
      <c r="B779" s="15" t="s">
        <v>8923</v>
      </c>
      <c r="C779" s="15" t="s">
        <v>8924</v>
      </c>
      <c r="D779" s="15">
        <v>1414</v>
      </c>
      <c r="E779" s="15" t="s">
        <v>7818</v>
      </c>
      <c r="F779" s="15">
        <v>20</v>
      </c>
      <c r="G779" s="15" t="s">
        <v>7819</v>
      </c>
      <c r="H779" s="15"/>
    </row>
    <row r="780" spans="1:8" ht="345" x14ac:dyDescent="0.25">
      <c r="A780" s="15" t="s">
        <v>7811</v>
      </c>
      <c r="B780" s="15" t="s">
        <v>8925</v>
      </c>
      <c r="C780" s="15" t="s">
        <v>8926</v>
      </c>
      <c r="D780" s="15">
        <v>140</v>
      </c>
      <c r="E780" s="15" t="s">
        <v>7814</v>
      </c>
      <c r="F780" s="15">
        <v>5</v>
      </c>
      <c r="G780" s="15" t="s">
        <v>7929</v>
      </c>
      <c r="H780" s="15"/>
    </row>
    <row r="781" spans="1:8" ht="60" x14ac:dyDescent="0.25">
      <c r="A781" s="15" t="s">
        <v>7811</v>
      </c>
      <c r="B781" s="15" t="s">
        <v>8927</v>
      </c>
      <c r="C781" s="15" t="s">
        <v>8928</v>
      </c>
      <c r="D781" s="15">
        <v>671</v>
      </c>
      <c r="E781" s="15" t="s">
        <v>7877</v>
      </c>
      <c r="F781" s="15">
        <v>1.4</v>
      </c>
      <c r="G781" s="15" t="s">
        <v>7819</v>
      </c>
      <c r="H781" s="15"/>
    </row>
    <row r="782" spans="1:8" ht="75" x14ac:dyDescent="0.25">
      <c r="A782" s="15" t="s">
        <v>7811</v>
      </c>
      <c r="B782" s="15" t="s">
        <v>8929</v>
      </c>
      <c r="C782" s="15" t="s">
        <v>8930</v>
      </c>
      <c r="D782" s="15">
        <v>669</v>
      </c>
      <c r="E782" s="15" t="s">
        <v>7877</v>
      </c>
      <c r="F782" s="15">
        <v>1.4</v>
      </c>
      <c r="G782" s="15" t="s">
        <v>7819</v>
      </c>
      <c r="H782" s="15"/>
    </row>
    <row r="783" spans="1:8" ht="45" x14ac:dyDescent="0.25">
      <c r="A783" s="15" t="s">
        <v>7811</v>
      </c>
      <c r="B783" s="15" t="s">
        <v>8931</v>
      </c>
      <c r="C783" s="15" t="s">
        <v>8932</v>
      </c>
      <c r="D783" s="15">
        <v>665</v>
      </c>
      <c r="E783" s="15" t="s">
        <v>7877</v>
      </c>
      <c r="F783" s="15">
        <v>2.2000000000000002</v>
      </c>
      <c r="G783" s="15" t="s">
        <v>7819</v>
      </c>
      <c r="H783" s="15"/>
    </row>
    <row r="784" spans="1:8" ht="45" x14ac:dyDescent="0.25">
      <c r="A784" s="15" t="s">
        <v>7811</v>
      </c>
      <c r="B784" s="15" t="s">
        <v>8933</v>
      </c>
      <c r="C784" s="15" t="s">
        <v>8934</v>
      </c>
      <c r="D784" s="15">
        <v>667</v>
      </c>
      <c r="E784" s="15" t="s">
        <v>7877</v>
      </c>
      <c r="F784" s="15">
        <v>2.2000000000000002</v>
      </c>
      <c r="G784" s="15" t="s">
        <v>7819</v>
      </c>
      <c r="H784" s="15"/>
    </row>
    <row r="785" spans="1:8" ht="45" x14ac:dyDescent="0.25">
      <c r="A785" s="15" t="s">
        <v>7811</v>
      </c>
      <c r="B785" s="15" t="s">
        <v>8935</v>
      </c>
      <c r="C785" s="15" t="s">
        <v>8936</v>
      </c>
      <c r="D785" s="15">
        <v>666</v>
      </c>
      <c r="E785" s="15" t="s">
        <v>7877</v>
      </c>
      <c r="F785" s="15">
        <v>2.2000000000000002</v>
      </c>
      <c r="G785" s="15" t="s">
        <v>7819</v>
      </c>
      <c r="H785" s="15"/>
    </row>
    <row r="786" spans="1:8" ht="45" x14ac:dyDescent="0.25">
      <c r="A786" s="15" t="s">
        <v>7811</v>
      </c>
      <c r="B786" s="15" t="s">
        <v>8937</v>
      </c>
      <c r="C786" s="15" t="s">
        <v>8938</v>
      </c>
      <c r="D786" s="15">
        <v>143</v>
      </c>
      <c r="E786" s="15" t="s">
        <v>7838</v>
      </c>
      <c r="F786" s="15">
        <v>8</v>
      </c>
      <c r="G786" s="15" t="s">
        <v>7819</v>
      </c>
      <c r="H786" s="15"/>
    </row>
    <row r="787" spans="1:8" ht="45" x14ac:dyDescent="0.25">
      <c r="A787" s="15" t="s">
        <v>7811</v>
      </c>
      <c r="B787" s="15" t="s">
        <v>8939</v>
      </c>
      <c r="C787" s="15" t="s">
        <v>8940</v>
      </c>
      <c r="D787" s="15">
        <v>144</v>
      </c>
      <c r="E787" s="15" t="s">
        <v>7838</v>
      </c>
      <c r="F787" s="15">
        <v>8</v>
      </c>
      <c r="G787" s="15" t="s">
        <v>7819</v>
      </c>
      <c r="H787" s="15"/>
    </row>
    <row r="788" spans="1:8" ht="90" x14ac:dyDescent="0.25">
      <c r="A788" s="15" t="s">
        <v>7811</v>
      </c>
      <c r="B788" s="15" t="s">
        <v>8941</v>
      </c>
      <c r="C788" s="15" t="s">
        <v>8942</v>
      </c>
      <c r="D788" s="15">
        <v>1434</v>
      </c>
      <c r="E788" s="15" t="s">
        <v>7814</v>
      </c>
      <c r="F788" s="15">
        <v>5</v>
      </c>
      <c r="G788" s="15" t="s">
        <v>8943</v>
      </c>
      <c r="H788" s="15"/>
    </row>
    <row r="789" spans="1:8" ht="45" x14ac:dyDescent="0.25">
      <c r="A789" s="15" t="s">
        <v>7811</v>
      </c>
      <c r="B789" s="15" t="s">
        <v>8944</v>
      </c>
      <c r="C789" s="15" t="s">
        <v>8945</v>
      </c>
      <c r="D789" s="15">
        <v>554</v>
      </c>
      <c r="E789" s="15" t="s">
        <v>7818</v>
      </c>
      <c r="F789" s="15">
        <v>80</v>
      </c>
      <c r="G789" s="15" t="s">
        <v>7819</v>
      </c>
      <c r="H789" s="15"/>
    </row>
    <row r="790" spans="1:8" ht="45" x14ac:dyDescent="0.25">
      <c r="A790" s="15" t="s">
        <v>7811</v>
      </c>
      <c r="B790" s="15" t="s">
        <v>8946</v>
      </c>
      <c r="C790" s="15" t="s">
        <v>8947</v>
      </c>
      <c r="D790" s="15">
        <v>553</v>
      </c>
      <c r="E790" s="15" t="s">
        <v>7838</v>
      </c>
      <c r="F790" s="15">
        <v>8</v>
      </c>
      <c r="G790" s="15" t="s">
        <v>7819</v>
      </c>
      <c r="H790" s="15"/>
    </row>
    <row r="791" spans="1:8" ht="45" x14ac:dyDescent="0.25">
      <c r="A791" s="15" t="s">
        <v>7811</v>
      </c>
      <c r="B791" s="15" t="s">
        <v>8948</v>
      </c>
      <c r="C791" s="15" t="s">
        <v>8949</v>
      </c>
      <c r="D791" s="15">
        <v>552</v>
      </c>
      <c r="E791" s="15" t="s">
        <v>7818</v>
      </c>
      <c r="F791" s="15">
        <v>80</v>
      </c>
      <c r="G791" s="15" t="s">
        <v>7819</v>
      </c>
      <c r="H791" s="15"/>
    </row>
    <row r="792" spans="1:8" ht="45" x14ac:dyDescent="0.25">
      <c r="A792" s="15" t="s">
        <v>7811</v>
      </c>
      <c r="B792" s="15" t="s">
        <v>8950</v>
      </c>
      <c r="C792" s="15" t="s">
        <v>8951</v>
      </c>
      <c r="D792" s="15">
        <v>556</v>
      </c>
      <c r="E792" s="15" t="s">
        <v>7818</v>
      </c>
      <c r="F792" s="15">
        <v>80</v>
      </c>
      <c r="G792" s="15" t="s">
        <v>7819</v>
      </c>
      <c r="H792" s="15"/>
    </row>
    <row r="793" spans="1:8" ht="45" x14ac:dyDescent="0.25">
      <c r="A793" s="15" t="s">
        <v>7811</v>
      </c>
      <c r="B793" s="15" t="s">
        <v>8952</v>
      </c>
      <c r="C793" s="15" t="s">
        <v>8953</v>
      </c>
      <c r="D793" s="15">
        <v>555</v>
      </c>
      <c r="E793" s="15" t="s">
        <v>7838</v>
      </c>
      <c r="F793" s="15">
        <v>8</v>
      </c>
      <c r="G793" s="15" t="s">
        <v>7819</v>
      </c>
      <c r="H793" s="15"/>
    </row>
    <row r="794" spans="1:8" ht="45" x14ac:dyDescent="0.25">
      <c r="A794" s="15" t="s">
        <v>7811</v>
      </c>
      <c r="B794" s="15" t="s">
        <v>8954</v>
      </c>
      <c r="C794" s="15" t="s">
        <v>8955</v>
      </c>
      <c r="D794" s="15">
        <v>523</v>
      </c>
      <c r="E794" s="15" t="s">
        <v>7877</v>
      </c>
      <c r="F794" s="15">
        <v>6.2</v>
      </c>
      <c r="G794" s="15" t="s">
        <v>7819</v>
      </c>
      <c r="H794" s="15"/>
    </row>
    <row r="795" spans="1:8" ht="75" x14ac:dyDescent="0.25">
      <c r="A795" s="15" t="s">
        <v>7811</v>
      </c>
      <c r="B795" s="15" t="s">
        <v>8956</v>
      </c>
      <c r="C795" s="15" t="s">
        <v>8957</v>
      </c>
      <c r="D795" s="15">
        <v>1299</v>
      </c>
      <c r="E795" s="15" t="s">
        <v>7814</v>
      </c>
      <c r="F795" s="15">
        <v>5</v>
      </c>
      <c r="G795" s="15" t="s">
        <v>8958</v>
      </c>
      <c r="H795" s="15"/>
    </row>
    <row r="796" spans="1:8" ht="45" x14ac:dyDescent="0.25">
      <c r="A796" s="15" t="s">
        <v>7811</v>
      </c>
      <c r="B796" s="15" t="s">
        <v>8959</v>
      </c>
      <c r="C796" s="15" t="s">
        <v>8960</v>
      </c>
      <c r="D796" s="15">
        <v>1878</v>
      </c>
      <c r="E796" s="15" t="s">
        <v>7818</v>
      </c>
      <c r="F796" s="15">
        <v>50</v>
      </c>
      <c r="G796" s="15" t="s">
        <v>7819</v>
      </c>
      <c r="H796" s="15"/>
    </row>
    <row r="797" spans="1:8" ht="45" x14ac:dyDescent="0.25">
      <c r="A797" s="15" t="s">
        <v>7811</v>
      </c>
      <c r="B797" s="15" t="s">
        <v>8961</v>
      </c>
      <c r="C797" s="15" t="s">
        <v>8962</v>
      </c>
      <c r="D797" s="15">
        <v>998</v>
      </c>
      <c r="E797" s="15" t="s">
        <v>7818</v>
      </c>
      <c r="F797" s="15">
        <v>80</v>
      </c>
      <c r="G797" s="15" t="s">
        <v>7819</v>
      </c>
      <c r="H797" s="15"/>
    </row>
    <row r="798" spans="1:8" ht="45" x14ac:dyDescent="0.25">
      <c r="A798" s="15" t="s">
        <v>7811</v>
      </c>
      <c r="B798" s="15" t="s">
        <v>8963</v>
      </c>
      <c r="C798" s="15" t="s">
        <v>8964</v>
      </c>
      <c r="D798" s="15">
        <v>997</v>
      </c>
      <c r="E798" s="15" t="s">
        <v>7838</v>
      </c>
      <c r="F798" s="15">
        <v>8</v>
      </c>
      <c r="G798" s="15" t="s">
        <v>7819</v>
      </c>
      <c r="H798" s="15"/>
    </row>
    <row r="799" spans="1:8" ht="409.5" x14ac:dyDescent="0.25">
      <c r="A799" s="15" t="s">
        <v>7811</v>
      </c>
      <c r="B799" s="15" t="s">
        <v>8965</v>
      </c>
      <c r="C799" s="15" t="s">
        <v>8966</v>
      </c>
      <c r="D799" s="15">
        <v>996</v>
      </c>
      <c r="E799" s="15" t="s">
        <v>7814</v>
      </c>
      <c r="F799" s="15">
        <v>5</v>
      </c>
      <c r="G799" s="15" t="s">
        <v>8967</v>
      </c>
      <c r="H799" s="15"/>
    </row>
    <row r="800" spans="1:8" ht="210" x14ac:dyDescent="0.25">
      <c r="A800" s="15" t="s">
        <v>7811</v>
      </c>
      <c r="B800" s="15" t="s">
        <v>8968</v>
      </c>
      <c r="C800" s="15" t="s">
        <v>8969</v>
      </c>
      <c r="D800" s="15">
        <v>602</v>
      </c>
      <c r="E800" s="15" t="s">
        <v>7814</v>
      </c>
      <c r="F800" s="15">
        <v>5</v>
      </c>
      <c r="G800" s="15" t="s">
        <v>8970</v>
      </c>
      <c r="H800" s="15"/>
    </row>
    <row r="801" spans="1:8" ht="45" x14ac:dyDescent="0.25">
      <c r="A801" s="15" t="s">
        <v>7811</v>
      </c>
      <c r="B801" s="15" t="s">
        <v>8971</v>
      </c>
      <c r="C801" s="15" t="s">
        <v>8972</v>
      </c>
      <c r="D801" s="15">
        <v>364</v>
      </c>
      <c r="E801" s="15" t="s">
        <v>7818</v>
      </c>
      <c r="F801" s="15">
        <v>60</v>
      </c>
      <c r="G801" s="15" t="s">
        <v>7819</v>
      </c>
      <c r="H801" s="15"/>
    </row>
    <row r="802" spans="1:8" ht="45" x14ac:dyDescent="0.25">
      <c r="A802" s="15" t="s">
        <v>7811</v>
      </c>
      <c r="B802" s="15" t="s">
        <v>8973</v>
      </c>
      <c r="C802" s="15" t="s">
        <v>8974</v>
      </c>
      <c r="D802" s="15">
        <v>753</v>
      </c>
      <c r="E802" s="15" t="s">
        <v>7838</v>
      </c>
      <c r="F802" s="15">
        <v>8</v>
      </c>
      <c r="G802" s="15" t="s">
        <v>7819</v>
      </c>
      <c r="H802" s="15"/>
    </row>
    <row r="803" spans="1:8" ht="45" x14ac:dyDescent="0.25">
      <c r="A803" s="15" t="s">
        <v>7811</v>
      </c>
      <c r="B803" s="15" t="s">
        <v>8975</v>
      </c>
      <c r="C803" s="15" t="s">
        <v>8976</v>
      </c>
      <c r="D803" s="15">
        <v>348</v>
      </c>
      <c r="E803" s="15" t="s">
        <v>7818</v>
      </c>
      <c r="F803" s="15">
        <v>35</v>
      </c>
      <c r="G803" s="15" t="s">
        <v>7819</v>
      </c>
      <c r="H803" s="15"/>
    </row>
    <row r="804" spans="1:8" ht="45" x14ac:dyDescent="0.25">
      <c r="A804" s="15" t="s">
        <v>7811</v>
      </c>
      <c r="B804" s="15" t="s">
        <v>8977</v>
      </c>
      <c r="C804" s="15" t="s">
        <v>8978</v>
      </c>
      <c r="D804" s="15">
        <v>752</v>
      </c>
      <c r="E804" s="15" t="s">
        <v>7818</v>
      </c>
      <c r="F804" s="15">
        <v>80</v>
      </c>
      <c r="G804" s="15" t="s">
        <v>7819</v>
      </c>
      <c r="H804" s="15"/>
    </row>
    <row r="805" spans="1:8" ht="195" x14ac:dyDescent="0.25">
      <c r="A805" s="15" t="s">
        <v>7811</v>
      </c>
      <c r="B805" s="15" t="s">
        <v>8979</v>
      </c>
      <c r="C805" s="15" t="s">
        <v>8980</v>
      </c>
      <c r="D805" s="15">
        <v>889</v>
      </c>
      <c r="E805" s="15" t="s">
        <v>7814</v>
      </c>
      <c r="F805" s="15">
        <v>5</v>
      </c>
      <c r="G805" s="15" t="s">
        <v>8981</v>
      </c>
      <c r="H805" s="15"/>
    </row>
    <row r="806" spans="1:8" ht="195" x14ac:dyDescent="0.25">
      <c r="A806" s="15" t="s">
        <v>7811</v>
      </c>
      <c r="B806" s="15" t="s">
        <v>8982</v>
      </c>
      <c r="C806" s="15" t="s">
        <v>8983</v>
      </c>
      <c r="D806" s="15">
        <v>871</v>
      </c>
      <c r="E806" s="15" t="s">
        <v>7814</v>
      </c>
      <c r="F806" s="15">
        <v>5</v>
      </c>
      <c r="G806" s="15" t="s">
        <v>8984</v>
      </c>
      <c r="H806" s="15"/>
    </row>
    <row r="807" spans="1:8" ht="90" x14ac:dyDescent="0.25">
      <c r="A807" s="15" t="s">
        <v>7811</v>
      </c>
      <c r="B807" s="15" t="s">
        <v>8985</v>
      </c>
      <c r="C807" s="15" t="s">
        <v>8986</v>
      </c>
      <c r="D807" s="15">
        <v>799</v>
      </c>
      <c r="E807" s="15" t="s">
        <v>7814</v>
      </c>
      <c r="F807" s="15">
        <v>5</v>
      </c>
      <c r="G807" s="15" t="s">
        <v>8987</v>
      </c>
      <c r="H807" s="15"/>
    </row>
    <row r="808" spans="1:8" ht="60" x14ac:dyDescent="0.25">
      <c r="A808" s="15" t="s">
        <v>7811</v>
      </c>
      <c r="B808" s="15" t="s">
        <v>8988</v>
      </c>
      <c r="C808" s="15" t="s">
        <v>8989</v>
      </c>
      <c r="D808" s="15">
        <v>1140</v>
      </c>
      <c r="E808" s="15" t="s">
        <v>7814</v>
      </c>
      <c r="F808" s="15">
        <v>5</v>
      </c>
      <c r="G808" s="15" t="s">
        <v>7815</v>
      </c>
      <c r="H808" s="15"/>
    </row>
    <row r="809" spans="1:8" ht="45" x14ac:dyDescent="0.25">
      <c r="A809" s="15" t="s">
        <v>7811</v>
      </c>
      <c r="B809" s="15" t="s">
        <v>8990</v>
      </c>
      <c r="C809" s="15" t="s">
        <v>8991</v>
      </c>
      <c r="D809" s="15">
        <v>389</v>
      </c>
      <c r="E809" s="15" t="s">
        <v>7818</v>
      </c>
      <c r="F809" s="15">
        <v>45</v>
      </c>
      <c r="G809" s="15" t="s">
        <v>7819</v>
      </c>
      <c r="H809" s="15"/>
    </row>
    <row r="810" spans="1:8" ht="45" x14ac:dyDescent="0.25">
      <c r="A810" s="15" t="s">
        <v>7811</v>
      </c>
      <c r="B810" s="15" t="s">
        <v>8992</v>
      </c>
      <c r="C810" s="15" t="s">
        <v>8993</v>
      </c>
      <c r="D810" s="15">
        <v>1423</v>
      </c>
      <c r="E810" s="15" t="s">
        <v>7818</v>
      </c>
      <c r="F810" s="15">
        <v>35</v>
      </c>
      <c r="G810" s="15" t="s">
        <v>7819</v>
      </c>
      <c r="H810" s="15"/>
    </row>
    <row r="811" spans="1:8" ht="45" x14ac:dyDescent="0.25">
      <c r="A811" s="15" t="s">
        <v>7811</v>
      </c>
      <c r="B811" s="15" t="s">
        <v>8994</v>
      </c>
      <c r="C811" s="15" t="s">
        <v>8995</v>
      </c>
      <c r="D811" s="15">
        <v>349</v>
      </c>
      <c r="E811" s="15" t="s">
        <v>7818</v>
      </c>
      <c r="F811" s="15">
        <v>35</v>
      </c>
      <c r="G811" s="15" t="s">
        <v>7819</v>
      </c>
      <c r="H811" s="15"/>
    </row>
    <row r="812" spans="1:8" ht="45" x14ac:dyDescent="0.25">
      <c r="A812" s="15" t="s">
        <v>7811</v>
      </c>
      <c r="B812" s="15" t="s">
        <v>8996</v>
      </c>
      <c r="C812" s="15" t="s">
        <v>8997</v>
      </c>
      <c r="D812" s="15">
        <v>548</v>
      </c>
      <c r="E812" s="15" t="s">
        <v>7877</v>
      </c>
      <c r="F812" s="15">
        <v>4.2</v>
      </c>
      <c r="G812" s="15" t="s">
        <v>7819</v>
      </c>
      <c r="H812" s="15"/>
    </row>
    <row r="813" spans="1:8" ht="45" x14ac:dyDescent="0.25">
      <c r="A813" s="15" t="s">
        <v>7811</v>
      </c>
      <c r="B813" s="15" t="s">
        <v>8998</v>
      </c>
      <c r="C813" s="15" t="s">
        <v>8999</v>
      </c>
      <c r="D813" s="15">
        <v>955</v>
      </c>
      <c r="E813" s="15" t="s">
        <v>7859</v>
      </c>
      <c r="F813" s="15">
        <v>3</v>
      </c>
      <c r="G813" s="15" t="s">
        <v>7819</v>
      </c>
      <c r="H813" s="15"/>
    </row>
    <row r="814" spans="1:8" ht="45" x14ac:dyDescent="0.25">
      <c r="A814" s="15" t="s">
        <v>7811</v>
      </c>
      <c r="B814" s="15" t="s">
        <v>9000</v>
      </c>
      <c r="C814" s="15" t="s">
        <v>9001</v>
      </c>
      <c r="D814" s="15">
        <v>477</v>
      </c>
      <c r="E814" s="15" t="s">
        <v>7877</v>
      </c>
      <c r="F814" s="15">
        <v>2.2000000000000002</v>
      </c>
      <c r="G814" s="15" t="s">
        <v>7819</v>
      </c>
      <c r="H814" s="15"/>
    </row>
    <row r="815" spans="1:8" ht="45" x14ac:dyDescent="0.25">
      <c r="A815" s="15" t="s">
        <v>7811</v>
      </c>
      <c r="B815" s="15" t="s">
        <v>9002</v>
      </c>
      <c r="C815" s="15" t="s">
        <v>9003</v>
      </c>
      <c r="D815" s="15">
        <v>479</v>
      </c>
      <c r="E815" s="15" t="s">
        <v>7877</v>
      </c>
      <c r="F815" s="15">
        <v>2.2000000000000002</v>
      </c>
      <c r="G815" s="15" t="s">
        <v>7819</v>
      </c>
      <c r="H815" s="15"/>
    </row>
    <row r="816" spans="1:8" ht="225" x14ac:dyDescent="0.25">
      <c r="A816" s="15" t="s">
        <v>7811</v>
      </c>
      <c r="B816" s="15" t="s">
        <v>9004</v>
      </c>
      <c r="C816" s="15" t="s">
        <v>9005</v>
      </c>
      <c r="D816" s="15">
        <v>1532</v>
      </c>
      <c r="E816" s="15" t="s">
        <v>7814</v>
      </c>
      <c r="F816" s="15">
        <v>5</v>
      </c>
      <c r="G816" s="15" t="s">
        <v>9006</v>
      </c>
      <c r="H816" s="15"/>
    </row>
    <row r="817" spans="1:8" ht="45" x14ac:dyDescent="0.25">
      <c r="A817" s="15" t="s">
        <v>7811</v>
      </c>
      <c r="B817" s="15" t="s">
        <v>9007</v>
      </c>
      <c r="C817" s="15" t="s">
        <v>9008</v>
      </c>
      <c r="D817" s="15">
        <v>309</v>
      </c>
      <c r="E817" s="15" t="s">
        <v>7838</v>
      </c>
      <c r="F817" s="15">
        <v>8</v>
      </c>
      <c r="G817" s="15" t="s">
        <v>7819</v>
      </c>
      <c r="H817" s="15"/>
    </row>
    <row r="818" spans="1:8" ht="180" x14ac:dyDescent="0.25">
      <c r="A818" s="15" t="s">
        <v>7811</v>
      </c>
      <c r="B818" s="15" t="s">
        <v>9009</v>
      </c>
      <c r="C818" s="15" t="s">
        <v>9010</v>
      </c>
      <c r="D818" s="15">
        <v>792</v>
      </c>
      <c r="E818" s="15" t="s">
        <v>7814</v>
      </c>
      <c r="F818" s="15">
        <v>5</v>
      </c>
      <c r="G818" s="15" t="s">
        <v>9011</v>
      </c>
      <c r="H818" s="15"/>
    </row>
    <row r="819" spans="1:8" ht="45" x14ac:dyDescent="0.25">
      <c r="A819" s="15" t="s">
        <v>7811</v>
      </c>
      <c r="B819" s="15" t="s">
        <v>9012</v>
      </c>
      <c r="C819" s="15" t="s">
        <v>9013</v>
      </c>
      <c r="D819" s="15">
        <v>793</v>
      </c>
      <c r="E819" s="15" t="s">
        <v>7818</v>
      </c>
      <c r="F819" s="15">
        <v>35</v>
      </c>
      <c r="G819" s="15" t="s">
        <v>7819</v>
      </c>
      <c r="H819" s="15"/>
    </row>
    <row r="820" spans="1:8" ht="90" x14ac:dyDescent="0.25">
      <c r="A820" s="15" t="s">
        <v>7811</v>
      </c>
      <c r="B820" s="15" t="s">
        <v>9014</v>
      </c>
      <c r="C820" s="15" t="s">
        <v>9015</v>
      </c>
      <c r="D820" s="15">
        <v>1245</v>
      </c>
      <c r="E820" s="15" t="s">
        <v>7814</v>
      </c>
      <c r="F820" s="15">
        <v>5</v>
      </c>
      <c r="G820" s="15" t="s">
        <v>9016</v>
      </c>
      <c r="H820" s="15"/>
    </row>
    <row r="821" spans="1:8" ht="90" x14ac:dyDescent="0.25">
      <c r="A821" s="15" t="s">
        <v>7811</v>
      </c>
      <c r="B821" s="15" t="s">
        <v>9017</v>
      </c>
      <c r="C821" s="15" t="s">
        <v>9018</v>
      </c>
      <c r="D821" s="15">
        <v>1234</v>
      </c>
      <c r="E821" s="15" t="s">
        <v>7814</v>
      </c>
      <c r="F821" s="15">
        <v>5</v>
      </c>
      <c r="G821" s="15" t="s">
        <v>8505</v>
      </c>
      <c r="H821" s="15"/>
    </row>
    <row r="822" spans="1:8" ht="409.5" x14ac:dyDescent="0.25">
      <c r="A822" s="18" t="s">
        <v>7811</v>
      </c>
      <c r="B822" s="18" t="s">
        <v>9019</v>
      </c>
      <c r="C822" s="18" t="s">
        <v>9020</v>
      </c>
      <c r="D822" s="18">
        <v>647</v>
      </c>
      <c r="E822" s="18" t="s">
        <v>7814</v>
      </c>
      <c r="F822" s="18">
        <v>5</v>
      </c>
      <c r="G822" s="8" t="s">
        <v>11374</v>
      </c>
      <c r="H822" s="18"/>
    </row>
    <row r="823" spans="1:8" ht="409.5" x14ac:dyDescent="0.25">
      <c r="A823" s="19"/>
      <c r="B823" s="19"/>
      <c r="C823" s="19"/>
      <c r="D823" s="19"/>
      <c r="E823" s="19"/>
      <c r="F823" s="19"/>
      <c r="G823" s="8" t="s">
        <v>11375</v>
      </c>
      <c r="H823" s="19"/>
    </row>
    <row r="824" spans="1:8" ht="240" x14ac:dyDescent="0.25">
      <c r="A824" s="15" t="s">
        <v>7811</v>
      </c>
      <c r="B824" s="15" t="s">
        <v>9021</v>
      </c>
      <c r="C824" s="15" t="s">
        <v>9022</v>
      </c>
      <c r="D824" s="15">
        <v>355</v>
      </c>
      <c r="E824" s="15" t="s">
        <v>7814</v>
      </c>
      <c r="F824" s="15">
        <v>5</v>
      </c>
      <c r="G824" s="15" t="s">
        <v>9023</v>
      </c>
      <c r="H824" s="15"/>
    </row>
    <row r="825" spans="1:8" ht="105" x14ac:dyDescent="0.25">
      <c r="A825" s="15" t="s">
        <v>7811</v>
      </c>
      <c r="B825" s="15" t="s">
        <v>9024</v>
      </c>
      <c r="C825" s="15" t="s">
        <v>9025</v>
      </c>
      <c r="D825" s="15">
        <v>353</v>
      </c>
      <c r="E825" s="15" t="s">
        <v>7814</v>
      </c>
      <c r="F825" s="15">
        <v>5</v>
      </c>
      <c r="G825" s="15" t="s">
        <v>9026</v>
      </c>
      <c r="H825" s="15"/>
    </row>
    <row r="826" spans="1:8" ht="45" x14ac:dyDescent="0.25">
      <c r="A826" s="15" t="s">
        <v>7811</v>
      </c>
      <c r="B826" s="15" t="s">
        <v>9027</v>
      </c>
      <c r="C826" s="15" t="s">
        <v>9028</v>
      </c>
      <c r="D826" s="15">
        <v>1248</v>
      </c>
      <c r="E826" s="15" t="s">
        <v>7818</v>
      </c>
      <c r="F826" s="15">
        <v>80</v>
      </c>
      <c r="G826" s="15" t="s">
        <v>7819</v>
      </c>
      <c r="H826" s="15"/>
    </row>
    <row r="827" spans="1:8" ht="45" x14ac:dyDescent="0.25">
      <c r="A827" s="15" t="s">
        <v>7811</v>
      </c>
      <c r="B827" s="15" t="s">
        <v>9029</v>
      </c>
      <c r="C827" s="15" t="s">
        <v>9030</v>
      </c>
      <c r="D827" s="15">
        <v>1381</v>
      </c>
      <c r="E827" s="15" t="s">
        <v>7818</v>
      </c>
      <c r="F827" s="15">
        <v>50</v>
      </c>
      <c r="G827" s="15" t="s">
        <v>7819</v>
      </c>
      <c r="H827" s="15"/>
    </row>
    <row r="828" spans="1:8" ht="60" x14ac:dyDescent="0.25">
      <c r="A828" s="15" t="s">
        <v>7811</v>
      </c>
      <c r="B828" s="15" t="s">
        <v>9031</v>
      </c>
      <c r="C828" s="15" t="s">
        <v>9032</v>
      </c>
      <c r="D828" s="15">
        <v>1385</v>
      </c>
      <c r="E828" s="15" t="s">
        <v>7818</v>
      </c>
      <c r="F828" s="15">
        <v>50</v>
      </c>
      <c r="G828" s="15" t="s">
        <v>7819</v>
      </c>
      <c r="H828" s="15"/>
    </row>
    <row r="829" spans="1:8" ht="45" x14ac:dyDescent="0.25">
      <c r="A829" s="15" t="s">
        <v>7811</v>
      </c>
      <c r="B829" s="15" t="s">
        <v>9033</v>
      </c>
      <c r="C829" s="15" t="s">
        <v>9034</v>
      </c>
      <c r="D829" s="15">
        <v>1382</v>
      </c>
      <c r="E829" s="15" t="s">
        <v>7818</v>
      </c>
      <c r="F829" s="15">
        <v>50</v>
      </c>
      <c r="G829" s="15" t="s">
        <v>7819</v>
      </c>
      <c r="H829" s="15"/>
    </row>
    <row r="830" spans="1:8" ht="45" x14ac:dyDescent="0.25">
      <c r="A830" s="15" t="s">
        <v>7811</v>
      </c>
      <c r="B830" s="15" t="s">
        <v>9035</v>
      </c>
      <c r="C830" s="15" t="s">
        <v>9036</v>
      </c>
      <c r="D830" s="15">
        <v>1383</v>
      </c>
      <c r="E830" s="15" t="s">
        <v>7818</v>
      </c>
      <c r="F830" s="15">
        <v>50</v>
      </c>
      <c r="G830" s="15" t="s">
        <v>7819</v>
      </c>
      <c r="H830" s="15"/>
    </row>
    <row r="831" spans="1:8" ht="45" x14ac:dyDescent="0.25">
      <c r="A831" s="15" t="s">
        <v>7811</v>
      </c>
      <c r="B831" s="15" t="s">
        <v>9037</v>
      </c>
      <c r="C831" s="15" t="s">
        <v>9038</v>
      </c>
      <c r="D831" s="15">
        <v>1380</v>
      </c>
      <c r="E831" s="15" t="s">
        <v>7818</v>
      </c>
      <c r="F831" s="15">
        <v>50</v>
      </c>
      <c r="G831" s="15" t="s">
        <v>7819</v>
      </c>
      <c r="H831" s="15"/>
    </row>
    <row r="832" spans="1:8" ht="45" x14ac:dyDescent="0.25">
      <c r="A832" s="15" t="s">
        <v>7811</v>
      </c>
      <c r="B832" s="15" t="s">
        <v>9039</v>
      </c>
      <c r="C832" s="15" t="s">
        <v>9040</v>
      </c>
      <c r="D832" s="15">
        <v>1384</v>
      </c>
      <c r="E832" s="15" t="s">
        <v>7818</v>
      </c>
      <c r="F832" s="15">
        <v>50</v>
      </c>
      <c r="G832" s="15" t="s">
        <v>7819</v>
      </c>
      <c r="H832" s="15"/>
    </row>
    <row r="833" spans="1:8" ht="195" x14ac:dyDescent="0.25">
      <c r="A833" s="15" t="s">
        <v>7811</v>
      </c>
      <c r="B833" s="15" t="s">
        <v>9041</v>
      </c>
      <c r="C833" s="15" t="s">
        <v>9042</v>
      </c>
      <c r="D833" s="15">
        <v>1300</v>
      </c>
      <c r="E833" s="15" t="s">
        <v>7814</v>
      </c>
      <c r="F833" s="15">
        <v>5</v>
      </c>
      <c r="G833" s="15" t="s">
        <v>9043</v>
      </c>
      <c r="H833" s="15"/>
    </row>
    <row r="834" spans="1:8" ht="45" x14ac:dyDescent="0.25">
      <c r="A834" s="15" t="s">
        <v>7811</v>
      </c>
      <c r="B834" s="15" t="s">
        <v>9044</v>
      </c>
      <c r="C834" s="15" t="s">
        <v>9045</v>
      </c>
      <c r="D834" s="15">
        <v>1126</v>
      </c>
      <c r="E834" s="15" t="s">
        <v>7818</v>
      </c>
      <c r="F834" s="15">
        <v>30</v>
      </c>
      <c r="G834" s="15" t="s">
        <v>7819</v>
      </c>
      <c r="H834" s="15"/>
    </row>
    <row r="835" spans="1:8" ht="45" x14ac:dyDescent="0.25">
      <c r="A835" s="15" t="s">
        <v>7811</v>
      </c>
      <c r="B835" s="15" t="s">
        <v>9046</v>
      </c>
      <c r="C835" s="15" t="s">
        <v>9047</v>
      </c>
      <c r="D835" s="15">
        <v>1019</v>
      </c>
      <c r="E835" s="15" t="s">
        <v>7877</v>
      </c>
      <c r="F835" s="15">
        <v>8.1999999999999993</v>
      </c>
      <c r="G835" s="15" t="s">
        <v>7819</v>
      </c>
      <c r="H835" s="15"/>
    </row>
    <row r="836" spans="1:8" ht="270" x14ac:dyDescent="0.25">
      <c r="A836" s="15" t="s">
        <v>7811</v>
      </c>
      <c r="B836" s="15" t="s">
        <v>9048</v>
      </c>
      <c r="C836" s="15" t="s">
        <v>9049</v>
      </c>
      <c r="D836" s="15">
        <v>934</v>
      </c>
      <c r="E836" s="15" t="s">
        <v>7814</v>
      </c>
      <c r="F836" s="15">
        <v>5</v>
      </c>
      <c r="G836" s="15" t="s">
        <v>9050</v>
      </c>
      <c r="H836" s="15"/>
    </row>
    <row r="837" spans="1:8" ht="45" x14ac:dyDescent="0.25">
      <c r="A837" s="15" t="s">
        <v>7811</v>
      </c>
      <c r="B837" s="15" t="s">
        <v>9051</v>
      </c>
      <c r="C837" s="15" t="s">
        <v>9052</v>
      </c>
      <c r="D837" s="15">
        <v>404</v>
      </c>
      <c r="E837" s="15" t="s">
        <v>7818</v>
      </c>
      <c r="F837" s="15">
        <v>35</v>
      </c>
      <c r="G837" s="15" t="s">
        <v>7819</v>
      </c>
      <c r="H837" s="15"/>
    </row>
    <row r="838" spans="1:8" ht="45" x14ac:dyDescent="0.25">
      <c r="A838" s="15" t="s">
        <v>7811</v>
      </c>
      <c r="B838" s="15" t="s">
        <v>9053</v>
      </c>
      <c r="C838" s="15" t="s">
        <v>9054</v>
      </c>
      <c r="D838" s="15">
        <v>507</v>
      </c>
      <c r="E838" s="15" t="s">
        <v>7818</v>
      </c>
      <c r="F838" s="15">
        <v>60</v>
      </c>
      <c r="G838" s="15" t="s">
        <v>7819</v>
      </c>
      <c r="H838" s="15"/>
    </row>
    <row r="839" spans="1:8" ht="45" x14ac:dyDescent="0.25">
      <c r="A839" s="15" t="s">
        <v>7811</v>
      </c>
      <c r="B839" s="15" t="s">
        <v>9055</v>
      </c>
      <c r="C839" s="15" t="s">
        <v>9056</v>
      </c>
      <c r="D839" s="15">
        <v>653</v>
      </c>
      <c r="E839" s="15" t="s">
        <v>7818</v>
      </c>
      <c r="F839" s="15">
        <v>45</v>
      </c>
      <c r="G839" s="15" t="s">
        <v>7819</v>
      </c>
      <c r="H839" s="15"/>
    </row>
    <row r="840" spans="1:8" ht="409.5" x14ac:dyDescent="0.25">
      <c r="A840" s="15" t="s">
        <v>7811</v>
      </c>
      <c r="B840" s="15" t="s">
        <v>9057</v>
      </c>
      <c r="C840" s="15" t="s">
        <v>9058</v>
      </c>
      <c r="D840" s="15">
        <v>400</v>
      </c>
      <c r="E840" s="15" t="s">
        <v>7814</v>
      </c>
      <c r="F840" s="15">
        <v>5</v>
      </c>
      <c r="G840" s="15" t="s">
        <v>9059</v>
      </c>
      <c r="H840" s="15"/>
    </row>
    <row r="841" spans="1:8" ht="45" x14ac:dyDescent="0.25">
      <c r="A841" s="15" t="s">
        <v>7811</v>
      </c>
      <c r="B841" s="15" t="s">
        <v>9060</v>
      </c>
      <c r="C841" s="15" t="s">
        <v>9061</v>
      </c>
      <c r="D841" s="15">
        <v>357</v>
      </c>
      <c r="E841" s="15" t="s">
        <v>7818</v>
      </c>
      <c r="F841" s="15">
        <v>60</v>
      </c>
      <c r="G841" s="15" t="s">
        <v>7819</v>
      </c>
      <c r="H841" s="15"/>
    </row>
    <row r="842" spans="1:8" ht="45" x14ac:dyDescent="0.25">
      <c r="A842" s="15" t="s">
        <v>7811</v>
      </c>
      <c r="B842" s="15" t="s">
        <v>9062</v>
      </c>
      <c r="C842" s="15" t="s">
        <v>9063</v>
      </c>
      <c r="D842" s="15">
        <v>356</v>
      </c>
      <c r="E842" s="15" t="s">
        <v>7818</v>
      </c>
      <c r="F842" s="15">
        <v>80</v>
      </c>
      <c r="G842" s="15" t="s">
        <v>7819</v>
      </c>
      <c r="H842" s="15"/>
    </row>
    <row r="843" spans="1:8" ht="45" x14ac:dyDescent="0.25">
      <c r="A843" s="15" t="s">
        <v>7811</v>
      </c>
      <c r="B843" s="15" t="s">
        <v>9064</v>
      </c>
      <c r="C843" s="15" t="s">
        <v>9065</v>
      </c>
      <c r="D843" s="15">
        <v>358</v>
      </c>
      <c r="E843" s="15" t="s">
        <v>7838</v>
      </c>
      <c r="F843" s="15">
        <v>8</v>
      </c>
      <c r="G843" s="15" t="s">
        <v>7819</v>
      </c>
      <c r="H843" s="15"/>
    </row>
    <row r="844" spans="1:8" ht="90" x14ac:dyDescent="0.25">
      <c r="A844" s="15" t="s">
        <v>7811</v>
      </c>
      <c r="B844" s="15" t="s">
        <v>9066</v>
      </c>
      <c r="C844" s="15" t="s">
        <v>9067</v>
      </c>
      <c r="D844" s="15">
        <v>359</v>
      </c>
      <c r="E844" s="15" t="s">
        <v>7814</v>
      </c>
      <c r="F844" s="15">
        <v>5</v>
      </c>
      <c r="G844" s="15" t="s">
        <v>9068</v>
      </c>
      <c r="H844" s="15"/>
    </row>
    <row r="845" spans="1:8" ht="45" x14ac:dyDescent="0.25">
      <c r="A845" s="15" t="s">
        <v>7811</v>
      </c>
      <c r="B845" s="15" t="s">
        <v>9069</v>
      </c>
      <c r="C845" s="15" t="s">
        <v>9070</v>
      </c>
      <c r="D845" s="15">
        <v>1107</v>
      </c>
      <c r="E845" s="15" t="s">
        <v>7818</v>
      </c>
      <c r="F845" s="15">
        <v>35</v>
      </c>
      <c r="G845" s="15" t="s">
        <v>7819</v>
      </c>
      <c r="H845" s="15"/>
    </row>
    <row r="846" spans="1:8" ht="45" x14ac:dyDescent="0.25">
      <c r="A846" s="15" t="s">
        <v>7811</v>
      </c>
      <c r="B846" s="15" t="s">
        <v>9071</v>
      </c>
      <c r="C846" s="15" t="s">
        <v>9072</v>
      </c>
      <c r="D846" s="15">
        <v>1108</v>
      </c>
      <c r="E846" s="15" t="s">
        <v>7818</v>
      </c>
      <c r="F846" s="15">
        <v>80</v>
      </c>
      <c r="G846" s="15" t="s">
        <v>7819</v>
      </c>
      <c r="H846" s="15"/>
    </row>
    <row r="847" spans="1:8" ht="45" x14ac:dyDescent="0.25">
      <c r="A847" s="15" t="s">
        <v>7811</v>
      </c>
      <c r="B847" s="15" t="s">
        <v>9073</v>
      </c>
      <c r="C847" s="15" t="s">
        <v>9074</v>
      </c>
      <c r="D847" s="15">
        <v>911</v>
      </c>
      <c r="E847" s="15" t="s">
        <v>7859</v>
      </c>
      <c r="F847" s="15">
        <v>4</v>
      </c>
      <c r="G847" s="15" t="s">
        <v>7819</v>
      </c>
      <c r="H847" s="15"/>
    </row>
    <row r="848" spans="1:8" ht="45" x14ac:dyDescent="0.25">
      <c r="A848" s="15" t="s">
        <v>7811</v>
      </c>
      <c r="B848" s="15" t="s">
        <v>9075</v>
      </c>
      <c r="C848" s="15" t="s">
        <v>9076</v>
      </c>
      <c r="D848" s="15">
        <v>1526</v>
      </c>
      <c r="E848" s="15" t="s">
        <v>7818</v>
      </c>
      <c r="F848" s="15">
        <v>80</v>
      </c>
      <c r="G848" s="15" t="s">
        <v>7819</v>
      </c>
      <c r="H848" s="15"/>
    </row>
    <row r="849" spans="1:8" ht="45" x14ac:dyDescent="0.25">
      <c r="A849" s="15" t="s">
        <v>7811</v>
      </c>
      <c r="B849" s="15" t="s">
        <v>9077</v>
      </c>
      <c r="C849" s="15" t="s">
        <v>9078</v>
      </c>
      <c r="D849" s="15">
        <v>1463</v>
      </c>
      <c r="E849" s="15" t="s">
        <v>7859</v>
      </c>
      <c r="F849" s="15">
        <v>5</v>
      </c>
      <c r="G849" s="15" t="s">
        <v>7819</v>
      </c>
      <c r="H849" s="15"/>
    </row>
    <row r="850" spans="1:8" ht="60" x14ac:dyDescent="0.25">
      <c r="A850" s="15" t="s">
        <v>7811</v>
      </c>
      <c r="B850" s="15" t="s">
        <v>9079</v>
      </c>
      <c r="C850" s="15" t="s">
        <v>9080</v>
      </c>
      <c r="D850" s="15">
        <v>946</v>
      </c>
      <c r="E850" s="15" t="s">
        <v>7814</v>
      </c>
      <c r="F850" s="15">
        <v>5</v>
      </c>
      <c r="G850" s="15" t="s">
        <v>9081</v>
      </c>
      <c r="H850" s="15"/>
    </row>
    <row r="851" spans="1:8" ht="45" x14ac:dyDescent="0.25">
      <c r="A851" s="15" t="s">
        <v>7811</v>
      </c>
      <c r="B851" s="15" t="s">
        <v>9082</v>
      </c>
      <c r="C851" s="15" t="s">
        <v>9083</v>
      </c>
      <c r="D851" s="15">
        <v>1032</v>
      </c>
      <c r="E851" s="15" t="s">
        <v>7877</v>
      </c>
      <c r="F851" s="15">
        <v>8.1999999999999993</v>
      </c>
      <c r="G851" s="15" t="s">
        <v>7819</v>
      </c>
      <c r="H851" s="15"/>
    </row>
    <row r="852" spans="1:8" ht="45" x14ac:dyDescent="0.25">
      <c r="A852" s="15" t="s">
        <v>7811</v>
      </c>
      <c r="B852" s="15" t="s">
        <v>9084</v>
      </c>
      <c r="C852" s="15" t="s">
        <v>9085</v>
      </c>
      <c r="D852" s="15">
        <v>1259</v>
      </c>
      <c r="E852" s="15" t="s">
        <v>7818</v>
      </c>
      <c r="F852" s="15">
        <v>30</v>
      </c>
      <c r="G852" s="15" t="s">
        <v>7819</v>
      </c>
      <c r="H852" s="15"/>
    </row>
    <row r="853" spans="1:8" ht="45" x14ac:dyDescent="0.25">
      <c r="A853" s="15" t="s">
        <v>7811</v>
      </c>
      <c r="B853" s="15" t="s">
        <v>9086</v>
      </c>
      <c r="C853" s="15" t="s">
        <v>9087</v>
      </c>
      <c r="D853" s="15">
        <v>1441</v>
      </c>
      <c r="E853" s="15" t="s">
        <v>7838</v>
      </c>
      <c r="F853" s="15">
        <v>8</v>
      </c>
      <c r="G853" s="15" t="s">
        <v>7819</v>
      </c>
      <c r="H853" s="15"/>
    </row>
    <row r="854" spans="1:8" ht="345" x14ac:dyDescent="0.25">
      <c r="A854" s="15" t="s">
        <v>7811</v>
      </c>
      <c r="B854" s="15" t="s">
        <v>9088</v>
      </c>
      <c r="C854" s="15" t="s">
        <v>9089</v>
      </c>
      <c r="D854" s="15">
        <v>1533</v>
      </c>
      <c r="E854" s="15" t="s">
        <v>7814</v>
      </c>
      <c r="F854" s="15">
        <v>5</v>
      </c>
      <c r="G854" s="15" t="s">
        <v>9090</v>
      </c>
      <c r="H854" s="15"/>
    </row>
    <row r="855" spans="1:8" ht="45" x14ac:dyDescent="0.25">
      <c r="A855" s="15" t="s">
        <v>7811</v>
      </c>
      <c r="B855" s="15" t="s">
        <v>9091</v>
      </c>
      <c r="C855" s="15" t="s">
        <v>9092</v>
      </c>
      <c r="D855" s="15">
        <v>1535</v>
      </c>
      <c r="E855" s="15" t="s">
        <v>7818</v>
      </c>
      <c r="F855" s="15">
        <v>50</v>
      </c>
      <c r="G855" s="15" t="s">
        <v>7819</v>
      </c>
      <c r="H855" s="15"/>
    </row>
    <row r="856" spans="1:8" ht="345" x14ac:dyDescent="0.25">
      <c r="A856" s="15" t="s">
        <v>7811</v>
      </c>
      <c r="B856" s="15" t="s">
        <v>9093</v>
      </c>
      <c r="C856" s="15" t="s">
        <v>9094</v>
      </c>
      <c r="D856" s="15">
        <v>902</v>
      </c>
      <c r="E856" s="15" t="s">
        <v>7814</v>
      </c>
      <c r="F856" s="15">
        <v>5</v>
      </c>
      <c r="G856" s="15" t="s">
        <v>9090</v>
      </c>
      <c r="H856" s="15"/>
    </row>
    <row r="857" spans="1:8" ht="180" x14ac:dyDescent="0.25">
      <c r="A857" s="15" t="s">
        <v>7811</v>
      </c>
      <c r="B857" s="15" t="s">
        <v>9095</v>
      </c>
      <c r="C857" s="15" t="s">
        <v>9096</v>
      </c>
      <c r="D857" s="15">
        <v>1537</v>
      </c>
      <c r="E857" s="15" t="s">
        <v>7814</v>
      </c>
      <c r="F857" s="15">
        <v>5</v>
      </c>
      <c r="G857" s="15" t="s">
        <v>9097</v>
      </c>
      <c r="H857" s="15"/>
    </row>
    <row r="858" spans="1:8" ht="210" x14ac:dyDescent="0.25">
      <c r="A858" s="15" t="s">
        <v>7811</v>
      </c>
      <c r="B858" s="15" t="s">
        <v>9098</v>
      </c>
      <c r="C858" s="15" t="s">
        <v>9099</v>
      </c>
      <c r="D858" s="15">
        <v>1538</v>
      </c>
      <c r="E858" s="15" t="s">
        <v>7814</v>
      </c>
      <c r="F858" s="15">
        <v>5</v>
      </c>
      <c r="G858" s="15" t="s">
        <v>9100</v>
      </c>
      <c r="H858" s="15"/>
    </row>
    <row r="859" spans="1:8" ht="45" x14ac:dyDescent="0.25">
      <c r="A859" s="15" t="s">
        <v>7811</v>
      </c>
      <c r="B859" s="15" t="s">
        <v>9101</v>
      </c>
      <c r="C859" s="15" t="s">
        <v>9102</v>
      </c>
      <c r="D859" s="15">
        <v>151</v>
      </c>
      <c r="E859" s="15" t="s">
        <v>7859</v>
      </c>
      <c r="F859" s="15">
        <v>3</v>
      </c>
      <c r="G859" s="15" t="s">
        <v>7819</v>
      </c>
      <c r="H859" s="15"/>
    </row>
    <row r="860" spans="1:8" ht="165" x14ac:dyDescent="0.25">
      <c r="A860" s="15" t="s">
        <v>7811</v>
      </c>
      <c r="B860" s="15" t="s">
        <v>9103</v>
      </c>
      <c r="C860" s="15" t="s">
        <v>9104</v>
      </c>
      <c r="D860" s="15">
        <v>1132</v>
      </c>
      <c r="E860" s="15" t="s">
        <v>7814</v>
      </c>
      <c r="F860" s="15">
        <v>5</v>
      </c>
      <c r="G860" s="15" t="s">
        <v>9105</v>
      </c>
      <c r="H860" s="15"/>
    </row>
    <row r="861" spans="1:8" ht="45" x14ac:dyDescent="0.25">
      <c r="A861" s="15" t="s">
        <v>7811</v>
      </c>
      <c r="B861" s="15" t="s">
        <v>9106</v>
      </c>
      <c r="C861" s="15" t="s">
        <v>9107</v>
      </c>
      <c r="D861" s="15">
        <v>443</v>
      </c>
      <c r="E861" s="15" t="s">
        <v>7838</v>
      </c>
      <c r="F861" s="15">
        <v>8</v>
      </c>
      <c r="G861" s="15" t="s">
        <v>7819</v>
      </c>
      <c r="H861" s="15"/>
    </row>
    <row r="862" spans="1:8" ht="45" x14ac:dyDescent="0.25">
      <c r="A862" s="15" t="s">
        <v>7811</v>
      </c>
      <c r="B862" s="15" t="s">
        <v>9108</v>
      </c>
      <c r="C862" s="15" t="s">
        <v>9109</v>
      </c>
      <c r="D862" s="15">
        <v>442</v>
      </c>
      <c r="E862" s="15" t="s">
        <v>7818</v>
      </c>
      <c r="F862" s="15">
        <v>60</v>
      </c>
      <c r="G862" s="15" t="s">
        <v>7819</v>
      </c>
      <c r="H862" s="15"/>
    </row>
    <row r="863" spans="1:8" ht="45" x14ac:dyDescent="0.25">
      <c r="A863" s="15" t="s">
        <v>7811</v>
      </c>
      <c r="B863" s="15" t="s">
        <v>9110</v>
      </c>
      <c r="C863" s="15" t="s">
        <v>9111</v>
      </c>
      <c r="D863" s="15">
        <v>444</v>
      </c>
      <c r="E863" s="15" t="s">
        <v>7838</v>
      </c>
      <c r="F863" s="15">
        <v>8</v>
      </c>
      <c r="G863" s="15" t="s">
        <v>7819</v>
      </c>
      <c r="H863" s="15"/>
    </row>
    <row r="864" spans="1:8" ht="45" x14ac:dyDescent="0.25">
      <c r="A864" s="15" t="s">
        <v>7811</v>
      </c>
      <c r="B864" s="15" t="s">
        <v>9112</v>
      </c>
      <c r="C864" s="15" t="s">
        <v>9113</v>
      </c>
      <c r="D864" s="15">
        <v>445</v>
      </c>
      <c r="E864" s="15" t="s">
        <v>7818</v>
      </c>
      <c r="F864" s="15">
        <v>60</v>
      </c>
      <c r="G864" s="15" t="s">
        <v>7819</v>
      </c>
      <c r="H864" s="15"/>
    </row>
    <row r="865" spans="1:8" ht="45" x14ac:dyDescent="0.25">
      <c r="A865" s="15" t="s">
        <v>7811</v>
      </c>
      <c r="B865" s="15" t="s">
        <v>9114</v>
      </c>
      <c r="C865" s="15" t="s">
        <v>9115</v>
      </c>
      <c r="D865" s="15">
        <v>1390</v>
      </c>
      <c r="E865" s="15" t="s">
        <v>7818</v>
      </c>
      <c r="F865" s="15">
        <v>50</v>
      </c>
      <c r="G865" s="15" t="s">
        <v>7819</v>
      </c>
      <c r="H865" s="15"/>
    </row>
    <row r="866" spans="1:8" ht="150" x14ac:dyDescent="0.25">
      <c r="A866" s="15" t="s">
        <v>7811</v>
      </c>
      <c r="B866" s="15" t="s">
        <v>9116</v>
      </c>
      <c r="C866" s="15" t="s">
        <v>9117</v>
      </c>
      <c r="D866" s="15">
        <v>1354</v>
      </c>
      <c r="E866" s="15" t="s">
        <v>7814</v>
      </c>
      <c r="F866" s="15">
        <v>5</v>
      </c>
      <c r="G866" s="15" t="s">
        <v>9118</v>
      </c>
      <c r="H866" s="15"/>
    </row>
    <row r="867" spans="1:8" ht="45" x14ac:dyDescent="0.25">
      <c r="A867" s="15" t="s">
        <v>7811</v>
      </c>
      <c r="B867" s="15" t="s">
        <v>9119</v>
      </c>
      <c r="C867" s="15" t="s">
        <v>9120</v>
      </c>
      <c r="D867" s="15">
        <v>1479</v>
      </c>
      <c r="E867" s="15" t="s">
        <v>7818</v>
      </c>
      <c r="F867" s="15">
        <v>80</v>
      </c>
      <c r="G867" s="15" t="s">
        <v>7819</v>
      </c>
      <c r="H867" s="15"/>
    </row>
    <row r="868" spans="1:8" ht="45" x14ac:dyDescent="0.25">
      <c r="A868" s="15" t="s">
        <v>7811</v>
      </c>
      <c r="B868" s="15" t="s">
        <v>9121</v>
      </c>
      <c r="C868" s="15" t="s">
        <v>9122</v>
      </c>
      <c r="D868" s="15">
        <v>1480</v>
      </c>
      <c r="E868" s="15" t="s">
        <v>7859</v>
      </c>
      <c r="F868" s="15">
        <v>5</v>
      </c>
      <c r="G868" s="15" t="s">
        <v>7819</v>
      </c>
      <c r="H868" s="15"/>
    </row>
    <row r="869" spans="1:8" ht="45" x14ac:dyDescent="0.25">
      <c r="A869" s="15" t="s">
        <v>7811</v>
      </c>
      <c r="B869" s="15" t="s">
        <v>9123</v>
      </c>
      <c r="C869" s="15" t="s">
        <v>9124</v>
      </c>
      <c r="D869" s="15">
        <v>1476</v>
      </c>
      <c r="E869" s="15" t="s">
        <v>7818</v>
      </c>
      <c r="F869" s="15">
        <v>80</v>
      </c>
      <c r="G869" s="15" t="s">
        <v>7819</v>
      </c>
      <c r="H869" s="15"/>
    </row>
    <row r="870" spans="1:8" ht="240" x14ac:dyDescent="0.25">
      <c r="A870" s="15" t="s">
        <v>7811</v>
      </c>
      <c r="B870" s="15" t="s">
        <v>9125</v>
      </c>
      <c r="C870" s="15" t="s">
        <v>9126</v>
      </c>
      <c r="D870" s="15">
        <v>557</v>
      </c>
      <c r="E870" s="15" t="s">
        <v>7814</v>
      </c>
      <c r="F870" s="15">
        <v>5</v>
      </c>
      <c r="G870" s="15" t="s">
        <v>9127</v>
      </c>
      <c r="H870" s="15"/>
    </row>
    <row r="871" spans="1:8" ht="285" x14ac:dyDescent="0.25">
      <c r="A871" s="15" t="s">
        <v>7811</v>
      </c>
      <c r="B871" s="15" t="s">
        <v>9128</v>
      </c>
      <c r="C871" s="15" t="s">
        <v>9129</v>
      </c>
      <c r="D871" s="15">
        <v>988</v>
      </c>
      <c r="E871" s="15" t="s">
        <v>7814</v>
      </c>
      <c r="F871" s="15">
        <v>5</v>
      </c>
      <c r="G871" s="15" t="s">
        <v>9130</v>
      </c>
      <c r="H871" s="15"/>
    </row>
    <row r="872" spans="1:8" ht="60" x14ac:dyDescent="0.25">
      <c r="A872" s="15" t="s">
        <v>7811</v>
      </c>
      <c r="B872" s="15" t="s">
        <v>9131</v>
      </c>
      <c r="C872" s="15" t="s">
        <v>9132</v>
      </c>
      <c r="D872" s="15">
        <v>1555</v>
      </c>
      <c r="E872" s="15" t="s">
        <v>7814</v>
      </c>
      <c r="F872" s="15">
        <v>5</v>
      </c>
      <c r="G872" s="15" t="s">
        <v>9133</v>
      </c>
      <c r="H872" s="15"/>
    </row>
    <row r="873" spans="1:8" ht="135" x14ac:dyDescent="0.25">
      <c r="A873" s="15" t="s">
        <v>7811</v>
      </c>
      <c r="B873" s="15" t="s">
        <v>9134</v>
      </c>
      <c r="C873" s="15" t="s">
        <v>9135</v>
      </c>
      <c r="D873" s="15">
        <v>1567</v>
      </c>
      <c r="E873" s="15" t="s">
        <v>7814</v>
      </c>
      <c r="F873" s="15">
        <v>5</v>
      </c>
      <c r="G873" s="15" t="s">
        <v>9136</v>
      </c>
      <c r="H873" s="15"/>
    </row>
    <row r="874" spans="1:8" ht="90" x14ac:dyDescent="0.25">
      <c r="A874" s="15" t="s">
        <v>7811</v>
      </c>
      <c r="B874" s="15" t="s">
        <v>9137</v>
      </c>
      <c r="C874" s="15" t="s">
        <v>9138</v>
      </c>
      <c r="D874" s="15">
        <v>1557</v>
      </c>
      <c r="E874" s="15" t="s">
        <v>7814</v>
      </c>
      <c r="F874" s="15">
        <v>5</v>
      </c>
      <c r="G874" s="15" t="s">
        <v>9139</v>
      </c>
      <c r="H874" s="15"/>
    </row>
    <row r="875" spans="1:8" ht="135" x14ac:dyDescent="0.25">
      <c r="A875" s="15" t="s">
        <v>7811</v>
      </c>
      <c r="B875" s="15" t="s">
        <v>9140</v>
      </c>
      <c r="C875" s="15" t="s">
        <v>9141</v>
      </c>
      <c r="D875" s="15">
        <v>1566</v>
      </c>
      <c r="E875" s="15" t="s">
        <v>7814</v>
      </c>
      <c r="F875" s="15">
        <v>5</v>
      </c>
      <c r="G875" s="15" t="s">
        <v>9142</v>
      </c>
      <c r="H875" s="15"/>
    </row>
    <row r="876" spans="1:8" ht="105" x14ac:dyDescent="0.25">
      <c r="A876" s="15" t="s">
        <v>7811</v>
      </c>
      <c r="B876" s="15" t="s">
        <v>9143</v>
      </c>
      <c r="C876" s="15" t="s">
        <v>9144</v>
      </c>
      <c r="D876" s="15">
        <v>1294</v>
      </c>
      <c r="E876" s="15" t="s">
        <v>7814</v>
      </c>
      <c r="F876" s="15">
        <v>5</v>
      </c>
      <c r="G876" s="15" t="s">
        <v>9145</v>
      </c>
      <c r="H876" s="15"/>
    </row>
    <row r="877" spans="1:8" ht="195" x14ac:dyDescent="0.25">
      <c r="A877" s="15" t="s">
        <v>7811</v>
      </c>
      <c r="B877" s="15" t="s">
        <v>9146</v>
      </c>
      <c r="C877" s="15" t="s">
        <v>9147</v>
      </c>
      <c r="D877" s="15">
        <v>1166</v>
      </c>
      <c r="E877" s="15" t="s">
        <v>7814</v>
      </c>
      <c r="F877" s="15">
        <v>5</v>
      </c>
      <c r="G877" s="15" t="s">
        <v>9148</v>
      </c>
      <c r="H877" s="15"/>
    </row>
    <row r="878" spans="1:8" ht="60" x14ac:dyDescent="0.25">
      <c r="A878" s="15" t="s">
        <v>7811</v>
      </c>
      <c r="B878" s="15" t="s">
        <v>9149</v>
      </c>
      <c r="C878" s="15" t="s">
        <v>9150</v>
      </c>
      <c r="D878" s="15">
        <v>1089</v>
      </c>
      <c r="E878" s="15" t="s">
        <v>7814</v>
      </c>
      <c r="F878" s="15">
        <v>5</v>
      </c>
      <c r="G878" s="15" t="s">
        <v>9151</v>
      </c>
      <c r="H878" s="15"/>
    </row>
    <row r="879" spans="1:8" ht="60" x14ac:dyDescent="0.25">
      <c r="A879" s="15" t="s">
        <v>7811</v>
      </c>
      <c r="B879" s="15" t="s">
        <v>9152</v>
      </c>
      <c r="C879" s="15" t="s">
        <v>9153</v>
      </c>
      <c r="D879" s="15">
        <v>586</v>
      </c>
      <c r="E879" s="15" t="s">
        <v>7814</v>
      </c>
      <c r="F879" s="15">
        <v>5</v>
      </c>
      <c r="G879" s="15" t="s">
        <v>7815</v>
      </c>
      <c r="H879" s="15"/>
    </row>
    <row r="880" spans="1:8" ht="45" x14ac:dyDescent="0.25">
      <c r="A880" s="15" t="s">
        <v>7811</v>
      </c>
      <c r="B880" s="15" t="s">
        <v>9154</v>
      </c>
      <c r="C880" s="15" t="s">
        <v>9155</v>
      </c>
      <c r="D880" s="15">
        <v>916</v>
      </c>
      <c r="E880" s="15" t="s">
        <v>7838</v>
      </c>
      <c r="F880" s="15">
        <v>8</v>
      </c>
      <c r="G880" s="15" t="s">
        <v>7819</v>
      </c>
      <c r="H880" s="15"/>
    </row>
    <row r="881" spans="1:8" ht="45" x14ac:dyDescent="0.25">
      <c r="A881" s="15" t="s">
        <v>7811</v>
      </c>
      <c r="B881" s="15" t="s">
        <v>9156</v>
      </c>
      <c r="C881" s="15" t="s">
        <v>9157</v>
      </c>
      <c r="D881" s="15">
        <v>917</v>
      </c>
      <c r="E881" s="15" t="s">
        <v>7838</v>
      </c>
      <c r="F881" s="15">
        <v>8</v>
      </c>
      <c r="G881" s="15" t="s">
        <v>7819</v>
      </c>
      <c r="H881" s="15"/>
    </row>
    <row r="882" spans="1:8" ht="45" x14ac:dyDescent="0.25">
      <c r="A882" s="15" t="s">
        <v>7811</v>
      </c>
      <c r="B882" s="15" t="s">
        <v>9158</v>
      </c>
      <c r="C882" s="15" t="s">
        <v>9159</v>
      </c>
      <c r="D882" s="15">
        <v>157</v>
      </c>
      <c r="E882" s="15" t="s">
        <v>7818</v>
      </c>
      <c r="F882" s="15">
        <v>20</v>
      </c>
      <c r="G882" s="15" t="s">
        <v>7819</v>
      </c>
      <c r="H882" s="15"/>
    </row>
    <row r="883" spans="1:8" ht="45" x14ac:dyDescent="0.25">
      <c r="A883" s="15" t="s">
        <v>7811</v>
      </c>
      <c r="B883" s="15" t="s">
        <v>9160</v>
      </c>
      <c r="C883" s="15" t="s">
        <v>9161</v>
      </c>
      <c r="D883" s="15">
        <v>1505</v>
      </c>
      <c r="E883" s="15" t="s">
        <v>7818</v>
      </c>
      <c r="F883" s="15">
        <v>80</v>
      </c>
      <c r="G883" s="15" t="s">
        <v>7819</v>
      </c>
      <c r="H883" s="15"/>
    </row>
    <row r="884" spans="1:8" ht="45" x14ac:dyDescent="0.25">
      <c r="A884" s="15" t="s">
        <v>7811</v>
      </c>
      <c r="B884" s="15" t="s">
        <v>9162</v>
      </c>
      <c r="C884" s="15" t="s">
        <v>9163</v>
      </c>
      <c r="D884" s="15">
        <v>1496</v>
      </c>
      <c r="E884" s="15" t="s">
        <v>7818</v>
      </c>
      <c r="F884" s="15">
        <v>60</v>
      </c>
      <c r="G884" s="15" t="s">
        <v>7819</v>
      </c>
      <c r="H884" s="15"/>
    </row>
    <row r="885" spans="1:8" ht="150" x14ac:dyDescent="0.25">
      <c r="A885" s="15" t="s">
        <v>7811</v>
      </c>
      <c r="B885" s="15" t="s">
        <v>9164</v>
      </c>
      <c r="C885" s="15" t="s">
        <v>9165</v>
      </c>
      <c r="D885" s="15">
        <v>1495</v>
      </c>
      <c r="E885" s="15" t="s">
        <v>7814</v>
      </c>
      <c r="F885" s="15">
        <v>5</v>
      </c>
      <c r="G885" s="15" t="s">
        <v>9166</v>
      </c>
      <c r="H885" s="15"/>
    </row>
    <row r="886" spans="1:8" ht="45" x14ac:dyDescent="0.25">
      <c r="A886" s="15" t="s">
        <v>7811</v>
      </c>
      <c r="B886" s="15" t="s">
        <v>7357</v>
      </c>
      <c r="C886" s="15" t="s">
        <v>9167</v>
      </c>
      <c r="D886" s="15">
        <v>1735</v>
      </c>
      <c r="E886" s="15" t="s">
        <v>7818</v>
      </c>
      <c r="F886" s="15">
        <v>100</v>
      </c>
      <c r="G886" s="15" t="s">
        <v>7819</v>
      </c>
      <c r="H886" s="15"/>
    </row>
    <row r="887" spans="1:8" ht="45" x14ac:dyDescent="0.25">
      <c r="A887" s="15" t="s">
        <v>7811</v>
      </c>
      <c r="B887" s="15" t="s">
        <v>9168</v>
      </c>
      <c r="C887" s="15" t="s">
        <v>9169</v>
      </c>
      <c r="D887" s="15">
        <v>1504</v>
      </c>
      <c r="E887" s="15" t="s">
        <v>7818</v>
      </c>
      <c r="F887" s="15">
        <v>30</v>
      </c>
      <c r="G887" s="15" t="s">
        <v>7819</v>
      </c>
      <c r="H887" s="15"/>
    </row>
    <row r="888" spans="1:8" ht="45" x14ac:dyDescent="0.25">
      <c r="A888" s="15" t="s">
        <v>7811</v>
      </c>
      <c r="B888" s="15" t="s">
        <v>9170</v>
      </c>
      <c r="C888" s="15" t="s">
        <v>9171</v>
      </c>
      <c r="D888" s="15">
        <v>1499</v>
      </c>
      <c r="E888" s="15" t="s">
        <v>7838</v>
      </c>
      <c r="F888" s="15">
        <v>8</v>
      </c>
      <c r="G888" s="15" t="s">
        <v>7819</v>
      </c>
      <c r="H888" s="15"/>
    </row>
    <row r="889" spans="1:8" ht="45" x14ac:dyDescent="0.25">
      <c r="A889" s="15" t="s">
        <v>7811</v>
      </c>
      <c r="B889" s="15" t="s">
        <v>9172</v>
      </c>
      <c r="C889" s="15" t="s">
        <v>9173</v>
      </c>
      <c r="D889" s="15">
        <v>1570</v>
      </c>
      <c r="E889" s="15" t="s">
        <v>7877</v>
      </c>
      <c r="F889" s="15">
        <v>8.1999999999999993</v>
      </c>
      <c r="G889" s="15" t="s">
        <v>7819</v>
      </c>
      <c r="H889" s="15"/>
    </row>
    <row r="890" spans="1:8" ht="75" x14ac:dyDescent="0.25">
      <c r="A890" s="15" t="s">
        <v>7811</v>
      </c>
      <c r="B890" s="15" t="s">
        <v>9174</v>
      </c>
      <c r="C890" s="15" t="s">
        <v>9175</v>
      </c>
      <c r="D890" s="15">
        <v>1569</v>
      </c>
      <c r="E890" s="15" t="s">
        <v>7814</v>
      </c>
      <c r="F890" s="15">
        <v>5</v>
      </c>
      <c r="G890" s="15" t="s">
        <v>9176</v>
      </c>
      <c r="H890" s="15"/>
    </row>
    <row r="891" spans="1:8" ht="75" x14ac:dyDescent="0.25">
      <c r="A891" s="15" t="s">
        <v>7811</v>
      </c>
      <c r="B891" s="15" t="s">
        <v>9177</v>
      </c>
      <c r="C891" s="15" t="s">
        <v>9178</v>
      </c>
      <c r="D891" s="15">
        <v>1036</v>
      </c>
      <c r="E891" s="15" t="s">
        <v>7814</v>
      </c>
      <c r="F891" s="15">
        <v>5</v>
      </c>
      <c r="G891" s="15" t="s">
        <v>9179</v>
      </c>
      <c r="H891" s="15"/>
    </row>
    <row r="892" spans="1:8" ht="135" x14ac:dyDescent="0.25">
      <c r="A892" s="15" t="s">
        <v>7811</v>
      </c>
      <c r="B892" s="15" t="s">
        <v>9180</v>
      </c>
      <c r="C892" s="15" t="s">
        <v>9181</v>
      </c>
      <c r="D892" s="15">
        <v>1571</v>
      </c>
      <c r="E892" s="15" t="s">
        <v>7814</v>
      </c>
      <c r="F892" s="15">
        <v>5</v>
      </c>
      <c r="G892" s="15" t="s">
        <v>9182</v>
      </c>
      <c r="H892" s="15"/>
    </row>
    <row r="893" spans="1:8" ht="45" x14ac:dyDescent="0.25">
      <c r="A893" s="15" t="s">
        <v>7811</v>
      </c>
      <c r="B893" s="15" t="s">
        <v>9183</v>
      </c>
      <c r="C893" s="15" t="s">
        <v>9184</v>
      </c>
      <c r="D893" s="15">
        <v>547</v>
      </c>
      <c r="E893" s="15" t="s">
        <v>7877</v>
      </c>
      <c r="F893" s="15">
        <v>4.2</v>
      </c>
      <c r="G893" s="15" t="s">
        <v>7819</v>
      </c>
      <c r="H893" s="15"/>
    </row>
    <row r="894" spans="1:8" ht="45" x14ac:dyDescent="0.25">
      <c r="A894" s="15" t="s">
        <v>7811</v>
      </c>
      <c r="B894" s="15" t="s">
        <v>9185</v>
      </c>
      <c r="C894" s="15" t="s">
        <v>9186</v>
      </c>
      <c r="D894" s="15">
        <v>551</v>
      </c>
      <c r="E894" s="15" t="s">
        <v>7877</v>
      </c>
      <c r="F894" s="15">
        <v>4.2</v>
      </c>
      <c r="G894" s="15" t="s">
        <v>7819</v>
      </c>
      <c r="H894" s="15"/>
    </row>
    <row r="895" spans="1:8" ht="45" x14ac:dyDescent="0.25">
      <c r="A895" s="15" t="s">
        <v>7811</v>
      </c>
      <c r="B895" s="15" t="s">
        <v>9187</v>
      </c>
      <c r="C895" s="15" t="s">
        <v>9188</v>
      </c>
      <c r="D895" s="15">
        <v>549</v>
      </c>
      <c r="E895" s="15" t="s">
        <v>7838</v>
      </c>
      <c r="F895" s="15">
        <v>8</v>
      </c>
      <c r="G895" s="15" t="s">
        <v>7819</v>
      </c>
      <c r="H895" s="15"/>
    </row>
    <row r="896" spans="1:8" ht="45" x14ac:dyDescent="0.25">
      <c r="A896" s="15" t="s">
        <v>7811</v>
      </c>
      <c r="B896" s="15" t="s">
        <v>9189</v>
      </c>
      <c r="C896" s="15" t="s">
        <v>9190</v>
      </c>
      <c r="D896" s="15">
        <v>550</v>
      </c>
      <c r="E896" s="15" t="s">
        <v>7838</v>
      </c>
      <c r="F896" s="15">
        <v>8</v>
      </c>
      <c r="G896" s="15" t="s">
        <v>7819</v>
      </c>
      <c r="H896" s="15"/>
    </row>
    <row r="897" spans="1:8" ht="60" x14ac:dyDescent="0.25">
      <c r="A897" s="15" t="s">
        <v>7811</v>
      </c>
      <c r="B897" s="15" t="s">
        <v>9191</v>
      </c>
      <c r="C897" s="15" t="s">
        <v>9192</v>
      </c>
      <c r="D897" s="15">
        <v>545</v>
      </c>
      <c r="E897" s="15" t="s">
        <v>7814</v>
      </c>
      <c r="F897" s="15">
        <v>5</v>
      </c>
      <c r="G897" s="15" t="s">
        <v>9193</v>
      </c>
      <c r="H897" s="15"/>
    </row>
    <row r="898" spans="1:8" ht="135" x14ac:dyDescent="0.25">
      <c r="A898" s="15" t="s">
        <v>7811</v>
      </c>
      <c r="B898" s="15" t="s">
        <v>9194</v>
      </c>
      <c r="C898" s="15" t="s">
        <v>9195</v>
      </c>
      <c r="D898" s="15">
        <v>544</v>
      </c>
      <c r="E898" s="15" t="s">
        <v>7814</v>
      </c>
      <c r="F898" s="15">
        <v>5</v>
      </c>
      <c r="G898" s="15" t="s">
        <v>9196</v>
      </c>
      <c r="H898" s="15"/>
    </row>
    <row r="899" spans="1:8" ht="105" x14ac:dyDescent="0.25">
      <c r="A899" s="15" t="s">
        <v>7811</v>
      </c>
      <c r="B899" s="15" t="s">
        <v>9197</v>
      </c>
      <c r="C899" s="15" t="s">
        <v>9198</v>
      </c>
      <c r="D899" s="15">
        <v>1549</v>
      </c>
      <c r="E899" s="15" t="s">
        <v>7814</v>
      </c>
      <c r="F899" s="15">
        <v>5</v>
      </c>
      <c r="G899" s="15" t="s">
        <v>9199</v>
      </c>
      <c r="H899" s="15"/>
    </row>
    <row r="900" spans="1:8" ht="45" x14ac:dyDescent="0.25">
      <c r="A900" s="15" t="s">
        <v>7811</v>
      </c>
      <c r="B900" s="15" t="s">
        <v>9200</v>
      </c>
      <c r="C900" s="15" t="s">
        <v>9201</v>
      </c>
      <c r="D900" s="15">
        <v>725</v>
      </c>
      <c r="E900" s="15" t="s">
        <v>7818</v>
      </c>
      <c r="F900" s="15">
        <v>8</v>
      </c>
      <c r="G900" s="15" t="s">
        <v>7819</v>
      </c>
      <c r="H900" s="15"/>
    </row>
    <row r="901" spans="1:8" ht="45" x14ac:dyDescent="0.25">
      <c r="A901" s="15" t="s">
        <v>7811</v>
      </c>
      <c r="B901" s="15" t="s">
        <v>9202</v>
      </c>
      <c r="C901" s="15" t="s">
        <v>9203</v>
      </c>
      <c r="D901" s="15">
        <v>160</v>
      </c>
      <c r="E901" s="15" t="s">
        <v>7838</v>
      </c>
      <c r="F901" s="15">
        <v>8</v>
      </c>
      <c r="G901" s="15" t="s">
        <v>7819</v>
      </c>
      <c r="H901" s="15"/>
    </row>
    <row r="902" spans="1:8" ht="45" x14ac:dyDescent="0.25">
      <c r="A902" s="15" t="s">
        <v>7811</v>
      </c>
      <c r="B902" s="15" t="s">
        <v>9204</v>
      </c>
      <c r="C902" s="15" t="s">
        <v>9205</v>
      </c>
      <c r="D902" s="15">
        <v>161</v>
      </c>
      <c r="E902" s="15" t="s">
        <v>7818</v>
      </c>
      <c r="F902" s="15">
        <v>80</v>
      </c>
      <c r="G902" s="15" t="s">
        <v>7819</v>
      </c>
      <c r="H902" s="15"/>
    </row>
    <row r="903" spans="1:8" ht="45" x14ac:dyDescent="0.25">
      <c r="A903" s="15" t="s">
        <v>7811</v>
      </c>
      <c r="B903" s="15" t="s">
        <v>9206</v>
      </c>
      <c r="C903" s="15" t="s">
        <v>9207</v>
      </c>
      <c r="D903" s="15">
        <v>162</v>
      </c>
      <c r="E903" s="15" t="s">
        <v>7818</v>
      </c>
      <c r="F903" s="15">
        <v>10</v>
      </c>
      <c r="G903" s="15" t="s">
        <v>7819</v>
      </c>
      <c r="H903" s="15"/>
    </row>
    <row r="904" spans="1:8" ht="45" x14ac:dyDescent="0.25">
      <c r="A904" s="15" t="s">
        <v>7811</v>
      </c>
      <c r="B904" s="15" t="s">
        <v>9208</v>
      </c>
      <c r="C904" s="15" t="s">
        <v>9209</v>
      </c>
      <c r="D904" s="15">
        <v>163</v>
      </c>
      <c r="E904" s="15" t="s">
        <v>7838</v>
      </c>
      <c r="F904" s="15">
        <v>8</v>
      </c>
      <c r="G904" s="15" t="s">
        <v>7819</v>
      </c>
      <c r="H904" s="15"/>
    </row>
    <row r="905" spans="1:8" ht="45" x14ac:dyDescent="0.25">
      <c r="A905" s="15" t="s">
        <v>7811</v>
      </c>
      <c r="B905" s="15" t="s">
        <v>9210</v>
      </c>
      <c r="C905" s="15" t="s">
        <v>9211</v>
      </c>
      <c r="D905" s="15">
        <v>164</v>
      </c>
      <c r="E905" s="15" t="s">
        <v>7818</v>
      </c>
      <c r="F905" s="15">
        <v>45</v>
      </c>
      <c r="G905" s="15" t="s">
        <v>7819</v>
      </c>
      <c r="H905" s="15"/>
    </row>
    <row r="906" spans="1:8" ht="45" x14ac:dyDescent="0.25">
      <c r="A906" s="15" t="s">
        <v>7811</v>
      </c>
      <c r="B906" s="15" t="s">
        <v>9212</v>
      </c>
      <c r="C906" s="15" t="s">
        <v>9213</v>
      </c>
      <c r="D906" s="15">
        <v>165</v>
      </c>
      <c r="E906" s="15" t="s">
        <v>7818</v>
      </c>
      <c r="F906" s="15">
        <v>80</v>
      </c>
      <c r="G906" s="15" t="s">
        <v>7819</v>
      </c>
      <c r="H906" s="15"/>
    </row>
    <row r="907" spans="1:8" ht="45" x14ac:dyDescent="0.25">
      <c r="A907" s="15" t="s">
        <v>7811</v>
      </c>
      <c r="B907" s="15" t="s">
        <v>9214</v>
      </c>
      <c r="C907" s="15" t="s">
        <v>9207</v>
      </c>
      <c r="D907" s="15">
        <v>166</v>
      </c>
      <c r="E907" s="15" t="s">
        <v>7818</v>
      </c>
      <c r="F907" s="15">
        <v>10</v>
      </c>
      <c r="G907" s="15" t="s">
        <v>7819</v>
      </c>
      <c r="H907" s="15"/>
    </row>
    <row r="908" spans="1:8" ht="45" x14ac:dyDescent="0.25">
      <c r="A908" s="15" t="s">
        <v>7811</v>
      </c>
      <c r="B908" s="15" t="s">
        <v>9215</v>
      </c>
      <c r="C908" s="15" t="s">
        <v>9216</v>
      </c>
      <c r="D908" s="15">
        <v>167</v>
      </c>
      <c r="E908" s="15" t="s">
        <v>7818</v>
      </c>
      <c r="F908" s="15">
        <v>45</v>
      </c>
      <c r="G908" s="15" t="s">
        <v>7819</v>
      </c>
      <c r="H908" s="15"/>
    </row>
    <row r="909" spans="1:8" ht="45" x14ac:dyDescent="0.25">
      <c r="A909" s="15" t="s">
        <v>7811</v>
      </c>
      <c r="B909" s="15" t="s">
        <v>9217</v>
      </c>
      <c r="C909" s="15" t="s">
        <v>9218</v>
      </c>
      <c r="D909" s="15">
        <v>168</v>
      </c>
      <c r="E909" s="15" t="s">
        <v>7818</v>
      </c>
      <c r="F909" s="15">
        <v>80</v>
      </c>
      <c r="G909" s="15" t="s">
        <v>7819</v>
      </c>
      <c r="H909" s="15"/>
    </row>
    <row r="910" spans="1:8" ht="45" x14ac:dyDescent="0.25">
      <c r="A910" s="15" t="s">
        <v>7811</v>
      </c>
      <c r="B910" s="15" t="s">
        <v>9219</v>
      </c>
      <c r="C910" s="15" t="s">
        <v>9220</v>
      </c>
      <c r="D910" s="15">
        <v>169</v>
      </c>
      <c r="E910" s="15" t="s">
        <v>7818</v>
      </c>
      <c r="F910" s="15">
        <v>80</v>
      </c>
      <c r="G910" s="15" t="s">
        <v>7819</v>
      </c>
      <c r="H910" s="15"/>
    </row>
    <row r="911" spans="1:8" ht="120" x14ac:dyDescent="0.25">
      <c r="A911" s="15" t="s">
        <v>7811</v>
      </c>
      <c r="B911" s="15" t="s">
        <v>9221</v>
      </c>
      <c r="C911" s="15" t="s">
        <v>9222</v>
      </c>
      <c r="D911" s="15">
        <v>372</v>
      </c>
      <c r="E911" s="15" t="s">
        <v>7814</v>
      </c>
      <c r="F911" s="15">
        <v>5</v>
      </c>
      <c r="G911" s="15" t="s">
        <v>9223</v>
      </c>
      <c r="H911" s="15"/>
    </row>
    <row r="912" spans="1:8" ht="165" x14ac:dyDescent="0.25">
      <c r="A912" s="15" t="s">
        <v>7811</v>
      </c>
      <c r="B912" s="15" t="s">
        <v>9224</v>
      </c>
      <c r="C912" s="15" t="s">
        <v>9225</v>
      </c>
      <c r="D912" s="15">
        <v>933</v>
      </c>
      <c r="E912" s="15" t="s">
        <v>7814</v>
      </c>
      <c r="F912" s="15">
        <v>5</v>
      </c>
      <c r="G912" s="15" t="s">
        <v>9226</v>
      </c>
      <c r="H912" s="15"/>
    </row>
    <row r="913" spans="1:8" ht="60" x14ac:dyDescent="0.25">
      <c r="A913" s="15" t="s">
        <v>7811</v>
      </c>
      <c r="B913" s="15" t="s">
        <v>9227</v>
      </c>
      <c r="C913" s="15" t="s">
        <v>9228</v>
      </c>
      <c r="D913" s="15">
        <v>1318</v>
      </c>
      <c r="E913" s="15" t="s">
        <v>7818</v>
      </c>
      <c r="F913" s="15">
        <v>30</v>
      </c>
      <c r="G913" s="15" t="s">
        <v>7819</v>
      </c>
      <c r="H913" s="15"/>
    </row>
    <row r="914" spans="1:8" ht="60" x14ac:dyDescent="0.25">
      <c r="A914" s="15" t="s">
        <v>7811</v>
      </c>
      <c r="B914" s="15" t="s">
        <v>9229</v>
      </c>
      <c r="C914" s="15" t="s">
        <v>9230</v>
      </c>
      <c r="D914" s="15">
        <v>610</v>
      </c>
      <c r="E914" s="15" t="s">
        <v>7814</v>
      </c>
      <c r="F914" s="15">
        <v>5</v>
      </c>
      <c r="G914" s="15" t="s">
        <v>9231</v>
      </c>
      <c r="H914" s="15"/>
    </row>
    <row r="915" spans="1:8" ht="45" x14ac:dyDescent="0.25">
      <c r="A915" s="15" t="s">
        <v>7811</v>
      </c>
      <c r="B915" s="15" t="s">
        <v>9232</v>
      </c>
      <c r="C915" s="15" t="s">
        <v>9233</v>
      </c>
      <c r="D915" s="15">
        <v>1028</v>
      </c>
      <c r="E915" s="15" t="s">
        <v>7877</v>
      </c>
      <c r="F915" s="15">
        <v>8.1999999999999993</v>
      </c>
      <c r="G915" s="15" t="s">
        <v>7819</v>
      </c>
      <c r="H915" s="15"/>
    </row>
    <row r="916" spans="1:8" ht="45" x14ac:dyDescent="0.25">
      <c r="A916" s="15" t="s">
        <v>7811</v>
      </c>
      <c r="B916" s="15" t="s">
        <v>9234</v>
      </c>
      <c r="C916" s="15" t="s">
        <v>9235</v>
      </c>
      <c r="D916" s="15">
        <v>785</v>
      </c>
      <c r="E916" s="15" t="s">
        <v>7838</v>
      </c>
      <c r="F916" s="15">
        <v>8</v>
      </c>
      <c r="G916" s="15" t="s">
        <v>7819</v>
      </c>
      <c r="H916" s="15"/>
    </row>
    <row r="917" spans="1:8" ht="45" x14ac:dyDescent="0.25">
      <c r="A917" s="15" t="s">
        <v>7811</v>
      </c>
      <c r="B917" s="15" t="s">
        <v>9236</v>
      </c>
      <c r="C917" s="15" t="s">
        <v>9237</v>
      </c>
      <c r="D917" s="15">
        <v>784</v>
      </c>
      <c r="E917" s="15" t="s">
        <v>7818</v>
      </c>
      <c r="F917" s="15">
        <v>35</v>
      </c>
      <c r="G917" s="15" t="s">
        <v>7819</v>
      </c>
      <c r="H917" s="15"/>
    </row>
    <row r="918" spans="1:8" ht="45" x14ac:dyDescent="0.25">
      <c r="A918" s="15" t="s">
        <v>7811</v>
      </c>
      <c r="B918" s="15" t="s">
        <v>9238</v>
      </c>
      <c r="C918" s="15" t="s">
        <v>9239</v>
      </c>
      <c r="D918" s="15">
        <v>783</v>
      </c>
      <c r="E918" s="15" t="s">
        <v>7818</v>
      </c>
      <c r="F918" s="15">
        <v>60</v>
      </c>
      <c r="G918" s="15" t="s">
        <v>7819</v>
      </c>
      <c r="H918" s="15"/>
    </row>
    <row r="919" spans="1:8" ht="45" x14ac:dyDescent="0.25">
      <c r="A919" s="15" t="s">
        <v>7811</v>
      </c>
      <c r="B919" s="15" t="s">
        <v>9240</v>
      </c>
      <c r="C919" s="15" t="s">
        <v>9241</v>
      </c>
      <c r="D919" s="15">
        <v>786</v>
      </c>
      <c r="E919" s="15" t="s">
        <v>7838</v>
      </c>
      <c r="F919" s="15">
        <v>8</v>
      </c>
      <c r="G919" s="15" t="s">
        <v>7819</v>
      </c>
      <c r="H919" s="15"/>
    </row>
    <row r="920" spans="1:8" ht="60" x14ac:dyDescent="0.25">
      <c r="A920" s="15" t="s">
        <v>7811</v>
      </c>
      <c r="B920" s="15" t="s">
        <v>9242</v>
      </c>
      <c r="C920" s="15" t="s">
        <v>9243</v>
      </c>
      <c r="D920" s="15">
        <v>1451</v>
      </c>
      <c r="E920" s="15" t="s">
        <v>7814</v>
      </c>
      <c r="F920" s="15">
        <v>5</v>
      </c>
      <c r="G920" s="15" t="s">
        <v>7815</v>
      </c>
      <c r="H920" s="15"/>
    </row>
    <row r="921" spans="1:8" ht="180" x14ac:dyDescent="0.25">
      <c r="A921" s="15" t="s">
        <v>7811</v>
      </c>
      <c r="B921" s="15" t="s">
        <v>9244</v>
      </c>
      <c r="C921" s="15" t="s">
        <v>9245</v>
      </c>
      <c r="D921" s="15">
        <v>1881</v>
      </c>
      <c r="E921" s="15" t="s">
        <v>7814</v>
      </c>
      <c r="F921" s="15">
        <v>5</v>
      </c>
      <c r="G921" s="15" t="s">
        <v>9246</v>
      </c>
      <c r="H921" s="15"/>
    </row>
    <row r="922" spans="1:8" ht="195" x14ac:dyDescent="0.25">
      <c r="A922" s="15" t="s">
        <v>7811</v>
      </c>
      <c r="B922" s="15" t="s">
        <v>9247</v>
      </c>
      <c r="C922" s="15" t="s">
        <v>9248</v>
      </c>
      <c r="D922" s="15">
        <v>1283</v>
      </c>
      <c r="E922" s="15" t="s">
        <v>7814</v>
      </c>
      <c r="F922" s="15">
        <v>5</v>
      </c>
      <c r="G922" s="15" t="s">
        <v>9249</v>
      </c>
      <c r="H922" s="15"/>
    </row>
    <row r="923" spans="1:8" ht="210" x14ac:dyDescent="0.25">
      <c r="A923" s="15" t="s">
        <v>7811</v>
      </c>
      <c r="B923" s="15" t="s">
        <v>9250</v>
      </c>
      <c r="C923" s="15" t="s">
        <v>9251</v>
      </c>
      <c r="D923" s="15">
        <v>839</v>
      </c>
      <c r="E923" s="15" t="s">
        <v>7814</v>
      </c>
      <c r="F923" s="15">
        <v>5</v>
      </c>
      <c r="G923" s="15" t="s">
        <v>9252</v>
      </c>
      <c r="H923" s="15"/>
    </row>
    <row r="924" spans="1:8" ht="45" x14ac:dyDescent="0.25">
      <c r="A924" s="15" t="s">
        <v>7811</v>
      </c>
      <c r="B924" s="15" t="s">
        <v>9253</v>
      </c>
      <c r="C924" s="15" t="s">
        <v>9254</v>
      </c>
      <c r="D924" s="15">
        <v>999</v>
      </c>
      <c r="E924" s="15" t="s">
        <v>7818</v>
      </c>
      <c r="F924" s="15">
        <v>60</v>
      </c>
      <c r="G924" s="15" t="s">
        <v>7819</v>
      </c>
      <c r="H924" s="15"/>
    </row>
    <row r="925" spans="1:8" ht="120" x14ac:dyDescent="0.25">
      <c r="A925" s="15" t="s">
        <v>7811</v>
      </c>
      <c r="B925" s="15" t="s">
        <v>9255</v>
      </c>
      <c r="C925" s="15" t="s">
        <v>9256</v>
      </c>
      <c r="D925" s="15">
        <v>979</v>
      </c>
      <c r="E925" s="15" t="s">
        <v>7814</v>
      </c>
      <c r="F925" s="15">
        <v>5</v>
      </c>
      <c r="G925" s="15" t="s">
        <v>9257</v>
      </c>
      <c r="H925" s="15"/>
    </row>
    <row r="926" spans="1:8" ht="45" x14ac:dyDescent="0.25">
      <c r="A926" s="15" t="s">
        <v>7811</v>
      </c>
      <c r="B926" s="15" t="s">
        <v>9258</v>
      </c>
      <c r="C926" s="15" t="s">
        <v>9259</v>
      </c>
      <c r="D926" s="15">
        <v>175</v>
      </c>
      <c r="E926" s="15" t="s">
        <v>7838</v>
      </c>
      <c r="F926" s="15">
        <v>8</v>
      </c>
      <c r="G926" s="15" t="s">
        <v>7819</v>
      </c>
      <c r="H926" s="15"/>
    </row>
    <row r="927" spans="1:8" ht="45" x14ac:dyDescent="0.25">
      <c r="A927" s="15" t="s">
        <v>7811</v>
      </c>
      <c r="B927" s="15" t="s">
        <v>9260</v>
      </c>
      <c r="C927" s="15" t="s">
        <v>9261</v>
      </c>
      <c r="D927" s="15">
        <v>176</v>
      </c>
      <c r="E927" s="15" t="s">
        <v>7859</v>
      </c>
      <c r="F927" s="15">
        <v>3</v>
      </c>
      <c r="G927" s="15" t="s">
        <v>7819</v>
      </c>
      <c r="H927" s="15"/>
    </row>
    <row r="928" spans="1:8" ht="75" x14ac:dyDescent="0.25">
      <c r="A928" s="15" t="s">
        <v>7811</v>
      </c>
      <c r="B928" s="15" t="s">
        <v>9262</v>
      </c>
      <c r="C928" s="15" t="s">
        <v>9263</v>
      </c>
      <c r="D928" s="15">
        <v>1403</v>
      </c>
      <c r="E928" s="15" t="s">
        <v>7814</v>
      </c>
      <c r="F928" s="15">
        <v>5</v>
      </c>
      <c r="G928" s="15" t="s">
        <v>9264</v>
      </c>
      <c r="H928" s="15"/>
    </row>
    <row r="929" spans="1:8" ht="75" x14ac:dyDescent="0.25">
      <c r="A929" s="15" t="s">
        <v>7811</v>
      </c>
      <c r="B929" s="15" t="s">
        <v>9265</v>
      </c>
      <c r="C929" s="15" t="s">
        <v>9266</v>
      </c>
      <c r="D929" s="15">
        <v>330</v>
      </c>
      <c r="E929" s="15" t="s">
        <v>7814</v>
      </c>
      <c r="F929" s="15">
        <v>5</v>
      </c>
      <c r="G929" s="15" t="s">
        <v>9267</v>
      </c>
      <c r="H929" s="15"/>
    </row>
    <row r="930" spans="1:8" ht="90" x14ac:dyDescent="0.25">
      <c r="A930" s="15" t="s">
        <v>7811</v>
      </c>
      <c r="B930" s="15" t="s">
        <v>9268</v>
      </c>
      <c r="C930" s="15" t="s">
        <v>9269</v>
      </c>
      <c r="D930" s="15">
        <v>860</v>
      </c>
      <c r="E930" s="15" t="s">
        <v>7814</v>
      </c>
      <c r="F930" s="15">
        <v>5</v>
      </c>
      <c r="G930" s="15" t="s">
        <v>9270</v>
      </c>
      <c r="H930" s="15"/>
    </row>
    <row r="931" spans="1:8" ht="45" x14ac:dyDescent="0.25">
      <c r="A931" s="15" t="s">
        <v>7811</v>
      </c>
      <c r="B931" s="15" t="s">
        <v>9271</v>
      </c>
      <c r="C931" s="15" t="s">
        <v>9272</v>
      </c>
      <c r="D931" s="15">
        <v>177</v>
      </c>
      <c r="E931" s="15" t="s">
        <v>7838</v>
      </c>
      <c r="F931" s="15">
        <v>8</v>
      </c>
      <c r="G931" s="15" t="s">
        <v>7819</v>
      </c>
      <c r="H931" s="15"/>
    </row>
    <row r="932" spans="1:8" ht="45" x14ac:dyDescent="0.25">
      <c r="A932" s="15" t="s">
        <v>7811</v>
      </c>
      <c r="B932" s="15" t="s">
        <v>9273</v>
      </c>
      <c r="C932" s="15" t="s">
        <v>9274</v>
      </c>
      <c r="D932" s="15">
        <v>178</v>
      </c>
      <c r="E932" s="15" t="s">
        <v>7838</v>
      </c>
      <c r="F932" s="15">
        <v>8</v>
      </c>
      <c r="G932" s="15" t="s">
        <v>7819</v>
      </c>
      <c r="H932" s="15"/>
    </row>
    <row r="933" spans="1:8" ht="45" x14ac:dyDescent="0.25">
      <c r="A933" s="15" t="s">
        <v>7811</v>
      </c>
      <c r="B933" s="15" t="s">
        <v>9275</v>
      </c>
      <c r="C933" s="15" t="s">
        <v>9276</v>
      </c>
      <c r="D933" s="15">
        <v>1314</v>
      </c>
      <c r="E933" s="15" t="s">
        <v>7818</v>
      </c>
      <c r="F933" s="15">
        <v>45</v>
      </c>
      <c r="G933" s="15" t="s">
        <v>7819</v>
      </c>
      <c r="H933" s="15"/>
    </row>
    <row r="934" spans="1:8" ht="45" x14ac:dyDescent="0.25">
      <c r="A934" s="15" t="s">
        <v>7811</v>
      </c>
      <c r="B934" s="15" t="s">
        <v>9277</v>
      </c>
      <c r="C934" s="15" t="s">
        <v>9278</v>
      </c>
      <c r="D934" s="15">
        <v>546</v>
      </c>
      <c r="E934" s="15" t="s">
        <v>7877</v>
      </c>
      <c r="F934" s="15">
        <v>4.2</v>
      </c>
      <c r="G934" s="15" t="s">
        <v>7819</v>
      </c>
      <c r="H934" s="15"/>
    </row>
    <row r="935" spans="1:8" ht="45" x14ac:dyDescent="0.25">
      <c r="A935" s="15" t="s">
        <v>7811</v>
      </c>
      <c r="B935" s="15" t="s">
        <v>9279</v>
      </c>
      <c r="C935" s="15" t="s">
        <v>7570</v>
      </c>
      <c r="D935" s="15">
        <v>1190</v>
      </c>
      <c r="E935" s="15" t="s">
        <v>7859</v>
      </c>
      <c r="F935" s="15">
        <v>5</v>
      </c>
      <c r="G935" s="15" t="s">
        <v>7819</v>
      </c>
      <c r="H935" s="15"/>
    </row>
    <row r="936" spans="1:8" ht="195" x14ac:dyDescent="0.25">
      <c r="A936" s="15" t="s">
        <v>7811</v>
      </c>
      <c r="B936" s="15" t="s">
        <v>9280</v>
      </c>
      <c r="C936" s="15" t="s">
        <v>9281</v>
      </c>
      <c r="D936" s="15">
        <v>1105</v>
      </c>
      <c r="E936" s="15" t="s">
        <v>7814</v>
      </c>
      <c r="F936" s="15">
        <v>5</v>
      </c>
      <c r="G936" s="15" t="s">
        <v>9282</v>
      </c>
      <c r="H936" s="15"/>
    </row>
    <row r="937" spans="1:8" ht="165" x14ac:dyDescent="0.25">
      <c r="A937" s="15" t="s">
        <v>7811</v>
      </c>
      <c r="B937" s="15" t="s">
        <v>9283</v>
      </c>
      <c r="C937" s="15" t="s">
        <v>9284</v>
      </c>
      <c r="D937" s="15">
        <v>1073</v>
      </c>
      <c r="E937" s="15" t="s">
        <v>7814</v>
      </c>
      <c r="F937" s="15">
        <v>5</v>
      </c>
      <c r="G937" s="15" t="s">
        <v>9285</v>
      </c>
      <c r="H937" s="15"/>
    </row>
    <row r="938" spans="1:8" ht="45" x14ac:dyDescent="0.25">
      <c r="A938" s="15" t="s">
        <v>7811</v>
      </c>
      <c r="B938" s="15" t="s">
        <v>9286</v>
      </c>
      <c r="C938" s="15" t="s">
        <v>9287</v>
      </c>
      <c r="D938" s="15">
        <v>1074</v>
      </c>
      <c r="E938" s="15" t="s">
        <v>7877</v>
      </c>
      <c r="F938" s="15">
        <v>2.2000000000000002</v>
      </c>
      <c r="G938" s="15" t="s">
        <v>7819</v>
      </c>
      <c r="H938" s="15"/>
    </row>
    <row r="939" spans="1:8" ht="105" x14ac:dyDescent="0.25">
      <c r="A939" s="15" t="s">
        <v>7811</v>
      </c>
      <c r="B939" s="15" t="s">
        <v>9288</v>
      </c>
      <c r="C939" s="15" t="s">
        <v>9289</v>
      </c>
      <c r="D939" s="15">
        <v>1069</v>
      </c>
      <c r="E939" s="15" t="s">
        <v>7814</v>
      </c>
      <c r="F939" s="15">
        <v>5</v>
      </c>
      <c r="G939" s="15" t="s">
        <v>9290</v>
      </c>
      <c r="H939" s="15"/>
    </row>
    <row r="940" spans="1:8" ht="105" x14ac:dyDescent="0.25">
      <c r="A940" s="15" t="s">
        <v>7811</v>
      </c>
      <c r="B940" s="15" t="s">
        <v>9291</v>
      </c>
      <c r="C940" s="15" t="s">
        <v>9292</v>
      </c>
      <c r="D940" s="15">
        <v>1106</v>
      </c>
      <c r="E940" s="15" t="s">
        <v>7814</v>
      </c>
      <c r="F940" s="15">
        <v>5</v>
      </c>
      <c r="G940" s="15" t="s">
        <v>9293</v>
      </c>
      <c r="H940" s="15"/>
    </row>
    <row r="941" spans="1:8" ht="45" x14ac:dyDescent="0.25">
      <c r="A941" s="15" t="s">
        <v>7811</v>
      </c>
      <c r="B941" s="15" t="s">
        <v>9294</v>
      </c>
      <c r="C941" s="15" t="s">
        <v>9295</v>
      </c>
      <c r="D941" s="15">
        <v>1104</v>
      </c>
      <c r="E941" s="15" t="s">
        <v>7818</v>
      </c>
      <c r="F941" s="15">
        <v>10</v>
      </c>
      <c r="G941" s="15" t="s">
        <v>7819</v>
      </c>
      <c r="H941" s="15"/>
    </row>
    <row r="942" spans="1:8" ht="45" x14ac:dyDescent="0.25">
      <c r="A942" s="15" t="s">
        <v>7811</v>
      </c>
      <c r="B942" s="15" t="s">
        <v>9296</v>
      </c>
      <c r="C942" s="15" t="s">
        <v>9297</v>
      </c>
      <c r="D942" s="15">
        <v>1103</v>
      </c>
      <c r="E942" s="15" t="s">
        <v>7818</v>
      </c>
      <c r="F942" s="15">
        <v>10</v>
      </c>
      <c r="G942" s="15" t="s">
        <v>7819</v>
      </c>
      <c r="H942" s="15"/>
    </row>
    <row r="943" spans="1:8" ht="75" x14ac:dyDescent="0.25">
      <c r="A943" s="15" t="s">
        <v>7811</v>
      </c>
      <c r="B943" s="15" t="s">
        <v>9298</v>
      </c>
      <c r="C943" s="15" t="s">
        <v>9299</v>
      </c>
      <c r="D943" s="15">
        <v>1070</v>
      </c>
      <c r="E943" s="15" t="s">
        <v>7838</v>
      </c>
      <c r="F943" s="15">
        <v>8</v>
      </c>
      <c r="G943" s="15" t="s">
        <v>8676</v>
      </c>
      <c r="H943" s="15"/>
    </row>
    <row r="944" spans="1:8" ht="255" x14ac:dyDescent="0.25">
      <c r="A944" s="15" t="s">
        <v>7811</v>
      </c>
      <c r="B944" s="15" t="s">
        <v>9300</v>
      </c>
      <c r="C944" s="15" t="s">
        <v>9301</v>
      </c>
      <c r="D944" s="15">
        <v>1072</v>
      </c>
      <c r="E944" s="15" t="s">
        <v>7814</v>
      </c>
      <c r="F944" s="15">
        <v>5</v>
      </c>
      <c r="G944" s="15" t="s">
        <v>9302</v>
      </c>
      <c r="H944" s="15"/>
    </row>
    <row r="945" spans="1:8" ht="105" x14ac:dyDescent="0.25">
      <c r="A945" s="15" t="s">
        <v>7811</v>
      </c>
      <c r="B945" s="15" t="s">
        <v>9303</v>
      </c>
      <c r="C945" s="15" t="s">
        <v>9304</v>
      </c>
      <c r="D945" s="15">
        <v>1071</v>
      </c>
      <c r="E945" s="15" t="s">
        <v>7814</v>
      </c>
      <c r="F945" s="15">
        <v>5</v>
      </c>
      <c r="G945" s="15" t="s">
        <v>9305</v>
      </c>
      <c r="H945" s="15"/>
    </row>
    <row r="946" spans="1:8" ht="285" x14ac:dyDescent="0.25">
      <c r="A946" s="15" t="s">
        <v>7811</v>
      </c>
      <c r="B946" s="15" t="s">
        <v>9306</v>
      </c>
      <c r="C946" s="15" t="s">
        <v>9307</v>
      </c>
      <c r="D946" s="15">
        <v>457</v>
      </c>
      <c r="E946" s="15" t="s">
        <v>7814</v>
      </c>
      <c r="F946" s="15">
        <v>5</v>
      </c>
      <c r="G946" s="15" t="s">
        <v>9308</v>
      </c>
      <c r="H946" s="15"/>
    </row>
    <row r="947" spans="1:8" ht="105" x14ac:dyDescent="0.25">
      <c r="A947" s="15" t="s">
        <v>7811</v>
      </c>
      <c r="B947" s="15" t="s">
        <v>9309</v>
      </c>
      <c r="C947" s="15" t="s">
        <v>9310</v>
      </c>
      <c r="D947" s="15">
        <v>1539</v>
      </c>
      <c r="E947" s="15" t="s">
        <v>7814</v>
      </c>
      <c r="F947" s="15">
        <v>5</v>
      </c>
      <c r="G947" s="15" t="s">
        <v>9311</v>
      </c>
      <c r="H947" s="15"/>
    </row>
    <row r="948" spans="1:8" ht="120" x14ac:dyDescent="0.25">
      <c r="A948" s="15" t="s">
        <v>7811</v>
      </c>
      <c r="B948" s="15" t="s">
        <v>9312</v>
      </c>
      <c r="C948" s="15" t="s">
        <v>9313</v>
      </c>
      <c r="D948" s="15">
        <v>896</v>
      </c>
      <c r="E948" s="15" t="s">
        <v>7814</v>
      </c>
      <c r="F948" s="15">
        <v>5</v>
      </c>
      <c r="G948" s="15" t="s">
        <v>9314</v>
      </c>
      <c r="H948" s="15"/>
    </row>
    <row r="949" spans="1:8" ht="45" x14ac:dyDescent="0.25">
      <c r="A949" s="15" t="s">
        <v>7811</v>
      </c>
      <c r="B949" s="15" t="s">
        <v>9315</v>
      </c>
      <c r="C949" s="15" t="s">
        <v>9316</v>
      </c>
      <c r="D949" s="15">
        <v>341</v>
      </c>
      <c r="E949" s="15" t="s">
        <v>7838</v>
      </c>
      <c r="F949" s="15">
        <v>8</v>
      </c>
      <c r="G949" s="15" t="s">
        <v>7819</v>
      </c>
      <c r="H949" s="15"/>
    </row>
    <row r="950" spans="1:8" ht="105" x14ac:dyDescent="0.25">
      <c r="A950" s="15" t="s">
        <v>7811</v>
      </c>
      <c r="B950" s="15" t="s">
        <v>9317</v>
      </c>
      <c r="C950" s="15" t="s">
        <v>9318</v>
      </c>
      <c r="D950" s="15">
        <v>755</v>
      </c>
      <c r="E950" s="15" t="s">
        <v>7818</v>
      </c>
      <c r="F950" s="15">
        <v>35</v>
      </c>
      <c r="G950" s="15" t="s">
        <v>7819</v>
      </c>
      <c r="H950" s="15"/>
    </row>
    <row r="951" spans="1:8" ht="45" x14ac:dyDescent="0.25">
      <c r="A951" s="15" t="s">
        <v>7811</v>
      </c>
      <c r="B951" s="15" t="s">
        <v>9319</v>
      </c>
      <c r="C951" s="15" t="s">
        <v>9320</v>
      </c>
      <c r="D951" s="15">
        <v>342</v>
      </c>
      <c r="E951" s="15" t="s">
        <v>7818</v>
      </c>
      <c r="F951" s="15">
        <v>80</v>
      </c>
      <c r="G951" s="15" t="s">
        <v>7819</v>
      </c>
      <c r="H951" s="15"/>
    </row>
    <row r="952" spans="1:8" ht="225" x14ac:dyDescent="0.25">
      <c r="A952" s="15" t="s">
        <v>7811</v>
      </c>
      <c r="B952" s="15" t="s">
        <v>9321</v>
      </c>
      <c r="C952" s="15" t="s">
        <v>9322</v>
      </c>
      <c r="D952" s="15">
        <v>340</v>
      </c>
      <c r="E952" s="15" t="s">
        <v>7814</v>
      </c>
      <c r="F952" s="15">
        <v>5</v>
      </c>
      <c r="G952" s="15" t="s">
        <v>9323</v>
      </c>
      <c r="H952" s="15"/>
    </row>
    <row r="953" spans="1:8" ht="60" x14ac:dyDescent="0.25">
      <c r="A953" s="15" t="s">
        <v>7811</v>
      </c>
      <c r="B953" s="15" t="s">
        <v>9324</v>
      </c>
      <c r="C953" s="15" t="s">
        <v>9325</v>
      </c>
      <c r="D953" s="15">
        <v>758</v>
      </c>
      <c r="E953" s="15" t="s">
        <v>7818</v>
      </c>
      <c r="F953" s="15">
        <v>12</v>
      </c>
      <c r="G953" s="15" t="s">
        <v>7819</v>
      </c>
      <c r="H953" s="15"/>
    </row>
    <row r="954" spans="1:8" ht="45" x14ac:dyDescent="0.25">
      <c r="A954" s="15" t="s">
        <v>7811</v>
      </c>
      <c r="B954" s="15" t="s">
        <v>9326</v>
      </c>
      <c r="C954" s="15" t="s">
        <v>9327</v>
      </c>
      <c r="D954" s="15">
        <v>777</v>
      </c>
      <c r="E954" s="15" t="s">
        <v>7818</v>
      </c>
      <c r="F954" s="15">
        <v>60</v>
      </c>
      <c r="G954" s="15" t="s">
        <v>7819</v>
      </c>
      <c r="H954" s="15"/>
    </row>
    <row r="955" spans="1:8" ht="45" x14ac:dyDescent="0.25">
      <c r="A955" s="15" t="s">
        <v>7811</v>
      </c>
      <c r="B955" s="15" t="s">
        <v>9328</v>
      </c>
      <c r="C955" s="15" t="s">
        <v>9329</v>
      </c>
      <c r="D955" s="15">
        <v>748</v>
      </c>
      <c r="E955" s="15" t="s">
        <v>7818</v>
      </c>
      <c r="F955" s="15">
        <v>80</v>
      </c>
      <c r="G955" s="15" t="s">
        <v>7819</v>
      </c>
      <c r="H955" s="15"/>
    </row>
    <row r="956" spans="1:8" ht="45" x14ac:dyDescent="0.25">
      <c r="A956" s="15" t="s">
        <v>7811</v>
      </c>
      <c r="B956" s="15" t="s">
        <v>9330</v>
      </c>
      <c r="C956" s="15" t="s">
        <v>9331</v>
      </c>
      <c r="D956" s="15">
        <v>350</v>
      </c>
      <c r="E956" s="15" t="s">
        <v>7818</v>
      </c>
      <c r="F956" s="15">
        <v>35</v>
      </c>
      <c r="G956" s="15" t="s">
        <v>7819</v>
      </c>
      <c r="H956" s="15"/>
    </row>
    <row r="957" spans="1:8" ht="45" x14ac:dyDescent="0.25">
      <c r="A957" s="15" t="s">
        <v>7811</v>
      </c>
      <c r="B957" s="15" t="s">
        <v>9332</v>
      </c>
      <c r="C957" s="15" t="s">
        <v>9333</v>
      </c>
      <c r="D957" s="15">
        <v>1370</v>
      </c>
      <c r="E957" s="15" t="s">
        <v>7818</v>
      </c>
      <c r="F957" s="15">
        <v>100</v>
      </c>
      <c r="G957" s="15" t="s">
        <v>7819</v>
      </c>
      <c r="H957" s="15"/>
    </row>
    <row r="958" spans="1:8" ht="45" x14ac:dyDescent="0.25">
      <c r="A958" s="15" t="s">
        <v>7811</v>
      </c>
      <c r="B958" s="15" t="s">
        <v>9334</v>
      </c>
      <c r="C958" s="15" t="s">
        <v>9335</v>
      </c>
      <c r="D958" s="15">
        <v>1368</v>
      </c>
      <c r="E958" s="15" t="s">
        <v>7838</v>
      </c>
      <c r="F958" s="15">
        <v>8</v>
      </c>
      <c r="G958" s="15" t="s">
        <v>7819</v>
      </c>
      <c r="H958" s="15"/>
    </row>
    <row r="959" spans="1:8" ht="45" x14ac:dyDescent="0.25">
      <c r="A959" s="15" t="s">
        <v>7811</v>
      </c>
      <c r="B959" s="15" t="s">
        <v>9336</v>
      </c>
      <c r="C959" s="15" t="s">
        <v>9337</v>
      </c>
      <c r="D959" s="15">
        <v>1373</v>
      </c>
      <c r="E959" s="15" t="s">
        <v>7818</v>
      </c>
      <c r="F959" s="15">
        <v>50</v>
      </c>
      <c r="G959" s="15" t="s">
        <v>7819</v>
      </c>
      <c r="H959" s="15"/>
    </row>
    <row r="960" spans="1:8" ht="45" x14ac:dyDescent="0.25">
      <c r="A960" s="15" t="s">
        <v>7811</v>
      </c>
      <c r="B960" s="15" t="s">
        <v>9338</v>
      </c>
      <c r="C960" s="15" t="s">
        <v>9339</v>
      </c>
      <c r="D960" s="15">
        <v>1372</v>
      </c>
      <c r="E960" s="15" t="s">
        <v>7818</v>
      </c>
      <c r="F960" s="15">
        <v>45</v>
      </c>
      <c r="G960" s="15" t="s">
        <v>7819</v>
      </c>
      <c r="H960" s="15"/>
    </row>
    <row r="961" spans="1:8" ht="45" x14ac:dyDescent="0.25">
      <c r="A961" s="15" t="s">
        <v>7811</v>
      </c>
      <c r="B961" s="15" t="s">
        <v>9340</v>
      </c>
      <c r="C961" s="15" t="s">
        <v>9341</v>
      </c>
      <c r="D961" s="15">
        <v>1474</v>
      </c>
      <c r="E961" s="15" t="s">
        <v>7818</v>
      </c>
      <c r="F961" s="15">
        <v>80</v>
      </c>
      <c r="G961" s="15" t="s">
        <v>7819</v>
      </c>
      <c r="H961" s="15"/>
    </row>
    <row r="962" spans="1:8" ht="45" x14ac:dyDescent="0.25">
      <c r="A962" s="15" t="s">
        <v>7811</v>
      </c>
      <c r="B962" s="15" t="s">
        <v>9342</v>
      </c>
      <c r="C962" s="15" t="s">
        <v>9343</v>
      </c>
      <c r="D962" s="15">
        <v>1369</v>
      </c>
      <c r="E962" s="15" t="s">
        <v>7818</v>
      </c>
      <c r="F962" s="15">
        <v>30</v>
      </c>
      <c r="G962" s="15" t="s">
        <v>7819</v>
      </c>
      <c r="H962" s="15"/>
    </row>
    <row r="963" spans="1:8" ht="195" x14ac:dyDescent="0.25">
      <c r="A963" s="15" t="s">
        <v>7811</v>
      </c>
      <c r="B963" s="15" t="s">
        <v>9344</v>
      </c>
      <c r="C963" s="15" t="s">
        <v>9345</v>
      </c>
      <c r="D963" s="15">
        <v>1374</v>
      </c>
      <c r="E963" s="15" t="s">
        <v>7814</v>
      </c>
      <c r="F963" s="15">
        <v>5</v>
      </c>
      <c r="G963" s="15" t="s">
        <v>9346</v>
      </c>
      <c r="H963" s="15"/>
    </row>
    <row r="964" spans="1:8" ht="150" x14ac:dyDescent="0.25">
      <c r="A964" s="15" t="s">
        <v>7811</v>
      </c>
      <c r="B964" s="15" t="s">
        <v>9347</v>
      </c>
      <c r="C964" s="15" t="s">
        <v>9348</v>
      </c>
      <c r="D964" s="15">
        <v>182</v>
      </c>
      <c r="E964" s="15" t="s">
        <v>7814</v>
      </c>
      <c r="F964" s="15">
        <v>5</v>
      </c>
      <c r="G964" s="15" t="s">
        <v>9349</v>
      </c>
      <c r="H964" s="15"/>
    </row>
    <row r="965" spans="1:8" ht="409.5" x14ac:dyDescent="0.25">
      <c r="A965" s="25" t="s">
        <v>7811</v>
      </c>
      <c r="B965" s="25" t="s">
        <v>9350</v>
      </c>
      <c r="C965" s="25" t="s">
        <v>9351</v>
      </c>
      <c r="D965" s="25">
        <v>183</v>
      </c>
      <c r="E965" s="25" t="s">
        <v>7814</v>
      </c>
      <c r="F965" s="25">
        <v>5</v>
      </c>
      <c r="G965" s="8" t="s">
        <v>11376</v>
      </c>
      <c r="H965" s="25"/>
    </row>
    <row r="966" spans="1:8" ht="409.5" x14ac:dyDescent="0.25">
      <c r="A966" s="26"/>
      <c r="B966" s="26"/>
      <c r="C966" s="26"/>
      <c r="D966" s="26"/>
      <c r="E966" s="26"/>
      <c r="F966" s="26"/>
      <c r="G966" s="8" t="s">
        <v>11377</v>
      </c>
      <c r="H966" s="26"/>
    </row>
    <row r="967" spans="1:8" ht="409.5" x14ac:dyDescent="0.25">
      <c r="A967" s="26"/>
      <c r="B967" s="26"/>
      <c r="C967" s="26"/>
      <c r="D967" s="26"/>
      <c r="E967" s="26"/>
      <c r="F967" s="26"/>
      <c r="G967" s="8" t="s">
        <v>11378</v>
      </c>
      <c r="H967" s="26"/>
    </row>
    <row r="968" spans="1:8" ht="409.5" x14ac:dyDescent="0.25">
      <c r="A968" s="26"/>
      <c r="B968" s="26"/>
      <c r="C968" s="26"/>
      <c r="D968" s="26"/>
      <c r="E968" s="26"/>
      <c r="F968" s="26"/>
      <c r="G968" s="8" t="s">
        <v>11379</v>
      </c>
      <c r="H968" s="26"/>
    </row>
    <row r="969" spans="1:8" ht="409.5" x14ac:dyDescent="0.25">
      <c r="A969" s="26"/>
      <c r="B969" s="26"/>
      <c r="C969" s="26"/>
      <c r="D969" s="26"/>
      <c r="E969" s="26"/>
      <c r="F969" s="26"/>
      <c r="G969" s="8" t="s">
        <v>11380</v>
      </c>
      <c r="H969" s="26"/>
    </row>
    <row r="970" spans="1:8" ht="45" x14ac:dyDescent="0.25">
      <c r="A970" s="15" t="s">
        <v>7811</v>
      </c>
      <c r="B970" s="15" t="s">
        <v>9352</v>
      </c>
      <c r="C970" s="15" t="s">
        <v>9353</v>
      </c>
      <c r="D970" s="15">
        <v>844</v>
      </c>
      <c r="E970" s="15" t="s">
        <v>7818</v>
      </c>
      <c r="F970" s="15">
        <v>1</v>
      </c>
      <c r="G970" s="15" t="s">
        <v>7819</v>
      </c>
      <c r="H970" s="15"/>
    </row>
    <row r="971" spans="1:8" ht="90" x14ac:dyDescent="0.25">
      <c r="A971" s="15" t="s">
        <v>7811</v>
      </c>
      <c r="B971" s="15" t="s">
        <v>9354</v>
      </c>
      <c r="C971" s="15" t="s">
        <v>9355</v>
      </c>
      <c r="D971" s="15">
        <v>592</v>
      </c>
      <c r="E971" s="15" t="s">
        <v>7814</v>
      </c>
      <c r="F971" s="15">
        <v>5</v>
      </c>
      <c r="G971" s="15" t="s">
        <v>9356</v>
      </c>
      <c r="H971" s="15"/>
    </row>
    <row r="972" spans="1:8" ht="150" x14ac:dyDescent="0.25">
      <c r="A972" s="15" t="s">
        <v>7811</v>
      </c>
      <c r="B972" s="15" t="s">
        <v>9357</v>
      </c>
      <c r="C972" s="15" t="s">
        <v>9358</v>
      </c>
      <c r="D972" s="15">
        <v>591</v>
      </c>
      <c r="E972" s="15" t="s">
        <v>7814</v>
      </c>
      <c r="F972" s="15">
        <v>5</v>
      </c>
      <c r="G972" s="15" t="s">
        <v>9359</v>
      </c>
      <c r="H972" s="15"/>
    </row>
    <row r="973" spans="1:8" ht="60" x14ac:dyDescent="0.25">
      <c r="A973" s="15" t="s">
        <v>7811</v>
      </c>
      <c r="B973" s="15" t="s">
        <v>9360</v>
      </c>
      <c r="C973" s="15" t="s">
        <v>9361</v>
      </c>
      <c r="D973" s="15">
        <v>1084</v>
      </c>
      <c r="E973" s="15" t="s">
        <v>7814</v>
      </c>
      <c r="F973" s="15">
        <v>5</v>
      </c>
      <c r="G973" s="15" t="s">
        <v>7815</v>
      </c>
      <c r="H973" s="15"/>
    </row>
    <row r="974" spans="1:8" ht="45" x14ac:dyDescent="0.25">
      <c r="A974" s="15" t="s">
        <v>7811</v>
      </c>
      <c r="B974" s="15" t="s">
        <v>9362</v>
      </c>
      <c r="C974" s="15" t="s">
        <v>9363</v>
      </c>
      <c r="D974" s="15">
        <v>1081</v>
      </c>
      <c r="E974" s="15" t="s">
        <v>7818</v>
      </c>
      <c r="F974" s="15">
        <v>30</v>
      </c>
      <c r="G974" s="15" t="s">
        <v>7819</v>
      </c>
      <c r="H974" s="15"/>
    </row>
    <row r="975" spans="1:8" ht="45" x14ac:dyDescent="0.25">
      <c r="A975" s="15" t="s">
        <v>7811</v>
      </c>
      <c r="B975" s="15" t="s">
        <v>9364</v>
      </c>
      <c r="C975" s="15" t="s">
        <v>9365</v>
      </c>
      <c r="D975" s="15">
        <v>1083</v>
      </c>
      <c r="E975" s="15" t="s">
        <v>7818</v>
      </c>
      <c r="F975" s="15">
        <v>30</v>
      </c>
      <c r="G975" s="15" t="s">
        <v>7819</v>
      </c>
      <c r="H975" s="15"/>
    </row>
    <row r="976" spans="1:8" ht="60" x14ac:dyDescent="0.25">
      <c r="A976" s="15" t="s">
        <v>7811</v>
      </c>
      <c r="B976" s="15" t="s">
        <v>9366</v>
      </c>
      <c r="C976" s="15" t="s">
        <v>9367</v>
      </c>
      <c r="D976" s="15">
        <v>1076</v>
      </c>
      <c r="E976" s="15" t="s">
        <v>7814</v>
      </c>
      <c r="F976" s="15">
        <v>5</v>
      </c>
      <c r="G976" s="15" t="s">
        <v>9368</v>
      </c>
      <c r="H976" s="15"/>
    </row>
    <row r="977" spans="1:8" ht="135" x14ac:dyDescent="0.25">
      <c r="A977" s="15" t="s">
        <v>7811</v>
      </c>
      <c r="B977" s="15" t="s">
        <v>9369</v>
      </c>
      <c r="C977" s="15" t="s">
        <v>9370</v>
      </c>
      <c r="D977" s="15">
        <v>593</v>
      </c>
      <c r="E977" s="15" t="s">
        <v>7838</v>
      </c>
      <c r="F977" s="15">
        <v>8</v>
      </c>
      <c r="G977" s="15" t="s">
        <v>7819</v>
      </c>
      <c r="H977" s="15"/>
    </row>
    <row r="978" spans="1:8" ht="135" x14ac:dyDescent="0.25">
      <c r="A978" s="15" t="s">
        <v>7811</v>
      </c>
      <c r="B978" s="15" t="s">
        <v>9371</v>
      </c>
      <c r="C978" s="15" t="s">
        <v>9372</v>
      </c>
      <c r="D978" s="15">
        <v>596</v>
      </c>
      <c r="E978" s="15" t="s">
        <v>7838</v>
      </c>
      <c r="F978" s="15">
        <v>8</v>
      </c>
      <c r="G978" s="15" t="s">
        <v>7819</v>
      </c>
      <c r="H978" s="15"/>
    </row>
    <row r="979" spans="1:8" ht="45" x14ac:dyDescent="0.25">
      <c r="A979" s="15" t="s">
        <v>7811</v>
      </c>
      <c r="B979" s="15" t="s">
        <v>9373</v>
      </c>
      <c r="C979" s="15" t="s">
        <v>9374</v>
      </c>
      <c r="D979" s="15">
        <v>336</v>
      </c>
      <c r="E979" s="15" t="s">
        <v>7838</v>
      </c>
      <c r="F979" s="15">
        <v>8</v>
      </c>
      <c r="G979" s="15" t="s">
        <v>7819</v>
      </c>
      <c r="H979" s="15"/>
    </row>
    <row r="980" spans="1:8" ht="75" x14ac:dyDescent="0.25">
      <c r="A980" s="15" t="s">
        <v>7811</v>
      </c>
      <c r="B980" s="15" t="s">
        <v>9375</v>
      </c>
      <c r="C980" s="15" t="s">
        <v>9376</v>
      </c>
      <c r="D980" s="15">
        <v>337</v>
      </c>
      <c r="E980" s="15" t="s">
        <v>7814</v>
      </c>
      <c r="F980" s="15">
        <v>5</v>
      </c>
      <c r="G980" s="15" t="s">
        <v>9377</v>
      </c>
      <c r="H980" s="15"/>
    </row>
    <row r="981" spans="1:8" ht="180" x14ac:dyDescent="0.25">
      <c r="A981" s="15" t="s">
        <v>7811</v>
      </c>
      <c r="B981" s="15" t="s">
        <v>9378</v>
      </c>
      <c r="C981" s="15" t="s">
        <v>9379</v>
      </c>
      <c r="D981" s="15">
        <v>334</v>
      </c>
      <c r="E981" s="15" t="s">
        <v>7814</v>
      </c>
      <c r="F981" s="15">
        <v>5</v>
      </c>
      <c r="G981" s="15" t="s">
        <v>9380</v>
      </c>
      <c r="H981" s="15"/>
    </row>
    <row r="982" spans="1:8" ht="45" x14ac:dyDescent="0.25">
      <c r="A982" s="15" t="s">
        <v>7811</v>
      </c>
      <c r="B982" s="15" t="s">
        <v>9381</v>
      </c>
      <c r="C982" s="15" t="s">
        <v>9382</v>
      </c>
      <c r="D982" s="15">
        <v>335</v>
      </c>
      <c r="E982" s="15" t="s">
        <v>7838</v>
      </c>
      <c r="F982" s="15">
        <v>8</v>
      </c>
      <c r="G982" s="15" t="s">
        <v>7819</v>
      </c>
      <c r="H982" s="15"/>
    </row>
    <row r="983" spans="1:8" ht="45" x14ac:dyDescent="0.25">
      <c r="A983" s="15" t="s">
        <v>7811</v>
      </c>
      <c r="B983" s="15" t="s">
        <v>9383</v>
      </c>
      <c r="C983" s="15" t="s">
        <v>9384</v>
      </c>
      <c r="D983" s="15">
        <v>338</v>
      </c>
      <c r="E983" s="15" t="s">
        <v>7838</v>
      </c>
      <c r="F983" s="15">
        <v>8</v>
      </c>
      <c r="G983" s="15" t="s">
        <v>7819</v>
      </c>
      <c r="H983" s="15"/>
    </row>
    <row r="984" spans="1:8" ht="45" x14ac:dyDescent="0.25">
      <c r="A984" s="15" t="s">
        <v>7811</v>
      </c>
      <c r="B984" s="15" t="s">
        <v>9385</v>
      </c>
      <c r="C984" s="15" t="s">
        <v>9386</v>
      </c>
      <c r="D984" s="15">
        <v>713</v>
      </c>
      <c r="E984" s="15" t="s">
        <v>7818</v>
      </c>
      <c r="F984" s="15">
        <v>60</v>
      </c>
      <c r="G984" s="15" t="s">
        <v>7819</v>
      </c>
      <c r="H984" s="15"/>
    </row>
    <row r="985" spans="1:8" ht="135" x14ac:dyDescent="0.25">
      <c r="A985" s="15" t="s">
        <v>7811</v>
      </c>
      <c r="B985" s="15" t="s">
        <v>9387</v>
      </c>
      <c r="C985" s="15" t="s">
        <v>9388</v>
      </c>
      <c r="D985" s="15">
        <v>333</v>
      </c>
      <c r="E985" s="15" t="s">
        <v>7814</v>
      </c>
      <c r="F985" s="15">
        <v>5</v>
      </c>
      <c r="G985" s="15" t="s">
        <v>9389</v>
      </c>
      <c r="H985" s="15"/>
    </row>
    <row r="986" spans="1:8" ht="75" x14ac:dyDescent="0.25">
      <c r="A986" s="15" t="s">
        <v>7811</v>
      </c>
      <c r="B986" s="15" t="s">
        <v>9390</v>
      </c>
      <c r="C986" s="15" t="s">
        <v>9391</v>
      </c>
      <c r="D986" s="15">
        <v>588</v>
      </c>
      <c r="E986" s="15" t="s">
        <v>7814</v>
      </c>
      <c r="F986" s="15">
        <v>5</v>
      </c>
      <c r="G986" s="15" t="s">
        <v>9392</v>
      </c>
      <c r="H986" s="15"/>
    </row>
    <row r="987" spans="1:8" ht="210" x14ac:dyDescent="0.25">
      <c r="A987" s="15" t="s">
        <v>7811</v>
      </c>
      <c r="B987" s="15" t="s">
        <v>9393</v>
      </c>
      <c r="C987" s="15" t="s">
        <v>9394</v>
      </c>
      <c r="D987" s="15">
        <v>812</v>
      </c>
      <c r="E987" s="15" t="s">
        <v>7814</v>
      </c>
      <c r="F987" s="15">
        <v>5</v>
      </c>
      <c r="G987" s="15" t="s">
        <v>8806</v>
      </c>
      <c r="H987" s="15"/>
    </row>
    <row r="988" spans="1:8" ht="45" x14ac:dyDescent="0.25">
      <c r="A988" s="15" t="s">
        <v>7811</v>
      </c>
      <c r="B988" s="15" t="s">
        <v>9395</v>
      </c>
      <c r="C988" s="15" t="s">
        <v>9396</v>
      </c>
      <c r="D988" s="15">
        <v>1256</v>
      </c>
      <c r="E988" s="15" t="s">
        <v>7859</v>
      </c>
      <c r="F988" s="15">
        <v>7</v>
      </c>
      <c r="G988" s="15" t="s">
        <v>7819</v>
      </c>
      <c r="H988" s="15"/>
    </row>
    <row r="989" spans="1:8" ht="45" x14ac:dyDescent="0.25">
      <c r="A989" s="15" t="s">
        <v>7811</v>
      </c>
      <c r="B989" s="15" t="s">
        <v>9397</v>
      </c>
      <c r="C989" s="15" t="s">
        <v>9398</v>
      </c>
      <c r="D989" s="15">
        <v>1573</v>
      </c>
      <c r="E989" s="15" t="s">
        <v>7877</v>
      </c>
      <c r="F989" s="15">
        <v>8.1999999999999993</v>
      </c>
      <c r="G989" s="15" t="s">
        <v>7819</v>
      </c>
      <c r="H989" s="15"/>
    </row>
    <row r="990" spans="1:8" ht="225" x14ac:dyDescent="0.25">
      <c r="A990" s="15" t="s">
        <v>7811</v>
      </c>
      <c r="B990" s="15" t="s">
        <v>9399</v>
      </c>
      <c r="C990" s="15" t="s">
        <v>9400</v>
      </c>
      <c r="D990" s="15">
        <v>1574</v>
      </c>
      <c r="E990" s="15" t="s">
        <v>7814</v>
      </c>
      <c r="F990" s="15">
        <v>5</v>
      </c>
      <c r="G990" s="15" t="s">
        <v>9401</v>
      </c>
      <c r="H990" s="15"/>
    </row>
    <row r="991" spans="1:8" ht="75" x14ac:dyDescent="0.25">
      <c r="A991" s="15" t="s">
        <v>7811</v>
      </c>
      <c r="B991" s="15" t="s">
        <v>9402</v>
      </c>
      <c r="C991" s="15" t="s">
        <v>9403</v>
      </c>
      <c r="D991" s="15">
        <v>1575</v>
      </c>
      <c r="E991" s="15" t="s">
        <v>7814</v>
      </c>
      <c r="F991" s="15">
        <v>5</v>
      </c>
      <c r="G991" s="15" t="s">
        <v>9404</v>
      </c>
      <c r="H991" s="15"/>
    </row>
    <row r="992" spans="1:8" ht="45" x14ac:dyDescent="0.25">
      <c r="A992" s="15" t="s">
        <v>7811</v>
      </c>
      <c r="B992" s="15" t="s">
        <v>9405</v>
      </c>
      <c r="C992" s="15" t="s">
        <v>9406</v>
      </c>
      <c r="D992" s="15">
        <v>1531</v>
      </c>
      <c r="E992" s="15" t="s">
        <v>7818</v>
      </c>
      <c r="F992" s="15">
        <v>50</v>
      </c>
      <c r="G992" s="15" t="s">
        <v>7819</v>
      </c>
      <c r="H992" s="15"/>
    </row>
    <row r="993" spans="1:8" ht="45" x14ac:dyDescent="0.25">
      <c r="A993" s="15" t="s">
        <v>7811</v>
      </c>
      <c r="B993" s="15" t="s">
        <v>9407</v>
      </c>
      <c r="C993" s="15" t="s">
        <v>9408</v>
      </c>
      <c r="D993" s="15">
        <v>185</v>
      </c>
      <c r="E993" s="15" t="s">
        <v>7818</v>
      </c>
      <c r="F993" s="15">
        <v>30</v>
      </c>
      <c r="G993" s="15" t="s">
        <v>7819</v>
      </c>
      <c r="H993" s="15"/>
    </row>
    <row r="994" spans="1:8" ht="45" x14ac:dyDescent="0.25">
      <c r="A994" s="15" t="s">
        <v>7811</v>
      </c>
      <c r="B994" s="15" t="s">
        <v>9409</v>
      </c>
      <c r="C994" s="15" t="s">
        <v>9410</v>
      </c>
      <c r="D994" s="15">
        <v>321</v>
      </c>
      <c r="E994" s="15" t="s">
        <v>7818</v>
      </c>
      <c r="F994" s="15">
        <v>30</v>
      </c>
      <c r="G994" s="15" t="s">
        <v>7819</v>
      </c>
      <c r="H994" s="15"/>
    </row>
    <row r="995" spans="1:8" ht="45" x14ac:dyDescent="0.25">
      <c r="A995" s="15" t="s">
        <v>7811</v>
      </c>
      <c r="B995" s="15" t="s">
        <v>9411</v>
      </c>
      <c r="C995" s="15" t="s">
        <v>9412</v>
      </c>
      <c r="D995" s="15">
        <v>324</v>
      </c>
      <c r="E995" s="15" t="s">
        <v>7818</v>
      </c>
      <c r="F995" s="15">
        <v>30</v>
      </c>
      <c r="G995" s="15" t="s">
        <v>7819</v>
      </c>
      <c r="H995" s="15"/>
    </row>
    <row r="996" spans="1:8" ht="45" x14ac:dyDescent="0.25">
      <c r="A996" s="15" t="s">
        <v>7811</v>
      </c>
      <c r="B996" s="15" t="s">
        <v>9413</v>
      </c>
      <c r="C996" s="15" t="s">
        <v>9414</v>
      </c>
      <c r="D996" s="15">
        <v>329</v>
      </c>
      <c r="E996" s="15" t="s">
        <v>7818</v>
      </c>
      <c r="F996" s="15">
        <v>10</v>
      </c>
      <c r="G996" s="15" t="s">
        <v>7819</v>
      </c>
      <c r="H996" s="15"/>
    </row>
    <row r="997" spans="1:8" ht="45" x14ac:dyDescent="0.25">
      <c r="A997" s="15" t="s">
        <v>7811</v>
      </c>
      <c r="B997" s="15" t="s">
        <v>9415</v>
      </c>
      <c r="C997" s="15" t="s">
        <v>9416</v>
      </c>
      <c r="D997" s="15">
        <v>970</v>
      </c>
      <c r="E997" s="15" t="s">
        <v>7818</v>
      </c>
      <c r="F997" s="15">
        <v>60</v>
      </c>
      <c r="G997" s="15" t="s">
        <v>7819</v>
      </c>
      <c r="H997" s="15"/>
    </row>
    <row r="998" spans="1:8" ht="45" x14ac:dyDescent="0.25">
      <c r="A998" s="15" t="s">
        <v>7811</v>
      </c>
      <c r="B998" s="15" t="s">
        <v>9417</v>
      </c>
      <c r="C998" s="15" t="s">
        <v>9418</v>
      </c>
      <c r="D998" s="15">
        <v>319</v>
      </c>
      <c r="E998" s="15" t="s">
        <v>7818</v>
      </c>
      <c r="F998" s="15">
        <v>30</v>
      </c>
      <c r="G998" s="15" t="s">
        <v>7819</v>
      </c>
      <c r="H998" s="15"/>
    </row>
    <row r="999" spans="1:8" ht="135" x14ac:dyDescent="0.25">
      <c r="A999" s="15" t="s">
        <v>7811</v>
      </c>
      <c r="B999" s="15" t="s">
        <v>9419</v>
      </c>
      <c r="C999" s="15" t="s">
        <v>9420</v>
      </c>
      <c r="D999" s="15">
        <v>850</v>
      </c>
      <c r="E999" s="15" t="s">
        <v>7818</v>
      </c>
      <c r="F999" s="15">
        <v>60</v>
      </c>
      <c r="G999" s="15" t="s">
        <v>7819</v>
      </c>
      <c r="H999" s="15"/>
    </row>
    <row r="1000" spans="1:8" ht="150" x14ac:dyDescent="0.25">
      <c r="A1000" s="15" t="s">
        <v>7811</v>
      </c>
      <c r="B1000" s="15" t="s">
        <v>9421</v>
      </c>
      <c r="C1000" s="15" t="s">
        <v>9422</v>
      </c>
      <c r="D1000" s="15">
        <v>1554</v>
      </c>
      <c r="E1000" s="15" t="s">
        <v>7814</v>
      </c>
      <c r="F1000" s="15">
        <v>5</v>
      </c>
      <c r="G1000" s="15" t="s">
        <v>9423</v>
      </c>
      <c r="H1000" s="15"/>
    </row>
    <row r="1001" spans="1:8" ht="45" x14ac:dyDescent="0.25">
      <c r="A1001" s="15" t="s">
        <v>7811</v>
      </c>
      <c r="B1001" s="15" t="s">
        <v>9424</v>
      </c>
      <c r="C1001" s="15" t="s">
        <v>9425</v>
      </c>
      <c r="D1001" s="15">
        <v>577</v>
      </c>
      <c r="E1001" s="15" t="s">
        <v>7818</v>
      </c>
      <c r="F1001" s="15">
        <v>60</v>
      </c>
      <c r="G1001" s="15" t="s">
        <v>7819</v>
      </c>
      <c r="H1001" s="15"/>
    </row>
    <row r="1002" spans="1:8" ht="45" x14ac:dyDescent="0.25">
      <c r="A1002" s="15" t="s">
        <v>7811</v>
      </c>
      <c r="B1002" s="15" t="s">
        <v>9426</v>
      </c>
      <c r="C1002" s="15" t="s">
        <v>9427</v>
      </c>
      <c r="D1002" s="15">
        <v>435</v>
      </c>
      <c r="E1002" s="15" t="s">
        <v>7818</v>
      </c>
      <c r="F1002" s="15">
        <v>60</v>
      </c>
      <c r="G1002" s="15" t="s">
        <v>7819</v>
      </c>
      <c r="H1002" s="15"/>
    </row>
    <row r="1003" spans="1:8" ht="45" x14ac:dyDescent="0.25">
      <c r="A1003" s="15" t="s">
        <v>7811</v>
      </c>
      <c r="B1003" s="15" t="s">
        <v>9428</v>
      </c>
      <c r="C1003" s="15" t="s">
        <v>9429</v>
      </c>
      <c r="D1003" s="15">
        <v>1506</v>
      </c>
      <c r="E1003" s="15" t="s">
        <v>7859</v>
      </c>
      <c r="F1003" s="15">
        <v>5</v>
      </c>
      <c r="G1003" s="15" t="s">
        <v>7819</v>
      </c>
      <c r="H1003" s="15"/>
    </row>
    <row r="1004" spans="1:8" ht="45" x14ac:dyDescent="0.25">
      <c r="A1004" s="15" t="s">
        <v>7811</v>
      </c>
      <c r="B1004" s="15" t="s">
        <v>9430</v>
      </c>
      <c r="C1004" s="15" t="s">
        <v>9431</v>
      </c>
      <c r="D1004" s="15">
        <v>951</v>
      </c>
      <c r="E1004" s="15" t="s">
        <v>7859</v>
      </c>
      <c r="F1004" s="15">
        <v>6</v>
      </c>
      <c r="G1004" s="15" t="s">
        <v>7819</v>
      </c>
      <c r="H1004" s="15"/>
    </row>
    <row r="1005" spans="1:8" ht="135" x14ac:dyDescent="0.25">
      <c r="A1005" s="15" t="s">
        <v>7811</v>
      </c>
      <c r="B1005" s="15" t="s">
        <v>9432</v>
      </c>
      <c r="C1005" s="15" t="s">
        <v>9433</v>
      </c>
      <c r="D1005" s="15">
        <v>1088</v>
      </c>
      <c r="E1005" s="15" t="s">
        <v>7814</v>
      </c>
      <c r="F1005" s="15">
        <v>5</v>
      </c>
      <c r="G1005" s="15" t="s">
        <v>9434</v>
      </c>
      <c r="H1005" s="15"/>
    </row>
    <row r="1006" spans="1:8" ht="45" x14ac:dyDescent="0.25">
      <c r="A1006" s="15" t="s">
        <v>7811</v>
      </c>
      <c r="B1006" s="15" t="s">
        <v>9435</v>
      </c>
      <c r="C1006" s="15" t="s">
        <v>9436</v>
      </c>
      <c r="D1006" s="15">
        <v>914</v>
      </c>
      <c r="E1006" s="15" t="s">
        <v>7838</v>
      </c>
      <c r="F1006" s="15">
        <v>8</v>
      </c>
      <c r="G1006" s="15" t="s">
        <v>7819</v>
      </c>
      <c r="H1006" s="15"/>
    </row>
    <row r="1007" spans="1:8" ht="45" x14ac:dyDescent="0.25">
      <c r="A1007" s="15" t="s">
        <v>7811</v>
      </c>
      <c r="B1007" s="15" t="s">
        <v>9437</v>
      </c>
      <c r="C1007" s="15" t="s">
        <v>9438</v>
      </c>
      <c r="D1007" s="15">
        <v>189</v>
      </c>
      <c r="E1007" s="15" t="s">
        <v>7818</v>
      </c>
      <c r="F1007" s="15">
        <v>20</v>
      </c>
      <c r="G1007" s="15" t="s">
        <v>7819</v>
      </c>
      <c r="H1007" s="15"/>
    </row>
    <row r="1008" spans="1:8" ht="60" x14ac:dyDescent="0.25">
      <c r="A1008" s="15" t="s">
        <v>7811</v>
      </c>
      <c r="B1008" s="15" t="s">
        <v>9439</v>
      </c>
      <c r="C1008" s="15" t="s">
        <v>9440</v>
      </c>
      <c r="D1008" s="15">
        <v>1764</v>
      </c>
      <c r="E1008" s="15" t="s">
        <v>7814</v>
      </c>
      <c r="F1008" s="15">
        <v>5</v>
      </c>
      <c r="G1008" s="15" t="s">
        <v>7815</v>
      </c>
      <c r="H1008" s="15"/>
    </row>
    <row r="1009" spans="1:8" ht="45" x14ac:dyDescent="0.25">
      <c r="A1009" s="15" t="s">
        <v>7811</v>
      </c>
      <c r="B1009" s="15" t="s">
        <v>9441</v>
      </c>
      <c r="C1009" s="15" t="s">
        <v>9442</v>
      </c>
      <c r="D1009" s="15">
        <v>687</v>
      </c>
      <c r="E1009" s="15" t="s">
        <v>7838</v>
      </c>
      <c r="F1009" s="15">
        <v>8</v>
      </c>
      <c r="G1009" s="15" t="s">
        <v>7819</v>
      </c>
      <c r="H1009" s="15"/>
    </row>
    <row r="1010" spans="1:8" ht="45" x14ac:dyDescent="0.25">
      <c r="A1010" s="15" t="s">
        <v>7811</v>
      </c>
      <c r="B1010" s="15" t="s">
        <v>9443</v>
      </c>
      <c r="C1010" s="15" t="s">
        <v>9444</v>
      </c>
      <c r="D1010" s="15">
        <v>688</v>
      </c>
      <c r="E1010" s="15" t="s">
        <v>7818</v>
      </c>
      <c r="F1010" s="15">
        <v>60</v>
      </c>
      <c r="G1010" s="15" t="s">
        <v>7819</v>
      </c>
      <c r="H1010" s="15"/>
    </row>
    <row r="1011" spans="1:8" ht="165" x14ac:dyDescent="0.25">
      <c r="A1011" s="15" t="s">
        <v>7811</v>
      </c>
      <c r="B1011" s="15" t="s">
        <v>9445</v>
      </c>
      <c r="C1011" s="15" t="s">
        <v>9446</v>
      </c>
      <c r="D1011" s="15">
        <v>686</v>
      </c>
      <c r="E1011" s="15" t="s">
        <v>7814</v>
      </c>
      <c r="F1011" s="15">
        <v>5</v>
      </c>
      <c r="G1011" s="15" t="s">
        <v>9447</v>
      </c>
      <c r="H1011" s="15"/>
    </row>
    <row r="1012" spans="1:8" ht="409.5" x14ac:dyDescent="0.25">
      <c r="A1012" s="25" t="s">
        <v>7811</v>
      </c>
      <c r="B1012" s="25" t="s">
        <v>9448</v>
      </c>
      <c r="C1012" s="25" t="s">
        <v>9449</v>
      </c>
      <c r="D1012" s="25">
        <v>392</v>
      </c>
      <c r="E1012" s="25" t="s">
        <v>7814</v>
      </c>
      <c r="F1012" s="25">
        <v>5</v>
      </c>
      <c r="G1012" s="8" t="s">
        <v>11381</v>
      </c>
      <c r="H1012" s="25"/>
    </row>
    <row r="1013" spans="1:8" ht="409.5" x14ac:dyDescent="0.25">
      <c r="A1013" s="26"/>
      <c r="B1013" s="26"/>
      <c r="C1013" s="26"/>
      <c r="D1013" s="26"/>
      <c r="E1013" s="26"/>
      <c r="F1013" s="26"/>
      <c r="G1013" s="8" t="s">
        <v>11382</v>
      </c>
      <c r="H1013" s="26"/>
    </row>
    <row r="1014" spans="1:8" ht="409.5" x14ac:dyDescent="0.25">
      <c r="A1014" s="26"/>
      <c r="B1014" s="26"/>
      <c r="C1014" s="26"/>
      <c r="D1014" s="26"/>
      <c r="E1014" s="26"/>
      <c r="F1014" s="26"/>
      <c r="G1014" s="8" t="s">
        <v>11383</v>
      </c>
      <c r="H1014" s="26"/>
    </row>
    <row r="1015" spans="1:8" ht="409.5" x14ac:dyDescent="0.25">
      <c r="A1015" s="26"/>
      <c r="B1015" s="26"/>
      <c r="C1015" s="26"/>
      <c r="D1015" s="26"/>
      <c r="E1015" s="26"/>
      <c r="F1015" s="26"/>
      <c r="G1015" s="8" t="s">
        <v>11384</v>
      </c>
      <c r="H1015" s="26"/>
    </row>
    <row r="1016" spans="1:8" ht="409.5" x14ac:dyDescent="0.25">
      <c r="A1016" s="26"/>
      <c r="B1016" s="26"/>
      <c r="C1016" s="26"/>
      <c r="D1016" s="26"/>
      <c r="E1016" s="26"/>
      <c r="F1016" s="26"/>
      <c r="G1016" s="8" t="s">
        <v>11385</v>
      </c>
      <c r="H1016" s="26"/>
    </row>
    <row r="1017" spans="1:8" ht="120" x14ac:dyDescent="0.25">
      <c r="A1017" s="15" t="s">
        <v>7811</v>
      </c>
      <c r="B1017" s="15" t="s">
        <v>9450</v>
      </c>
      <c r="C1017" s="15" t="s">
        <v>9451</v>
      </c>
      <c r="D1017" s="15">
        <v>797</v>
      </c>
      <c r="E1017" s="15" t="s">
        <v>7814</v>
      </c>
      <c r="F1017" s="15">
        <v>5</v>
      </c>
      <c r="G1017" s="15" t="s">
        <v>9452</v>
      </c>
      <c r="H1017" s="15"/>
    </row>
    <row r="1018" spans="1:8" ht="330" x14ac:dyDescent="0.25">
      <c r="A1018" s="15" t="s">
        <v>7811</v>
      </c>
      <c r="B1018" s="15" t="s">
        <v>9453</v>
      </c>
      <c r="C1018" s="15" t="s">
        <v>9454</v>
      </c>
      <c r="D1018" s="15">
        <v>599</v>
      </c>
      <c r="E1018" s="15" t="s">
        <v>7814</v>
      </c>
      <c r="F1018" s="15">
        <v>5</v>
      </c>
      <c r="G1018" s="15" t="s">
        <v>9455</v>
      </c>
      <c r="H1018" s="15"/>
    </row>
    <row r="1019" spans="1:8" ht="45" x14ac:dyDescent="0.25">
      <c r="A1019" s="15" t="s">
        <v>7811</v>
      </c>
      <c r="B1019" s="15" t="s">
        <v>9456</v>
      </c>
      <c r="C1019" s="15" t="s">
        <v>9457</v>
      </c>
      <c r="D1019" s="15">
        <v>693</v>
      </c>
      <c r="E1019" s="15" t="s">
        <v>7838</v>
      </c>
      <c r="F1019" s="15">
        <v>8</v>
      </c>
      <c r="G1019" s="15" t="s">
        <v>7819</v>
      </c>
      <c r="H1019" s="15"/>
    </row>
    <row r="1020" spans="1:8" ht="45" x14ac:dyDescent="0.25">
      <c r="A1020" s="15" t="s">
        <v>7811</v>
      </c>
      <c r="B1020" s="15" t="s">
        <v>9458</v>
      </c>
      <c r="C1020" s="15" t="s">
        <v>9459</v>
      </c>
      <c r="D1020" s="15">
        <v>690</v>
      </c>
      <c r="E1020" s="15" t="s">
        <v>7818</v>
      </c>
      <c r="F1020" s="15">
        <v>35</v>
      </c>
      <c r="G1020" s="15" t="s">
        <v>7819</v>
      </c>
      <c r="H1020" s="15"/>
    </row>
    <row r="1021" spans="1:8" ht="45" x14ac:dyDescent="0.25">
      <c r="A1021" s="15" t="s">
        <v>7811</v>
      </c>
      <c r="B1021" s="15" t="s">
        <v>9460</v>
      </c>
      <c r="C1021" s="15" t="s">
        <v>9461</v>
      </c>
      <c r="D1021" s="15">
        <v>694</v>
      </c>
      <c r="E1021" s="15" t="s">
        <v>7838</v>
      </c>
      <c r="F1021" s="15">
        <v>8</v>
      </c>
      <c r="G1021" s="15" t="s">
        <v>7819</v>
      </c>
      <c r="H1021" s="15"/>
    </row>
    <row r="1022" spans="1:8" ht="45" x14ac:dyDescent="0.25">
      <c r="A1022" s="15" t="s">
        <v>7811</v>
      </c>
      <c r="B1022" s="15" t="s">
        <v>9462</v>
      </c>
      <c r="C1022" s="15" t="s">
        <v>9463</v>
      </c>
      <c r="D1022" s="15">
        <v>691</v>
      </c>
      <c r="E1022" s="15" t="s">
        <v>7818</v>
      </c>
      <c r="F1022" s="15">
        <v>60</v>
      </c>
      <c r="G1022" s="15" t="s">
        <v>7819</v>
      </c>
      <c r="H1022" s="15"/>
    </row>
    <row r="1023" spans="1:8" ht="285" x14ac:dyDescent="0.25">
      <c r="A1023" s="15" t="s">
        <v>7811</v>
      </c>
      <c r="B1023" s="15" t="s">
        <v>9464</v>
      </c>
      <c r="C1023" s="15" t="s">
        <v>9465</v>
      </c>
      <c r="D1023" s="15">
        <v>689</v>
      </c>
      <c r="E1023" s="15" t="s">
        <v>7814</v>
      </c>
      <c r="F1023" s="15">
        <v>5</v>
      </c>
      <c r="G1023" s="15" t="s">
        <v>9466</v>
      </c>
      <c r="H1023" s="15"/>
    </row>
    <row r="1024" spans="1:8" ht="409.5" x14ac:dyDescent="0.25">
      <c r="A1024" s="25" t="s">
        <v>7811</v>
      </c>
      <c r="B1024" s="25" t="s">
        <v>9467</v>
      </c>
      <c r="C1024" s="25" t="s">
        <v>9468</v>
      </c>
      <c r="D1024" s="25">
        <v>393</v>
      </c>
      <c r="E1024" s="25" t="s">
        <v>7818</v>
      </c>
      <c r="F1024" s="25">
        <v>60</v>
      </c>
      <c r="G1024" s="8" t="s">
        <v>11381</v>
      </c>
      <c r="H1024" s="25"/>
    </row>
    <row r="1025" spans="1:8" ht="409.5" x14ac:dyDescent="0.25">
      <c r="A1025" s="26"/>
      <c r="B1025" s="26"/>
      <c r="C1025" s="26"/>
      <c r="D1025" s="26"/>
      <c r="E1025" s="26"/>
      <c r="F1025" s="26"/>
      <c r="G1025" s="8" t="s">
        <v>11382</v>
      </c>
      <c r="H1025" s="26"/>
    </row>
    <row r="1026" spans="1:8" ht="409.5" x14ac:dyDescent="0.25">
      <c r="A1026" s="26"/>
      <c r="B1026" s="26"/>
      <c r="C1026" s="26"/>
      <c r="D1026" s="26"/>
      <c r="E1026" s="26"/>
      <c r="F1026" s="26"/>
      <c r="G1026" s="8" t="s">
        <v>11383</v>
      </c>
      <c r="H1026" s="26"/>
    </row>
    <row r="1027" spans="1:8" ht="409.5" x14ac:dyDescent="0.25">
      <c r="A1027" s="26"/>
      <c r="B1027" s="26"/>
      <c r="C1027" s="26"/>
      <c r="D1027" s="26"/>
      <c r="E1027" s="26"/>
      <c r="F1027" s="26"/>
      <c r="G1027" s="8" t="s">
        <v>11384</v>
      </c>
      <c r="H1027" s="26"/>
    </row>
    <row r="1028" spans="1:8" ht="409.5" x14ac:dyDescent="0.25">
      <c r="A1028" s="26"/>
      <c r="B1028" s="26"/>
      <c r="C1028" s="26"/>
      <c r="D1028" s="26"/>
      <c r="E1028" s="26"/>
      <c r="F1028" s="26"/>
      <c r="G1028" s="8" t="s">
        <v>11386</v>
      </c>
      <c r="H1028" s="26"/>
    </row>
    <row r="1029" spans="1:8" ht="409.5" x14ac:dyDescent="0.25">
      <c r="A1029" s="26"/>
      <c r="B1029" s="26"/>
      <c r="C1029" s="26"/>
      <c r="D1029" s="26"/>
      <c r="E1029" s="26"/>
      <c r="F1029" s="26"/>
      <c r="G1029" s="8" t="s">
        <v>11387</v>
      </c>
      <c r="H1029" s="26"/>
    </row>
    <row r="1030" spans="1:8" ht="409.5" x14ac:dyDescent="0.25">
      <c r="A1030" s="15" t="s">
        <v>7811</v>
      </c>
      <c r="B1030" s="15" t="s">
        <v>9469</v>
      </c>
      <c r="C1030" s="15" t="s">
        <v>9470</v>
      </c>
      <c r="D1030" s="15">
        <v>1025</v>
      </c>
      <c r="E1030" s="15" t="s">
        <v>7814</v>
      </c>
      <c r="F1030" s="15">
        <v>5</v>
      </c>
      <c r="G1030" s="15" t="s">
        <v>9471</v>
      </c>
      <c r="H1030" s="15"/>
    </row>
    <row r="1031" spans="1:8" ht="60" x14ac:dyDescent="0.25">
      <c r="A1031" s="15" t="s">
        <v>7811</v>
      </c>
      <c r="B1031" s="15" t="s">
        <v>9472</v>
      </c>
      <c r="C1031" s="15" t="s">
        <v>9473</v>
      </c>
      <c r="D1031" s="15">
        <v>192</v>
      </c>
      <c r="E1031" s="15" t="s">
        <v>7818</v>
      </c>
      <c r="F1031" s="15">
        <v>35</v>
      </c>
      <c r="G1031" s="15" t="s">
        <v>7819</v>
      </c>
      <c r="H1031" s="15"/>
    </row>
    <row r="1032" spans="1:8" ht="45" x14ac:dyDescent="0.25">
      <c r="A1032" s="15" t="s">
        <v>7811</v>
      </c>
      <c r="B1032" s="15" t="s">
        <v>9474</v>
      </c>
      <c r="C1032" s="15" t="s">
        <v>9475</v>
      </c>
      <c r="D1032" s="15">
        <v>1219</v>
      </c>
      <c r="E1032" s="15" t="s">
        <v>7838</v>
      </c>
      <c r="F1032" s="15">
        <v>8</v>
      </c>
      <c r="G1032" s="15" t="s">
        <v>7819</v>
      </c>
      <c r="H1032" s="15"/>
    </row>
    <row r="1033" spans="1:8" ht="45" x14ac:dyDescent="0.25">
      <c r="A1033" s="15" t="s">
        <v>7811</v>
      </c>
      <c r="B1033" s="15" t="s">
        <v>9476</v>
      </c>
      <c r="C1033" s="15" t="s">
        <v>9477</v>
      </c>
      <c r="D1033" s="15">
        <v>635</v>
      </c>
      <c r="E1033" s="15" t="s">
        <v>7877</v>
      </c>
      <c r="F1033" s="15">
        <v>3.1</v>
      </c>
      <c r="G1033" s="15" t="s">
        <v>7819</v>
      </c>
      <c r="H1033" s="15"/>
    </row>
    <row r="1034" spans="1:8" ht="45" x14ac:dyDescent="0.25">
      <c r="A1034" s="15" t="s">
        <v>7811</v>
      </c>
      <c r="B1034" s="15" t="s">
        <v>9478</v>
      </c>
      <c r="C1034" s="15" t="s">
        <v>9479</v>
      </c>
      <c r="D1034" s="15">
        <v>1144</v>
      </c>
      <c r="E1034" s="15" t="s">
        <v>7859</v>
      </c>
      <c r="F1034" s="15">
        <v>3</v>
      </c>
      <c r="G1034" s="15" t="s">
        <v>7819</v>
      </c>
      <c r="H1034" s="15"/>
    </row>
    <row r="1035" spans="1:8" ht="45" x14ac:dyDescent="0.25">
      <c r="A1035" s="15" t="s">
        <v>7811</v>
      </c>
      <c r="B1035" s="15" t="s">
        <v>9480</v>
      </c>
      <c r="C1035" s="15" t="s">
        <v>9481</v>
      </c>
      <c r="D1035" s="15">
        <v>1145</v>
      </c>
      <c r="E1035" s="15" t="s">
        <v>7859</v>
      </c>
      <c r="F1035" s="15">
        <v>2</v>
      </c>
      <c r="G1035" s="15" t="s">
        <v>7819</v>
      </c>
      <c r="H1035" s="15"/>
    </row>
    <row r="1036" spans="1:8" ht="45" x14ac:dyDescent="0.25">
      <c r="A1036" s="15" t="s">
        <v>7811</v>
      </c>
      <c r="B1036" s="15" t="s">
        <v>9482</v>
      </c>
      <c r="C1036" s="15" t="s">
        <v>9483</v>
      </c>
      <c r="D1036" s="15">
        <v>195</v>
      </c>
      <c r="E1036" s="15" t="s">
        <v>7877</v>
      </c>
      <c r="F1036" s="15">
        <v>2.1</v>
      </c>
      <c r="G1036" s="15" t="s">
        <v>7819</v>
      </c>
      <c r="H1036" s="15"/>
    </row>
    <row r="1037" spans="1:8" ht="45" x14ac:dyDescent="0.25">
      <c r="A1037" s="15" t="s">
        <v>7811</v>
      </c>
      <c r="B1037" s="15" t="s">
        <v>9484</v>
      </c>
      <c r="C1037" s="15" t="s">
        <v>9485</v>
      </c>
      <c r="D1037" s="15">
        <v>707</v>
      </c>
      <c r="E1037" s="15" t="s">
        <v>7859</v>
      </c>
      <c r="F1037" s="15">
        <v>4</v>
      </c>
      <c r="G1037" s="15" t="s">
        <v>7819</v>
      </c>
      <c r="H1037" s="15"/>
    </row>
    <row r="1038" spans="1:8" ht="45" x14ac:dyDescent="0.25">
      <c r="A1038" s="15" t="s">
        <v>7811</v>
      </c>
      <c r="B1038" s="15" t="s">
        <v>9486</v>
      </c>
      <c r="C1038" s="15" t="s">
        <v>9487</v>
      </c>
      <c r="D1038" s="15">
        <v>706</v>
      </c>
      <c r="E1038" s="15" t="s">
        <v>7859</v>
      </c>
      <c r="F1038" s="15">
        <v>4</v>
      </c>
      <c r="G1038" s="15" t="s">
        <v>7819</v>
      </c>
      <c r="H1038" s="15"/>
    </row>
    <row r="1039" spans="1:8" ht="45" x14ac:dyDescent="0.25">
      <c r="A1039" s="15" t="s">
        <v>7811</v>
      </c>
      <c r="B1039" s="15" t="s">
        <v>9488</v>
      </c>
      <c r="C1039" s="15" t="s">
        <v>9489</v>
      </c>
      <c r="D1039" s="15">
        <v>196</v>
      </c>
      <c r="E1039" s="15" t="s">
        <v>7859</v>
      </c>
      <c r="F1039" s="15">
        <v>3</v>
      </c>
      <c r="G1039" s="15" t="s">
        <v>7819</v>
      </c>
      <c r="H1039" s="15"/>
    </row>
    <row r="1040" spans="1:8" ht="45" x14ac:dyDescent="0.25">
      <c r="A1040" s="15" t="s">
        <v>7811</v>
      </c>
      <c r="B1040" s="15" t="s">
        <v>9490</v>
      </c>
      <c r="C1040" s="15" t="s">
        <v>9491</v>
      </c>
      <c r="D1040" s="15">
        <v>197</v>
      </c>
      <c r="E1040" s="15" t="s">
        <v>7859</v>
      </c>
      <c r="F1040" s="15">
        <v>2</v>
      </c>
      <c r="G1040" s="15" t="s">
        <v>7819</v>
      </c>
      <c r="H1040" s="15"/>
    </row>
    <row r="1041" spans="1:8" ht="45" x14ac:dyDescent="0.25">
      <c r="A1041" s="15" t="s">
        <v>7811</v>
      </c>
      <c r="B1041" s="15" t="s">
        <v>9492</v>
      </c>
      <c r="C1041" s="15" t="s">
        <v>9493</v>
      </c>
      <c r="D1041" s="15">
        <v>198</v>
      </c>
      <c r="E1041" s="15" t="s">
        <v>7859</v>
      </c>
      <c r="F1041" s="15">
        <v>2</v>
      </c>
      <c r="G1041" s="15" t="s">
        <v>7819</v>
      </c>
      <c r="H1041" s="15"/>
    </row>
    <row r="1042" spans="1:8" ht="45" x14ac:dyDescent="0.25">
      <c r="A1042" s="15" t="s">
        <v>7811</v>
      </c>
      <c r="B1042" s="15" t="s">
        <v>9494</v>
      </c>
      <c r="C1042" s="15" t="s">
        <v>9495</v>
      </c>
      <c r="D1042" s="15">
        <v>876</v>
      </c>
      <c r="E1042" s="15" t="s">
        <v>7859</v>
      </c>
      <c r="F1042" s="15">
        <v>2</v>
      </c>
      <c r="G1042" s="15" t="s">
        <v>7819</v>
      </c>
      <c r="H1042" s="15"/>
    </row>
    <row r="1043" spans="1:8" ht="60" x14ac:dyDescent="0.25">
      <c r="A1043" s="15" t="s">
        <v>7811</v>
      </c>
      <c r="B1043" s="15" t="s">
        <v>9496</v>
      </c>
      <c r="C1043" s="15" t="s">
        <v>9497</v>
      </c>
      <c r="D1043" s="15">
        <v>857</v>
      </c>
      <c r="E1043" s="15" t="s">
        <v>7859</v>
      </c>
      <c r="F1043" s="15">
        <v>3</v>
      </c>
      <c r="G1043" s="15" t="s">
        <v>7819</v>
      </c>
      <c r="H1043" s="15"/>
    </row>
    <row r="1044" spans="1:8" ht="45" x14ac:dyDescent="0.25">
      <c r="A1044" s="15" t="s">
        <v>7811</v>
      </c>
      <c r="B1044" s="15" t="s">
        <v>9498</v>
      </c>
      <c r="C1044" s="15" t="s">
        <v>9499</v>
      </c>
      <c r="D1044" s="15">
        <v>639</v>
      </c>
      <c r="E1044" s="15" t="s">
        <v>7859</v>
      </c>
      <c r="F1044" s="15">
        <v>3</v>
      </c>
      <c r="G1044" s="15" t="s">
        <v>7819</v>
      </c>
      <c r="H1044" s="15"/>
    </row>
    <row r="1045" spans="1:8" ht="45" x14ac:dyDescent="0.25">
      <c r="A1045" s="15" t="s">
        <v>7811</v>
      </c>
      <c r="B1045" s="15" t="s">
        <v>9500</v>
      </c>
      <c r="C1045" s="15" t="s">
        <v>9501</v>
      </c>
      <c r="D1045" s="15">
        <v>952</v>
      </c>
      <c r="E1045" s="15" t="s">
        <v>7859</v>
      </c>
      <c r="F1045" s="15">
        <v>3</v>
      </c>
      <c r="G1045" s="15" t="s">
        <v>7819</v>
      </c>
      <c r="H1045" s="15"/>
    </row>
    <row r="1046" spans="1:8" ht="45" x14ac:dyDescent="0.25">
      <c r="A1046" s="15" t="s">
        <v>7811</v>
      </c>
      <c r="B1046" s="15" t="s">
        <v>9502</v>
      </c>
      <c r="C1046" s="15" t="s">
        <v>9503</v>
      </c>
      <c r="D1046" s="15">
        <v>201</v>
      </c>
      <c r="E1046" s="15" t="s">
        <v>7859</v>
      </c>
      <c r="F1046" s="15">
        <v>2</v>
      </c>
      <c r="G1046" s="15" t="s">
        <v>7819</v>
      </c>
      <c r="H1046" s="15"/>
    </row>
    <row r="1047" spans="1:8" ht="45" x14ac:dyDescent="0.25">
      <c r="A1047" s="15" t="s">
        <v>7811</v>
      </c>
      <c r="B1047" s="15" t="s">
        <v>9504</v>
      </c>
      <c r="C1047" s="15" t="s">
        <v>9505</v>
      </c>
      <c r="D1047" s="15">
        <v>406</v>
      </c>
      <c r="E1047" s="15" t="s">
        <v>7859</v>
      </c>
      <c r="F1047" s="15">
        <v>3</v>
      </c>
      <c r="G1047" s="15" t="s">
        <v>7819</v>
      </c>
      <c r="H1047" s="15"/>
    </row>
    <row r="1048" spans="1:8" ht="165" x14ac:dyDescent="0.25">
      <c r="A1048" s="15" t="s">
        <v>7811</v>
      </c>
      <c r="B1048" s="15" t="s">
        <v>9506</v>
      </c>
      <c r="C1048" s="15" t="s">
        <v>9507</v>
      </c>
      <c r="D1048" s="15">
        <v>1301</v>
      </c>
      <c r="E1048" s="15" t="s">
        <v>7814</v>
      </c>
      <c r="F1048" s="15">
        <v>5</v>
      </c>
      <c r="G1048" s="15" t="s">
        <v>9508</v>
      </c>
      <c r="H1048" s="15"/>
    </row>
    <row r="1049" spans="1:8" ht="45" x14ac:dyDescent="0.25">
      <c r="A1049" s="15" t="s">
        <v>7811</v>
      </c>
      <c r="B1049" s="15" t="s">
        <v>9509</v>
      </c>
      <c r="C1049" s="15" t="s">
        <v>9510</v>
      </c>
      <c r="D1049" s="15">
        <v>454</v>
      </c>
      <c r="E1049" s="15" t="s">
        <v>7818</v>
      </c>
      <c r="F1049" s="15">
        <v>45</v>
      </c>
      <c r="G1049" s="15" t="s">
        <v>7819</v>
      </c>
      <c r="H1049" s="15"/>
    </row>
    <row r="1050" spans="1:8" ht="45" x14ac:dyDescent="0.25">
      <c r="A1050" s="15" t="s">
        <v>7811</v>
      </c>
      <c r="B1050" s="15" t="s">
        <v>9511</v>
      </c>
      <c r="C1050" s="15" t="s">
        <v>9512</v>
      </c>
      <c r="D1050" s="15">
        <v>455</v>
      </c>
      <c r="E1050" s="15" t="s">
        <v>7838</v>
      </c>
      <c r="F1050" s="15">
        <v>8</v>
      </c>
      <c r="G1050" s="15" t="s">
        <v>7819</v>
      </c>
      <c r="H1050" s="15"/>
    </row>
    <row r="1051" spans="1:8" ht="45" x14ac:dyDescent="0.25">
      <c r="A1051" s="15" t="s">
        <v>7811</v>
      </c>
      <c r="B1051" s="15" t="s">
        <v>9513</v>
      </c>
      <c r="C1051" s="15" t="s">
        <v>9514</v>
      </c>
      <c r="D1051" s="15">
        <v>456</v>
      </c>
      <c r="E1051" s="15" t="s">
        <v>7838</v>
      </c>
      <c r="F1051" s="15">
        <v>8</v>
      </c>
      <c r="G1051" s="15" t="s">
        <v>7819</v>
      </c>
      <c r="H1051" s="15"/>
    </row>
    <row r="1052" spans="1:8" ht="255" x14ac:dyDescent="0.25">
      <c r="A1052" s="15" t="s">
        <v>7811</v>
      </c>
      <c r="B1052" s="15" t="s">
        <v>9515</v>
      </c>
      <c r="C1052" s="15" t="s">
        <v>9516</v>
      </c>
      <c r="D1052" s="15">
        <v>1163</v>
      </c>
      <c r="E1052" s="15" t="s">
        <v>7814</v>
      </c>
      <c r="F1052" s="15">
        <v>5</v>
      </c>
      <c r="G1052" s="15" t="s">
        <v>9517</v>
      </c>
      <c r="H1052" s="15"/>
    </row>
    <row r="1053" spans="1:8" ht="405" x14ac:dyDescent="0.25">
      <c r="A1053" s="15" t="s">
        <v>7811</v>
      </c>
      <c r="B1053" s="15" t="s">
        <v>9515</v>
      </c>
      <c r="C1053" s="15" t="s">
        <v>9516</v>
      </c>
      <c r="D1053" s="15">
        <v>1163</v>
      </c>
      <c r="E1053" s="15" t="s">
        <v>7814</v>
      </c>
      <c r="F1053" s="15">
        <v>5</v>
      </c>
      <c r="G1053" s="15" t="s">
        <v>9518</v>
      </c>
      <c r="H1053" s="15"/>
    </row>
    <row r="1054" spans="1:8" ht="409.5" x14ac:dyDescent="0.25">
      <c r="A1054" s="15" t="s">
        <v>7811</v>
      </c>
      <c r="B1054" s="15" t="s">
        <v>9519</v>
      </c>
      <c r="C1054" s="15" t="s">
        <v>9520</v>
      </c>
      <c r="D1054" s="15">
        <v>1158</v>
      </c>
      <c r="E1054" s="15" t="s">
        <v>7814</v>
      </c>
      <c r="F1054" s="15">
        <v>5</v>
      </c>
      <c r="G1054" s="15" t="s">
        <v>9521</v>
      </c>
      <c r="H1054" s="15"/>
    </row>
    <row r="1055" spans="1:8" ht="330" x14ac:dyDescent="0.25">
      <c r="A1055" s="15" t="s">
        <v>7811</v>
      </c>
      <c r="B1055" s="15" t="s">
        <v>9522</v>
      </c>
      <c r="C1055" s="15" t="s">
        <v>9523</v>
      </c>
      <c r="D1055" s="15">
        <v>941</v>
      </c>
      <c r="E1055" s="15" t="s">
        <v>7814</v>
      </c>
      <c r="F1055" s="15">
        <v>5</v>
      </c>
      <c r="G1055" s="15" t="s">
        <v>9524</v>
      </c>
      <c r="H1055" s="15"/>
    </row>
    <row r="1056" spans="1:8" ht="75" x14ac:dyDescent="0.25">
      <c r="A1056" s="15" t="s">
        <v>7811</v>
      </c>
      <c r="B1056" s="15" t="s">
        <v>9525</v>
      </c>
      <c r="C1056" s="15" t="s">
        <v>9526</v>
      </c>
      <c r="D1056" s="15">
        <v>1165</v>
      </c>
      <c r="E1056" s="15" t="s">
        <v>7814</v>
      </c>
      <c r="F1056" s="15">
        <v>5</v>
      </c>
      <c r="G1056" s="15" t="s">
        <v>9527</v>
      </c>
      <c r="H1056" s="15"/>
    </row>
    <row r="1057" spans="1:8" ht="45" x14ac:dyDescent="0.25">
      <c r="A1057" s="15" t="s">
        <v>7811</v>
      </c>
      <c r="B1057" s="15" t="s">
        <v>9528</v>
      </c>
      <c r="C1057" s="15" t="s">
        <v>7572</v>
      </c>
      <c r="D1057" s="15">
        <v>1191</v>
      </c>
      <c r="E1057" s="15" t="s">
        <v>7859</v>
      </c>
      <c r="F1057" s="15">
        <v>5</v>
      </c>
      <c r="G1057" s="15" t="s">
        <v>7819</v>
      </c>
      <c r="H1057" s="15"/>
    </row>
    <row r="1058" spans="1:8" ht="195" x14ac:dyDescent="0.25">
      <c r="A1058" s="15" t="s">
        <v>7811</v>
      </c>
      <c r="B1058" s="15" t="s">
        <v>9529</v>
      </c>
      <c r="C1058" s="15" t="s">
        <v>9530</v>
      </c>
      <c r="D1058" s="15">
        <v>1125</v>
      </c>
      <c r="E1058" s="15" t="s">
        <v>7814</v>
      </c>
      <c r="F1058" s="15">
        <v>5</v>
      </c>
      <c r="G1058" s="15" t="s">
        <v>9531</v>
      </c>
      <c r="H1058" s="15"/>
    </row>
    <row r="1059" spans="1:8" ht="45" x14ac:dyDescent="0.25">
      <c r="A1059" s="15" t="s">
        <v>7811</v>
      </c>
      <c r="B1059" s="15" t="s">
        <v>9532</v>
      </c>
      <c r="C1059" s="15" t="s">
        <v>9533</v>
      </c>
      <c r="D1059" s="15">
        <v>1124</v>
      </c>
      <c r="E1059" s="15" t="s">
        <v>7818</v>
      </c>
      <c r="F1059" s="15">
        <v>45</v>
      </c>
      <c r="G1059" s="15" t="s">
        <v>7819</v>
      </c>
      <c r="H1059" s="15"/>
    </row>
    <row r="1060" spans="1:8" ht="75" x14ac:dyDescent="0.25">
      <c r="A1060" s="15" t="s">
        <v>7811</v>
      </c>
      <c r="B1060" s="15" t="s">
        <v>9534</v>
      </c>
      <c r="C1060" s="15" t="s">
        <v>9535</v>
      </c>
      <c r="D1060" s="15">
        <v>1576</v>
      </c>
      <c r="E1060" s="15" t="s">
        <v>7814</v>
      </c>
      <c r="F1060" s="15">
        <v>5</v>
      </c>
      <c r="G1060" s="15" t="s">
        <v>9536</v>
      </c>
      <c r="H1060" s="15"/>
    </row>
    <row r="1061" spans="1:8" ht="45" x14ac:dyDescent="0.25">
      <c r="A1061" s="15" t="s">
        <v>7811</v>
      </c>
      <c r="B1061" s="15" t="s">
        <v>9537</v>
      </c>
      <c r="C1061" s="15" t="s">
        <v>9538</v>
      </c>
      <c r="D1061" s="15">
        <v>1527</v>
      </c>
      <c r="E1061" s="15" t="s">
        <v>7818</v>
      </c>
      <c r="F1061" s="15">
        <v>80</v>
      </c>
      <c r="G1061" s="15" t="s">
        <v>7819</v>
      </c>
      <c r="H1061" s="15"/>
    </row>
    <row r="1062" spans="1:8" ht="45" x14ac:dyDescent="0.25">
      <c r="A1062" s="15" t="s">
        <v>7811</v>
      </c>
      <c r="B1062" s="15" t="s">
        <v>9539</v>
      </c>
      <c r="C1062" s="15" t="s">
        <v>9540</v>
      </c>
      <c r="D1062" s="15">
        <v>1879</v>
      </c>
      <c r="E1062" s="15" t="s">
        <v>7818</v>
      </c>
      <c r="F1062" s="15">
        <v>50</v>
      </c>
      <c r="G1062" s="15" t="s">
        <v>7819</v>
      </c>
      <c r="H1062" s="15"/>
    </row>
    <row r="1063" spans="1:8" ht="285" x14ac:dyDescent="0.25">
      <c r="A1063" s="15" t="s">
        <v>7811</v>
      </c>
      <c r="B1063" s="15" t="s">
        <v>9541</v>
      </c>
      <c r="C1063" s="15" t="s">
        <v>9542</v>
      </c>
      <c r="D1063" s="15">
        <v>935</v>
      </c>
      <c r="E1063" s="15" t="s">
        <v>7814</v>
      </c>
      <c r="F1063" s="15">
        <v>5</v>
      </c>
      <c r="G1063" s="15" t="s">
        <v>9543</v>
      </c>
      <c r="H1063" s="15"/>
    </row>
    <row r="1064" spans="1:8" ht="150" x14ac:dyDescent="0.25">
      <c r="A1064" s="15" t="s">
        <v>7811</v>
      </c>
      <c r="B1064" s="15" t="s">
        <v>9544</v>
      </c>
      <c r="C1064" s="15" t="s">
        <v>9545</v>
      </c>
      <c r="D1064" s="15">
        <v>1118</v>
      </c>
      <c r="E1064" s="15" t="s">
        <v>7814</v>
      </c>
      <c r="F1064" s="15">
        <v>5</v>
      </c>
      <c r="G1064" s="15" t="s">
        <v>9546</v>
      </c>
      <c r="H1064" s="15"/>
    </row>
    <row r="1065" spans="1:8" ht="210" x14ac:dyDescent="0.25">
      <c r="A1065" s="15" t="s">
        <v>7811</v>
      </c>
      <c r="B1065" s="15" t="s">
        <v>9547</v>
      </c>
      <c r="C1065" s="15" t="s">
        <v>9548</v>
      </c>
      <c r="D1065" s="15">
        <v>761</v>
      </c>
      <c r="E1065" s="15" t="s">
        <v>7814</v>
      </c>
      <c r="F1065" s="15">
        <v>5</v>
      </c>
      <c r="G1065" s="15" t="s">
        <v>9549</v>
      </c>
      <c r="H1065" s="15"/>
    </row>
    <row r="1066" spans="1:8" ht="150" x14ac:dyDescent="0.25">
      <c r="A1066" s="15" t="s">
        <v>7811</v>
      </c>
      <c r="B1066" s="15" t="s">
        <v>9550</v>
      </c>
      <c r="C1066" s="15" t="s">
        <v>9551</v>
      </c>
      <c r="D1066" s="15">
        <v>762</v>
      </c>
      <c r="E1066" s="15" t="s">
        <v>7814</v>
      </c>
      <c r="F1066" s="15">
        <v>5</v>
      </c>
      <c r="G1066" s="15" t="s">
        <v>9552</v>
      </c>
      <c r="H1066" s="15"/>
    </row>
    <row r="1067" spans="1:8" ht="135" x14ac:dyDescent="0.25">
      <c r="A1067" s="15" t="s">
        <v>7811</v>
      </c>
      <c r="B1067" s="15" t="s">
        <v>9553</v>
      </c>
      <c r="C1067" s="15" t="s">
        <v>9554</v>
      </c>
      <c r="D1067" s="15">
        <v>760</v>
      </c>
      <c r="E1067" s="15" t="s">
        <v>7814</v>
      </c>
      <c r="F1067" s="15">
        <v>5</v>
      </c>
      <c r="G1067" s="15" t="s">
        <v>9555</v>
      </c>
      <c r="H1067" s="15"/>
    </row>
    <row r="1068" spans="1:8" ht="105" x14ac:dyDescent="0.25">
      <c r="A1068" s="15" t="s">
        <v>7811</v>
      </c>
      <c r="B1068" s="15" t="s">
        <v>9556</v>
      </c>
      <c r="C1068" s="15" t="s">
        <v>9557</v>
      </c>
      <c r="D1068" s="15">
        <v>1227</v>
      </c>
      <c r="E1068" s="15" t="s">
        <v>7814</v>
      </c>
      <c r="F1068" s="15">
        <v>5</v>
      </c>
      <c r="G1068" s="15" t="s">
        <v>9558</v>
      </c>
      <c r="H1068" s="15"/>
    </row>
    <row r="1069" spans="1:8" ht="45" x14ac:dyDescent="0.25">
      <c r="A1069" s="15" t="s">
        <v>7811</v>
      </c>
      <c r="B1069" s="15" t="s">
        <v>9559</v>
      </c>
      <c r="C1069" s="15" t="s">
        <v>9560</v>
      </c>
      <c r="D1069" s="15">
        <v>501</v>
      </c>
      <c r="E1069" s="15" t="s">
        <v>7818</v>
      </c>
      <c r="F1069" s="15">
        <v>30</v>
      </c>
      <c r="G1069" s="15" t="s">
        <v>7819</v>
      </c>
      <c r="H1069" s="15"/>
    </row>
    <row r="1070" spans="1:8" ht="45" x14ac:dyDescent="0.25">
      <c r="A1070" s="15" t="s">
        <v>7811</v>
      </c>
      <c r="B1070" s="15" t="s">
        <v>9561</v>
      </c>
      <c r="C1070" s="15" t="s">
        <v>9562</v>
      </c>
      <c r="D1070" s="15">
        <v>869</v>
      </c>
      <c r="E1070" s="15" t="s">
        <v>7818</v>
      </c>
      <c r="F1070" s="15">
        <v>60</v>
      </c>
      <c r="G1070" s="15" t="s">
        <v>7819</v>
      </c>
      <c r="H1070" s="15"/>
    </row>
    <row r="1071" spans="1:8" ht="240" x14ac:dyDescent="0.25">
      <c r="A1071" s="15" t="s">
        <v>7811</v>
      </c>
      <c r="B1071" s="15" t="s">
        <v>9563</v>
      </c>
      <c r="C1071" s="15" t="s">
        <v>9564</v>
      </c>
      <c r="D1071" s="15">
        <v>868</v>
      </c>
      <c r="E1071" s="15" t="s">
        <v>7814</v>
      </c>
      <c r="F1071" s="15">
        <v>5</v>
      </c>
      <c r="G1071" s="15" t="s">
        <v>8041</v>
      </c>
      <c r="H1071" s="15"/>
    </row>
    <row r="1072" spans="1:8" ht="300" x14ac:dyDescent="0.25">
      <c r="A1072" s="15" t="s">
        <v>7811</v>
      </c>
      <c r="B1072" s="15" t="s">
        <v>9565</v>
      </c>
      <c r="C1072" s="15" t="s">
        <v>9566</v>
      </c>
      <c r="D1072" s="15">
        <v>1161</v>
      </c>
      <c r="E1072" s="15" t="s">
        <v>7814</v>
      </c>
      <c r="F1072" s="15">
        <v>5</v>
      </c>
      <c r="G1072" s="15" t="s">
        <v>9567</v>
      </c>
      <c r="H1072" s="15"/>
    </row>
    <row r="1073" spans="1:8" ht="60" x14ac:dyDescent="0.25">
      <c r="A1073" s="15" t="s">
        <v>7811</v>
      </c>
      <c r="B1073" s="15" t="s">
        <v>9568</v>
      </c>
      <c r="C1073" s="15" t="s">
        <v>9569</v>
      </c>
      <c r="D1073" s="15">
        <v>1449</v>
      </c>
      <c r="E1073" s="15" t="s">
        <v>7814</v>
      </c>
      <c r="F1073" s="15">
        <v>5</v>
      </c>
      <c r="G1073" s="15" t="s">
        <v>7815</v>
      </c>
      <c r="H1073" s="15"/>
    </row>
    <row r="1074" spans="1:8" ht="45" x14ac:dyDescent="0.25">
      <c r="A1074" s="15" t="s">
        <v>7811</v>
      </c>
      <c r="B1074" s="15" t="s">
        <v>9570</v>
      </c>
      <c r="C1074" s="15" t="s">
        <v>9571</v>
      </c>
      <c r="D1074" s="15">
        <v>203</v>
      </c>
      <c r="E1074" s="15" t="s">
        <v>7859</v>
      </c>
      <c r="F1074" s="15">
        <v>3</v>
      </c>
      <c r="G1074" s="15" t="s">
        <v>7819</v>
      </c>
      <c r="H1074" s="15"/>
    </row>
    <row r="1075" spans="1:8" ht="45" x14ac:dyDescent="0.25">
      <c r="A1075" s="15" t="s">
        <v>7811</v>
      </c>
      <c r="B1075" s="15" t="s">
        <v>9572</v>
      </c>
      <c r="C1075" s="15" t="s">
        <v>9573</v>
      </c>
      <c r="D1075" s="15">
        <v>1312</v>
      </c>
      <c r="E1075" s="15" t="s">
        <v>7818</v>
      </c>
      <c r="F1075" s="15">
        <v>45</v>
      </c>
      <c r="G1075" s="15" t="s">
        <v>7819</v>
      </c>
      <c r="H1075" s="15"/>
    </row>
    <row r="1076" spans="1:8" ht="105" x14ac:dyDescent="0.25">
      <c r="A1076" s="15" t="s">
        <v>7811</v>
      </c>
      <c r="B1076" s="15" t="s">
        <v>9574</v>
      </c>
      <c r="C1076" s="15" t="s">
        <v>9575</v>
      </c>
      <c r="D1076" s="15">
        <v>365</v>
      </c>
      <c r="E1076" s="15" t="s">
        <v>7814</v>
      </c>
      <c r="F1076" s="15">
        <v>5</v>
      </c>
      <c r="G1076" s="15" t="s">
        <v>9576</v>
      </c>
      <c r="H1076" s="15"/>
    </row>
    <row r="1077" spans="1:8" ht="45" x14ac:dyDescent="0.25">
      <c r="A1077" s="15" t="s">
        <v>7811</v>
      </c>
      <c r="B1077" s="15" t="s">
        <v>9577</v>
      </c>
      <c r="C1077" s="15" t="s">
        <v>9578</v>
      </c>
      <c r="D1077" s="15">
        <v>1536</v>
      </c>
      <c r="E1077" s="15" t="s">
        <v>7818</v>
      </c>
      <c r="F1077" s="15">
        <v>50</v>
      </c>
      <c r="G1077" s="15" t="s">
        <v>7819</v>
      </c>
      <c r="H1077" s="15"/>
    </row>
    <row r="1078" spans="1:8" ht="45" x14ac:dyDescent="0.25">
      <c r="A1078" s="15" t="s">
        <v>7811</v>
      </c>
      <c r="B1078" s="15" t="s">
        <v>9579</v>
      </c>
      <c r="C1078" s="15" t="s">
        <v>9580</v>
      </c>
      <c r="D1078" s="15">
        <v>492</v>
      </c>
      <c r="E1078" s="15" t="s">
        <v>7818</v>
      </c>
      <c r="F1078" s="15">
        <v>60</v>
      </c>
      <c r="G1078" s="15" t="s">
        <v>7819</v>
      </c>
      <c r="H1078" s="15"/>
    </row>
    <row r="1079" spans="1:8" ht="45" x14ac:dyDescent="0.25">
      <c r="A1079" s="15" t="s">
        <v>7811</v>
      </c>
      <c r="B1079" s="15" t="s">
        <v>9581</v>
      </c>
      <c r="C1079" s="15" t="s">
        <v>9582</v>
      </c>
      <c r="D1079" s="15">
        <v>494</v>
      </c>
      <c r="E1079" s="15" t="s">
        <v>7818</v>
      </c>
      <c r="F1079" s="15">
        <v>60</v>
      </c>
      <c r="G1079" s="15" t="s">
        <v>7819</v>
      </c>
      <c r="H1079" s="15"/>
    </row>
    <row r="1080" spans="1:8" ht="45" x14ac:dyDescent="0.25">
      <c r="A1080" s="15" t="s">
        <v>7811</v>
      </c>
      <c r="B1080" s="15" t="s">
        <v>9583</v>
      </c>
      <c r="C1080" s="15" t="s">
        <v>9584</v>
      </c>
      <c r="D1080" s="15">
        <v>493</v>
      </c>
      <c r="E1080" s="15" t="s">
        <v>7818</v>
      </c>
      <c r="F1080" s="15">
        <v>60</v>
      </c>
      <c r="G1080" s="15" t="s">
        <v>7819</v>
      </c>
      <c r="H1080" s="15"/>
    </row>
    <row r="1081" spans="1:8" ht="45" x14ac:dyDescent="0.25">
      <c r="A1081" s="15" t="s">
        <v>7811</v>
      </c>
      <c r="B1081" s="15" t="s">
        <v>9585</v>
      </c>
      <c r="C1081" s="15" t="s">
        <v>9586</v>
      </c>
      <c r="D1081" s="15">
        <v>521</v>
      </c>
      <c r="E1081" s="15" t="s">
        <v>7877</v>
      </c>
      <c r="F1081" s="15">
        <v>6.2</v>
      </c>
      <c r="G1081" s="15" t="s">
        <v>7819</v>
      </c>
      <c r="H1081" s="15"/>
    </row>
    <row r="1082" spans="1:8" ht="300" x14ac:dyDescent="0.25">
      <c r="A1082" s="15" t="s">
        <v>7811</v>
      </c>
      <c r="B1082" s="15" t="s">
        <v>9587</v>
      </c>
      <c r="C1082" s="15" t="s">
        <v>9588</v>
      </c>
      <c r="D1082" s="15">
        <v>629</v>
      </c>
      <c r="E1082" s="15" t="s">
        <v>7814</v>
      </c>
      <c r="F1082" s="15">
        <v>5</v>
      </c>
      <c r="G1082" s="15" t="s">
        <v>8847</v>
      </c>
      <c r="H1082" s="15"/>
    </row>
    <row r="1083" spans="1:8" ht="45" x14ac:dyDescent="0.25">
      <c r="A1083" s="15" t="s">
        <v>7811</v>
      </c>
      <c r="B1083" s="15" t="s">
        <v>9589</v>
      </c>
      <c r="C1083" s="15" t="s">
        <v>9590</v>
      </c>
      <c r="D1083" s="15">
        <v>526</v>
      </c>
      <c r="E1083" s="15" t="s">
        <v>7818</v>
      </c>
      <c r="F1083" s="15">
        <v>45</v>
      </c>
      <c r="G1083" s="15" t="s">
        <v>7819</v>
      </c>
      <c r="H1083" s="15"/>
    </row>
    <row r="1084" spans="1:8" ht="409.5" x14ac:dyDescent="0.25">
      <c r="A1084" s="15" t="s">
        <v>7811</v>
      </c>
      <c r="B1084" s="15" t="s">
        <v>9591</v>
      </c>
      <c r="C1084" s="15" t="s">
        <v>9592</v>
      </c>
      <c r="D1084" s="15">
        <v>527</v>
      </c>
      <c r="E1084" s="15" t="s">
        <v>7814</v>
      </c>
      <c r="F1084" s="15">
        <v>5</v>
      </c>
      <c r="G1084" s="15" t="s">
        <v>9593</v>
      </c>
      <c r="H1084" s="15"/>
    </row>
    <row r="1085" spans="1:8" ht="75" x14ac:dyDescent="0.25">
      <c r="A1085" s="15" t="s">
        <v>7811</v>
      </c>
      <c r="B1085" s="15" t="s">
        <v>9594</v>
      </c>
      <c r="C1085" s="15" t="s">
        <v>9595</v>
      </c>
      <c r="D1085" s="15">
        <v>528</v>
      </c>
      <c r="E1085" s="15" t="s">
        <v>7814</v>
      </c>
      <c r="F1085" s="15">
        <v>5</v>
      </c>
      <c r="G1085" s="15" t="s">
        <v>9596</v>
      </c>
      <c r="H1085" s="15"/>
    </row>
    <row r="1086" spans="1:8" ht="45" x14ac:dyDescent="0.25">
      <c r="A1086" s="15" t="s">
        <v>7811</v>
      </c>
      <c r="B1086" s="15" t="s">
        <v>9597</v>
      </c>
      <c r="C1086" s="15" t="s">
        <v>9598</v>
      </c>
      <c r="D1086" s="15">
        <v>832</v>
      </c>
      <c r="E1086" s="15" t="s">
        <v>7877</v>
      </c>
      <c r="F1086" s="15">
        <v>3.2</v>
      </c>
      <c r="G1086" s="15" t="s">
        <v>7819</v>
      </c>
      <c r="H1086" s="15"/>
    </row>
    <row r="1087" spans="1:8" ht="45" x14ac:dyDescent="0.25">
      <c r="A1087" s="15" t="s">
        <v>7811</v>
      </c>
      <c r="B1087" s="15" t="s">
        <v>9599</v>
      </c>
      <c r="C1087" s="15" t="s">
        <v>9600</v>
      </c>
      <c r="D1087" s="15">
        <v>1023</v>
      </c>
      <c r="E1087" s="15" t="s">
        <v>7859</v>
      </c>
      <c r="F1087" s="15">
        <v>2</v>
      </c>
      <c r="G1087" s="15" t="s">
        <v>7819</v>
      </c>
      <c r="H1087" s="15"/>
    </row>
    <row r="1088" spans="1:8" ht="45" x14ac:dyDescent="0.25">
      <c r="A1088" s="15" t="s">
        <v>7811</v>
      </c>
      <c r="B1088" s="15" t="s">
        <v>9601</v>
      </c>
      <c r="C1088" s="15" t="s">
        <v>9602</v>
      </c>
      <c r="D1088" s="15">
        <v>1022</v>
      </c>
      <c r="E1088" s="15" t="s">
        <v>7859</v>
      </c>
      <c r="F1088" s="15">
        <v>2</v>
      </c>
      <c r="G1088" s="15" t="s">
        <v>7819</v>
      </c>
      <c r="H1088" s="15"/>
    </row>
    <row r="1089" spans="1:8" ht="60" x14ac:dyDescent="0.25">
      <c r="A1089" s="15" t="s">
        <v>7811</v>
      </c>
      <c r="B1089" s="15" t="s">
        <v>9603</v>
      </c>
      <c r="C1089" s="15" t="s">
        <v>9604</v>
      </c>
      <c r="D1089" s="15">
        <v>204</v>
      </c>
      <c r="E1089" s="15" t="s">
        <v>7877</v>
      </c>
      <c r="F1089" s="15">
        <v>3.2</v>
      </c>
      <c r="G1089" s="15" t="s">
        <v>7819</v>
      </c>
      <c r="H1089" s="15"/>
    </row>
    <row r="1090" spans="1:8" ht="45" x14ac:dyDescent="0.25">
      <c r="A1090" s="15" t="s">
        <v>7811</v>
      </c>
      <c r="B1090" s="15" t="s">
        <v>9605</v>
      </c>
      <c r="C1090" s="15" t="s">
        <v>7724</v>
      </c>
      <c r="D1090" s="15">
        <v>678</v>
      </c>
      <c r="E1090" s="15" t="s">
        <v>7877</v>
      </c>
      <c r="F1090" s="15">
        <v>3.2</v>
      </c>
      <c r="G1090" s="15" t="s">
        <v>7819</v>
      </c>
      <c r="H1090" s="15"/>
    </row>
    <row r="1091" spans="1:8" ht="45" x14ac:dyDescent="0.25">
      <c r="A1091" s="15" t="s">
        <v>7811</v>
      </c>
      <c r="B1091" s="15" t="s">
        <v>9606</v>
      </c>
      <c r="C1091" s="15" t="s">
        <v>9607</v>
      </c>
      <c r="D1091" s="15">
        <v>205</v>
      </c>
      <c r="E1091" s="15" t="s">
        <v>7818</v>
      </c>
      <c r="F1091" s="15">
        <v>80</v>
      </c>
      <c r="G1091" s="15" t="s">
        <v>7819</v>
      </c>
      <c r="H1091" s="15"/>
    </row>
    <row r="1092" spans="1:8" ht="45" x14ac:dyDescent="0.25">
      <c r="A1092" s="15" t="s">
        <v>7811</v>
      </c>
      <c r="B1092" s="15" t="s">
        <v>9608</v>
      </c>
      <c r="C1092" s="15" t="s">
        <v>9609</v>
      </c>
      <c r="D1092" s="15">
        <v>206</v>
      </c>
      <c r="E1092" s="15" t="s">
        <v>7818</v>
      </c>
      <c r="F1092" s="15">
        <v>60</v>
      </c>
      <c r="G1092" s="15" t="s">
        <v>7819</v>
      </c>
      <c r="H1092" s="15"/>
    </row>
    <row r="1093" spans="1:8" ht="360" x14ac:dyDescent="0.25">
      <c r="A1093" s="15" t="s">
        <v>7811</v>
      </c>
      <c r="B1093" s="15" t="s">
        <v>9610</v>
      </c>
      <c r="C1093" s="15" t="s">
        <v>9611</v>
      </c>
      <c r="D1093" s="15">
        <v>929</v>
      </c>
      <c r="E1093" s="15" t="s">
        <v>7814</v>
      </c>
      <c r="F1093" s="15">
        <v>5</v>
      </c>
      <c r="G1093" s="15" t="s">
        <v>9612</v>
      </c>
      <c r="H1093" s="15"/>
    </row>
    <row r="1094" spans="1:8" ht="60" x14ac:dyDescent="0.25">
      <c r="A1094" s="15" t="s">
        <v>7811</v>
      </c>
      <c r="B1094" s="15" t="s">
        <v>9613</v>
      </c>
      <c r="C1094" s="15" t="s">
        <v>9614</v>
      </c>
      <c r="D1094" s="15">
        <v>1464</v>
      </c>
      <c r="E1094" s="15" t="s">
        <v>7814</v>
      </c>
      <c r="F1094" s="15">
        <v>5</v>
      </c>
      <c r="G1094" s="15" t="s">
        <v>7815</v>
      </c>
      <c r="H1094" s="15"/>
    </row>
    <row r="1095" spans="1:8" ht="45" x14ac:dyDescent="0.25">
      <c r="A1095" s="15" t="s">
        <v>7811</v>
      </c>
      <c r="B1095" s="15" t="s">
        <v>9615</v>
      </c>
      <c r="C1095" s="15" t="s">
        <v>9616</v>
      </c>
      <c r="D1095" s="15">
        <v>1051</v>
      </c>
      <c r="E1095" s="15" t="s">
        <v>7818</v>
      </c>
      <c r="F1095" s="15">
        <v>30</v>
      </c>
      <c r="G1095" s="15" t="s">
        <v>7819</v>
      </c>
      <c r="H1095" s="15"/>
    </row>
    <row r="1096" spans="1:8" ht="45" x14ac:dyDescent="0.25">
      <c r="A1096" s="15" t="s">
        <v>7811</v>
      </c>
      <c r="B1096" s="15" t="s">
        <v>9617</v>
      </c>
      <c r="C1096" s="15" t="s">
        <v>9618</v>
      </c>
      <c r="D1096" s="15">
        <v>2150</v>
      </c>
      <c r="E1096" s="15" t="s">
        <v>7859</v>
      </c>
      <c r="F1096" s="15"/>
      <c r="G1096" s="15" t="s">
        <v>7819</v>
      </c>
      <c r="H1096" s="15"/>
    </row>
    <row r="1097" spans="1:8" ht="135" x14ac:dyDescent="0.25">
      <c r="A1097" s="15" t="s">
        <v>7811</v>
      </c>
      <c r="B1097" s="15" t="s">
        <v>9619</v>
      </c>
      <c r="C1097" s="15" t="s">
        <v>9620</v>
      </c>
      <c r="D1097" s="15">
        <v>1777</v>
      </c>
      <c r="E1097" s="15" t="s">
        <v>7814</v>
      </c>
      <c r="F1097" s="15">
        <v>5</v>
      </c>
      <c r="G1097" s="15" t="s">
        <v>9621</v>
      </c>
      <c r="H1097" s="15"/>
    </row>
    <row r="1098" spans="1:8" ht="60" x14ac:dyDescent="0.25">
      <c r="A1098" s="15" t="s">
        <v>7811</v>
      </c>
      <c r="B1098" s="15" t="s">
        <v>9622</v>
      </c>
      <c r="C1098" s="15" t="s">
        <v>9623</v>
      </c>
      <c r="D1098" s="15">
        <v>361</v>
      </c>
      <c r="E1098" s="15" t="s">
        <v>7818</v>
      </c>
      <c r="F1098" s="15">
        <v>35</v>
      </c>
      <c r="G1098" s="15" t="s">
        <v>7819</v>
      </c>
      <c r="H1098" s="15"/>
    </row>
    <row r="1099" spans="1:8" ht="60" x14ac:dyDescent="0.25">
      <c r="A1099" s="15" t="s">
        <v>7811</v>
      </c>
      <c r="B1099" s="15" t="s">
        <v>9624</v>
      </c>
      <c r="C1099" s="15" t="s">
        <v>9625</v>
      </c>
      <c r="D1099" s="15">
        <v>1450</v>
      </c>
      <c r="E1099" s="15" t="s">
        <v>7814</v>
      </c>
      <c r="F1099" s="15">
        <v>5</v>
      </c>
      <c r="G1099" s="15" t="s">
        <v>7815</v>
      </c>
      <c r="H1099" s="15"/>
    </row>
    <row r="1100" spans="1:8" ht="45" x14ac:dyDescent="0.25">
      <c r="A1100" s="15" t="s">
        <v>7811</v>
      </c>
      <c r="B1100" s="15" t="s">
        <v>9626</v>
      </c>
      <c r="C1100" s="15" t="s">
        <v>9627</v>
      </c>
      <c r="D1100" s="15">
        <v>1220</v>
      </c>
      <c r="E1100" s="15" t="s">
        <v>7838</v>
      </c>
      <c r="F1100" s="15">
        <v>8</v>
      </c>
      <c r="G1100" s="15" t="s">
        <v>7819</v>
      </c>
      <c r="H1100" s="15"/>
    </row>
    <row r="1101" spans="1:8" ht="225" x14ac:dyDescent="0.25">
      <c r="A1101" s="15" t="s">
        <v>7811</v>
      </c>
      <c r="B1101" s="15" t="s">
        <v>9628</v>
      </c>
      <c r="C1101" s="15" t="s">
        <v>9629</v>
      </c>
      <c r="D1101" s="15">
        <v>1447</v>
      </c>
      <c r="E1101" s="15" t="s">
        <v>7814</v>
      </c>
      <c r="F1101" s="15">
        <v>5</v>
      </c>
      <c r="G1101" s="15" t="s">
        <v>9630</v>
      </c>
      <c r="H1101" s="15"/>
    </row>
    <row r="1102" spans="1:8" ht="270" x14ac:dyDescent="0.25">
      <c r="A1102" s="15" t="s">
        <v>7811</v>
      </c>
      <c r="B1102" s="15" t="s">
        <v>9631</v>
      </c>
      <c r="C1102" s="15" t="s">
        <v>9632</v>
      </c>
      <c r="D1102" s="15">
        <v>887</v>
      </c>
      <c r="E1102" s="15" t="s">
        <v>7814</v>
      </c>
      <c r="F1102" s="15">
        <v>5</v>
      </c>
      <c r="G1102" s="15" t="s">
        <v>9633</v>
      </c>
      <c r="H1102" s="15"/>
    </row>
    <row r="1103" spans="1:8" ht="60" x14ac:dyDescent="0.25">
      <c r="A1103" s="15" t="s">
        <v>7811</v>
      </c>
      <c r="B1103" s="15" t="s">
        <v>9634</v>
      </c>
      <c r="C1103" s="15" t="s">
        <v>9635</v>
      </c>
      <c r="D1103" s="15">
        <v>1208</v>
      </c>
      <c r="E1103" s="15" t="s">
        <v>7814</v>
      </c>
      <c r="F1103" s="15">
        <v>5</v>
      </c>
      <c r="G1103" s="15" t="s">
        <v>7815</v>
      </c>
      <c r="H1103" s="15"/>
    </row>
    <row r="1104" spans="1:8" ht="45" x14ac:dyDescent="0.25">
      <c r="A1104" s="15" t="s">
        <v>7811</v>
      </c>
      <c r="B1104" s="15" t="s">
        <v>9636</v>
      </c>
      <c r="C1104" s="15" t="s">
        <v>9637</v>
      </c>
      <c r="D1104" s="15">
        <v>1204</v>
      </c>
      <c r="E1104" s="15" t="s">
        <v>7877</v>
      </c>
      <c r="F1104" s="15">
        <v>3.2</v>
      </c>
      <c r="G1104" s="15" t="s">
        <v>7819</v>
      </c>
      <c r="H1104" s="15"/>
    </row>
    <row r="1105" spans="1:8" ht="45" x14ac:dyDescent="0.25">
      <c r="A1105" s="15" t="s">
        <v>7811</v>
      </c>
      <c r="B1105" s="15" t="s">
        <v>9638</v>
      </c>
      <c r="C1105" s="15" t="s">
        <v>9639</v>
      </c>
      <c r="D1105" s="15">
        <v>1205</v>
      </c>
      <c r="E1105" s="15" t="s">
        <v>7818</v>
      </c>
      <c r="F1105" s="15">
        <v>60</v>
      </c>
      <c r="G1105" s="15" t="s">
        <v>7819</v>
      </c>
      <c r="H1105" s="15"/>
    </row>
    <row r="1106" spans="1:8" ht="45" x14ac:dyDescent="0.25">
      <c r="A1106" s="15" t="s">
        <v>7811</v>
      </c>
      <c r="B1106" s="15" t="s">
        <v>9640</v>
      </c>
      <c r="C1106" s="15" t="s">
        <v>9641</v>
      </c>
      <c r="D1106" s="15">
        <v>461</v>
      </c>
      <c r="E1106" s="15" t="s">
        <v>7838</v>
      </c>
      <c r="F1106" s="15">
        <v>8</v>
      </c>
      <c r="G1106" s="15" t="s">
        <v>7819</v>
      </c>
      <c r="H1106" s="15"/>
    </row>
    <row r="1107" spans="1:8" ht="45" x14ac:dyDescent="0.25">
      <c r="A1107" s="15" t="s">
        <v>7811</v>
      </c>
      <c r="B1107" s="15" t="s">
        <v>9642</v>
      </c>
      <c r="C1107" s="15" t="s">
        <v>9643</v>
      </c>
      <c r="D1107" s="15">
        <v>462</v>
      </c>
      <c r="E1107" s="15" t="s">
        <v>7818</v>
      </c>
      <c r="F1107" s="15">
        <v>60</v>
      </c>
      <c r="G1107" s="15" t="s">
        <v>7819</v>
      </c>
      <c r="H1107" s="15"/>
    </row>
    <row r="1108" spans="1:8" ht="45" x14ac:dyDescent="0.25">
      <c r="A1108" s="15" t="s">
        <v>7811</v>
      </c>
      <c r="B1108" s="15" t="s">
        <v>9644</v>
      </c>
      <c r="C1108" s="15" t="s">
        <v>9645</v>
      </c>
      <c r="D1108" s="15">
        <v>483</v>
      </c>
      <c r="E1108" s="15" t="s">
        <v>7818</v>
      </c>
      <c r="F1108" s="15">
        <v>30</v>
      </c>
      <c r="G1108" s="15" t="s">
        <v>7819</v>
      </c>
      <c r="H1108" s="15"/>
    </row>
    <row r="1109" spans="1:8" ht="60" x14ac:dyDescent="0.25">
      <c r="A1109" s="15" t="s">
        <v>7811</v>
      </c>
      <c r="B1109" s="15" t="s">
        <v>9646</v>
      </c>
      <c r="C1109" s="15" t="s">
        <v>9647</v>
      </c>
      <c r="D1109" s="15">
        <v>460</v>
      </c>
      <c r="E1109" s="15" t="s">
        <v>7818</v>
      </c>
      <c r="F1109" s="15">
        <v>45</v>
      </c>
      <c r="G1109" s="15" t="s">
        <v>7819</v>
      </c>
      <c r="H1109" s="15"/>
    </row>
    <row r="1110" spans="1:8" ht="45" x14ac:dyDescent="0.25">
      <c r="A1110" s="15" t="s">
        <v>7811</v>
      </c>
      <c r="B1110" s="15" t="s">
        <v>9648</v>
      </c>
      <c r="C1110" s="15" t="s">
        <v>9649</v>
      </c>
      <c r="D1110" s="15">
        <v>711</v>
      </c>
      <c r="E1110" s="15" t="s">
        <v>7818</v>
      </c>
      <c r="F1110" s="15">
        <v>60</v>
      </c>
      <c r="G1110" s="15" t="s">
        <v>7819</v>
      </c>
      <c r="H1110" s="15"/>
    </row>
    <row r="1111" spans="1:8" ht="409.5" x14ac:dyDescent="0.25">
      <c r="A1111" s="15" t="s">
        <v>7811</v>
      </c>
      <c r="B1111" s="15" t="s">
        <v>9650</v>
      </c>
      <c r="C1111" s="15" t="s">
        <v>9651</v>
      </c>
      <c r="D1111" s="15">
        <v>709</v>
      </c>
      <c r="E1111" s="15" t="s">
        <v>7814</v>
      </c>
      <c r="F1111" s="15">
        <v>5</v>
      </c>
      <c r="G1111" s="15" t="s">
        <v>9652</v>
      </c>
      <c r="H1111" s="15"/>
    </row>
    <row r="1112" spans="1:8" ht="409.5" x14ac:dyDescent="0.25">
      <c r="A1112" s="15" t="s">
        <v>7811</v>
      </c>
      <c r="B1112" s="15" t="s">
        <v>9653</v>
      </c>
      <c r="C1112" s="15" t="s">
        <v>9654</v>
      </c>
      <c r="D1112" s="15">
        <v>373</v>
      </c>
      <c r="E1112" s="15" t="s">
        <v>7814</v>
      </c>
      <c r="F1112" s="15">
        <v>5</v>
      </c>
      <c r="G1112" s="15" t="s">
        <v>9655</v>
      </c>
      <c r="H1112" s="15"/>
    </row>
    <row r="1113" spans="1:8" ht="45" x14ac:dyDescent="0.25">
      <c r="A1113" s="15" t="s">
        <v>7811</v>
      </c>
      <c r="B1113" s="15" t="s">
        <v>9656</v>
      </c>
      <c r="C1113" s="15" t="s">
        <v>9657</v>
      </c>
      <c r="D1113" s="15">
        <v>571</v>
      </c>
      <c r="E1113" s="15" t="s">
        <v>7818</v>
      </c>
      <c r="F1113" s="15">
        <v>45</v>
      </c>
      <c r="G1113" s="15" t="s">
        <v>7819</v>
      </c>
      <c r="H1113" s="15"/>
    </row>
    <row r="1114" spans="1:8" ht="45" x14ac:dyDescent="0.25">
      <c r="A1114" s="15" t="s">
        <v>7811</v>
      </c>
      <c r="B1114" s="15" t="s">
        <v>9658</v>
      </c>
      <c r="C1114" s="15" t="s">
        <v>9659</v>
      </c>
      <c r="D1114" s="15">
        <v>573</v>
      </c>
      <c r="E1114" s="15" t="s">
        <v>7818</v>
      </c>
      <c r="F1114" s="15">
        <v>30</v>
      </c>
      <c r="G1114" s="15" t="s">
        <v>7819</v>
      </c>
      <c r="H1114" s="15"/>
    </row>
    <row r="1115" spans="1:8" ht="45" x14ac:dyDescent="0.25">
      <c r="A1115" s="15" t="s">
        <v>7811</v>
      </c>
      <c r="B1115" s="15" t="s">
        <v>9660</v>
      </c>
      <c r="C1115" s="15" t="s">
        <v>9661</v>
      </c>
      <c r="D1115" s="15">
        <v>574</v>
      </c>
      <c r="E1115" s="15" t="s">
        <v>7818</v>
      </c>
      <c r="F1115" s="15">
        <v>30</v>
      </c>
      <c r="G1115" s="15" t="s">
        <v>7819</v>
      </c>
      <c r="H1115" s="15"/>
    </row>
    <row r="1116" spans="1:8" ht="45" x14ac:dyDescent="0.25">
      <c r="A1116" s="15" t="s">
        <v>7811</v>
      </c>
      <c r="B1116" s="15" t="s">
        <v>9662</v>
      </c>
      <c r="C1116" s="15" t="s">
        <v>9663</v>
      </c>
      <c r="D1116" s="15">
        <v>572</v>
      </c>
      <c r="E1116" s="15" t="s">
        <v>7818</v>
      </c>
      <c r="F1116" s="15">
        <v>45</v>
      </c>
      <c r="G1116" s="15" t="s">
        <v>7819</v>
      </c>
      <c r="H1116" s="15"/>
    </row>
    <row r="1117" spans="1:8" ht="240" x14ac:dyDescent="0.25">
      <c r="A1117" s="15" t="s">
        <v>7811</v>
      </c>
      <c r="B1117" s="15" t="s">
        <v>9664</v>
      </c>
      <c r="C1117" s="15" t="s">
        <v>9665</v>
      </c>
      <c r="D1117" s="15">
        <v>1273</v>
      </c>
      <c r="E1117" s="15" t="s">
        <v>7814</v>
      </c>
      <c r="F1117" s="15">
        <v>5</v>
      </c>
      <c r="G1117" s="15" t="s">
        <v>8244</v>
      </c>
      <c r="H1117" s="15"/>
    </row>
    <row r="1118" spans="1:8" ht="270" x14ac:dyDescent="0.25">
      <c r="A1118" s="15" t="s">
        <v>7811</v>
      </c>
      <c r="B1118" s="15" t="s">
        <v>9666</v>
      </c>
      <c r="C1118" s="15" t="s">
        <v>9667</v>
      </c>
      <c r="D1118" s="15">
        <v>1275</v>
      </c>
      <c r="E1118" s="15" t="s">
        <v>7814</v>
      </c>
      <c r="F1118" s="15">
        <v>5</v>
      </c>
      <c r="G1118" s="15" t="s">
        <v>8565</v>
      </c>
      <c r="H1118" s="15"/>
    </row>
    <row r="1119" spans="1:8" ht="120" x14ac:dyDescent="0.25">
      <c r="A1119" s="15" t="s">
        <v>7811</v>
      </c>
      <c r="B1119" s="15" t="s">
        <v>9668</v>
      </c>
      <c r="C1119" s="15" t="s">
        <v>9669</v>
      </c>
      <c r="D1119" s="15">
        <v>1274</v>
      </c>
      <c r="E1119" s="15" t="s">
        <v>7814</v>
      </c>
      <c r="F1119" s="15">
        <v>5</v>
      </c>
      <c r="G1119" s="15" t="s">
        <v>8605</v>
      </c>
      <c r="H1119" s="15"/>
    </row>
    <row r="1120" spans="1:8" ht="409.5" x14ac:dyDescent="0.25">
      <c r="A1120" s="15" t="s">
        <v>7811</v>
      </c>
      <c r="B1120" s="15" t="s">
        <v>9670</v>
      </c>
      <c r="C1120" s="15" t="s">
        <v>9671</v>
      </c>
      <c r="D1120" s="15">
        <v>466</v>
      </c>
      <c r="E1120" s="15" t="s">
        <v>7814</v>
      </c>
      <c r="F1120" s="15">
        <v>5</v>
      </c>
      <c r="G1120" s="15" t="s">
        <v>9672</v>
      </c>
      <c r="H1120" s="15"/>
    </row>
    <row r="1121" spans="1:8" ht="45" x14ac:dyDescent="0.25">
      <c r="A1121" s="15" t="s">
        <v>7811</v>
      </c>
      <c r="B1121" s="15" t="s">
        <v>9673</v>
      </c>
      <c r="C1121" s="15" t="s">
        <v>9674</v>
      </c>
      <c r="D1121" s="15">
        <v>1412</v>
      </c>
      <c r="E1121" s="15" t="s">
        <v>7818</v>
      </c>
      <c r="F1121" s="15">
        <v>75</v>
      </c>
      <c r="G1121" s="15" t="s">
        <v>7819</v>
      </c>
      <c r="H1121" s="15"/>
    </row>
    <row r="1122" spans="1:8" ht="45" x14ac:dyDescent="0.25">
      <c r="A1122" s="15" t="s">
        <v>7811</v>
      </c>
      <c r="B1122" s="15" t="s">
        <v>9675</v>
      </c>
      <c r="C1122" s="15" t="s">
        <v>9676</v>
      </c>
      <c r="D1122" s="15">
        <v>1405</v>
      </c>
      <c r="E1122" s="15" t="s">
        <v>7818</v>
      </c>
      <c r="F1122" s="15">
        <v>75</v>
      </c>
      <c r="G1122" s="15" t="s">
        <v>7819</v>
      </c>
      <c r="H1122" s="15"/>
    </row>
    <row r="1123" spans="1:8" ht="45" x14ac:dyDescent="0.25">
      <c r="A1123" s="15" t="s">
        <v>7811</v>
      </c>
      <c r="B1123" s="15" t="s">
        <v>9677</v>
      </c>
      <c r="C1123" s="15" t="s">
        <v>9678</v>
      </c>
      <c r="D1123" s="15">
        <v>1407</v>
      </c>
      <c r="E1123" s="15" t="s">
        <v>7818</v>
      </c>
      <c r="F1123" s="15">
        <v>75</v>
      </c>
      <c r="G1123" s="15" t="s">
        <v>7819</v>
      </c>
      <c r="H1123" s="15"/>
    </row>
    <row r="1124" spans="1:8" ht="45" x14ac:dyDescent="0.25">
      <c r="A1124" s="15" t="s">
        <v>7811</v>
      </c>
      <c r="B1124" s="15" t="s">
        <v>9679</v>
      </c>
      <c r="C1124" s="15" t="s">
        <v>9680</v>
      </c>
      <c r="D1124" s="15">
        <v>1410</v>
      </c>
      <c r="E1124" s="15" t="s">
        <v>7818</v>
      </c>
      <c r="F1124" s="15">
        <v>75</v>
      </c>
      <c r="G1124" s="15" t="s">
        <v>7819</v>
      </c>
      <c r="H1124" s="15"/>
    </row>
    <row r="1125" spans="1:8" ht="45" x14ac:dyDescent="0.25">
      <c r="A1125" s="15" t="s">
        <v>7811</v>
      </c>
      <c r="B1125" s="15" t="s">
        <v>9681</v>
      </c>
      <c r="C1125" s="15" t="s">
        <v>9682</v>
      </c>
      <c r="D1125" s="15">
        <v>1404</v>
      </c>
      <c r="E1125" s="15" t="s">
        <v>7818</v>
      </c>
      <c r="F1125" s="15">
        <v>35</v>
      </c>
      <c r="G1125" s="15" t="s">
        <v>7819</v>
      </c>
      <c r="H1125" s="15"/>
    </row>
    <row r="1126" spans="1:8" ht="60" x14ac:dyDescent="0.25">
      <c r="A1126" s="15" t="s">
        <v>7811</v>
      </c>
      <c r="B1126" s="15" t="s">
        <v>9683</v>
      </c>
      <c r="C1126" s="15" t="s">
        <v>9684</v>
      </c>
      <c r="D1126" s="15">
        <v>1408</v>
      </c>
      <c r="E1126" s="15" t="s">
        <v>7818</v>
      </c>
      <c r="F1126" s="15">
        <v>75</v>
      </c>
      <c r="G1126" s="15" t="s">
        <v>7819</v>
      </c>
      <c r="H1126" s="15"/>
    </row>
    <row r="1127" spans="1:8" ht="45" x14ac:dyDescent="0.25">
      <c r="A1127" s="15" t="s">
        <v>7811</v>
      </c>
      <c r="B1127" s="15" t="s">
        <v>9685</v>
      </c>
      <c r="C1127" s="15" t="s">
        <v>9686</v>
      </c>
      <c r="D1127" s="15">
        <v>1409</v>
      </c>
      <c r="E1127" s="15" t="s">
        <v>7818</v>
      </c>
      <c r="F1127" s="15">
        <v>75</v>
      </c>
      <c r="G1127" s="15" t="s">
        <v>7819</v>
      </c>
      <c r="H1127" s="15"/>
    </row>
    <row r="1128" spans="1:8" ht="45" x14ac:dyDescent="0.25">
      <c r="A1128" s="15" t="s">
        <v>7811</v>
      </c>
      <c r="B1128" s="15" t="s">
        <v>9687</v>
      </c>
      <c r="C1128" s="15" t="s">
        <v>9688</v>
      </c>
      <c r="D1128" s="15">
        <v>1406</v>
      </c>
      <c r="E1128" s="15" t="s">
        <v>7818</v>
      </c>
      <c r="F1128" s="15">
        <v>35</v>
      </c>
      <c r="G1128" s="15" t="s">
        <v>7819</v>
      </c>
      <c r="H1128" s="15"/>
    </row>
    <row r="1129" spans="1:8" ht="45" x14ac:dyDescent="0.25">
      <c r="A1129" s="15" t="s">
        <v>7811</v>
      </c>
      <c r="B1129" s="15" t="s">
        <v>9689</v>
      </c>
      <c r="C1129" s="15" t="s">
        <v>9690</v>
      </c>
      <c r="D1129" s="15">
        <v>1411</v>
      </c>
      <c r="E1129" s="15" t="s">
        <v>7818</v>
      </c>
      <c r="F1129" s="15">
        <v>75</v>
      </c>
      <c r="G1129" s="15" t="s">
        <v>7819</v>
      </c>
      <c r="H1129" s="15"/>
    </row>
    <row r="1130" spans="1:8" ht="45" x14ac:dyDescent="0.25">
      <c r="A1130" s="15" t="s">
        <v>7811</v>
      </c>
      <c r="B1130" s="15" t="s">
        <v>9691</v>
      </c>
      <c r="C1130" s="15" t="s">
        <v>9692</v>
      </c>
      <c r="D1130" s="15">
        <v>210</v>
      </c>
      <c r="E1130" s="15" t="s">
        <v>7838</v>
      </c>
      <c r="F1130" s="15">
        <v>8</v>
      </c>
      <c r="G1130" s="15" t="s">
        <v>7819</v>
      </c>
      <c r="H1130" s="15"/>
    </row>
    <row r="1131" spans="1:8" ht="150" x14ac:dyDescent="0.25">
      <c r="A1131" s="15" t="s">
        <v>7811</v>
      </c>
      <c r="B1131" s="15" t="s">
        <v>9693</v>
      </c>
      <c r="C1131" s="15" t="s">
        <v>9694</v>
      </c>
      <c r="D1131" s="15">
        <v>211</v>
      </c>
      <c r="E1131" s="15" t="s">
        <v>7814</v>
      </c>
      <c r="F1131" s="15">
        <v>5</v>
      </c>
      <c r="G1131" s="15" t="s">
        <v>9695</v>
      </c>
      <c r="H1131" s="15"/>
    </row>
    <row r="1132" spans="1:8" ht="45" x14ac:dyDescent="0.25">
      <c r="A1132" s="15" t="s">
        <v>7811</v>
      </c>
      <c r="B1132" s="15" t="s">
        <v>9696</v>
      </c>
      <c r="C1132" s="15" t="s">
        <v>9697</v>
      </c>
      <c r="D1132" s="15">
        <v>212</v>
      </c>
      <c r="E1132" s="15" t="s">
        <v>7838</v>
      </c>
      <c r="F1132" s="15">
        <v>8</v>
      </c>
      <c r="G1132" s="15" t="s">
        <v>7819</v>
      </c>
      <c r="H1132" s="15"/>
    </row>
    <row r="1133" spans="1:8" ht="300" x14ac:dyDescent="0.25">
      <c r="A1133" s="15" t="s">
        <v>7811</v>
      </c>
      <c r="B1133" s="15" t="s">
        <v>9698</v>
      </c>
      <c r="C1133" s="15" t="s">
        <v>9699</v>
      </c>
      <c r="D1133" s="15">
        <v>213</v>
      </c>
      <c r="E1133" s="15" t="s">
        <v>7814</v>
      </c>
      <c r="F1133" s="15">
        <v>5</v>
      </c>
      <c r="G1133" s="15" t="s">
        <v>9700</v>
      </c>
      <c r="H1133" s="15"/>
    </row>
    <row r="1134" spans="1:8" ht="75" x14ac:dyDescent="0.25">
      <c r="A1134" s="15" t="s">
        <v>7811</v>
      </c>
      <c r="B1134" s="15" t="s">
        <v>9701</v>
      </c>
      <c r="C1134" s="15" t="s">
        <v>9702</v>
      </c>
      <c r="D1134" s="15">
        <v>80</v>
      </c>
      <c r="E1134" s="15" t="s">
        <v>7814</v>
      </c>
      <c r="F1134" s="15">
        <v>5</v>
      </c>
      <c r="G1134" s="15" t="s">
        <v>9703</v>
      </c>
      <c r="H1134" s="15"/>
    </row>
    <row r="1135" spans="1:8" ht="45" x14ac:dyDescent="0.25">
      <c r="A1135" s="15" t="s">
        <v>7811</v>
      </c>
      <c r="B1135" s="15" t="s">
        <v>9704</v>
      </c>
      <c r="C1135" s="15" t="s">
        <v>9705</v>
      </c>
      <c r="D1135" s="15">
        <v>859</v>
      </c>
      <c r="E1135" s="15" t="s">
        <v>7818</v>
      </c>
      <c r="F1135" s="15">
        <v>60</v>
      </c>
      <c r="G1135" s="15" t="s">
        <v>7819</v>
      </c>
      <c r="H1135" s="15"/>
    </row>
    <row r="1136" spans="1:8" ht="75" x14ac:dyDescent="0.25">
      <c r="A1136" s="15" t="s">
        <v>7811</v>
      </c>
      <c r="B1136" s="15" t="s">
        <v>9706</v>
      </c>
      <c r="C1136" s="15" t="s">
        <v>9707</v>
      </c>
      <c r="D1136" s="15">
        <v>214</v>
      </c>
      <c r="E1136" s="15" t="s">
        <v>7814</v>
      </c>
      <c r="F1136" s="15">
        <v>5</v>
      </c>
      <c r="G1136" s="15" t="s">
        <v>9708</v>
      </c>
      <c r="H1136" s="15"/>
    </row>
    <row r="1137" spans="1:8" ht="45" x14ac:dyDescent="0.25">
      <c r="A1137" s="15" t="s">
        <v>7811</v>
      </c>
      <c r="B1137" s="15" t="s">
        <v>9709</v>
      </c>
      <c r="C1137" s="15" t="s">
        <v>9710</v>
      </c>
      <c r="D1137" s="15">
        <v>215</v>
      </c>
      <c r="E1137" s="15" t="s">
        <v>7818</v>
      </c>
      <c r="F1137" s="15">
        <v>60</v>
      </c>
      <c r="G1137" s="15" t="s">
        <v>7819</v>
      </c>
      <c r="H1137" s="15"/>
    </row>
    <row r="1138" spans="1:8" ht="45" x14ac:dyDescent="0.25">
      <c r="A1138" s="15" t="s">
        <v>7811</v>
      </c>
      <c r="B1138" s="15" t="s">
        <v>9711</v>
      </c>
      <c r="C1138" s="15" t="s">
        <v>9712</v>
      </c>
      <c r="D1138" s="15">
        <v>216</v>
      </c>
      <c r="E1138" s="15" t="s">
        <v>7877</v>
      </c>
      <c r="F1138" s="15">
        <v>2.2000000000000002</v>
      </c>
      <c r="G1138" s="15" t="s">
        <v>7819</v>
      </c>
      <c r="H1138" s="15"/>
    </row>
    <row r="1139" spans="1:8" ht="45" x14ac:dyDescent="0.25">
      <c r="A1139" s="15" t="s">
        <v>7811</v>
      </c>
      <c r="B1139" s="15" t="s">
        <v>9713</v>
      </c>
      <c r="C1139" s="15" t="s">
        <v>9714</v>
      </c>
      <c r="D1139" s="15">
        <v>1215</v>
      </c>
      <c r="E1139" s="15" t="s">
        <v>7838</v>
      </c>
      <c r="F1139" s="15">
        <v>8</v>
      </c>
      <c r="G1139" s="15" t="s">
        <v>7819</v>
      </c>
      <c r="H1139" s="15"/>
    </row>
    <row r="1140" spans="1:8" ht="45" x14ac:dyDescent="0.25">
      <c r="A1140" s="15" t="s">
        <v>7811</v>
      </c>
      <c r="B1140" s="15" t="s">
        <v>9715</v>
      </c>
      <c r="C1140" s="15" t="s">
        <v>9716</v>
      </c>
      <c r="D1140" s="15">
        <v>1315</v>
      </c>
      <c r="E1140" s="15" t="s">
        <v>7818</v>
      </c>
      <c r="F1140" s="15">
        <v>45</v>
      </c>
      <c r="G1140" s="15" t="s">
        <v>7819</v>
      </c>
      <c r="H1140" s="15"/>
    </row>
    <row r="1141" spans="1:8" ht="90" x14ac:dyDescent="0.25">
      <c r="A1141" s="15" t="s">
        <v>7811</v>
      </c>
      <c r="B1141" s="15" t="s">
        <v>9717</v>
      </c>
      <c r="C1141" s="15" t="s">
        <v>9718</v>
      </c>
      <c r="D1141" s="15">
        <v>794</v>
      </c>
      <c r="E1141" s="15" t="s">
        <v>7814</v>
      </c>
      <c r="F1141" s="15">
        <v>5</v>
      </c>
      <c r="G1141" s="15" t="s">
        <v>9719</v>
      </c>
      <c r="H1141" s="15"/>
    </row>
    <row r="1142" spans="1:8" ht="45" x14ac:dyDescent="0.25">
      <c r="A1142" s="15" t="s">
        <v>7811</v>
      </c>
      <c r="B1142" s="15" t="s">
        <v>9720</v>
      </c>
      <c r="C1142" s="15" t="s">
        <v>9721</v>
      </c>
      <c r="D1142" s="15">
        <v>217</v>
      </c>
      <c r="E1142" s="15" t="s">
        <v>7838</v>
      </c>
      <c r="F1142" s="15">
        <v>8</v>
      </c>
      <c r="G1142" s="15" t="s">
        <v>7819</v>
      </c>
      <c r="H1142" s="15"/>
    </row>
    <row r="1143" spans="1:8" ht="285" x14ac:dyDescent="0.25">
      <c r="A1143" s="15" t="s">
        <v>7811</v>
      </c>
      <c r="B1143" s="15" t="s">
        <v>9722</v>
      </c>
      <c r="C1143" s="15" t="s">
        <v>9723</v>
      </c>
      <c r="D1143" s="15">
        <v>219</v>
      </c>
      <c r="E1143" s="15" t="s">
        <v>7877</v>
      </c>
      <c r="F1143" s="15">
        <v>1.2</v>
      </c>
      <c r="G1143" s="15" t="s">
        <v>9724</v>
      </c>
      <c r="H1143" s="15"/>
    </row>
    <row r="1144" spans="1:8" ht="45" x14ac:dyDescent="0.25">
      <c r="A1144" s="15" t="s">
        <v>7811</v>
      </c>
      <c r="B1144" s="15" t="s">
        <v>9725</v>
      </c>
      <c r="C1144" s="15" t="s">
        <v>9726</v>
      </c>
      <c r="D1144" s="15">
        <v>220</v>
      </c>
      <c r="E1144" s="15" t="s">
        <v>7838</v>
      </c>
      <c r="F1144" s="15">
        <v>8</v>
      </c>
      <c r="G1144" s="15" t="s">
        <v>7819</v>
      </c>
      <c r="H1144" s="15"/>
    </row>
    <row r="1145" spans="1:8" ht="45" x14ac:dyDescent="0.25">
      <c r="A1145" s="15" t="s">
        <v>7811</v>
      </c>
      <c r="B1145" s="15" t="s">
        <v>9727</v>
      </c>
      <c r="C1145" s="15" t="s">
        <v>9728</v>
      </c>
      <c r="D1145" s="15">
        <v>221</v>
      </c>
      <c r="E1145" s="15" t="s">
        <v>7838</v>
      </c>
      <c r="F1145" s="15">
        <v>8</v>
      </c>
      <c r="G1145" s="15" t="s">
        <v>7819</v>
      </c>
      <c r="H1145" s="15"/>
    </row>
    <row r="1146" spans="1:8" ht="375" x14ac:dyDescent="0.25">
      <c r="A1146" s="15" t="s">
        <v>7811</v>
      </c>
      <c r="B1146" s="15" t="s">
        <v>9729</v>
      </c>
      <c r="C1146" s="15" t="s">
        <v>9730</v>
      </c>
      <c r="D1146" s="15">
        <v>222</v>
      </c>
      <c r="E1146" s="15" t="s">
        <v>7814</v>
      </c>
      <c r="F1146" s="15">
        <v>5</v>
      </c>
      <c r="G1146" s="15" t="s">
        <v>9731</v>
      </c>
      <c r="H1146" s="15"/>
    </row>
    <row r="1147" spans="1:8" ht="45" x14ac:dyDescent="0.25">
      <c r="A1147" s="15" t="s">
        <v>7811</v>
      </c>
      <c r="B1147" s="15" t="s">
        <v>9732</v>
      </c>
      <c r="C1147" s="15" t="s">
        <v>9733</v>
      </c>
      <c r="D1147" s="15">
        <v>223</v>
      </c>
      <c r="E1147" s="15" t="s">
        <v>7818</v>
      </c>
      <c r="F1147" s="15">
        <v>60</v>
      </c>
      <c r="G1147" s="15" t="s">
        <v>7819</v>
      </c>
      <c r="H1147" s="15"/>
    </row>
    <row r="1148" spans="1:8" ht="45" x14ac:dyDescent="0.25">
      <c r="A1148" s="15" t="s">
        <v>7811</v>
      </c>
      <c r="B1148" s="15" t="s">
        <v>9734</v>
      </c>
      <c r="C1148" s="15" t="s">
        <v>9735</v>
      </c>
      <c r="D1148" s="15">
        <v>224</v>
      </c>
      <c r="E1148" s="15" t="s">
        <v>7877</v>
      </c>
      <c r="F1148" s="15">
        <v>7.2</v>
      </c>
      <c r="G1148" s="15" t="s">
        <v>7819</v>
      </c>
      <c r="H1148" s="15"/>
    </row>
    <row r="1149" spans="1:8" ht="45" x14ac:dyDescent="0.25">
      <c r="A1149" s="15" t="s">
        <v>7811</v>
      </c>
      <c r="B1149" s="15" t="s">
        <v>9736</v>
      </c>
      <c r="C1149" s="15" t="s">
        <v>9737</v>
      </c>
      <c r="D1149" s="15">
        <v>225</v>
      </c>
      <c r="E1149" s="15" t="s">
        <v>7818</v>
      </c>
      <c r="F1149" s="15">
        <v>80</v>
      </c>
      <c r="G1149" s="15" t="s">
        <v>7819</v>
      </c>
      <c r="H1149" s="15"/>
    </row>
    <row r="1150" spans="1:8" ht="45" x14ac:dyDescent="0.25">
      <c r="A1150" s="15" t="s">
        <v>7811</v>
      </c>
      <c r="B1150" s="15" t="s">
        <v>9738</v>
      </c>
      <c r="C1150" s="15" t="s">
        <v>9739</v>
      </c>
      <c r="D1150" s="15">
        <v>226</v>
      </c>
      <c r="E1150" s="15" t="s">
        <v>7877</v>
      </c>
      <c r="F1150" s="15">
        <v>3.2</v>
      </c>
      <c r="G1150" s="15" t="s">
        <v>7819</v>
      </c>
      <c r="H1150" s="15"/>
    </row>
    <row r="1151" spans="1:8" ht="45" x14ac:dyDescent="0.25">
      <c r="A1151" s="15" t="s">
        <v>7811</v>
      </c>
      <c r="B1151" s="15" t="s">
        <v>9740</v>
      </c>
      <c r="C1151" s="15" t="s">
        <v>9741</v>
      </c>
      <c r="D1151" s="15">
        <v>228</v>
      </c>
      <c r="E1151" s="15" t="s">
        <v>7818</v>
      </c>
      <c r="F1151" s="15">
        <v>80</v>
      </c>
      <c r="G1151" s="15" t="s">
        <v>7819</v>
      </c>
      <c r="H1151" s="15"/>
    </row>
    <row r="1152" spans="1:8" ht="60" x14ac:dyDescent="0.25">
      <c r="A1152" s="15" t="s">
        <v>7811</v>
      </c>
      <c r="B1152" s="15" t="s">
        <v>9742</v>
      </c>
      <c r="C1152" s="15" t="s">
        <v>9743</v>
      </c>
      <c r="D1152" s="15">
        <v>698</v>
      </c>
      <c r="E1152" s="15" t="s">
        <v>7814</v>
      </c>
      <c r="F1152" s="15">
        <v>5</v>
      </c>
      <c r="G1152" s="15" t="s">
        <v>9744</v>
      </c>
      <c r="H1152" s="15"/>
    </row>
    <row r="1153" spans="1:8" ht="225" x14ac:dyDescent="0.25">
      <c r="A1153" s="15" t="s">
        <v>7811</v>
      </c>
      <c r="B1153" s="15" t="s">
        <v>9745</v>
      </c>
      <c r="C1153" s="15" t="s">
        <v>9746</v>
      </c>
      <c r="D1153" s="15">
        <v>795</v>
      </c>
      <c r="E1153" s="15" t="s">
        <v>7814</v>
      </c>
      <c r="F1153" s="15">
        <v>5</v>
      </c>
      <c r="G1153" s="15" t="s">
        <v>9747</v>
      </c>
      <c r="H1153" s="15"/>
    </row>
    <row r="1154" spans="1:8" ht="45" x14ac:dyDescent="0.25">
      <c r="A1154" s="15" t="s">
        <v>7811</v>
      </c>
      <c r="B1154" s="15" t="s">
        <v>9748</v>
      </c>
      <c r="C1154" s="15" t="s">
        <v>9749</v>
      </c>
      <c r="D1154" s="15">
        <v>1221</v>
      </c>
      <c r="E1154" s="15" t="s">
        <v>7838</v>
      </c>
      <c r="F1154" s="15">
        <v>8</v>
      </c>
      <c r="G1154" s="15" t="s">
        <v>7819</v>
      </c>
      <c r="H1154" s="15"/>
    </row>
    <row r="1155" spans="1:8" ht="45" x14ac:dyDescent="0.25">
      <c r="A1155" s="15" t="s">
        <v>7811</v>
      </c>
      <c r="B1155" s="15" t="s">
        <v>9750</v>
      </c>
      <c r="C1155" s="15" t="s">
        <v>9751</v>
      </c>
      <c r="D1155" s="15">
        <v>1217</v>
      </c>
      <c r="E1155" s="15" t="s">
        <v>7838</v>
      </c>
      <c r="F1155" s="15">
        <v>8</v>
      </c>
      <c r="G1155" s="15" t="s">
        <v>7819</v>
      </c>
      <c r="H1155" s="15"/>
    </row>
    <row r="1156" spans="1:8" ht="45" x14ac:dyDescent="0.25">
      <c r="A1156" s="15" t="s">
        <v>7811</v>
      </c>
      <c r="B1156" s="15" t="s">
        <v>9752</v>
      </c>
      <c r="C1156" s="15" t="s">
        <v>9753</v>
      </c>
      <c r="D1156" s="15">
        <v>1218</v>
      </c>
      <c r="E1156" s="15" t="s">
        <v>7838</v>
      </c>
      <c r="F1156" s="15">
        <v>8</v>
      </c>
      <c r="G1156" s="15" t="s">
        <v>7819</v>
      </c>
      <c r="H1156" s="15"/>
    </row>
    <row r="1157" spans="1:8" ht="90" x14ac:dyDescent="0.25">
      <c r="A1157" s="15" t="s">
        <v>7811</v>
      </c>
      <c r="B1157" s="15" t="s">
        <v>9754</v>
      </c>
      <c r="C1157" s="15" t="s">
        <v>9755</v>
      </c>
      <c r="D1157" s="15">
        <v>1244</v>
      </c>
      <c r="E1157" s="15" t="s">
        <v>7814</v>
      </c>
      <c r="F1157" s="15">
        <v>5</v>
      </c>
      <c r="G1157" s="15" t="s">
        <v>9016</v>
      </c>
      <c r="H1157" s="15"/>
    </row>
    <row r="1158" spans="1:8" ht="90" x14ac:dyDescent="0.25">
      <c r="A1158" s="15" t="s">
        <v>7811</v>
      </c>
      <c r="B1158" s="15" t="s">
        <v>9756</v>
      </c>
      <c r="C1158" s="15" t="s">
        <v>9757</v>
      </c>
      <c r="D1158" s="15">
        <v>1429</v>
      </c>
      <c r="E1158" s="15" t="s">
        <v>7814</v>
      </c>
      <c r="F1158" s="15">
        <v>5</v>
      </c>
      <c r="G1158" s="15" t="s">
        <v>8943</v>
      </c>
      <c r="H1158" s="15"/>
    </row>
    <row r="1159" spans="1:8" ht="90" x14ac:dyDescent="0.25">
      <c r="A1159" s="15" t="s">
        <v>7811</v>
      </c>
      <c r="B1159" s="15" t="s">
        <v>9758</v>
      </c>
      <c r="C1159" s="15" t="s">
        <v>9759</v>
      </c>
      <c r="D1159" s="15">
        <v>789</v>
      </c>
      <c r="E1159" s="15" t="s">
        <v>7814</v>
      </c>
      <c r="F1159" s="15">
        <v>5</v>
      </c>
      <c r="G1159" s="15" t="s">
        <v>9760</v>
      </c>
      <c r="H1159" s="15"/>
    </row>
    <row r="1160" spans="1:8" ht="60" x14ac:dyDescent="0.25">
      <c r="A1160" s="15" t="s">
        <v>7811</v>
      </c>
      <c r="B1160" s="15" t="s">
        <v>9761</v>
      </c>
      <c r="C1160" s="15" t="s">
        <v>9762</v>
      </c>
      <c r="D1160" s="15">
        <v>787</v>
      </c>
      <c r="E1160" s="15" t="s">
        <v>7818</v>
      </c>
      <c r="F1160" s="15">
        <v>35</v>
      </c>
      <c r="G1160" s="15" t="s">
        <v>7819</v>
      </c>
      <c r="H1160" s="15"/>
    </row>
    <row r="1161" spans="1:8" ht="45" x14ac:dyDescent="0.25">
      <c r="A1161" s="15" t="s">
        <v>7811</v>
      </c>
      <c r="B1161" s="15" t="s">
        <v>9763</v>
      </c>
      <c r="C1161" s="15" t="s">
        <v>9764</v>
      </c>
      <c r="D1161" s="15">
        <v>788</v>
      </c>
      <c r="E1161" s="15" t="s">
        <v>7818</v>
      </c>
      <c r="F1161" s="15">
        <v>35</v>
      </c>
      <c r="G1161" s="15" t="s">
        <v>7819</v>
      </c>
      <c r="H1161" s="15"/>
    </row>
    <row r="1162" spans="1:8" ht="45" x14ac:dyDescent="0.25">
      <c r="A1162" s="15" t="s">
        <v>7811</v>
      </c>
      <c r="B1162" s="15" t="s">
        <v>9765</v>
      </c>
      <c r="C1162" s="15" t="s">
        <v>9766</v>
      </c>
      <c r="D1162" s="15">
        <v>1026</v>
      </c>
      <c r="E1162" s="15" t="s">
        <v>7877</v>
      </c>
      <c r="F1162" s="15">
        <v>2.8</v>
      </c>
      <c r="G1162" s="15" t="s">
        <v>7819</v>
      </c>
      <c r="H1162" s="15"/>
    </row>
    <row r="1163" spans="1:8" ht="45" x14ac:dyDescent="0.25">
      <c r="A1163" s="15" t="s">
        <v>7811</v>
      </c>
      <c r="B1163" s="15" t="s">
        <v>9767</v>
      </c>
      <c r="C1163" s="15" t="s">
        <v>9768</v>
      </c>
      <c r="D1163" s="15">
        <v>954</v>
      </c>
      <c r="E1163" s="15" t="s">
        <v>7818</v>
      </c>
      <c r="F1163" s="15">
        <v>80</v>
      </c>
      <c r="G1163" s="15" t="s">
        <v>7819</v>
      </c>
      <c r="H1163" s="15"/>
    </row>
    <row r="1164" spans="1:8" ht="45" x14ac:dyDescent="0.25">
      <c r="A1164" s="15" t="s">
        <v>7811</v>
      </c>
      <c r="B1164" s="15" t="s">
        <v>9769</v>
      </c>
      <c r="C1164" s="15" t="s">
        <v>9770</v>
      </c>
      <c r="D1164" s="15">
        <v>428</v>
      </c>
      <c r="E1164" s="15" t="s">
        <v>7818</v>
      </c>
      <c r="F1164" s="15">
        <v>60</v>
      </c>
      <c r="G1164" s="15" t="s">
        <v>7819</v>
      </c>
      <c r="H1164" s="15"/>
    </row>
    <row r="1165" spans="1:8" ht="165" x14ac:dyDescent="0.25">
      <c r="A1165" s="15" t="s">
        <v>7811</v>
      </c>
      <c r="B1165" s="15" t="s">
        <v>9771</v>
      </c>
      <c r="C1165" s="15" t="s">
        <v>9772</v>
      </c>
      <c r="D1165" s="15">
        <v>427</v>
      </c>
      <c r="E1165" s="15" t="s">
        <v>7814</v>
      </c>
      <c r="F1165" s="15">
        <v>5</v>
      </c>
      <c r="G1165" s="15" t="s">
        <v>9773</v>
      </c>
      <c r="H1165" s="15"/>
    </row>
    <row r="1166" spans="1:8" ht="45" x14ac:dyDescent="0.25">
      <c r="A1166" s="15" t="s">
        <v>7811</v>
      </c>
      <c r="B1166" s="15" t="s">
        <v>9774</v>
      </c>
      <c r="C1166" s="15" t="s">
        <v>9775</v>
      </c>
      <c r="D1166" s="15">
        <v>1110</v>
      </c>
      <c r="E1166" s="15" t="s">
        <v>7838</v>
      </c>
      <c r="F1166" s="15">
        <v>8</v>
      </c>
      <c r="G1166" s="15" t="s">
        <v>7819</v>
      </c>
      <c r="H1166" s="15"/>
    </row>
    <row r="1167" spans="1:8" ht="135" x14ac:dyDescent="0.25">
      <c r="A1167" s="15" t="s">
        <v>7811</v>
      </c>
      <c r="B1167" s="15" t="s">
        <v>9776</v>
      </c>
      <c r="C1167" s="15" t="s">
        <v>9777</v>
      </c>
      <c r="D1167" s="15">
        <v>1156</v>
      </c>
      <c r="E1167" s="15" t="s">
        <v>7814</v>
      </c>
      <c r="F1167" s="15">
        <v>5</v>
      </c>
      <c r="G1167" s="15" t="s">
        <v>9778</v>
      </c>
      <c r="H1167" s="15"/>
    </row>
    <row r="1168" spans="1:8" ht="105" x14ac:dyDescent="0.25">
      <c r="A1168" s="15" t="s">
        <v>7811</v>
      </c>
      <c r="B1168" s="15" t="s">
        <v>9779</v>
      </c>
      <c r="C1168" s="15" t="s">
        <v>9780</v>
      </c>
      <c r="D1168" s="15">
        <v>771</v>
      </c>
      <c r="E1168" s="15" t="s">
        <v>7814</v>
      </c>
      <c r="F1168" s="15">
        <v>5</v>
      </c>
      <c r="G1168" s="15" t="s">
        <v>7815</v>
      </c>
      <c r="H1168" s="15"/>
    </row>
    <row r="1169" spans="1:8" ht="45" x14ac:dyDescent="0.25">
      <c r="A1169" s="15" t="s">
        <v>7811</v>
      </c>
      <c r="B1169" s="15" t="s">
        <v>9781</v>
      </c>
      <c r="C1169" s="15" t="s">
        <v>9782</v>
      </c>
      <c r="D1169" s="15">
        <v>1243</v>
      </c>
      <c r="E1169" s="15" t="s">
        <v>7818</v>
      </c>
      <c r="F1169" s="15">
        <v>80</v>
      </c>
      <c r="G1169" s="15" t="s">
        <v>7819</v>
      </c>
      <c r="H1169" s="15"/>
    </row>
    <row r="1170" spans="1:8" ht="45" x14ac:dyDescent="0.25">
      <c r="A1170" s="15" t="s">
        <v>7811</v>
      </c>
      <c r="B1170" s="15" t="s">
        <v>9783</v>
      </c>
      <c r="C1170" s="15" t="s">
        <v>9784</v>
      </c>
      <c r="D1170" s="15">
        <v>2152</v>
      </c>
      <c r="E1170" s="15" t="s">
        <v>7859</v>
      </c>
      <c r="F1170" s="15"/>
      <c r="G1170" s="15" t="s">
        <v>7819</v>
      </c>
      <c r="H1170" s="15"/>
    </row>
    <row r="1171" spans="1:8" ht="45" x14ac:dyDescent="0.25">
      <c r="A1171" s="15" t="s">
        <v>7811</v>
      </c>
      <c r="B1171" s="15" t="s">
        <v>9785</v>
      </c>
      <c r="C1171" s="15" t="s">
        <v>9786</v>
      </c>
      <c r="D1171" s="15">
        <v>2153</v>
      </c>
      <c r="E1171" s="15" t="s">
        <v>7838</v>
      </c>
      <c r="F1171" s="15">
        <v>8</v>
      </c>
      <c r="G1171" s="15" t="s">
        <v>7819</v>
      </c>
      <c r="H1171" s="15"/>
    </row>
    <row r="1172" spans="1:8" ht="45" x14ac:dyDescent="0.25">
      <c r="A1172" s="15" t="s">
        <v>7811</v>
      </c>
      <c r="B1172" s="15" t="s">
        <v>9787</v>
      </c>
      <c r="C1172" s="15" t="s">
        <v>9788</v>
      </c>
      <c r="D1172" s="15">
        <v>2154</v>
      </c>
      <c r="E1172" s="15" t="s">
        <v>7838</v>
      </c>
      <c r="F1172" s="15">
        <v>8</v>
      </c>
      <c r="G1172" s="15" t="s">
        <v>7819</v>
      </c>
      <c r="H1172" s="15"/>
    </row>
    <row r="1173" spans="1:8" ht="180" x14ac:dyDescent="0.25">
      <c r="A1173" s="15" t="s">
        <v>7811</v>
      </c>
      <c r="B1173" s="15" t="s">
        <v>9789</v>
      </c>
      <c r="C1173" s="15" t="s">
        <v>9790</v>
      </c>
      <c r="D1173" s="15">
        <v>849</v>
      </c>
      <c r="E1173" s="15" t="s">
        <v>7814</v>
      </c>
      <c r="F1173" s="15">
        <v>5</v>
      </c>
      <c r="G1173" s="15" t="s">
        <v>9791</v>
      </c>
      <c r="H1173" s="15"/>
    </row>
    <row r="1174" spans="1:8" ht="105" x14ac:dyDescent="0.25">
      <c r="A1174" s="15" t="s">
        <v>7811</v>
      </c>
      <c r="B1174" s="15" t="s">
        <v>9792</v>
      </c>
      <c r="C1174" s="15" t="s">
        <v>9793</v>
      </c>
      <c r="D1174" s="15">
        <v>569</v>
      </c>
      <c r="E1174" s="15" t="s">
        <v>7814</v>
      </c>
      <c r="F1174" s="15">
        <v>5</v>
      </c>
      <c r="G1174" s="15" t="s">
        <v>9794</v>
      </c>
      <c r="H1174" s="15"/>
    </row>
    <row r="1175" spans="1:8" ht="225" x14ac:dyDescent="0.25">
      <c r="A1175" s="15" t="s">
        <v>7811</v>
      </c>
      <c r="B1175" s="15" t="s">
        <v>9795</v>
      </c>
      <c r="C1175" s="15" t="s">
        <v>9796</v>
      </c>
      <c r="D1175" s="15">
        <v>230</v>
      </c>
      <c r="E1175" s="15" t="s">
        <v>7814</v>
      </c>
      <c r="F1175" s="15">
        <v>5</v>
      </c>
      <c r="G1175" s="15" t="s">
        <v>9797</v>
      </c>
      <c r="H1175" s="15"/>
    </row>
    <row r="1176" spans="1:8" ht="45" x14ac:dyDescent="0.25">
      <c r="A1176" s="15" t="s">
        <v>7811</v>
      </c>
      <c r="B1176" s="15" t="s">
        <v>9798</v>
      </c>
      <c r="C1176" s="15" t="s">
        <v>9799</v>
      </c>
      <c r="D1176" s="15">
        <v>1371</v>
      </c>
      <c r="E1176" s="15" t="s">
        <v>7818</v>
      </c>
      <c r="F1176" s="15">
        <v>30</v>
      </c>
      <c r="G1176" s="15" t="s">
        <v>7819</v>
      </c>
      <c r="H1176" s="15"/>
    </row>
    <row r="1177" spans="1:8" ht="180" x14ac:dyDescent="0.25">
      <c r="A1177" s="15" t="s">
        <v>7811</v>
      </c>
      <c r="B1177" s="15" t="s">
        <v>9800</v>
      </c>
      <c r="C1177" s="15" t="s">
        <v>9801</v>
      </c>
      <c r="D1177" s="15">
        <v>654</v>
      </c>
      <c r="E1177" s="15" t="s">
        <v>7814</v>
      </c>
      <c r="F1177" s="15">
        <v>5</v>
      </c>
      <c r="G1177" s="15" t="s">
        <v>9802</v>
      </c>
      <c r="H1177" s="15"/>
    </row>
    <row r="1178" spans="1:8" ht="105" x14ac:dyDescent="0.25">
      <c r="A1178" s="15" t="s">
        <v>7811</v>
      </c>
      <c r="B1178" s="15" t="s">
        <v>9803</v>
      </c>
      <c r="C1178" s="15" t="s">
        <v>9804</v>
      </c>
      <c r="D1178" s="15">
        <v>1237</v>
      </c>
      <c r="E1178" s="15" t="s">
        <v>7814</v>
      </c>
      <c r="F1178" s="15">
        <v>5</v>
      </c>
      <c r="G1178" s="15" t="s">
        <v>9805</v>
      </c>
      <c r="H1178" s="15"/>
    </row>
    <row r="1179" spans="1:8" ht="45" x14ac:dyDescent="0.25">
      <c r="A1179" s="15" t="s">
        <v>7811</v>
      </c>
      <c r="B1179" s="15" t="s">
        <v>9806</v>
      </c>
      <c r="C1179" s="15" t="s">
        <v>9807</v>
      </c>
      <c r="D1179" s="15">
        <v>583</v>
      </c>
      <c r="E1179" s="15" t="s">
        <v>7818</v>
      </c>
      <c r="F1179" s="15">
        <v>60</v>
      </c>
      <c r="G1179" s="15" t="s">
        <v>7819</v>
      </c>
      <c r="H1179" s="15"/>
    </row>
    <row r="1180" spans="1:8" ht="45" x14ac:dyDescent="0.25">
      <c r="A1180" s="15" t="s">
        <v>7811</v>
      </c>
      <c r="B1180" s="15" t="s">
        <v>9808</v>
      </c>
      <c r="C1180" s="15" t="s">
        <v>9809</v>
      </c>
      <c r="D1180" s="15">
        <v>172</v>
      </c>
      <c r="E1180" s="15" t="s">
        <v>7818</v>
      </c>
      <c r="F1180" s="15">
        <v>45</v>
      </c>
      <c r="G1180" s="15" t="s">
        <v>7819</v>
      </c>
      <c r="H1180" s="15"/>
    </row>
    <row r="1181" spans="1:8" ht="105" x14ac:dyDescent="0.25">
      <c r="A1181" s="15" t="s">
        <v>7811</v>
      </c>
      <c r="B1181" s="15" t="s">
        <v>9810</v>
      </c>
      <c r="C1181" s="15" t="s">
        <v>9811</v>
      </c>
      <c r="D1181" s="15">
        <v>582</v>
      </c>
      <c r="E1181" s="15" t="s">
        <v>7814</v>
      </c>
      <c r="F1181" s="15">
        <v>5</v>
      </c>
      <c r="G1181" s="15" t="s">
        <v>9812</v>
      </c>
      <c r="H1181" s="15"/>
    </row>
    <row r="1182" spans="1:8" ht="45" x14ac:dyDescent="0.25">
      <c r="A1182" s="15" t="s">
        <v>7811</v>
      </c>
      <c r="B1182" s="15" t="s">
        <v>9813</v>
      </c>
      <c r="C1182" s="15" t="s">
        <v>9814</v>
      </c>
      <c r="D1182" s="15">
        <v>1214</v>
      </c>
      <c r="E1182" s="15" t="s">
        <v>7838</v>
      </c>
      <c r="F1182" s="15">
        <v>8</v>
      </c>
      <c r="G1182" s="15" t="s">
        <v>7819</v>
      </c>
      <c r="H1182" s="15"/>
    </row>
    <row r="1183" spans="1:8" ht="60" x14ac:dyDescent="0.25">
      <c r="A1183" s="15" t="s">
        <v>7811</v>
      </c>
      <c r="B1183" s="15" t="s">
        <v>9815</v>
      </c>
      <c r="C1183" s="15" t="s">
        <v>9816</v>
      </c>
      <c r="D1183" s="15">
        <v>779</v>
      </c>
      <c r="E1183" s="15" t="s">
        <v>7818</v>
      </c>
      <c r="F1183" s="15">
        <v>35</v>
      </c>
      <c r="G1183" s="15" t="s">
        <v>7819</v>
      </c>
      <c r="H1183" s="15"/>
    </row>
    <row r="1184" spans="1:8" ht="45" x14ac:dyDescent="0.25">
      <c r="A1184" s="15" t="s">
        <v>7811</v>
      </c>
      <c r="B1184" s="15" t="s">
        <v>9817</v>
      </c>
      <c r="C1184" s="15" t="s">
        <v>9818</v>
      </c>
      <c r="D1184" s="15">
        <v>781</v>
      </c>
      <c r="E1184" s="15" t="s">
        <v>7838</v>
      </c>
      <c r="F1184" s="15">
        <v>8</v>
      </c>
      <c r="G1184" s="15" t="s">
        <v>7819</v>
      </c>
      <c r="H1184" s="15"/>
    </row>
    <row r="1185" spans="1:8" ht="45" x14ac:dyDescent="0.25">
      <c r="A1185" s="15" t="s">
        <v>7811</v>
      </c>
      <c r="B1185" s="15" t="s">
        <v>9819</v>
      </c>
      <c r="C1185" s="15" t="s">
        <v>9820</v>
      </c>
      <c r="D1185" s="15">
        <v>782</v>
      </c>
      <c r="E1185" s="15" t="s">
        <v>7818</v>
      </c>
      <c r="F1185" s="15">
        <v>60</v>
      </c>
      <c r="G1185" s="15" t="s">
        <v>7819</v>
      </c>
      <c r="H1185" s="15"/>
    </row>
    <row r="1186" spans="1:8" ht="60" x14ac:dyDescent="0.25">
      <c r="A1186" s="15" t="s">
        <v>7811</v>
      </c>
      <c r="B1186" s="15" t="s">
        <v>9821</v>
      </c>
      <c r="C1186" s="15" t="s">
        <v>9822</v>
      </c>
      <c r="D1186" s="15">
        <v>790</v>
      </c>
      <c r="E1186" s="15" t="s">
        <v>7814</v>
      </c>
      <c r="F1186" s="15">
        <v>5</v>
      </c>
      <c r="G1186" s="15" t="s">
        <v>9823</v>
      </c>
      <c r="H1186" s="15"/>
    </row>
    <row r="1187" spans="1:8" ht="105" x14ac:dyDescent="0.25">
      <c r="A1187" s="15" t="s">
        <v>7811</v>
      </c>
      <c r="B1187" s="15" t="s">
        <v>9824</v>
      </c>
      <c r="C1187" s="15" t="s">
        <v>9825</v>
      </c>
      <c r="D1187" s="15">
        <v>778</v>
      </c>
      <c r="E1187" s="15" t="s">
        <v>7814</v>
      </c>
      <c r="F1187" s="15">
        <v>5</v>
      </c>
      <c r="G1187" s="15" t="s">
        <v>9826</v>
      </c>
      <c r="H1187" s="15"/>
    </row>
    <row r="1188" spans="1:8" ht="45" x14ac:dyDescent="0.25">
      <c r="A1188" s="15" t="s">
        <v>7811</v>
      </c>
      <c r="B1188" s="15" t="s">
        <v>9827</v>
      </c>
      <c r="C1188" s="15" t="s">
        <v>9828</v>
      </c>
      <c r="D1188" s="15">
        <v>232</v>
      </c>
      <c r="E1188" s="15" t="s">
        <v>7818</v>
      </c>
      <c r="F1188" s="15">
        <v>45</v>
      </c>
      <c r="G1188" s="15" t="s">
        <v>7819</v>
      </c>
      <c r="H1188" s="15"/>
    </row>
    <row r="1189" spans="1:8" ht="165" x14ac:dyDescent="0.25">
      <c r="A1189" s="15" t="s">
        <v>7811</v>
      </c>
      <c r="B1189" s="15" t="s">
        <v>9829</v>
      </c>
      <c r="C1189" s="15" t="s">
        <v>9830</v>
      </c>
      <c r="D1189" s="15">
        <v>1282</v>
      </c>
      <c r="E1189" s="15" t="s">
        <v>7814</v>
      </c>
      <c r="F1189" s="15">
        <v>5</v>
      </c>
      <c r="G1189" s="15" t="s">
        <v>9831</v>
      </c>
      <c r="H1189" s="15"/>
    </row>
    <row r="1190" spans="1:8" ht="60" x14ac:dyDescent="0.25">
      <c r="A1190" s="15" t="s">
        <v>7811</v>
      </c>
      <c r="B1190" s="15" t="s">
        <v>9832</v>
      </c>
      <c r="C1190" s="15" t="s">
        <v>9833</v>
      </c>
      <c r="D1190" s="15">
        <v>316</v>
      </c>
      <c r="E1190" s="15" t="s">
        <v>7814</v>
      </c>
      <c r="F1190" s="15">
        <v>5</v>
      </c>
      <c r="G1190" s="15" t="s">
        <v>7815</v>
      </c>
      <c r="H1190" s="15"/>
    </row>
    <row r="1191" spans="1:8" ht="60" x14ac:dyDescent="0.25">
      <c r="A1191" s="15" t="s">
        <v>7811</v>
      </c>
      <c r="B1191" s="15" t="s">
        <v>9834</v>
      </c>
      <c r="C1191" s="15" t="s">
        <v>9835</v>
      </c>
      <c r="D1191" s="15">
        <v>1462</v>
      </c>
      <c r="E1191" s="15" t="s">
        <v>7814</v>
      </c>
      <c r="F1191" s="15">
        <v>5</v>
      </c>
      <c r="G1191" s="15" t="s">
        <v>7815</v>
      </c>
      <c r="H1191" s="15"/>
    </row>
    <row r="1192" spans="1:8" ht="45" x14ac:dyDescent="0.25">
      <c r="A1192" s="15" t="s">
        <v>7811</v>
      </c>
      <c r="B1192" s="15" t="s">
        <v>9836</v>
      </c>
      <c r="C1192" s="15" t="s">
        <v>9837</v>
      </c>
      <c r="D1192" s="15">
        <v>233</v>
      </c>
      <c r="E1192" s="15" t="s">
        <v>7838</v>
      </c>
      <c r="F1192" s="15">
        <v>8</v>
      </c>
      <c r="G1192" s="15" t="s">
        <v>7819</v>
      </c>
      <c r="H1192" s="15"/>
    </row>
    <row r="1193" spans="1:8" ht="45" x14ac:dyDescent="0.25">
      <c r="A1193" s="15" t="s">
        <v>7811</v>
      </c>
      <c r="B1193" s="15" t="s">
        <v>9838</v>
      </c>
      <c r="C1193" s="15" t="s">
        <v>9839</v>
      </c>
      <c r="D1193" s="15">
        <v>234</v>
      </c>
      <c r="E1193" s="15" t="s">
        <v>7818</v>
      </c>
      <c r="F1193" s="15">
        <v>80</v>
      </c>
      <c r="G1193" s="15" t="s">
        <v>7819</v>
      </c>
      <c r="H1193" s="15"/>
    </row>
    <row r="1194" spans="1:8" ht="45" x14ac:dyDescent="0.25">
      <c r="A1194" s="15" t="s">
        <v>7811</v>
      </c>
      <c r="B1194" s="15" t="s">
        <v>9840</v>
      </c>
      <c r="C1194" s="15" t="s">
        <v>9841</v>
      </c>
      <c r="D1194" s="15">
        <v>235</v>
      </c>
      <c r="E1194" s="15" t="s">
        <v>7838</v>
      </c>
      <c r="F1194" s="15">
        <v>8</v>
      </c>
      <c r="G1194" s="15" t="s">
        <v>7819</v>
      </c>
      <c r="H1194" s="15"/>
    </row>
    <row r="1195" spans="1:8" ht="45" x14ac:dyDescent="0.25">
      <c r="A1195" s="15" t="s">
        <v>7811</v>
      </c>
      <c r="B1195" s="15" t="s">
        <v>9842</v>
      </c>
      <c r="C1195" s="15" t="s">
        <v>9843</v>
      </c>
      <c r="D1195" s="15">
        <v>236</v>
      </c>
      <c r="E1195" s="15" t="s">
        <v>7818</v>
      </c>
      <c r="F1195" s="15">
        <v>80</v>
      </c>
      <c r="G1195" s="15" t="s">
        <v>7819</v>
      </c>
      <c r="H1195" s="15"/>
    </row>
    <row r="1196" spans="1:8" ht="150" x14ac:dyDescent="0.25">
      <c r="A1196" s="15" t="s">
        <v>7811</v>
      </c>
      <c r="B1196" s="15" t="s">
        <v>9844</v>
      </c>
      <c r="C1196" s="15" t="s">
        <v>9845</v>
      </c>
      <c r="D1196" s="15">
        <v>237</v>
      </c>
      <c r="E1196" s="15" t="s">
        <v>7814</v>
      </c>
      <c r="F1196" s="15">
        <v>5</v>
      </c>
      <c r="G1196" s="15" t="s">
        <v>9846</v>
      </c>
      <c r="H1196" s="15"/>
    </row>
    <row r="1197" spans="1:8" ht="45" x14ac:dyDescent="0.25">
      <c r="A1197" s="15" t="s">
        <v>7811</v>
      </c>
      <c r="B1197" s="15" t="s">
        <v>9847</v>
      </c>
      <c r="C1197" s="15" t="s">
        <v>9848</v>
      </c>
      <c r="D1197" s="15">
        <v>238</v>
      </c>
      <c r="E1197" s="15" t="s">
        <v>7818</v>
      </c>
      <c r="F1197" s="15">
        <v>45</v>
      </c>
      <c r="G1197" s="15" t="s">
        <v>7819</v>
      </c>
      <c r="H1197" s="15"/>
    </row>
    <row r="1198" spans="1:8" ht="45" x14ac:dyDescent="0.25">
      <c r="A1198" s="15" t="s">
        <v>7811</v>
      </c>
      <c r="B1198" s="15" t="s">
        <v>9849</v>
      </c>
      <c r="C1198" s="15" t="s">
        <v>9850</v>
      </c>
      <c r="D1198" s="15">
        <v>791</v>
      </c>
      <c r="E1198" s="15" t="s">
        <v>7818</v>
      </c>
      <c r="F1198" s="15">
        <v>60</v>
      </c>
      <c r="G1198" s="15" t="s">
        <v>7819</v>
      </c>
      <c r="H1198" s="15"/>
    </row>
    <row r="1199" spans="1:8" ht="60" x14ac:dyDescent="0.25">
      <c r="A1199" s="15" t="s">
        <v>7811</v>
      </c>
      <c r="B1199" s="15" t="s">
        <v>9851</v>
      </c>
      <c r="C1199" s="15" t="s">
        <v>9852</v>
      </c>
      <c r="D1199" s="15">
        <v>1058</v>
      </c>
      <c r="E1199" s="15" t="s">
        <v>7814</v>
      </c>
      <c r="F1199" s="15">
        <v>5</v>
      </c>
      <c r="G1199" s="15" t="s">
        <v>7815</v>
      </c>
      <c r="H1199" s="15"/>
    </row>
    <row r="1200" spans="1:8" ht="45" x14ac:dyDescent="0.25">
      <c r="A1200" s="15" t="s">
        <v>7811</v>
      </c>
      <c r="B1200" s="15" t="s">
        <v>9853</v>
      </c>
      <c r="C1200" s="15" t="s">
        <v>9854</v>
      </c>
      <c r="D1200" s="15">
        <v>522</v>
      </c>
      <c r="E1200" s="15" t="s">
        <v>7818</v>
      </c>
      <c r="F1200" s="15">
        <v>60</v>
      </c>
      <c r="G1200" s="15" t="s">
        <v>7819</v>
      </c>
      <c r="H1200" s="15"/>
    </row>
    <row r="1201" spans="1:8" ht="90" x14ac:dyDescent="0.25">
      <c r="A1201" s="15" t="s">
        <v>7811</v>
      </c>
      <c r="B1201" s="15" t="s">
        <v>9855</v>
      </c>
      <c r="C1201" s="15" t="s">
        <v>9856</v>
      </c>
      <c r="D1201" s="15">
        <v>641</v>
      </c>
      <c r="E1201" s="15" t="s">
        <v>7818</v>
      </c>
      <c r="F1201" s="15">
        <v>5</v>
      </c>
      <c r="G1201" s="15" t="s">
        <v>7819</v>
      </c>
      <c r="H1201" s="15"/>
    </row>
    <row r="1202" spans="1:8" ht="409.5" x14ac:dyDescent="0.25">
      <c r="A1202" s="15" t="s">
        <v>7811</v>
      </c>
      <c r="B1202" s="15" t="s">
        <v>9857</v>
      </c>
      <c r="C1202" s="15" t="s">
        <v>9858</v>
      </c>
      <c r="D1202" s="15">
        <v>240</v>
      </c>
      <c r="E1202" s="15" t="s">
        <v>7814</v>
      </c>
      <c r="F1202" s="15">
        <v>5</v>
      </c>
      <c r="G1202" s="15" t="s">
        <v>9859</v>
      </c>
      <c r="H1202" s="15"/>
    </row>
    <row r="1203" spans="1:8" ht="45" x14ac:dyDescent="0.25">
      <c r="A1203" s="15" t="s">
        <v>7811</v>
      </c>
      <c r="B1203" s="15" t="s">
        <v>9860</v>
      </c>
      <c r="C1203" s="15" t="s">
        <v>9861</v>
      </c>
      <c r="D1203" s="15">
        <v>345</v>
      </c>
      <c r="E1203" s="15" t="s">
        <v>7818</v>
      </c>
      <c r="F1203" s="15">
        <v>35</v>
      </c>
      <c r="G1203" s="15" t="s">
        <v>7819</v>
      </c>
      <c r="H1203" s="15"/>
    </row>
    <row r="1204" spans="1:8" ht="75" x14ac:dyDescent="0.25">
      <c r="A1204" s="15" t="s">
        <v>7811</v>
      </c>
      <c r="B1204" s="15" t="s">
        <v>9862</v>
      </c>
      <c r="C1204" s="15" t="s">
        <v>9863</v>
      </c>
      <c r="D1204" s="15">
        <v>813</v>
      </c>
      <c r="E1204" s="15" t="s">
        <v>7818</v>
      </c>
      <c r="F1204" s="15">
        <v>60</v>
      </c>
      <c r="G1204" s="15" t="s">
        <v>7819</v>
      </c>
      <c r="H1204" s="15"/>
    </row>
    <row r="1205" spans="1:8" ht="45" x14ac:dyDescent="0.25">
      <c r="A1205" s="15" t="s">
        <v>7811</v>
      </c>
      <c r="B1205" s="15" t="s">
        <v>9864</v>
      </c>
      <c r="C1205" s="15" t="s">
        <v>9865</v>
      </c>
      <c r="D1205" s="15">
        <v>241</v>
      </c>
      <c r="E1205" s="15" t="s">
        <v>7838</v>
      </c>
      <c r="F1205" s="15">
        <v>8</v>
      </c>
      <c r="G1205" s="15" t="s">
        <v>7819</v>
      </c>
      <c r="H1205" s="15"/>
    </row>
    <row r="1206" spans="1:8" ht="45" x14ac:dyDescent="0.25">
      <c r="A1206" s="15" t="s">
        <v>7811</v>
      </c>
      <c r="B1206" s="15" t="s">
        <v>9866</v>
      </c>
      <c r="C1206" s="15" t="s">
        <v>9867</v>
      </c>
      <c r="D1206" s="15">
        <v>242</v>
      </c>
      <c r="E1206" s="15" t="s">
        <v>7818</v>
      </c>
      <c r="F1206" s="15">
        <v>45</v>
      </c>
      <c r="G1206" s="15" t="s">
        <v>7819</v>
      </c>
      <c r="H1206" s="15"/>
    </row>
    <row r="1207" spans="1:8" ht="135" x14ac:dyDescent="0.25">
      <c r="A1207" s="15" t="s">
        <v>7811</v>
      </c>
      <c r="B1207" s="15" t="s">
        <v>9868</v>
      </c>
      <c r="C1207" s="15" t="s">
        <v>9869</v>
      </c>
      <c r="D1207" s="15">
        <v>243</v>
      </c>
      <c r="E1207" s="15" t="s">
        <v>7814</v>
      </c>
      <c r="F1207" s="15">
        <v>5</v>
      </c>
      <c r="G1207" s="15" t="s">
        <v>9870</v>
      </c>
      <c r="H1207" s="15"/>
    </row>
    <row r="1208" spans="1:8" ht="60" x14ac:dyDescent="0.25">
      <c r="A1208" s="15" t="s">
        <v>7811</v>
      </c>
      <c r="B1208" s="15" t="s">
        <v>9871</v>
      </c>
      <c r="C1208" s="15" t="s">
        <v>9872</v>
      </c>
      <c r="D1208" s="15">
        <v>1047</v>
      </c>
      <c r="E1208" s="15" t="s">
        <v>7814</v>
      </c>
      <c r="F1208" s="15">
        <v>5</v>
      </c>
      <c r="G1208" s="15" t="s">
        <v>7815</v>
      </c>
      <c r="H1208" s="15"/>
    </row>
    <row r="1209" spans="1:8" ht="90" x14ac:dyDescent="0.25">
      <c r="A1209" s="15" t="s">
        <v>7811</v>
      </c>
      <c r="B1209" s="15" t="s">
        <v>9873</v>
      </c>
      <c r="C1209" s="15" t="s">
        <v>9874</v>
      </c>
      <c r="D1209" s="15">
        <v>718</v>
      </c>
      <c r="E1209" s="15" t="s">
        <v>7818</v>
      </c>
      <c r="F1209" s="15">
        <v>60</v>
      </c>
      <c r="G1209" s="15" t="s">
        <v>7819</v>
      </c>
      <c r="H1209" s="15"/>
    </row>
    <row r="1210" spans="1:8" ht="120" x14ac:dyDescent="0.25">
      <c r="A1210" s="15" t="s">
        <v>7811</v>
      </c>
      <c r="B1210" s="15" t="s">
        <v>9875</v>
      </c>
      <c r="C1210" s="15" t="s">
        <v>9876</v>
      </c>
      <c r="D1210" s="15">
        <v>244</v>
      </c>
      <c r="E1210" s="15" t="s">
        <v>7814</v>
      </c>
      <c r="F1210" s="15">
        <v>5</v>
      </c>
      <c r="G1210" s="15" t="s">
        <v>9877</v>
      </c>
      <c r="H1210" s="15"/>
    </row>
    <row r="1211" spans="1:8" ht="195" x14ac:dyDescent="0.25">
      <c r="A1211" s="15" t="s">
        <v>7811</v>
      </c>
      <c r="B1211" s="15" t="s">
        <v>9878</v>
      </c>
      <c r="C1211" s="15" t="s">
        <v>9879</v>
      </c>
      <c r="D1211" s="15">
        <v>245</v>
      </c>
      <c r="E1211" s="15" t="s">
        <v>7814</v>
      </c>
      <c r="F1211" s="15">
        <v>5</v>
      </c>
      <c r="G1211" s="15" t="s">
        <v>9880</v>
      </c>
      <c r="H1211" s="15"/>
    </row>
    <row r="1212" spans="1:8" ht="45" x14ac:dyDescent="0.25">
      <c r="A1212" s="15" t="s">
        <v>7811</v>
      </c>
      <c r="B1212" s="15" t="s">
        <v>9881</v>
      </c>
      <c r="C1212" s="15" t="s">
        <v>9882</v>
      </c>
      <c r="D1212" s="15">
        <v>1502</v>
      </c>
      <c r="E1212" s="15" t="s">
        <v>7838</v>
      </c>
      <c r="F1212" s="15">
        <v>8</v>
      </c>
      <c r="G1212" s="15" t="s">
        <v>7819</v>
      </c>
      <c r="H1212" s="15"/>
    </row>
    <row r="1213" spans="1:8" ht="45" x14ac:dyDescent="0.25">
      <c r="A1213" s="15" t="s">
        <v>7811</v>
      </c>
      <c r="B1213" s="15" t="s">
        <v>9883</v>
      </c>
      <c r="C1213" s="15" t="s">
        <v>9884</v>
      </c>
      <c r="D1213" s="15">
        <v>989</v>
      </c>
      <c r="E1213" s="15" t="s">
        <v>7838</v>
      </c>
      <c r="F1213" s="15">
        <v>8</v>
      </c>
      <c r="G1213" s="15" t="s">
        <v>7819</v>
      </c>
      <c r="H1213" s="15"/>
    </row>
    <row r="1214" spans="1:8" ht="45" x14ac:dyDescent="0.25">
      <c r="A1214" s="15" t="s">
        <v>7811</v>
      </c>
      <c r="B1214" s="15" t="s">
        <v>9885</v>
      </c>
      <c r="C1214" s="15" t="s">
        <v>9886</v>
      </c>
      <c r="D1214" s="15">
        <v>465</v>
      </c>
      <c r="E1214" s="15" t="s">
        <v>7818</v>
      </c>
      <c r="F1214" s="15">
        <v>35</v>
      </c>
      <c r="G1214" s="15" t="s">
        <v>7819</v>
      </c>
      <c r="H1214" s="15"/>
    </row>
    <row r="1215" spans="1:8" ht="60" x14ac:dyDescent="0.25">
      <c r="A1215" s="15" t="s">
        <v>7811</v>
      </c>
      <c r="B1215" s="15" t="s">
        <v>9887</v>
      </c>
      <c r="C1215" s="15" t="s">
        <v>9888</v>
      </c>
      <c r="D1215" s="15">
        <v>463</v>
      </c>
      <c r="E1215" s="15" t="s">
        <v>7818</v>
      </c>
      <c r="F1215" s="15">
        <v>60</v>
      </c>
      <c r="G1215" s="15" t="s">
        <v>7819</v>
      </c>
      <c r="H1215" s="15"/>
    </row>
    <row r="1216" spans="1:8" ht="45" x14ac:dyDescent="0.25">
      <c r="A1216" s="15" t="s">
        <v>7811</v>
      </c>
      <c r="B1216" s="15" t="s">
        <v>9889</v>
      </c>
      <c r="C1216" s="15" t="s">
        <v>9890</v>
      </c>
      <c r="D1216" s="15">
        <v>464</v>
      </c>
      <c r="E1216" s="15" t="s">
        <v>7818</v>
      </c>
      <c r="F1216" s="15">
        <v>45</v>
      </c>
      <c r="G1216" s="15" t="s">
        <v>7819</v>
      </c>
      <c r="H1216" s="15"/>
    </row>
    <row r="1217" spans="1:8" ht="195" x14ac:dyDescent="0.25">
      <c r="A1217" s="15" t="s">
        <v>7811</v>
      </c>
      <c r="B1217" s="15" t="s">
        <v>9891</v>
      </c>
      <c r="C1217" s="15" t="s">
        <v>9892</v>
      </c>
      <c r="D1217" s="15">
        <v>652</v>
      </c>
      <c r="E1217" s="15" t="s">
        <v>7814</v>
      </c>
      <c r="F1217" s="15">
        <v>5</v>
      </c>
      <c r="G1217" s="15" t="s">
        <v>9893</v>
      </c>
      <c r="H1217" s="15"/>
    </row>
    <row r="1218" spans="1:8" ht="45" x14ac:dyDescent="0.25">
      <c r="A1218" s="15" t="s">
        <v>7811</v>
      </c>
      <c r="B1218" s="15" t="s">
        <v>9894</v>
      </c>
      <c r="C1218" s="15" t="s">
        <v>9895</v>
      </c>
      <c r="D1218" s="15">
        <v>597</v>
      </c>
      <c r="E1218" s="15" t="s">
        <v>7818</v>
      </c>
      <c r="F1218" s="15">
        <v>15</v>
      </c>
      <c r="G1218" s="15" t="s">
        <v>7819</v>
      </c>
      <c r="H1218" s="15"/>
    </row>
    <row r="1219" spans="1:8" ht="60" x14ac:dyDescent="0.25">
      <c r="A1219" s="15" t="s">
        <v>7811</v>
      </c>
      <c r="B1219" s="15" t="s">
        <v>9896</v>
      </c>
      <c r="C1219" s="15" t="s">
        <v>9897</v>
      </c>
      <c r="D1219" s="15">
        <v>1470</v>
      </c>
      <c r="E1219" s="15" t="s">
        <v>7814</v>
      </c>
      <c r="F1219" s="15">
        <v>5</v>
      </c>
      <c r="G1219" s="15" t="s">
        <v>7815</v>
      </c>
      <c r="H1219" s="15"/>
    </row>
    <row r="1220" spans="1:8" ht="45" x14ac:dyDescent="0.25">
      <c r="A1220" s="15" t="s">
        <v>7811</v>
      </c>
      <c r="B1220" s="15" t="s">
        <v>9898</v>
      </c>
      <c r="C1220" s="15" t="s">
        <v>9899</v>
      </c>
      <c r="D1220" s="15">
        <v>578</v>
      </c>
      <c r="E1220" s="15" t="s">
        <v>7818</v>
      </c>
      <c r="F1220" s="15">
        <v>80</v>
      </c>
      <c r="G1220" s="15" t="s">
        <v>7819</v>
      </c>
      <c r="H1220" s="15"/>
    </row>
    <row r="1221" spans="1:8" ht="45" x14ac:dyDescent="0.25">
      <c r="A1221" s="15" t="s">
        <v>7811</v>
      </c>
      <c r="B1221" s="15" t="s">
        <v>9900</v>
      </c>
      <c r="C1221" s="15" t="s">
        <v>9901</v>
      </c>
      <c r="D1221" s="15">
        <v>246</v>
      </c>
      <c r="E1221" s="15" t="s">
        <v>7818</v>
      </c>
      <c r="F1221" s="15">
        <v>35</v>
      </c>
      <c r="G1221" s="15" t="s">
        <v>7819</v>
      </c>
      <c r="H1221" s="15"/>
    </row>
    <row r="1222" spans="1:8" ht="45" x14ac:dyDescent="0.25">
      <c r="A1222" s="15" t="s">
        <v>7811</v>
      </c>
      <c r="B1222" s="15" t="s">
        <v>9902</v>
      </c>
      <c r="C1222" s="15" t="s">
        <v>9903</v>
      </c>
      <c r="D1222" s="15">
        <v>1197</v>
      </c>
      <c r="E1222" s="15" t="s">
        <v>7838</v>
      </c>
      <c r="F1222" s="15">
        <v>8</v>
      </c>
      <c r="G1222" s="15" t="s">
        <v>7819</v>
      </c>
      <c r="H1222" s="15"/>
    </row>
    <row r="1223" spans="1:8" ht="45" x14ac:dyDescent="0.25">
      <c r="A1223" s="15" t="s">
        <v>7811</v>
      </c>
      <c r="B1223" s="15" t="s">
        <v>9904</v>
      </c>
      <c r="C1223" s="15" t="s">
        <v>9905</v>
      </c>
      <c r="D1223" s="15">
        <v>247</v>
      </c>
      <c r="E1223" s="15" t="s">
        <v>7877</v>
      </c>
      <c r="F1223" s="15">
        <v>6.2</v>
      </c>
      <c r="G1223" s="15" t="s">
        <v>7819</v>
      </c>
      <c r="H1223" s="15"/>
    </row>
    <row r="1224" spans="1:8" ht="45" x14ac:dyDescent="0.25">
      <c r="A1224" s="15" t="s">
        <v>7811</v>
      </c>
      <c r="B1224" s="15" t="s">
        <v>9906</v>
      </c>
      <c r="C1224" s="15" t="s">
        <v>9907</v>
      </c>
      <c r="D1224" s="15">
        <v>248</v>
      </c>
      <c r="E1224" s="15" t="s">
        <v>7818</v>
      </c>
      <c r="F1224" s="15">
        <v>60</v>
      </c>
      <c r="G1224" s="15" t="s">
        <v>7819</v>
      </c>
      <c r="H1224" s="15"/>
    </row>
    <row r="1225" spans="1:8" ht="45" x14ac:dyDescent="0.25">
      <c r="A1225" s="15" t="s">
        <v>7811</v>
      </c>
      <c r="B1225" s="15" t="s">
        <v>9908</v>
      </c>
      <c r="C1225" s="15" t="s">
        <v>9909</v>
      </c>
      <c r="D1225" s="15">
        <v>1198</v>
      </c>
      <c r="E1225" s="15" t="s">
        <v>7838</v>
      </c>
      <c r="F1225" s="15">
        <v>8</v>
      </c>
      <c r="G1225" s="15" t="s">
        <v>7819</v>
      </c>
      <c r="H1225" s="15"/>
    </row>
    <row r="1226" spans="1:8" ht="45" x14ac:dyDescent="0.25">
      <c r="A1226" s="15" t="s">
        <v>7811</v>
      </c>
      <c r="B1226" s="15" t="s">
        <v>9910</v>
      </c>
      <c r="C1226" s="15" t="s">
        <v>9911</v>
      </c>
      <c r="D1226" s="15">
        <v>249</v>
      </c>
      <c r="E1226" s="15" t="s">
        <v>7818</v>
      </c>
      <c r="F1226" s="15">
        <v>45</v>
      </c>
      <c r="G1226" s="15" t="s">
        <v>7819</v>
      </c>
      <c r="H1226" s="15"/>
    </row>
    <row r="1227" spans="1:8" ht="180" x14ac:dyDescent="0.25">
      <c r="A1227" s="15" t="s">
        <v>7811</v>
      </c>
      <c r="B1227" s="15" t="s">
        <v>9912</v>
      </c>
      <c r="C1227" s="15" t="s">
        <v>9913</v>
      </c>
      <c r="D1227" s="15">
        <v>250</v>
      </c>
      <c r="E1227" s="15" t="s">
        <v>7814</v>
      </c>
      <c r="F1227" s="15">
        <v>5</v>
      </c>
      <c r="G1227" s="15" t="s">
        <v>9914</v>
      </c>
      <c r="H1227" s="15"/>
    </row>
    <row r="1228" spans="1:8" ht="45" x14ac:dyDescent="0.25">
      <c r="A1228" s="15" t="s">
        <v>7811</v>
      </c>
      <c r="B1228" s="15" t="s">
        <v>9915</v>
      </c>
      <c r="C1228" s="15" t="s">
        <v>9916</v>
      </c>
      <c r="D1228" s="15">
        <v>251</v>
      </c>
      <c r="E1228" s="15" t="s">
        <v>7818</v>
      </c>
      <c r="F1228" s="15">
        <v>60</v>
      </c>
      <c r="G1228" s="15" t="s">
        <v>7819</v>
      </c>
      <c r="H1228" s="15"/>
    </row>
    <row r="1229" spans="1:8" ht="45" x14ac:dyDescent="0.25">
      <c r="A1229" s="15" t="s">
        <v>7811</v>
      </c>
      <c r="B1229" s="15" t="s">
        <v>9917</v>
      </c>
      <c r="C1229" s="15" t="s">
        <v>9918</v>
      </c>
      <c r="D1229" s="15">
        <v>252</v>
      </c>
      <c r="E1229" s="15" t="s">
        <v>7818</v>
      </c>
      <c r="F1229" s="15">
        <v>45</v>
      </c>
      <c r="G1229" s="15" t="s">
        <v>7819</v>
      </c>
      <c r="H1229" s="15"/>
    </row>
    <row r="1230" spans="1:8" ht="45" x14ac:dyDescent="0.25">
      <c r="A1230" s="15" t="s">
        <v>7811</v>
      </c>
      <c r="B1230" s="15" t="s">
        <v>9919</v>
      </c>
      <c r="C1230" s="15" t="s">
        <v>9920</v>
      </c>
      <c r="D1230" s="15">
        <v>253</v>
      </c>
      <c r="E1230" s="15" t="s">
        <v>7818</v>
      </c>
      <c r="F1230" s="15">
        <v>45</v>
      </c>
      <c r="G1230" s="15" t="s">
        <v>7819</v>
      </c>
      <c r="H1230" s="15"/>
    </row>
    <row r="1231" spans="1:8" ht="45" x14ac:dyDescent="0.25">
      <c r="A1231" s="15" t="s">
        <v>7811</v>
      </c>
      <c r="B1231" s="15" t="s">
        <v>9921</v>
      </c>
      <c r="C1231" s="15" t="s">
        <v>9922</v>
      </c>
      <c r="D1231" s="15">
        <v>1196</v>
      </c>
      <c r="E1231" s="15" t="s">
        <v>7818</v>
      </c>
      <c r="F1231" s="15">
        <v>60</v>
      </c>
      <c r="G1231" s="15" t="s">
        <v>7819</v>
      </c>
      <c r="H1231" s="15"/>
    </row>
    <row r="1232" spans="1:8" ht="180" x14ac:dyDescent="0.25">
      <c r="A1232" s="15" t="s">
        <v>7811</v>
      </c>
      <c r="B1232" s="15" t="s">
        <v>9923</v>
      </c>
      <c r="C1232" s="15" t="s">
        <v>9924</v>
      </c>
      <c r="D1232" s="15">
        <v>254</v>
      </c>
      <c r="E1232" s="15" t="s">
        <v>7814</v>
      </c>
      <c r="F1232" s="15">
        <v>5</v>
      </c>
      <c r="G1232" s="15" t="s">
        <v>9925</v>
      </c>
      <c r="H1232" s="15"/>
    </row>
    <row r="1233" spans="1:8" ht="90" x14ac:dyDescent="0.25">
      <c r="A1233" s="15" t="s">
        <v>7811</v>
      </c>
      <c r="B1233" s="15" t="s">
        <v>9926</v>
      </c>
      <c r="C1233" s="15" t="s">
        <v>9927</v>
      </c>
      <c r="D1233" s="15">
        <v>1577</v>
      </c>
      <c r="E1233" s="15" t="s">
        <v>7814</v>
      </c>
      <c r="F1233" s="15">
        <v>5</v>
      </c>
      <c r="G1233" s="15" t="s">
        <v>9928</v>
      </c>
      <c r="H1233" s="15"/>
    </row>
    <row r="1234" spans="1:8" ht="45" x14ac:dyDescent="0.25">
      <c r="A1234" s="15" t="s">
        <v>7811</v>
      </c>
      <c r="B1234" s="15" t="s">
        <v>9929</v>
      </c>
      <c r="C1234" s="15" t="s">
        <v>9930</v>
      </c>
      <c r="D1234" s="15">
        <v>1540</v>
      </c>
      <c r="E1234" s="15" t="s">
        <v>7818</v>
      </c>
      <c r="F1234" s="15">
        <v>80</v>
      </c>
      <c r="G1234" s="15" t="s">
        <v>7819</v>
      </c>
      <c r="H1234" s="15"/>
    </row>
    <row r="1235" spans="1:8" ht="165" x14ac:dyDescent="0.25">
      <c r="A1235" s="15" t="s">
        <v>7811</v>
      </c>
      <c r="B1235" s="15" t="s">
        <v>9931</v>
      </c>
      <c r="C1235" s="15" t="s">
        <v>9932</v>
      </c>
      <c r="D1235" s="15">
        <v>900</v>
      </c>
      <c r="E1235" s="15" t="s">
        <v>7814</v>
      </c>
      <c r="F1235" s="15">
        <v>5</v>
      </c>
      <c r="G1235" s="15" t="s">
        <v>9933</v>
      </c>
      <c r="H1235" s="15"/>
    </row>
    <row r="1236" spans="1:8" ht="60" x14ac:dyDescent="0.25">
      <c r="A1236" s="15" t="s">
        <v>7811</v>
      </c>
      <c r="B1236" s="15" t="s">
        <v>9934</v>
      </c>
      <c r="C1236" s="15" t="s">
        <v>9935</v>
      </c>
      <c r="D1236" s="15">
        <v>751</v>
      </c>
      <c r="E1236" s="15" t="s">
        <v>7818</v>
      </c>
      <c r="F1236" s="15">
        <v>80</v>
      </c>
      <c r="G1236" s="15" t="s">
        <v>7819</v>
      </c>
      <c r="H1236" s="15"/>
    </row>
    <row r="1237" spans="1:8" ht="45" x14ac:dyDescent="0.25">
      <c r="A1237" s="15" t="s">
        <v>7811</v>
      </c>
      <c r="B1237" s="15" t="s">
        <v>9936</v>
      </c>
      <c r="C1237" s="15" t="s">
        <v>9937</v>
      </c>
      <c r="D1237" s="15">
        <v>1148</v>
      </c>
      <c r="E1237" s="15" t="s">
        <v>7818</v>
      </c>
      <c r="F1237" s="15">
        <v>45</v>
      </c>
      <c r="G1237" s="15" t="s">
        <v>7819</v>
      </c>
      <c r="H1237" s="15"/>
    </row>
    <row r="1238" spans="1:8" ht="120" x14ac:dyDescent="0.25">
      <c r="A1238" s="15" t="s">
        <v>7811</v>
      </c>
      <c r="B1238" s="15" t="s">
        <v>9938</v>
      </c>
      <c r="C1238" s="15" t="s">
        <v>9939</v>
      </c>
      <c r="D1238" s="15">
        <v>1098</v>
      </c>
      <c r="E1238" s="15" t="s">
        <v>7814</v>
      </c>
      <c r="F1238" s="15">
        <v>5</v>
      </c>
      <c r="G1238" s="15" t="s">
        <v>9940</v>
      </c>
      <c r="H1238" s="15"/>
    </row>
    <row r="1239" spans="1:8" ht="75" x14ac:dyDescent="0.25">
      <c r="A1239" s="15" t="s">
        <v>7811</v>
      </c>
      <c r="B1239" s="15" t="s">
        <v>9941</v>
      </c>
      <c r="C1239" s="15" t="s">
        <v>9942</v>
      </c>
      <c r="D1239" s="15">
        <v>500</v>
      </c>
      <c r="E1239" s="15" t="s">
        <v>7877</v>
      </c>
      <c r="F1239" s="15">
        <v>6.2</v>
      </c>
      <c r="G1239" s="15" t="s">
        <v>7819</v>
      </c>
      <c r="H1239" s="15"/>
    </row>
    <row r="1240" spans="1:8" ht="60" x14ac:dyDescent="0.25">
      <c r="A1240" s="15" t="s">
        <v>7811</v>
      </c>
      <c r="B1240" s="15" t="s">
        <v>9943</v>
      </c>
      <c r="C1240" s="15" t="s">
        <v>9944</v>
      </c>
      <c r="D1240" s="15">
        <v>1147</v>
      </c>
      <c r="E1240" s="15" t="s">
        <v>7814</v>
      </c>
      <c r="F1240" s="15">
        <v>5</v>
      </c>
      <c r="G1240" s="15" t="s">
        <v>7815</v>
      </c>
      <c r="H1240" s="15"/>
    </row>
    <row r="1241" spans="1:8" ht="45" x14ac:dyDescent="0.25">
      <c r="A1241" s="15" t="s">
        <v>7811</v>
      </c>
      <c r="B1241" s="15" t="s">
        <v>9945</v>
      </c>
      <c r="C1241" s="15" t="s">
        <v>9946</v>
      </c>
      <c r="D1241" s="15">
        <v>1814</v>
      </c>
      <c r="E1241" s="15" t="s">
        <v>7818</v>
      </c>
      <c r="F1241" s="15">
        <v>20</v>
      </c>
      <c r="G1241" s="15" t="s">
        <v>7819</v>
      </c>
      <c r="H1241" s="15"/>
    </row>
    <row r="1242" spans="1:8" ht="45" x14ac:dyDescent="0.25">
      <c r="A1242" s="15" t="s">
        <v>7811</v>
      </c>
      <c r="B1242" s="15" t="s">
        <v>9947</v>
      </c>
      <c r="C1242" s="15" t="s">
        <v>9948</v>
      </c>
      <c r="D1242" s="15">
        <v>1815</v>
      </c>
      <c r="E1242" s="15" t="s">
        <v>7818</v>
      </c>
      <c r="F1242" s="15">
        <v>20</v>
      </c>
      <c r="G1242" s="15" t="s">
        <v>7819</v>
      </c>
      <c r="H1242" s="15"/>
    </row>
    <row r="1243" spans="1:8" ht="45" x14ac:dyDescent="0.25">
      <c r="A1243" s="15" t="s">
        <v>7811</v>
      </c>
      <c r="B1243" s="15" t="s">
        <v>9949</v>
      </c>
      <c r="C1243" s="15" t="s">
        <v>9950</v>
      </c>
      <c r="D1243" s="15">
        <v>1816</v>
      </c>
      <c r="E1243" s="15" t="s">
        <v>7818</v>
      </c>
      <c r="F1243" s="15">
        <v>20</v>
      </c>
      <c r="G1243" s="15" t="s">
        <v>7819</v>
      </c>
      <c r="H1243" s="15"/>
    </row>
    <row r="1244" spans="1:8" ht="45" x14ac:dyDescent="0.25">
      <c r="A1244" s="15" t="s">
        <v>7811</v>
      </c>
      <c r="B1244" s="15" t="s">
        <v>9951</v>
      </c>
      <c r="C1244" s="15" t="s">
        <v>9952</v>
      </c>
      <c r="D1244" s="15">
        <v>481</v>
      </c>
      <c r="E1244" s="15" t="s">
        <v>7818</v>
      </c>
      <c r="F1244" s="15">
        <v>80</v>
      </c>
      <c r="G1244" s="15" t="s">
        <v>7819</v>
      </c>
      <c r="H1244" s="15"/>
    </row>
    <row r="1245" spans="1:8" ht="45" x14ac:dyDescent="0.25">
      <c r="A1245" s="15" t="s">
        <v>7811</v>
      </c>
      <c r="B1245" s="15" t="s">
        <v>9953</v>
      </c>
      <c r="C1245" s="15" t="s">
        <v>9954</v>
      </c>
      <c r="D1245" s="15">
        <v>482</v>
      </c>
      <c r="E1245" s="15" t="s">
        <v>7818</v>
      </c>
      <c r="F1245" s="15">
        <v>80</v>
      </c>
      <c r="G1245" s="15" t="s">
        <v>7819</v>
      </c>
      <c r="H1245" s="15"/>
    </row>
    <row r="1246" spans="1:8" ht="45" x14ac:dyDescent="0.25">
      <c r="A1246" s="15" t="s">
        <v>7811</v>
      </c>
      <c r="B1246" s="15" t="s">
        <v>9955</v>
      </c>
      <c r="C1246" s="15" t="s">
        <v>9956</v>
      </c>
      <c r="D1246" s="15">
        <v>480</v>
      </c>
      <c r="E1246" s="15" t="s">
        <v>7818</v>
      </c>
      <c r="F1246" s="15">
        <v>24</v>
      </c>
      <c r="G1246" s="15" t="s">
        <v>7819</v>
      </c>
      <c r="H1246" s="15"/>
    </row>
    <row r="1247" spans="1:8" ht="45" x14ac:dyDescent="0.25">
      <c r="A1247" s="15" t="s">
        <v>7811</v>
      </c>
      <c r="B1247" s="15" t="s">
        <v>9957</v>
      </c>
      <c r="C1247" s="15" t="s">
        <v>9958</v>
      </c>
      <c r="D1247" s="15">
        <v>961</v>
      </c>
      <c r="E1247" s="15" t="s">
        <v>7818</v>
      </c>
      <c r="F1247" s="15">
        <v>80</v>
      </c>
      <c r="G1247" s="15" t="s">
        <v>7819</v>
      </c>
      <c r="H1247" s="15"/>
    </row>
    <row r="1248" spans="1:8" ht="285" x14ac:dyDescent="0.25">
      <c r="A1248" s="15" t="s">
        <v>7811</v>
      </c>
      <c r="B1248" s="15" t="s">
        <v>9959</v>
      </c>
      <c r="C1248" s="15" t="s">
        <v>9960</v>
      </c>
      <c r="D1248" s="15">
        <v>921</v>
      </c>
      <c r="E1248" s="15" t="s">
        <v>7814</v>
      </c>
      <c r="F1248" s="15">
        <v>5</v>
      </c>
      <c r="G1248" s="15" t="s">
        <v>9961</v>
      </c>
      <c r="H1248" s="15"/>
    </row>
    <row r="1249" spans="1:8" ht="45" x14ac:dyDescent="0.25">
      <c r="A1249" s="15" t="s">
        <v>7811</v>
      </c>
      <c r="B1249" s="15" t="s">
        <v>9962</v>
      </c>
      <c r="C1249" s="15" t="s">
        <v>9963</v>
      </c>
      <c r="D1249" s="15">
        <v>1134</v>
      </c>
      <c r="E1249" s="15" t="s">
        <v>7818</v>
      </c>
      <c r="F1249" s="15">
        <v>30</v>
      </c>
      <c r="G1249" s="15" t="s">
        <v>7819</v>
      </c>
      <c r="H1249" s="15"/>
    </row>
    <row r="1250" spans="1:8" ht="45" x14ac:dyDescent="0.25">
      <c r="A1250" s="15" t="s">
        <v>7811</v>
      </c>
      <c r="B1250" s="15" t="s">
        <v>9964</v>
      </c>
      <c r="C1250" s="15" t="s">
        <v>9965</v>
      </c>
      <c r="D1250" s="15">
        <v>865</v>
      </c>
      <c r="E1250" s="15" t="s">
        <v>7818</v>
      </c>
      <c r="F1250" s="15">
        <v>60</v>
      </c>
      <c r="G1250" s="15" t="s">
        <v>7819</v>
      </c>
      <c r="H1250" s="15"/>
    </row>
    <row r="1251" spans="1:8" ht="45" x14ac:dyDescent="0.25">
      <c r="A1251" s="15" t="s">
        <v>7811</v>
      </c>
      <c r="B1251" s="15" t="s">
        <v>9966</v>
      </c>
      <c r="C1251" s="15" t="s">
        <v>9967</v>
      </c>
      <c r="D1251" s="15">
        <v>1065</v>
      </c>
      <c r="E1251" s="15" t="s">
        <v>7838</v>
      </c>
      <c r="F1251" s="15">
        <v>8</v>
      </c>
      <c r="G1251" s="15" t="s">
        <v>7819</v>
      </c>
      <c r="H1251" s="15"/>
    </row>
    <row r="1252" spans="1:8" ht="135" x14ac:dyDescent="0.25">
      <c r="A1252" s="15" t="s">
        <v>7811</v>
      </c>
      <c r="B1252" s="15" t="s">
        <v>9968</v>
      </c>
      <c r="C1252" s="15" t="s">
        <v>9969</v>
      </c>
      <c r="D1252" s="15">
        <v>1067</v>
      </c>
      <c r="E1252" s="15" t="s">
        <v>7814</v>
      </c>
      <c r="F1252" s="15">
        <v>5</v>
      </c>
      <c r="G1252" s="15" t="s">
        <v>9970</v>
      </c>
      <c r="H1252" s="15"/>
    </row>
    <row r="1253" spans="1:8" ht="45" x14ac:dyDescent="0.25">
      <c r="A1253" s="15" t="s">
        <v>7811</v>
      </c>
      <c r="B1253" s="15" t="s">
        <v>9971</v>
      </c>
      <c r="C1253" s="15" t="s">
        <v>9972</v>
      </c>
      <c r="D1253" s="15">
        <v>1066</v>
      </c>
      <c r="E1253" s="15" t="s">
        <v>7838</v>
      </c>
      <c r="F1253" s="15">
        <v>8</v>
      </c>
      <c r="G1253" s="15" t="s">
        <v>7819</v>
      </c>
      <c r="H1253" s="15"/>
    </row>
    <row r="1254" spans="1:8" ht="120" x14ac:dyDescent="0.25">
      <c r="A1254" s="15" t="s">
        <v>7811</v>
      </c>
      <c r="B1254" s="15" t="s">
        <v>9973</v>
      </c>
      <c r="C1254" s="15" t="s">
        <v>9974</v>
      </c>
      <c r="D1254" s="15">
        <v>1068</v>
      </c>
      <c r="E1254" s="15" t="s">
        <v>7814</v>
      </c>
      <c r="F1254" s="15">
        <v>5</v>
      </c>
      <c r="G1254" s="15" t="s">
        <v>9975</v>
      </c>
      <c r="H1254" s="15"/>
    </row>
    <row r="1255" spans="1:8" ht="225" x14ac:dyDescent="0.25">
      <c r="A1255" s="15" t="s">
        <v>7811</v>
      </c>
      <c r="B1255" s="15" t="s">
        <v>9976</v>
      </c>
      <c r="C1255" s="15" t="s">
        <v>9977</v>
      </c>
      <c r="D1255" s="15">
        <v>1062</v>
      </c>
      <c r="E1255" s="15" t="s">
        <v>7814</v>
      </c>
      <c r="F1255" s="15">
        <v>5</v>
      </c>
      <c r="G1255" s="15" t="s">
        <v>9978</v>
      </c>
      <c r="H1255" s="15"/>
    </row>
    <row r="1256" spans="1:8" ht="105" x14ac:dyDescent="0.25">
      <c r="A1256" s="15" t="s">
        <v>7811</v>
      </c>
      <c r="B1256" s="15" t="s">
        <v>9979</v>
      </c>
      <c r="C1256" s="15" t="s">
        <v>9980</v>
      </c>
      <c r="D1256" s="15">
        <v>749</v>
      </c>
      <c r="E1256" s="15" t="s">
        <v>7818</v>
      </c>
      <c r="F1256" s="15">
        <v>80</v>
      </c>
      <c r="G1256" s="15" t="s">
        <v>7819</v>
      </c>
      <c r="H1256" s="15"/>
    </row>
    <row r="1257" spans="1:8" ht="120" x14ac:dyDescent="0.25">
      <c r="A1257" s="15" t="s">
        <v>7811</v>
      </c>
      <c r="B1257" s="15" t="s">
        <v>9981</v>
      </c>
      <c r="C1257" s="15" t="s">
        <v>9982</v>
      </c>
      <c r="D1257" s="15">
        <v>255</v>
      </c>
      <c r="E1257" s="15" t="s">
        <v>7814</v>
      </c>
      <c r="F1257" s="15">
        <v>5</v>
      </c>
      <c r="G1257" s="15" t="s">
        <v>9983</v>
      </c>
      <c r="H1257" s="15"/>
    </row>
    <row r="1258" spans="1:8" ht="105" x14ac:dyDescent="0.25">
      <c r="A1258" s="15" t="s">
        <v>7811</v>
      </c>
      <c r="B1258" s="15" t="s">
        <v>9984</v>
      </c>
      <c r="C1258" s="15" t="s">
        <v>9985</v>
      </c>
      <c r="D1258" s="15">
        <v>1302</v>
      </c>
      <c r="E1258" s="15" t="s">
        <v>7814</v>
      </c>
      <c r="F1258" s="15">
        <v>5</v>
      </c>
      <c r="G1258" s="15" t="s">
        <v>9986</v>
      </c>
      <c r="H1258" s="15"/>
    </row>
    <row r="1259" spans="1:8" ht="270" x14ac:dyDescent="0.25">
      <c r="A1259" s="15" t="s">
        <v>7811</v>
      </c>
      <c r="B1259" s="15" t="s">
        <v>9987</v>
      </c>
      <c r="C1259" s="15" t="s">
        <v>9988</v>
      </c>
      <c r="D1259" s="15">
        <v>944</v>
      </c>
      <c r="E1259" s="15" t="s">
        <v>7814</v>
      </c>
      <c r="F1259" s="15">
        <v>5</v>
      </c>
      <c r="G1259" s="15" t="s">
        <v>9989</v>
      </c>
      <c r="H1259" s="15"/>
    </row>
    <row r="1260" spans="1:8" ht="135" x14ac:dyDescent="0.25">
      <c r="A1260" s="15" t="s">
        <v>7811</v>
      </c>
      <c r="B1260" s="15" t="s">
        <v>9990</v>
      </c>
      <c r="C1260" s="15" t="s">
        <v>9991</v>
      </c>
      <c r="D1260" s="15">
        <v>611</v>
      </c>
      <c r="E1260" s="15" t="s">
        <v>7814</v>
      </c>
      <c r="F1260" s="15">
        <v>5</v>
      </c>
      <c r="G1260" s="15" t="s">
        <v>9992</v>
      </c>
      <c r="H1260" s="15"/>
    </row>
    <row r="1261" spans="1:8" ht="255" x14ac:dyDescent="0.25">
      <c r="A1261" s="15" t="s">
        <v>7811</v>
      </c>
      <c r="B1261" s="15" t="s">
        <v>9993</v>
      </c>
      <c r="C1261" s="15" t="s">
        <v>9994</v>
      </c>
      <c r="D1261" s="15">
        <v>930</v>
      </c>
      <c r="E1261" s="15" t="s">
        <v>7814</v>
      </c>
      <c r="F1261" s="15">
        <v>5</v>
      </c>
      <c r="G1261" s="15" t="s">
        <v>9995</v>
      </c>
      <c r="H1261" s="15"/>
    </row>
    <row r="1262" spans="1:8" ht="120" x14ac:dyDescent="0.25">
      <c r="A1262" s="15" t="s">
        <v>7811</v>
      </c>
      <c r="B1262" s="15" t="s">
        <v>9996</v>
      </c>
      <c r="C1262" s="15" t="s">
        <v>9997</v>
      </c>
      <c r="D1262" s="15">
        <v>559</v>
      </c>
      <c r="E1262" s="15" t="s">
        <v>7814</v>
      </c>
      <c r="F1262" s="15">
        <v>5</v>
      </c>
      <c r="G1262" s="15" t="s">
        <v>9998</v>
      </c>
      <c r="H1262" s="15"/>
    </row>
    <row r="1263" spans="1:8" ht="180" x14ac:dyDescent="0.25">
      <c r="A1263" s="15" t="s">
        <v>7811</v>
      </c>
      <c r="B1263" s="15" t="s">
        <v>9999</v>
      </c>
      <c r="C1263" s="15" t="s">
        <v>10000</v>
      </c>
      <c r="D1263" s="15">
        <v>717</v>
      </c>
      <c r="E1263" s="15" t="s">
        <v>7814</v>
      </c>
      <c r="F1263" s="15">
        <v>5</v>
      </c>
      <c r="G1263" s="15" t="s">
        <v>10001</v>
      </c>
      <c r="H1263" s="15"/>
    </row>
    <row r="1264" spans="1:8" ht="45" x14ac:dyDescent="0.25">
      <c r="A1264" s="15" t="s">
        <v>7811</v>
      </c>
      <c r="B1264" s="15" t="s">
        <v>10002</v>
      </c>
      <c r="C1264" s="15" t="s">
        <v>10003</v>
      </c>
      <c r="D1264" s="15">
        <v>258</v>
      </c>
      <c r="E1264" s="15" t="s">
        <v>7818</v>
      </c>
      <c r="F1264" s="15">
        <v>35</v>
      </c>
      <c r="G1264" s="15" t="s">
        <v>7819</v>
      </c>
      <c r="H1264" s="15"/>
    </row>
    <row r="1265" spans="1:8" ht="45" x14ac:dyDescent="0.25">
      <c r="A1265" s="15" t="s">
        <v>7811</v>
      </c>
      <c r="B1265" s="15" t="s">
        <v>10004</v>
      </c>
      <c r="C1265" s="15" t="s">
        <v>10005</v>
      </c>
      <c r="D1265" s="15">
        <v>1228</v>
      </c>
      <c r="E1265" s="15" t="s">
        <v>7838</v>
      </c>
      <c r="F1265" s="15">
        <v>8</v>
      </c>
      <c r="G1265" s="15" t="s">
        <v>7819</v>
      </c>
      <c r="H1265" s="15"/>
    </row>
    <row r="1266" spans="1:8" ht="45" x14ac:dyDescent="0.25">
      <c r="A1266" s="15" t="s">
        <v>7811</v>
      </c>
      <c r="B1266" s="15" t="s">
        <v>10006</v>
      </c>
      <c r="C1266" s="15" t="s">
        <v>10007</v>
      </c>
      <c r="D1266" s="15">
        <v>1229</v>
      </c>
      <c r="E1266" s="15" t="s">
        <v>7818</v>
      </c>
      <c r="F1266" s="15">
        <v>45</v>
      </c>
      <c r="G1266" s="15" t="s">
        <v>7819</v>
      </c>
      <c r="H1266" s="15"/>
    </row>
    <row r="1267" spans="1:8" ht="270" x14ac:dyDescent="0.25">
      <c r="A1267" s="15" t="s">
        <v>7811</v>
      </c>
      <c r="B1267" s="15" t="s">
        <v>10008</v>
      </c>
      <c r="C1267" s="15" t="s">
        <v>10009</v>
      </c>
      <c r="D1267" s="15">
        <v>1230</v>
      </c>
      <c r="E1267" s="15" t="s">
        <v>7814</v>
      </c>
      <c r="F1267" s="15">
        <v>5</v>
      </c>
      <c r="G1267" s="15" t="s">
        <v>8565</v>
      </c>
      <c r="H1267" s="15"/>
    </row>
    <row r="1268" spans="1:8" ht="45" x14ac:dyDescent="0.25">
      <c r="A1268" s="15" t="s">
        <v>7811</v>
      </c>
      <c r="B1268" s="15" t="s">
        <v>10010</v>
      </c>
      <c r="C1268" s="15" t="s">
        <v>10011</v>
      </c>
      <c r="D1268" s="15">
        <v>1319</v>
      </c>
      <c r="E1268" s="15" t="s">
        <v>7859</v>
      </c>
      <c r="F1268" s="15">
        <v>3</v>
      </c>
      <c r="G1268" s="15" t="s">
        <v>7819</v>
      </c>
      <c r="H1268" s="15"/>
    </row>
    <row r="1269" spans="1:8" ht="240" x14ac:dyDescent="0.25">
      <c r="A1269" s="15" t="s">
        <v>7811</v>
      </c>
      <c r="B1269" s="15" t="s">
        <v>10012</v>
      </c>
      <c r="C1269" s="15" t="s">
        <v>10013</v>
      </c>
      <c r="D1269" s="15">
        <v>773</v>
      </c>
      <c r="E1269" s="15" t="s">
        <v>7814</v>
      </c>
      <c r="F1269" s="15">
        <v>5</v>
      </c>
      <c r="G1269" s="15" t="s">
        <v>10014</v>
      </c>
      <c r="H1269" s="15"/>
    </row>
    <row r="1270" spans="1:8" ht="60" x14ac:dyDescent="0.25">
      <c r="A1270" s="15" t="s">
        <v>7811</v>
      </c>
      <c r="B1270" s="15" t="s">
        <v>10015</v>
      </c>
      <c r="C1270" s="15" t="s">
        <v>10016</v>
      </c>
      <c r="D1270" s="15">
        <v>1465</v>
      </c>
      <c r="E1270" s="15" t="s">
        <v>7814</v>
      </c>
      <c r="F1270" s="15">
        <v>5</v>
      </c>
      <c r="G1270" s="15" t="s">
        <v>7815</v>
      </c>
      <c r="H1270" s="15"/>
    </row>
    <row r="1271" spans="1:8" ht="150" x14ac:dyDescent="0.25">
      <c r="A1271" s="15" t="s">
        <v>7811</v>
      </c>
      <c r="B1271" s="15" t="s">
        <v>10017</v>
      </c>
      <c r="C1271" s="15" t="s">
        <v>10018</v>
      </c>
      <c r="D1271" s="15">
        <v>894</v>
      </c>
      <c r="E1271" s="15" t="s">
        <v>7814</v>
      </c>
      <c r="F1271" s="15">
        <v>5</v>
      </c>
      <c r="G1271" s="15" t="s">
        <v>10019</v>
      </c>
      <c r="H1271" s="15"/>
    </row>
    <row r="1272" spans="1:8" ht="45" x14ac:dyDescent="0.25">
      <c r="A1272" s="15" t="s">
        <v>7811</v>
      </c>
      <c r="B1272" s="15" t="s">
        <v>10020</v>
      </c>
      <c r="C1272" s="15" t="s">
        <v>10021</v>
      </c>
      <c r="D1272" s="15">
        <v>471</v>
      </c>
      <c r="E1272" s="15" t="s">
        <v>7838</v>
      </c>
      <c r="F1272" s="15">
        <v>8</v>
      </c>
      <c r="G1272" s="15" t="s">
        <v>7819</v>
      </c>
      <c r="H1272" s="15"/>
    </row>
    <row r="1273" spans="1:8" ht="45" x14ac:dyDescent="0.25">
      <c r="A1273" s="15" t="s">
        <v>7811</v>
      </c>
      <c r="B1273" s="15" t="s">
        <v>10022</v>
      </c>
      <c r="C1273" s="15" t="s">
        <v>10023</v>
      </c>
      <c r="D1273" s="15">
        <v>1102</v>
      </c>
      <c r="E1273" s="15" t="s">
        <v>7818</v>
      </c>
      <c r="F1273" s="15">
        <v>30</v>
      </c>
      <c r="G1273" s="15" t="s">
        <v>7819</v>
      </c>
      <c r="H1273" s="15"/>
    </row>
    <row r="1274" spans="1:8" ht="60" x14ac:dyDescent="0.25">
      <c r="A1274" s="15" t="s">
        <v>7811</v>
      </c>
      <c r="B1274" s="15" t="s">
        <v>10024</v>
      </c>
      <c r="C1274" s="15" t="s">
        <v>10025</v>
      </c>
      <c r="D1274" s="15">
        <v>763</v>
      </c>
      <c r="E1274" s="15" t="s">
        <v>7814</v>
      </c>
      <c r="F1274" s="15">
        <v>5</v>
      </c>
      <c r="G1274" s="15" t="s">
        <v>10026</v>
      </c>
      <c r="H1274" s="15"/>
    </row>
    <row r="1275" spans="1:8" ht="45" x14ac:dyDescent="0.25">
      <c r="A1275" s="15" t="s">
        <v>7811</v>
      </c>
      <c r="B1275" s="15" t="s">
        <v>10027</v>
      </c>
      <c r="C1275" s="15" t="s">
        <v>10028</v>
      </c>
      <c r="D1275" s="15">
        <v>1880</v>
      </c>
      <c r="E1275" s="15" t="s">
        <v>7818</v>
      </c>
      <c r="F1275" s="15">
        <v>50</v>
      </c>
      <c r="G1275" s="15" t="s">
        <v>7819</v>
      </c>
      <c r="H1275" s="15"/>
    </row>
    <row r="1276" spans="1:8" ht="120" x14ac:dyDescent="0.25">
      <c r="A1276" s="15" t="s">
        <v>7811</v>
      </c>
      <c r="B1276" s="15" t="s">
        <v>10029</v>
      </c>
      <c r="C1276" s="15" t="s">
        <v>10030</v>
      </c>
      <c r="D1276" s="15">
        <v>1448</v>
      </c>
      <c r="E1276" s="15" t="s">
        <v>7814</v>
      </c>
      <c r="F1276" s="15">
        <v>5</v>
      </c>
      <c r="G1276" s="15" t="s">
        <v>10031</v>
      </c>
      <c r="H1276" s="15"/>
    </row>
    <row r="1277" spans="1:8" ht="45" x14ac:dyDescent="0.25">
      <c r="A1277" s="15" t="s">
        <v>7811</v>
      </c>
      <c r="B1277" s="15" t="s">
        <v>10032</v>
      </c>
      <c r="C1277" s="15" t="s">
        <v>10033</v>
      </c>
      <c r="D1277" s="15">
        <v>811</v>
      </c>
      <c r="E1277" s="15" t="s">
        <v>7818</v>
      </c>
      <c r="F1277" s="15">
        <v>60</v>
      </c>
      <c r="G1277" s="15" t="s">
        <v>7819</v>
      </c>
      <c r="H1277" s="15"/>
    </row>
    <row r="1278" spans="1:8" ht="45" x14ac:dyDescent="0.25">
      <c r="A1278" s="15" t="s">
        <v>7811</v>
      </c>
      <c r="B1278" s="15" t="s">
        <v>10034</v>
      </c>
      <c r="C1278" s="15" t="s">
        <v>10035</v>
      </c>
      <c r="D1278" s="15">
        <v>1238</v>
      </c>
      <c r="E1278" s="15" t="s">
        <v>7838</v>
      </c>
      <c r="F1278" s="15">
        <v>8</v>
      </c>
      <c r="G1278" s="15" t="s">
        <v>7819</v>
      </c>
      <c r="H1278" s="15"/>
    </row>
    <row r="1279" spans="1:8" ht="270" x14ac:dyDescent="0.25">
      <c r="A1279" s="15" t="s">
        <v>7811</v>
      </c>
      <c r="B1279" s="15" t="s">
        <v>10036</v>
      </c>
      <c r="C1279" s="15" t="s">
        <v>10037</v>
      </c>
      <c r="D1279" s="15">
        <v>1239</v>
      </c>
      <c r="E1279" s="15" t="s">
        <v>7814</v>
      </c>
      <c r="F1279" s="15">
        <v>5</v>
      </c>
      <c r="G1279" s="15" t="s">
        <v>8565</v>
      </c>
      <c r="H1279" s="15"/>
    </row>
    <row r="1280" spans="1:8" ht="45" x14ac:dyDescent="0.25">
      <c r="A1280" s="15" t="s">
        <v>7811</v>
      </c>
      <c r="B1280" s="15" t="s">
        <v>10038</v>
      </c>
      <c r="C1280" s="15" t="s">
        <v>10039</v>
      </c>
      <c r="D1280" s="15">
        <v>1242</v>
      </c>
      <c r="E1280" s="15" t="s">
        <v>7838</v>
      </c>
      <c r="F1280" s="15">
        <v>8</v>
      </c>
      <c r="G1280" s="15" t="s">
        <v>7819</v>
      </c>
      <c r="H1280" s="15"/>
    </row>
    <row r="1281" spans="1:8" ht="45" x14ac:dyDescent="0.25">
      <c r="A1281" s="15" t="s">
        <v>7811</v>
      </c>
      <c r="B1281" s="15" t="s">
        <v>10040</v>
      </c>
      <c r="C1281" s="15" t="s">
        <v>10041</v>
      </c>
      <c r="D1281" s="15">
        <v>959</v>
      </c>
      <c r="E1281" s="15" t="s">
        <v>7859</v>
      </c>
      <c r="F1281" s="15">
        <v>4</v>
      </c>
      <c r="G1281" s="15" t="s">
        <v>7819</v>
      </c>
      <c r="H1281" s="15"/>
    </row>
    <row r="1282" spans="1:8" ht="120" x14ac:dyDescent="0.25">
      <c r="A1282" s="15" t="s">
        <v>7811</v>
      </c>
      <c r="B1282" s="15" t="s">
        <v>10042</v>
      </c>
      <c r="C1282" s="15" t="s">
        <v>10043</v>
      </c>
      <c r="D1282" s="15">
        <v>1277</v>
      </c>
      <c r="E1282" s="15" t="s">
        <v>7814</v>
      </c>
      <c r="F1282" s="15">
        <v>5</v>
      </c>
      <c r="G1282" s="15" t="s">
        <v>8605</v>
      </c>
      <c r="H1282" s="15"/>
    </row>
    <row r="1283" spans="1:8" ht="409.5" x14ac:dyDescent="0.25">
      <c r="A1283" s="15" t="s">
        <v>7811</v>
      </c>
      <c r="B1283" s="15" t="s">
        <v>10044</v>
      </c>
      <c r="C1283" s="15" t="s">
        <v>10045</v>
      </c>
      <c r="D1283" s="15">
        <v>307</v>
      </c>
      <c r="E1283" s="15" t="s">
        <v>7814</v>
      </c>
      <c r="F1283" s="15">
        <v>5</v>
      </c>
      <c r="G1283" s="15" t="s">
        <v>10046</v>
      </c>
      <c r="H1283" s="15"/>
    </row>
    <row r="1284" spans="1:8" ht="300" x14ac:dyDescent="0.25">
      <c r="A1284" s="15" t="s">
        <v>7811</v>
      </c>
      <c r="B1284" s="15" t="s">
        <v>10047</v>
      </c>
      <c r="C1284" s="15" t="s">
        <v>10048</v>
      </c>
      <c r="D1284" s="15">
        <v>1167</v>
      </c>
      <c r="E1284" s="15" t="s">
        <v>7814</v>
      </c>
      <c r="F1284" s="15">
        <v>5</v>
      </c>
      <c r="G1284" s="15" t="s">
        <v>10049</v>
      </c>
      <c r="H1284" s="15"/>
    </row>
    <row r="1285" spans="1:8" ht="375" x14ac:dyDescent="0.25">
      <c r="A1285" s="15" t="s">
        <v>7811</v>
      </c>
      <c r="B1285" s="15" t="s">
        <v>10050</v>
      </c>
      <c r="C1285" s="15" t="s">
        <v>10051</v>
      </c>
      <c r="D1285" s="15">
        <v>1260</v>
      </c>
      <c r="E1285" s="15" t="s">
        <v>7814</v>
      </c>
      <c r="F1285" s="15">
        <v>5</v>
      </c>
      <c r="G1285" s="15" t="s">
        <v>8485</v>
      </c>
      <c r="H1285" s="15"/>
    </row>
    <row r="1286" spans="1:8" ht="375" x14ac:dyDescent="0.25">
      <c r="A1286" s="15" t="s">
        <v>7811</v>
      </c>
      <c r="B1286" s="15" t="s">
        <v>10052</v>
      </c>
      <c r="C1286" s="15" t="s">
        <v>10053</v>
      </c>
      <c r="D1286" s="15">
        <v>1262</v>
      </c>
      <c r="E1286" s="15" t="s">
        <v>7814</v>
      </c>
      <c r="F1286" s="15">
        <v>5</v>
      </c>
      <c r="G1286" s="15" t="s">
        <v>8485</v>
      </c>
      <c r="H1286" s="15"/>
    </row>
    <row r="1287" spans="1:8" ht="375" x14ac:dyDescent="0.25">
      <c r="A1287" s="15" t="s">
        <v>7811</v>
      </c>
      <c r="B1287" s="15" t="s">
        <v>10054</v>
      </c>
      <c r="C1287" s="15" t="s">
        <v>10055</v>
      </c>
      <c r="D1287" s="15">
        <v>1261</v>
      </c>
      <c r="E1287" s="15" t="s">
        <v>7814</v>
      </c>
      <c r="F1287" s="15">
        <v>5</v>
      </c>
      <c r="G1287" s="15" t="s">
        <v>8485</v>
      </c>
      <c r="H1287" s="15"/>
    </row>
    <row r="1288" spans="1:8" ht="45" x14ac:dyDescent="0.25">
      <c r="A1288" s="15" t="s">
        <v>7811</v>
      </c>
      <c r="B1288" s="15" t="s">
        <v>10056</v>
      </c>
      <c r="C1288" s="15" t="s">
        <v>10057</v>
      </c>
      <c r="D1288" s="15">
        <v>1395</v>
      </c>
      <c r="E1288" s="15" t="s">
        <v>7818</v>
      </c>
      <c r="F1288" s="15">
        <v>25</v>
      </c>
      <c r="G1288" s="15" t="s">
        <v>7819</v>
      </c>
      <c r="H1288" s="15"/>
    </row>
    <row r="1289" spans="1:8" ht="90" x14ac:dyDescent="0.25">
      <c r="A1289" s="15" t="s">
        <v>7811</v>
      </c>
      <c r="B1289" s="15" t="s">
        <v>10058</v>
      </c>
      <c r="C1289" s="15" t="s">
        <v>10059</v>
      </c>
      <c r="D1289" s="15">
        <v>581</v>
      </c>
      <c r="E1289" s="15" t="s">
        <v>7877</v>
      </c>
      <c r="F1289" s="15">
        <v>6.2</v>
      </c>
      <c r="G1289" s="15" t="s">
        <v>7819</v>
      </c>
      <c r="H1289" s="15"/>
    </row>
    <row r="1290" spans="1:8" ht="60" x14ac:dyDescent="0.25">
      <c r="A1290" s="15" t="s">
        <v>7811</v>
      </c>
      <c r="B1290" s="15" t="s">
        <v>10060</v>
      </c>
      <c r="C1290" s="15" t="s">
        <v>10061</v>
      </c>
      <c r="D1290" s="15">
        <v>885</v>
      </c>
      <c r="E1290" s="15" t="s">
        <v>7877</v>
      </c>
      <c r="F1290" s="15">
        <v>4.0999999999999996</v>
      </c>
      <c r="G1290" s="15" t="s">
        <v>7819</v>
      </c>
      <c r="H1290" s="15"/>
    </row>
    <row r="1291" spans="1:8" ht="300" x14ac:dyDescent="0.25">
      <c r="A1291" s="15" t="s">
        <v>7811</v>
      </c>
      <c r="B1291" s="15" t="s">
        <v>10062</v>
      </c>
      <c r="C1291" s="15" t="s">
        <v>10063</v>
      </c>
      <c r="D1291" s="15">
        <v>1521</v>
      </c>
      <c r="E1291" s="15" t="s">
        <v>7814</v>
      </c>
      <c r="F1291" s="15">
        <v>5</v>
      </c>
      <c r="G1291" s="15" t="s">
        <v>10064</v>
      </c>
      <c r="H1291" s="15"/>
    </row>
    <row r="1292" spans="1:8" ht="105" x14ac:dyDescent="0.25">
      <c r="A1292" s="15" t="s">
        <v>7811</v>
      </c>
      <c r="B1292" s="15" t="s">
        <v>10065</v>
      </c>
      <c r="C1292" s="15" t="s">
        <v>10066</v>
      </c>
      <c r="D1292" s="15">
        <v>1543</v>
      </c>
      <c r="E1292" s="15" t="s">
        <v>7814</v>
      </c>
      <c r="F1292" s="15">
        <v>5</v>
      </c>
      <c r="G1292" s="15" t="s">
        <v>10067</v>
      </c>
      <c r="H1292" s="15"/>
    </row>
    <row r="1293" spans="1:8" ht="45" x14ac:dyDescent="0.25">
      <c r="A1293" s="15" t="s">
        <v>7811</v>
      </c>
      <c r="B1293" s="15" t="s">
        <v>10068</v>
      </c>
      <c r="C1293" s="15" t="s">
        <v>10069</v>
      </c>
      <c r="D1293" s="15">
        <v>862</v>
      </c>
      <c r="E1293" s="15" t="s">
        <v>7818</v>
      </c>
      <c r="F1293" s="15">
        <v>20</v>
      </c>
      <c r="G1293" s="15" t="s">
        <v>7819</v>
      </c>
      <c r="H1293" s="15"/>
    </row>
    <row r="1294" spans="1:8" ht="45" x14ac:dyDescent="0.25">
      <c r="A1294" s="15" t="s">
        <v>7811</v>
      </c>
      <c r="B1294" s="15" t="s">
        <v>10070</v>
      </c>
      <c r="C1294" s="15" t="s">
        <v>10071</v>
      </c>
      <c r="D1294" s="15">
        <v>884</v>
      </c>
      <c r="E1294" s="15" t="s">
        <v>7818</v>
      </c>
      <c r="F1294" s="15">
        <v>80</v>
      </c>
      <c r="G1294" s="15" t="s">
        <v>7819</v>
      </c>
      <c r="H1294" s="15"/>
    </row>
    <row r="1295" spans="1:8" ht="255" x14ac:dyDescent="0.25">
      <c r="A1295" s="15" t="s">
        <v>7811</v>
      </c>
      <c r="B1295" s="15" t="s">
        <v>10072</v>
      </c>
      <c r="C1295" s="15" t="s">
        <v>10073</v>
      </c>
      <c r="D1295" s="15">
        <v>883</v>
      </c>
      <c r="E1295" s="15" t="s">
        <v>7814</v>
      </c>
      <c r="F1295" s="15">
        <v>5</v>
      </c>
      <c r="G1295" s="15" t="s">
        <v>10074</v>
      </c>
      <c r="H1295" s="15"/>
    </row>
    <row r="1296" spans="1:8" ht="105" x14ac:dyDescent="0.25">
      <c r="A1296" s="15" t="s">
        <v>7811</v>
      </c>
      <c r="B1296" s="15" t="s">
        <v>10075</v>
      </c>
      <c r="C1296" s="15" t="s">
        <v>10076</v>
      </c>
      <c r="D1296" s="15">
        <v>1544</v>
      </c>
      <c r="E1296" s="15" t="s">
        <v>10077</v>
      </c>
      <c r="F1296" s="15">
        <v>5</v>
      </c>
      <c r="G1296" s="15" t="s">
        <v>10078</v>
      </c>
      <c r="H1296" s="15"/>
    </row>
    <row r="1297" spans="1:8" ht="120" x14ac:dyDescent="0.25">
      <c r="A1297" s="15" t="s">
        <v>7811</v>
      </c>
      <c r="B1297" s="15" t="s">
        <v>10079</v>
      </c>
      <c r="C1297" s="15" t="s">
        <v>10080</v>
      </c>
      <c r="D1297" s="15">
        <v>1545</v>
      </c>
      <c r="E1297" s="15" t="s">
        <v>7814</v>
      </c>
      <c r="F1297" s="15">
        <v>5</v>
      </c>
      <c r="G1297" s="15" t="s">
        <v>10081</v>
      </c>
      <c r="H1297" s="15"/>
    </row>
    <row r="1298" spans="1:8" ht="150" x14ac:dyDescent="0.25">
      <c r="A1298" s="15" t="s">
        <v>7811</v>
      </c>
      <c r="B1298" s="15" t="s">
        <v>10082</v>
      </c>
      <c r="C1298" s="15" t="s">
        <v>10083</v>
      </c>
      <c r="D1298" s="15">
        <v>886</v>
      </c>
      <c r="E1298" s="15" t="s">
        <v>7814</v>
      </c>
      <c r="F1298" s="15">
        <v>5</v>
      </c>
      <c r="G1298" s="15" t="s">
        <v>10084</v>
      </c>
      <c r="H1298" s="15"/>
    </row>
    <row r="1299" spans="1:8" ht="45" x14ac:dyDescent="0.25">
      <c r="A1299" s="15" t="s">
        <v>7811</v>
      </c>
      <c r="B1299" s="15" t="s">
        <v>10085</v>
      </c>
      <c r="C1299" s="15" t="s">
        <v>10086</v>
      </c>
      <c r="D1299" s="15">
        <v>1091</v>
      </c>
      <c r="E1299" s="15" t="s">
        <v>7818</v>
      </c>
      <c r="F1299" s="15">
        <v>30</v>
      </c>
      <c r="G1299" s="15" t="s">
        <v>7819</v>
      </c>
      <c r="H1299" s="15"/>
    </row>
    <row r="1300" spans="1:8" ht="409.5" x14ac:dyDescent="0.25">
      <c r="A1300" s="15" t="s">
        <v>7811</v>
      </c>
      <c r="B1300" s="15" t="s">
        <v>10087</v>
      </c>
      <c r="C1300" s="15" t="s">
        <v>10088</v>
      </c>
      <c r="D1300" s="15">
        <v>1090</v>
      </c>
      <c r="E1300" s="15" t="s">
        <v>7814</v>
      </c>
      <c r="F1300" s="15">
        <v>5</v>
      </c>
      <c r="G1300" s="15" t="s">
        <v>10089</v>
      </c>
      <c r="H1300" s="15"/>
    </row>
    <row r="1301" spans="1:8" ht="150" x14ac:dyDescent="0.25">
      <c r="A1301" s="15" t="s">
        <v>7811</v>
      </c>
      <c r="B1301" s="15" t="s">
        <v>10090</v>
      </c>
      <c r="C1301" s="15" t="s">
        <v>10091</v>
      </c>
      <c r="D1301" s="15">
        <v>1092</v>
      </c>
      <c r="E1301" s="15" t="s">
        <v>7818</v>
      </c>
      <c r="F1301" s="15">
        <v>30</v>
      </c>
      <c r="G1301" s="15" t="s">
        <v>7819</v>
      </c>
      <c r="H1301" s="15"/>
    </row>
    <row r="1302" spans="1:8" ht="45" x14ac:dyDescent="0.25">
      <c r="A1302" s="15" t="s">
        <v>7811</v>
      </c>
      <c r="B1302" s="15" t="s">
        <v>10092</v>
      </c>
      <c r="C1302" s="15" t="s">
        <v>10093</v>
      </c>
      <c r="D1302" s="15">
        <v>575</v>
      </c>
      <c r="E1302" s="15" t="s">
        <v>7818</v>
      </c>
      <c r="F1302" s="15">
        <v>45</v>
      </c>
      <c r="G1302" s="15" t="s">
        <v>7819</v>
      </c>
      <c r="H1302" s="15"/>
    </row>
    <row r="1303" spans="1:8" ht="285" x14ac:dyDescent="0.25">
      <c r="A1303" s="15" t="s">
        <v>7811</v>
      </c>
      <c r="B1303" s="15" t="s">
        <v>10094</v>
      </c>
      <c r="C1303" s="15" t="s">
        <v>10095</v>
      </c>
      <c r="D1303" s="15">
        <v>925</v>
      </c>
      <c r="E1303" s="15" t="s">
        <v>7814</v>
      </c>
      <c r="F1303" s="15">
        <v>5</v>
      </c>
      <c r="G1303" s="15" t="s">
        <v>10096</v>
      </c>
      <c r="H1303" s="15"/>
    </row>
    <row r="1304" spans="1:8" ht="60" x14ac:dyDescent="0.25">
      <c r="A1304" s="15" t="s">
        <v>7811</v>
      </c>
      <c r="B1304" s="15" t="s">
        <v>10097</v>
      </c>
      <c r="C1304" s="15" t="s">
        <v>10098</v>
      </c>
      <c r="D1304" s="15">
        <v>950</v>
      </c>
      <c r="E1304" s="15" t="s">
        <v>7859</v>
      </c>
      <c r="F1304" s="15">
        <v>6</v>
      </c>
      <c r="G1304" s="15" t="s">
        <v>7819</v>
      </c>
      <c r="H1304" s="15"/>
    </row>
    <row r="1305" spans="1:8" ht="60" x14ac:dyDescent="0.25">
      <c r="A1305" s="15" t="s">
        <v>7811</v>
      </c>
      <c r="B1305" s="15" t="s">
        <v>10099</v>
      </c>
      <c r="C1305" s="15" t="s">
        <v>10100</v>
      </c>
      <c r="D1305" s="15">
        <v>722</v>
      </c>
      <c r="E1305" s="15" t="s">
        <v>7818</v>
      </c>
      <c r="F1305" s="15">
        <v>60</v>
      </c>
      <c r="G1305" s="15" t="s">
        <v>7819</v>
      </c>
      <c r="H1305" s="15"/>
    </row>
    <row r="1306" spans="1:8" ht="45" x14ac:dyDescent="0.25">
      <c r="A1306" s="15" t="s">
        <v>7811</v>
      </c>
      <c r="B1306" s="15" t="s">
        <v>10101</v>
      </c>
      <c r="C1306" s="15" t="s">
        <v>10102</v>
      </c>
      <c r="D1306" s="15">
        <v>346</v>
      </c>
      <c r="E1306" s="15" t="s">
        <v>7818</v>
      </c>
      <c r="F1306" s="15">
        <v>80</v>
      </c>
      <c r="G1306" s="15" t="s">
        <v>7819</v>
      </c>
      <c r="H1306" s="15"/>
    </row>
    <row r="1307" spans="1:8" ht="195" x14ac:dyDescent="0.25">
      <c r="A1307" s="15" t="s">
        <v>7811</v>
      </c>
      <c r="B1307" s="15" t="s">
        <v>10103</v>
      </c>
      <c r="C1307" s="15" t="s">
        <v>10104</v>
      </c>
      <c r="D1307" s="15">
        <v>810</v>
      </c>
      <c r="E1307" s="15" t="s">
        <v>7818</v>
      </c>
      <c r="F1307" s="15">
        <v>60</v>
      </c>
      <c r="G1307" s="15" t="s">
        <v>7819</v>
      </c>
      <c r="H1307" s="15"/>
    </row>
    <row r="1308" spans="1:8" ht="135" x14ac:dyDescent="0.25">
      <c r="A1308" s="15" t="s">
        <v>7811</v>
      </c>
      <c r="B1308" s="15" t="s">
        <v>10105</v>
      </c>
      <c r="C1308" s="15" t="s">
        <v>10106</v>
      </c>
      <c r="D1308" s="15">
        <v>1546</v>
      </c>
      <c r="E1308" s="15" t="s">
        <v>7814</v>
      </c>
      <c r="F1308" s="15">
        <v>5</v>
      </c>
      <c r="G1308" s="15" t="s">
        <v>10107</v>
      </c>
      <c r="H1308" s="15"/>
    </row>
    <row r="1309" spans="1:8" ht="120" x14ac:dyDescent="0.25">
      <c r="A1309" s="15" t="s">
        <v>7811</v>
      </c>
      <c r="B1309" s="15" t="s">
        <v>10105</v>
      </c>
      <c r="C1309" s="15" t="s">
        <v>10106</v>
      </c>
      <c r="D1309" s="15">
        <v>1546</v>
      </c>
      <c r="E1309" s="15" t="s">
        <v>7814</v>
      </c>
      <c r="F1309" s="15">
        <v>5</v>
      </c>
      <c r="G1309" s="15" t="s">
        <v>10081</v>
      </c>
      <c r="H1309" s="15"/>
    </row>
    <row r="1310" spans="1:8" ht="45" x14ac:dyDescent="0.25">
      <c r="A1310" s="15" t="s">
        <v>7811</v>
      </c>
      <c r="B1310" s="15" t="s">
        <v>10108</v>
      </c>
      <c r="C1310" s="15" t="s">
        <v>10109</v>
      </c>
      <c r="D1310" s="15">
        <v>452</v>
      </c>
      <c r="E1310" s="15" t="s">
        <v>7818</v>
      </c>
      <c r="F1310" s="15">
        <v>60</v>
      </c>
      <c r="G1310" s="15" t="s">
        <v>7819</v>
      </c>
      <c r="H1310" s="15"/>
    </row>
    <row r="1311" spans="1:8" ht="45" x14ac:dyDescent="0.25">
      <c r="A1311" s="15" t="s">
        <v>7811</v>
      </c>
      <c r="B1311" s="15" t="s">
        <v>10110</v>
      </c>
      <c r="C1311" s="15" t="s">
        <v>10111</v>
      </c>
      <c r="D1311" s="15">
        <v>837</v>
      </c>
      <c r="E1311" s="15" t="s">
        <v>7818</v>
      </c>
      <c r="F1311" s="15">
        <v>35</v>
      </c>
      <c r="G1311" s="15" t="s">
        <v>7819</v>
      </c>
      <c r="H1311" s="15"/>
    </row>
    <row r="1312" spans="1:8" ht="60" x14ac:dyDescent="0.25">
      <c r="A1312" s="15" t="s">
        <v>7811</v>
      </c>
      <c r="B1312" s="15" t="s">
        <v>5777</v>
      </c>
      <c r="C1312" s="15" t="s">
        <v>10112</v>
      </c>
      <c r="D1312" s="15">
        <v>1444</v>
      </c>
      <c r="E1312" s="15" t="s">
        <v>7877</v>
      </c>
      <c r="F1312" s="15">
        <v>1.2</v>
      </c>
      <c r="G1312" s="15" t="s">
        <v>7819</v>
      </c>
      <c r="H1312" s="15"/>
    </row>
    <row r="1313" spans="1:8" ht="120" x14ac:dyDescent="0.25">
      <c r="A1313" s="15" t="s">
        <v>7811</v>
      </c>
      <c r="B1313" s="15" t="s">
        <v>10113</v>
      </c>
      <c r="C1313" s="15" t="s">
        <v>10114</v>
      </c>
      <c r="D1313" s="15">
        <v>840</v>
      </c>
      <c r="E1313" s="15" t="s">
        <v>7814</v>
      </c>
      <c r="F1313" s="15">
        <v>5</v>
      </c>
      <c r="G1313" s="15" t="s">
        <v>7815</v>
      </c>
      <c r="H1313" s="15"/>
    </row>
    <row r="1314" spans="1:8" ht="409.5" x14ac:dyDescent="0.25">
      <c r="A1314" s="15" t="s">
        <v>7811</v>
      </c>
      <c r="B1314" s="15" t="s">
        <v>10115</v>
      </c>
      <c r="C1314" s="15" t="s">
        <v>10116</v>
      </c>
      <c r="D1314" s="15">
        <v>1168</v>
      </c>
      <c r="E1314" s="15" t="s">
        <v>7814</v>
      </c>
      <c r="F1314" s="15">
        <v>5</v>
      </c>
      <c r="G1314" s="15" t="s">
        <v>10117</v>
      </c>
      <c r="H1314" s="15"/>
    </row>
    <row r="1315" spans="1:8" ht="180" x14ac:dyDescent="0.25">
      <c r="A1315" s="15" t="s">
        <v>7811</v>
      </c>
      <c r="B1315" s="15" t="s">
        <v>10118</v>
      </c>
      <c r="C1315" s="15" t="s">
        <v>10119</v>
      </c>
      <c r="D1315" s="15">
        <v>931</v>
      </c>
      <c r="E1315" s="15" t="s">
        <v>7814</v>
      </c>
      <c r="F1315" s="15">
        <v>5</v>
      </c>
      <c r="G1315" s="15" t="s">
        <v>10120</v>
      </c>
      <c r="H1315" s="15"/>
    </row>
    <row r="1316" spans="1:8" ht="45" x14ac:dyDescent="0.25">
      <c r="A1316" s="15" t="s">
        <v>7811</v>
      </c>
      <c r="B1316" s="15" t="s">
        <v>10121</v>
      </c>
      <c r="C1316" s="15" t="s">
        <v>10122</v>
      </c>
      <c r="D1316" s="15">
        <v>512</v>
      </c>
      <c r="E1316" s="15" t="s">
        <v>7818</v>
      </c>
      <c r="F1316" s="15">
        <v>80</v>
      </c>
      <c r="G1316" s="15" t="s">
        <v>7819</v>
      </c>
      <c r="H1316" s="15"/>
    </row>
    <row r="1317" spans="1:8" ht="45" x14ac:dyDescent="0.25">
      <c r="A1317" s="15" t="s">
        <v>7811</v>
      </c>
      <c r="B1317" s="15" t="s">
        <v>10123</v>
      </c>
      <c r="C1317" s="15" t="s">
        <v>10124</v>
      </c>
      <c r="D1317" s="15">
        <v>409</v>
      </c>
      <c r="E1317" s="15" t="s">
        <v>7818</v>
      </c>
      <c r="F1317" s="15">
        <v>35</v>
      </c>
      <c r="G1317" s="15" t="s">
        <v>7819</v>
      </c>
      <c r="H1317" s="15"/>
    </row>
    <row r="1318" spans="1:8" ht="45" x14ac:dyDescent="0.25">
      <c r="A1318" s="15" t="s">
        <v>7811</v>
      </c>
      <c r="B1318" s="15" t="s">
        <v>10125</v>
      </c>
      <c r="C1318" s="15" t="s">
        <v>10126</v>
      </c>
      <c r="D1318" s="15">
        <v>858</v>
      </c>
      <c r="E1318" s="15" t="s">
        <v>7818</v>
      </c>
      <c r="F1318" s="15">
        <v>60</v>
      </c>
      <c r="G1318" s="15" t="s">
        <v>7819</v>
      </c>
      <c r="H1318" s="15"/>
    </row>
    <row r="1319" spans="1:8" ht="45" x14ac:dyDescent="0.25">
      <c r="A1319" s="15" t="s">
        <v>7811</v>
      </c>
      <c r="B1319" s="15" t="s">
        <v>10127</v>
      </c>
      <c r="C1319" s="15" t="s">
        <v>10128</v>
      </c>
      <c r="D1319" s="15">
        <v>1541</v>
      </c>
      <c r="E1319" s="15" t="s">
        <v>7818</v>
      </c>
      <c r="F1319" s="15">
        <v>80</v>
      </c>
      <c r="G1319" s="15" t="s">
        <v>7819</v>
      </c>
      <c r="H1319" s="15"/>
    </row>
    <row r="1320" spans="1:8" ht="180" x14ac:dyDescent="0.25">
      <c r="A1320" s="15" t="s">
        <v>7811</v>
      </c>
      <c r="B1320" s="15" t="s">
        <v>10129</v>
      </c>
      <c r="C1320" s="15" t="s">
        <v>10130</v>
      </c>
      <c r="D1320" s="15">
        <v>1542</v>
      </c>
      <c r="E1320" s="15" t="s">
        <v>7814</v>
      </c>
      <c r="F1320" s="15">
        <v>5</v>
      </c>
      <c r="G1320" s="15" t="s">
        <v>9097</v>
      </c>
      <c r="H1320" s="15"/>
    </row>
    <row r="1321" spans="1:8" ht="60" x14ac:dyDescent="0.25">
      <c r="A1321" s="15" t="s">
        <v>7811</v>
      </c>
      <c r="B1321" s="15" t="s">
        <v>10131</v>
      </c>
      <c r="C1321" s="15" t="s">
        <v>10132</v>
      </c>
      <c r="D1321" s="15">
        <v>1547</v>
      </c>
      <c r="E1321" s="15" t="s">
        <v>7814</v>
      </c>
      <c r="F1321" s="15">
        <v>5</v>
      </c>
      <c r="G1321" s="15" t="s">
        <v>10133</v>
      </c>
      <c r="H1321" s="15"/>
    </row>
    <row r="1322" spans="1:8" ht="165" x14ac:dyDescent="0.25">
      <c r="A1322" s="15" t="s">
        <v>7811</v>
      </c>
      <c r="B1322" s="15" t="s">
        <v>10134</v>
      </c>
      <c r="C1322" s="15" t="s">
        <v>10135</v>
      </c>
      <c r="D1322" s="15">
        <v>190</v>
      </c>
      <c r="E1322" s="15" t="s">
        <v>7814</v>
      </c>
      <c r="F1322" s="15">
        <v>5</v>
      </c>
      <c r="G1322" s="15" t="s">
        <v>10136</v>
      </c>
      <c r="H1322" s="15"/>
    </row>
    <row r="1323" spans="1:8" ht="45" x14ac:dyDescent="0.25">
      <c r="A1323" s="15" t="s">
        <v>7811</v>
      </c>
      <c r="B1323" s="15" t="s">
        <v>10137</v>
      </c>
      <c r="C1323" s="15" t="s">
        <v>10138</v>
      </c>
      <c r="D1323" s="15">
        <v>191</v>
      </c>
      <c r="E1323" s="15" t="s">
        <v>7838</v>
      </c>
      <c r="F1323" s="15">
        <v>4</v>
      </c>
      <c r="G1323" s="15" t="s">
        <v>7819</v>
      </c>
      <c r="H1323" s="15"/>
    </row>
    <row r="1324" spans="1:8" ht="45" x14ac:dyDescent="0.25">
      <c r="A1324" s="15" t="s">
        <v>7811</v>
      </c>
      <c r="B1324" s="15" t="s">
        <v>10139</v>
      </c>
      <c r="C1324" s="15" t="s">
        <v>10140</v>
      </c>
      <c r="D1324" s="15">
        <v>1466</v>
      </c>
      <c r="E1324" s="15" t="s">
        <v>7838</v>
      </c>
      <c r="F1324" s="15">
        <v>8</v>
      </c>
      <c r="G1324" s="15" t="s">
        <v>7819</v>
      </c>
      <c r="H1324" s="15"/>
    </row>
    <row r="1325" spans="1:8" ht="45" x14ac:dyDescent="0.25">
      <c r="A1325" s="15" t="s">
        <v>7811</v>
      </c>
      <c r="B1325" s="15" t="s">
        <v>10141</v>
      </c>
      <c r="C1325" s="15" t="s">
        <v>10142</v>
      </c>
      <c r="D1325" s="15">
        <v>1467</v>
      </c>
      <c r="E1325" s="15" t="s">
        <v>7859</v>
      </c>
      <c r="F1325" s="15">
        <v>5</v>
      </c>
      <c r="G1325" s="15" t="s">
        <v>7819</v>
      </c>
      <c r="H1325" s="15"/>
    </row>
    <row r="1326" spans="1:8" ht="409.5" x14ac:dyDescent="0.25">
      <c r="A1326" s="15" t="s">
        <v>7811</v>
      </c>
      <c r="B1326" s="15" t="s">
        <v>10143</v>
      </c>
      <c r="C1326" s="15" t="s">
        <v>10144</v>
      </c>
      <c r="D1326" s="15">
        <v>268</v>
      </c>
      <c r="E1326" s="15" t="s">
        <v>7814</v>
      </c>
      <c r="F1326" s="15">
        <v>5</v>
      </c>
      <c r="G1326" s="15" t="s">
        <v>10145</v>
      </c>
      <c r="H1326" s="15"/>
    </row>
    <row r="1327" spans="1:8" ht="165" x14ac:dyDescent="0.25">
      <c r="A1327" s="15" t="s">
        <v>7811</v>
      </c>
      <c r="B1327" s="15" t="s">
        <v>10146</v>
      </c>
      <c r="C1327" s="15" t="s">
        <v>10147</v>
      </c>
      <c r="D1327" s="15">
        <v>1281</v>
      </c>
      <c r="E1327" s="15" t="s">
        <v>7814</v>
      </c>
      <c r="F1327" s="15">
        <v>5</v>
      </c>
      <c r="G1327" s="15" t="s">
        <v>10148</v>
      </c>
      <c r="H1327" s="15"/>
    </row>
    <row r="1328" spans="1:8" ht="60" x14ac:dyDescent="0.25">
      <c r="A1328" s="15" t="s">
        <v>7811</v>
      </c>
      <c r="B1328" s="15" t="s">
        <v>10149</v>
      </c>
      <c r="C1328" s="15" t="s">
        <v>10150</v>
      </c>
      <c r="D1328" s="15">
        <v>270</v>
      </c>
      <c r="E1328" s="15" t="s">
        <v>7814</v>
      </c>
      <c r="F1328" s="15">
        <v>5</v>
      </c>
      <c r="G1328" s="15" t="s">
        <v>7815</v>
      </c>
      <c r="H1328" s="15"/>
    </row>
    <row r="1329" spans="1:8" ht="75" x14ac:dyDescent="0.25">
      <c r="A1329" s="15" t="s">
        <v>7811</v>
      </c>
      <c r="B1329" s="15" t="s">
        <v>10149</v>
      </c>
      <c r="C1329" s="15" t="s">
        <v>10150</v>
      </c>
      <c r="D1329" s="15">
        <v>270</v>
      </c>
      <c r="E1329" s="15" t="s">
        <v>7814</v>
      </c>
      <c r="F1329" s="15">
        <v>5</v>
      </c>
      <c r="G1329" s="15" t="s">
        <v>8104</v>
      </c>
      <c r="H1329" s="15"/>
    </row>
    <row r="1330" spans="1:8" ht="255" x14ac:dyDescent="0.25">
      <c r="A1330" s="15" t="s">
        <v>7811</v>
      </c>
      <c r="B1330" s="15" t="s">
        <v>10151</v>
      </c>
      <c r="C1330" s="15" t="s">
        <v>10152</v>
      </c>
      <c r="D1330" s="15">
        <v>907</v>
      </c>
      <c r="E1330" s="15" t="s">
        <v>7814</v>
      </c>
      <c r="F1330" s="15">
        <v>5</v>
      </c>
      <c r="G1330" s="15" t="s">
        <v>10153</v>
      </c>
      <c r="H1330" s="15"/>
    </row>
    <row r="1331" spans="1:8" ht="45" x14ac:dyDescent="0.25">
      <c r="A1331" s="15" t="s">
        <v>7811</v>
      </c>
      <c r="B1331" s="15" t="s">
        <v>10154</v>
      </c>
      <c r="C1331" s="15" t="s">
        <v>10155</v>
      </c>
      <c r="D1331" s="15">
        <v>908</v>
      </c>
      <c r="E1331" s="15" t="s">
        <v>7818</v>
      </c>
      <c r="F1331" s="15">
        <v>60</v>
      </c>
      <c r="G1331" s="15" t="s">
        <v>7819</v>
      </c>
      <c r="H1331" s="15"/>
    </row>
    <row r="1332" spans="1:8" ht="120" x14ac:dyDescent="0.25">
      <c r="A1332" s="15" t="s">
        <v>7811</v>
      </c>
      <c r="B1332" s="15" t="s">
        <v>10156</v>
      </c>
      <c r="C1332" s="15" t="s">
        <v>10157</v>
      </c>
      <c r="D1332" s="15">
        <v>720</v>
      </c>
      <c r="E1332" s="15" t="s">
        <v>7814</v>
      </c>
      <c r="F1332" s="15">
        <v>5</v>
      </c>
      <c r="G1332" s="15" t="s">
        <v>10158</v>
      </c>
      <c r="H1332" s="15"/>
    </row>
    <row r="1333" spans="1:8" ht="45" x14ac:dyDescent="0.25">
      <c r="A1333" s="15" t="s">
        <v>7811</v>
      </c>
      <c r="B1333" s="15" t="s">
        <v>10159</v>
      </c>
      <c r="C1333" s="15" t="s">
        <v>10160</v>
      </c>
      <c r="D1333" s="15">
        <v>1136</v>
      </c>
      <c r="E1333" s="15" t="s">
        <v>7818</v>
      </c>
      <c r="F1333" s="15">
        <v>30</v>
      </c>
      <c r="G1333" s="15" t="s">
        <v>7819</v>
      </c>
      <c r="H1333" s="15"/>
    </row>
    <row r="1334" spans="1:8" ht="45" x14ac:dyDescent="0.25">
      <c r="A1334" s="15" t="s">
        <v>7811</v>
      </c>
      <c r="B1334" s="15" t="s">
        <v>10161</v>
      </c>
      <c r="C1334" s="15" t="s">
        <v>10162</v>
      </c>
      <c r="D1334" s="15">
        <v>1133</v>
      </c>
      <c r="E1334" s="15" t="s">
        <v>7818</v>
      </c>
      <c r="F1334" s="15">
        <v>30</v>
      </c>
      <c r="G1334" s="15" t="s">
        <v>7819</v>
      </c>
      <c r="H1334" s="15"/>
    </row>
    <row r="1335" spans="1:8" ht="105" x14ac:dyDescent="0.25">
      <c r="A1335" s="15" t="s">
        <v>7811</v>
      </c>
      <c r="B1335" s="15" t="s">
        <v>10163</v>
      </c>
      <c r="C1335" s="15" t="s">
        <v>10164</v>
      </c>
      <c r="D1335" s="15">
        <v>993</v>
      </c>
      <c r="E1335" s="15" t="s">
        <v>7814</v>
      </c>
      <c r="F1335" s="15">
        <v>5</v>
      </c>
      <c r="G1335" s="15" t="s">
        <v>10165</v>
      </c>
      <c r="H1335" s="15"/>
    </row>
    <row r="1336" spans="1:8" ht="60" x14ac:dyDescent="0.25">
      <c r="A1336" s="15" t="s">
        <v>7811</v>
      </c>
      <c r="B1336" s="15" t="s">
        <v>10166</v>
      </c>
      <c r="C1336" s="15" t="s">
        <v>10167</v>
      </c>
      <c r="D1336" s="15">
        <v>271</v>
      </c>
      <c r="E1336" s="15" t="s">
        <v>7818</v>
      </c>
      <c r="F1336" s="15">
        <v>45</v>
      </c>
      <c r="G1336" s="15" t="s">
        <v>7819</v>
      </c>
      <c r="H1336" s="15"/>
    </row>
    <row r="1337" spans="1:8" ht="60" x14ac:dyDescent="0.25">
      <c r="A1337" s="15" t="s">
        <v>7811</v>
      </c>
      <c r="B1337" s="15" t="s">
        <v>10168</v>
      </c>
      <c r="C1337" s="15" t="s">
        <v>10169</v>
      </c>
      <c r="D1337" s="15">
        <v>1428</v>
      </c>
      <c r="E1337" s="15" t="s">
        <v>7814</v>
      </c>
      <c r="F1337" s="15">
        <v>5</v>
      </c>
      <c r="G1337" s="15" t="s">
        <v>7815</v>
      </c>
      <c r="H1337" s="15"/>
    </row>
    <row r="1338" spans="1:8" ht="60" x14ac:dyDescent="0.25">
      <c r="A1338" s="15" t="s">
        <v>7811</v>
      </c>
      <c r="B1338" s="15" t="s">
        <v>10170</v>
      </c>
      <c r="C1338" s="15" t="s">
        <v>10171</v>
      </c>
      <c r="D1338" s="15">
        <v>621</v>
      </c>
      <c r="E1338" s="15" t="s">
        <v>7814</v>
      </c>
      <c r="F1338" s="15">
        <v>5</v>
      </c>
      <c r="G1338" s="15" t="s">
        <v>10172</v>
      </c>
      <c r="H1338" s="15"/>
    </row>
    <row r="1339" spans="1:8" ht="60" x14ac:dyDescent="0.25">
      <c r="A1339" s="15" t="s">
        <v>7811</v>
      </c>
      <c r="B1339" s="15" t="s">
        <v>10173</v>
      </c>
      <c r="C1339" s="15" t="s">
        <v>10174</v>
      </c>
      <c r="D1339" s="15">
        <v>1844</v>
      </c>
      <c r="E1339" s="15" t="s">
        <v>7818</v>
      </c>
      <c r="F1339" s="15">
        <v>30</v>
      </c>
      <c r="G1339" s="15" t="s">
        <v>7819</v>
      </c>
      <c r="H1339" s="15"/>
    </row>
    <row r="1340" spans="1:8" ht="75" x14ac:dyDescent="0.25">
      <c r="A1340" s="15" t="s">
        <v>7811</v>
      </c>
      <c r="B1340" s="15" t="s">
        <v>10175</v>
      </c>
      <c r="C1340" s="15" t="s">
        <v>10176</v>
      </c>
      <c r="D1340" s="15">
        <v>628</v>
      </c>
      <c r="E1340" s="15" t="s">
        <v>7814</v>
      </c>
      <c r="F1340" s="15">
        <v>5</v>
      </c>
      <c r="G1340" s="15" t="s">
        <v>10177</v>
      </c>
      <c r="H1340" s="15"/>
    </row>
    <row r="1341" spans="1:8" ht="45" x14ac:dyDescent="0.25">
      <c r="A1341" s="15" t="s">
        <v>7811</v>
      </c>
      <c r="B1341" s="15" t="s">
        <v>10178</v>
      </c>
      <c r="C1341" s="15" t="s">
        <v>10179</v>
      </c>
      <c r="D1341" s="15">
        <v>1846</v>
      </c>
      <c r="E1341" s="15" t="s">
        <v>7818</v>
      </c>
      <c r="F1341" s="15">
        <v>200</v>
      </c>
      <c r="G1341" s="15" t="s">
        <v>7819</v>
      </c>
      <c r="H1341" s="15"/>
    </row>
    <row r="1342" spans="1:8" ht="210" x14ac:dyDescent="0.25">
      <c r="A1342" s="15" t="s">
        <v>7811</v>
      </c>
      <c r="B1342" s="15" t="s">
        <v>10180</v>
      </c>
      <c r="C1342" s="15" t="s">
        <v>10181</v>
      </c>
      <c r="D1342" s="15">
        <v>936</v>
      </c>
      <c r="E1342" s="15" t="s">
        <v>7814</v>
      </c>
      <c r="F1342" s="15">
        <v>5</v>
      </c>
      <c r="G1342" s="15" t="s">
        <v>10182</v>
      </c>
      <c r="H1342" s="15"/>
    </row>
    <row r="1343" spans="1:8" ht="180" x14ac:dyDescent="0.25">
      <c r="A1343" s="15" t="s">
        <v>7811</v>
      </c>
      <c r="B1343" s="15" t="s">
        <v>10183</v>
      </c>
      <c r="C1343" s="15" t="s">
        <v>10184</v>
      </c>
      <c r="D1343" s="15">
        <v>719</v>
      </c>
      <c r="E1343" s="15" t="s">
        <v>7814</v>
      </c>
      <c r="F1343" s="15">
        <v>5</v>
      </c>
      <c r="G1343" s="15" t="s">
        <v>10185</v>
      </c>
      <c r="H1343" s="15"/>
    </row>
    <row r="1344" spans="1:8" ht="90" x14ac:dyDescent="0.25">
      <c r="A1344" s="15" t="s">
        <v>7811</v>
      </c>
      <c r="B1344" s="15" t="s">
        <v>10186</v>
      </c>
      <c r="C1344" s="15" t="s">
        <v>10187</v>
      </c>
      <c r="D1344" s="15">
        <v>750</v>
      </c>
      <c r="E1344" s="15" t="s">
        <v>7818</v>
      </c>
      <c r="F1344" s="15">
        <v>80</v>
      </c>
      <c r="G1344" s="15" t="s">
        <v>7819</v>
      </c>
      <c r="H1344" s="15"/>
    </row>
    <row r="1345" spans="1:8" ht="75" x14ac:dyDescent="0.25">
      <c r="A1345" s="15" t="s">
        <v>7811</v>
      </c>
      <c r="B1345" s="15" t="s">
        <v>10188</v>
      </c>
      <c r="C1345" s="15" t="s">
        <v>10189</v>
      </c>
      <c r="D1345" s="15">
        <v>486</v>
      </c>
      <c r="E1345" s="15" t="s">
        <v>7814</v>
      </c>
      <c r="F1345" s="15">
        <v>5</v>
      </c>
      <c r="G1345" s="15" t="s">
        <v>10190</v>
      </c>
      <c r="H1345" s="15"/>
    </row>
    <row r="1346" spans="1:8" ht="75" x14ac:dyDescent="0.25">
      <c r="A1346" s="15" t="s">
        <v>7811</v>
      </c>
      <c r="B1346" s="15" t="s">
        <v>10191</v>
      </c>
      <c r="C1346" s="15" t="s">
        <v>10192</v>
      </c>
      <c r="D1346" s="15">
        <v>1303</v>
      </c>
      <c r="E1346" s="15" t="s">
        <v>7814</v>
      </c>
      <c r="F1346" s="15">
        <v>5</v>
      </c>
      <c r="G1346" s="15" t="s">
        <v>10193</v>
      </c>
      <c r="H1346" s="15"/>
    </row>
    <row r="1347" spans="1:8" ht="409.5" x14ac:dyDescent="0.25">
      <c r="A1347" s="15" t="s">
        <v>7811</v>
      </c>
      <c r="B1347" s="15" t="s">
        <v>10194</v>
      </c>
      <c r="C1347" s="15" t="s">
        <v>10195</v>
      </c>
      <c r="D1347" s="15">
        <v>499</v>
      </c>
      <c r="E1347" s="15" t="s">
        <v>7814</v>
      </c>
      <c r="F1347" s="15">
        <v>5</v>
      </c>
      <c r="G1347" s="15" t="s">
        <v>10196</v>
      </c>
      <c r="H1347" s="15"/>
    </row>
    <row r="1348" spans="1:8" ht="45" x14ac:dyDescent="0.25">
      <c r="A1348" s="15" t="s">
        <v>7811</v>
      </c>
      <c r="B1348" s="15" t="s">
        <v>10197</v>
      </c>
      <c r="C1348" s="15" t="s">
        <v>10198</v>
      </c>
      <c r="D1348" s="15">
        <v>1111</v>
      </c>
      <c r="E1348" s="15" t="s">
        <v>7838</v>
      </c>
      <c r="F1348" s="15">
        <v>8</v>
      </c>
      <c r="G1348" s="15" t="s">
        <v>7819</v>
      </c>
      <c r="H1348" s="15"/>
    </row>
    <row r="1349" spans="1:8" ht="45" x14ac:dyDescent="0.25">
      <c r="A1349" s="15" t="s">
        <v>7811</v>
      </c>
      <c r="B1349" s="15" t="s">
        <v>10199</v>
      </c>
      <c r="C1349" s="15" t="s">
        <v>10200</v>
      </c>
      <c r="D1349" s="15">
        <v>910</v>
      </c>
      <c r="E1349" s="15" t="s">
        <v>7818</v>
      </c>
      <c r="F1349" s="15">
        <v>30</v>
      </c>
      <c r="G1349" s="15" t="s">
        <v>7819</v>
      </c>
      <c r="H1349" s="15"/>
    </row>
    <row r="1350" spans="1:8" ht="225" x14ac:dyDescent="0.25">
      <c r="A1350" s="15" t="s">
        <v>7811</v>
      </c>
      <c r="B1350" s="15" t="s">
        <v>10201</v>
      </c>
      <c r="C1350" s="15" t="s">
        <v>10202</v>
      </c>
      <c r="D1350" s="15">
        <v>909</v>
      </c>
      <c r="E1350" s="15" t="s">
        <v>7814</v>
      </c>
      <c r="F1350" s="15">
        <v>5</v>
      </c>
      <c r="G1350" s="15" t="s">
        <v>10203</v>
      </c>
      <c r="H1350" s="15"/>
    </row>
    <row r="1351" spans="1:8" ht="270" x14ac:dyDescent="0.25">
      <c r="A1351" s="15" t="s">
        <v>7811</v>
      </c>
      <c r="B1351" s="15" t="s">
        <v>10204</v>
      </c>
      <c r="C1351" s="15" t="s">
        <v>10205</v>
      </c>
      <c r="D1351" s="15">
        <v>1024</v>
      </c>
      <c r="E1351" s="15" t="s">
        <v>7814</v>
      </c>
      <c r="F1351" s="15">
        <v>5</v>
      </c>
      <c r="G1351" s="15" t="s">
        <v>10206</v>
      </c>
      <c r="H1351" s="15"/>
    </row>
    <row r="1352" spans="1:8" ht="180" x14ac:dyDescent="0.25">
      <c r="A1352" s="15" t="s">
        <v>7811</v>
      </c>
      <c r="B1352" s="15" t="s">
        <v>10207</v>
      </c>
      <c r="C1352" s="15" t="s">
        <v>10208</v>
      </c>
      <c r="D1352" s="15">
        <v>278</v>
      </c>
      <c r="E1352" s="15" t="s">
        <v>7814</v>
      </c>
      <c r="F1352" s="15">
        <v>5</v>
      </c>
      <c r="G1352" s="15" t="s">
        <v>10209</v>
      </c>
      <c r="H1352" s="15"/>
    </row>
    <row r="1353" spans="1:8" ht="409.5" x14ac:dyDescent="0.25">
      <c r="A1353" s="15" t="s">
        <v>7811</v>
      </c>
      <c r="B1353" s="15" t="s">
        <v>10210</v>
      </c>
      <c r="C1353" s="15" t="s">
        <v>10211</v>
      </c>
      <c r="D1353" s="15">
        <v>436</v>
      </c>
      <c r="E1353" s="15" t="s">
        <v>7814</v>
      </c>
      <c r="F1353" s="15">
        <v>5</v>
      </c>
      <c r="G1353" s="15" t="s">
        <v>10212</v>
      </c>
      <c r="H1353" s="15"/>
    </row>
    <row r="1354" spans="1:8" ht="409.5" x14ac:dyDescent="0.25">
      <c r="A1354" s="15" t="s">
        <v>7811</v>
      </c>
      <c r="B1354" s="15" t="s">
        <v>10213</v>
      </c>
      <c r="C1354" s="15" t="s">
        <v>10214</v>
      </c>
      <c r="D1354" s="15">
        <v>421</v>
      </c>
      <c r="E1354" s="15" t="s">
        <v>7814</v>
      </c>
      <c r="F1354" s="15">
        <v>5</v>
      </c>
      <c r="G1354" s="15" t="s">
        <v>10212</v>
      </c>
      <c r="H1354" s="15"/>
    </row>
    <row r="1355" spans="1:8" ht="255" x14ac:dyDescent="0.25">
      <c r="A1355" s="15" t="s">
        <v>7811</v>
      </c>
      <c r="B1355" s="15" t="s">
        <v>10215</v>
      </c>
      <c r="C1355" s="15" t="s">
        <v>10216</v>
      </c>
      <c r="D1355" s="15">
        <v>1162</v>
      </c>
      <c r="E1355" s="15" t="s">
        <v>7814</v>
      </c>
      <c r="F1355" s="15">
        <v>5</v>
      </c>
      <c r="G1355" s="15" t="s">
        <v>9517</v>
      </c>
      <c r="H1355" s="15"/>
    </row>
    <row r="1356" spans="1:8" ht="345" x14ac:dyDescent="0.25">
      <c r="A1356" s="15" t="s">
        <v>7811</v>
      </c>
      <c r="B1356" s="15" t="s">
        <v>10217</v>
      </c>
      <c r="C1356" s="15" t="s">
        <v>10218</v>
      </c>
      <c r="D1356" s="15">
        <v>1085</v>
      </c>
      <c r="E1356" s="15" t="s">
        <v>7814</v>
      </c>
      <c r="F1356" s="15">
        <v>5</v>
      </c>
      <c r="G1356" s="15" t="s">
        <v>10219</v>
      </c>
      <c r="H1356" s="15"/>
    </row>
    <row r="1357" spans="1:8" ht="120" x14ac:dyDescent="0.25">
      <c r="A1357" s="15" t="s">
        <v>7811</v>
      </c>
      <c r="B1357" s="15" t="s">
        <v>10220</v>
      </c>
      <c r="C1357" s="15" t="s">
        <v>10221</v>
      </c>
      <c r="D1357" s="15">
        <v>1087</v>
      </c>
      <c r="E1357" s="15" t="s">
        <v>7814</v>
      </c>
      <c r="F1357" s="15">
        <v>5</v>
      </c>
      <c r="G1357" s="15" t="s">
        <v>10222</v>
      </c>
      <c r="H1357" s="15"/>
    </row>
    <row r="1358" spans="1:8" ht="135" x14ac:dyDescent="0.25">
      <c r="A1358" s="15" t="s">
        <v>7811</v>
      </c>
      <c r="B1358" s="15" t="s">
        <v>10223</v>
      </c>
      <c r="C1358" s="15" t="s">
        <v>10224</v>
      </c>
      <c r="D1358" s="15">
        <v>1086</v>
      </c>
      <c r="E1358" s="15" t="s">
        <v>7814</v>
      </c>
      <c r="F1358" s="15">
        <v>5</v>
      </c>
      <c r="G1358" s="15" t="s">
        <v>10225</v>
      </c>
      <c r="H1358" s="15"/>
    </row>
    <row r="1359" spans="1:8" ht="60" x14ac:dyDescent="0.25">
      <c r="A1359" s="15" t="s">
        <v>7811</v>
      </c>
      <c r="B1359" s="15" t="s">
        <v>10226</v>
      </c>
      <c r="C1359" s="15" t="s">
        <v>10227</v>
      </c>
      <c r="D1359" s="15">
        <v>1417</v>
      </c>
      <c r="E1359" s="15" t="s">
        <v>7814</v>
      </c>
      <c r="F1359" s="15">
        <v>5</v>
      </c>
      <c r="G1359" s="15" t="s">
        <v>7815</v>
      </c>
      <c r="H1359" s="15"/>
    </row>
    <row r="1360" spans="1:8" ht="120" x14ac:dyDescent="0.25">
      <c r="A1360" s="15" t="s">
        <v>7811</v>
      </c>
      <c r="B1360" s="15" t="s">
        <v>10228</v>
      </c>
      <c r="C1360" s="15" t="s">
        <v>10229</v>
      </c>
      <c r="D1360" s="15">
        <v>893</v>
      </c>
      <c r="E1360" s="15" t="s">
        <v>7814</v>
      </c>
      <c r="F1360" s="15">
        <v>5</v>
      </c>
      <c r="G1360" s="15" t="s">
        <v>10230</v>
      </c>
      <c r="H1360" s="15"/>
    </row>
    <row r="1361" spans="1:8" ht="75" x14ac:dyDescent="0.25">
      <c r="A1361" s="15" t="s">
        <v>7811</v>
      </c>
      <c r="B1361" s="15" t="s">
        <v>10231</v>
      </c>
      <c r="C1361" s="15" t="s">
        <v>10232</v>
      </c>
      <c r="D1361" s="15">
        <v>281</v>
      </c>
      <c r="E1361" s="15" t="s">
        <v>7818</v>
      </c>
      <c r="F1361" s="15">
        <v>60</v>
      </c>
      <c r="G1361" s="15" t="s">
        <v>7819</v>
      </c>
      <c r="H1361" s="15"/>
    </row>
    <row r="1362" spans="1:8" ht="45" x14ac:dyDescent="0.25">
      <c r="A1362" s="15" t="s">
        <v>7811</v>
      </c>
      <c r="B1362" s="15" t="s">
        <v>10233</v>
      </c>
      <c r="C1362" s="15" t="s">
        <v>10234</v>
      </c>
      <c r="D1362" s="15">
        <v>472</v>
      </c>
      <c r="E1362" s="15" t="s">
        <v>7838</v>
      </c>
      <c r="F1362" s="15">
        <v>8</v>
      </c>
      <c r="G1362" s="15" t="s">
        <v>7819</v>
      </c>
      <c r="H1362" s="15"/>
    </row>
    <row r="1363" spans="1:8" ht="240" x14ac:dyDescent="0.25">
      <c r="A1363" s="15" t="s">
        <v>7811</v>
      </c>
      <c r="B1363" s="15" t="s">
        <v>10235</v>
      </c>
      <c r="C1363" s="15" t="s">
        <v>10236</v>
      </c>
      <c r="D1363" s="15">
        <v>774</v>
      </c>
      <c r="E1363" s="15" t="s">
        <v>7814</v>
      </c>
      <c r="F1363" s="15">
        <v>5</v>
      </c>
      <c r="G1363" s="15" t="s">
        <v>10014</v>
      </c>
      <c r="H1363" s="15"/>
    </row>
    <row r="1364" spans="1:8" ht="135" x14ac:dyDescent="0.25">
      <c r="A1364" s="15" t="s">
        <v>7811</v>
      </c>
      <c r="B1364" s="15" t="s">
        <v>10237</v>
      </c>
      <c r="C1364" s="15" t="s">
        <v>10238</v>
      </c>
      <c r="D1364" s="15">
        <v>1141</v>
      </c>
      <c r="E1364" s="15" t="s">
        <v>7814</v>
      </c>
      <c r="F1364" s="15">
        <v>5</v>
      </c>
      <c r="G1364" s="15" t="s">
        <v>10239</v>
      </c>
      <c r="H1364" s="15"/>
    </row>
    <row r="1365" spans="1:8" ht="90" x14ac:dyDescent="0.25">
      <c r="A1365" s="15" t="s">
        <v>7811</v>
      </c>
      <c r="B1365" s="15" t="s">
        <v>10240</v>
      </c>
      <c r="C1365" s="15" t="s">
        <v>10241</v>
      </c>
      <c r="D1365" s="15">
        <v>1304</v>
      </c>
      <c r="E1365" s="15" t="s">
        <v>7814</v>
      </c>
      <c r="F1365" s="15">
        <v>5</v>
      </c>
      <c r="G1365" s="15" t="s">
        <v>10242</v>
      </c>
      <c r="H1365" s="15"/>
    </row>
    <row r="1366" spans="1:8" ht="105" x14ac:dyDescent="0.25">
      <c r="A1366" s="15" t="s">
        <v>7811</v>
      </c>
      <c r="B1366" s="15" t="s">
        <v>10243</v>
      </c>
      <c r="C1366" s="15" t="s">
        <v>10244</v>
      </c>
      <c r="D1366" s="15">
        <v>1305</v>
      </c>
      <c r="E1366" s="15" t="s">
        <v>7814</v>
      </c>
      <c r="F1366" s="15">
        <v>5</v>
      </c>
      <c r="G1366" s="15" t="s">
        <v>10245</v>
      </c>
      <c r="H1366" s="15"/>
    </row>
    <row r="1367" spans="1:8" ht="105" x14ac:dyDescent="0.25">
      <c r="A1367" s="15" t="s">
        <v>7811</v>
      </c>
      <c r="B1367" s="15" t="s">
        <v>10246</v>
      </c>
      <c r="C1367" s="15" t="s">
        <v>10247</v>
      </c>
      <c r="D1367" s="15">
        <v>831</v>
      </c>
      <c r="E1367" s="15" t="s">
        <v>7818</v>
      </c>
      <c r="F1367" s="15">
        <v>45</v>
      </c>
      <c r="G1367" s="15" t="s">
        <v>7819</v>
      </c>
      <c r="H1367" s="15"/>
    </row>
    <row r="1368" spans="1:8" ht="195" x14ac:dyDescent="0.25">
      <c r="A1368" s="15" t="s">
        <v>7811</v>
      </c>
      <c r="B1368" s="15" t="s">
        <v>10248</v>
      </c>
      <c r="C1368" s="15" t="s">
        <v>10249</v>
      </c>
      <c r="D1368" s="15">
        <v>1882</v>
      </c>
      <c r="E1368" s="15" t="s">
        <v>7877</v>
      </c>
      <c r="F1368" s="15">
        <v>1.2</v>
      </c>
      <c r="G1368" s="15" t="s">
        <v>7819</v>
      </c>
      <c r="H1368" s="15"/>
    </row>
    <row r="1369" spans="1:8" ht="90" x14ac:dyDescent="0.25">
      <c r="A1369" s="15" t="s">
        <v>7811</v>
      </c>
      <c r="B1369" s="15" t="s">
        <v>10250</v>
      </c>
      <c r="C1369" s="15" t="s">
        <v>10251</v>
      </c>
      <c r="D1369" s="15">
        <v>1883</v>
      </c>
      <c r="E1369" s="15" t="s">
        <v>7877</v>
      </c>
      <c r="F1369" s="15">
        <v>1.2</v>
      </c>
      <c r="G1369" s="15" t="s">
        <v>7819</v>
      </c>
      <c r="H1369" s="15"/>
    </row>
    <row r="1370" spans="1:8" ht="45" x14ac:dyDescent="0.25">
      <c r="A1370" s="15" t="s">
        <v>7811</v>
      </c>
      <c r="B1370" s="15" t="s">
        <v>10252</v>
      </c>
      <c r="C1370" s="15" t="s">
        <v>10253</v>
      </c>
      <c r="D1370" s="15">
        <v>563</v>
      </c>
      <c r="E1370" s="15" t="s">
        <v>7818</v>
      </c>
      <c r="F1370" s="15">
        <v>15</v>
      </c>
      <c r="G1370" s="15" t="s">
        <v>7819</v>
      </c>
      <c r="H1370" s="15"/>
    </row>
    <row r="1371" spans="1:8" ht="60" x14ac:dyDescent="0.25">
      <c r="A1371" s="15" t="s">
        <v>7811</v>
      </c>
      <c r="B1371" s="15" t="s">
        <v>10254</v>
      </c>
      <c r="C1371" s="15" t="s">
        <v>10255</v>
      </c>
      <c r="D1371" s="15">
        <v>562</v>
      </c>
      <c r="E1371" s="15" t="s">
        <v>7814</v>
      </c>
      <c r="F1371" s="15">
        <v>5</v>
      </c>
      <c r="G1371" s="15" t="s">
        <v>10256</v>
      </c>
      <c r="H1371" s="15"/>
    </row>
    <row r="1372" spans="1:8" ht="45" x14ac:dyDescent="0.25">
      <c r="A1372" s="15" t="s">
        <v>7811</v>
      </c>
      <c r="B1372" s="15" t="s">
        <v>10257</v>
      </c>
      <c r="C1372" s="15" t="s">
        <v>10258</v>
      </c>
      <c r="D1372" s="15">
        <v>1457</v>
      </c>
      <c r="E1372" s="15" t="s">
        <v>7818</v>
      </c>
      <c r="F1372" s="15">
        <v>25</v>
      </c>
      <c r="G1372" s="15" t="s">
        <v>7819</v>
      </c>
      <c r="H1372" s="15"/>
    </row>
    <row r="1373" spans="1:8" ht="45" x14ac:dyDescent="0.25">
      <c r="A1373" s="15" t="s">
        <v>7811</v>
      </c>
      <c r="B1373" s="15" t="s">
        <v>10259</v>
      </c>
      <c r="C1373" s="15" t="s">
        <v>10260</v>
      </c>
      <c r="D1373" s="15">
        <v>1458</v>
      </c>
      <c r="E1373" s="15" t="s">
        <v>7818</v>
      </c>
      <c r="F1373" s="15">
        <v>30</v>
      </c>
      <c r="G1373" s="15" t="s">
        <v>7819</v>
      </c>
      <c r="H1373" s="15"/>
    </row>
    <row r="1374" spans="1:8" ht="45" x14ac:dyDescent="0.25">
      <c r="A1374" s="15" t="s">
        <v>7811</v>
      </c>
      <c r="B1374" s="15" t="s">
        <v>10261</v>
      </c>
      <c r="C1374" s="15" t="s">
        <v>10262</v>
      </c>
      <c r="D1374" s="15">
        <v>1459</v>
      </c>
      <c r="E1374" s="15" t="s">
        <v>7818</v>
      </c>
      <c r="F1374" s="15">
        <v>25</v>
      </c>
      <c r="G1374" s="15" t="s">
        <v>7819</v>
      </c>
      <c r="H1374" s="15"/>
    </row>
    <row r="1375" spans="1:8" ht="60" x14ac:dyDescent="0.25">
      <c r="A1375" s="15" t="s">
        <v>7811</v>
      </c>
      <c r="B1375" s="15" t="s">
        <v>10263</v>
      </c>
      <c r="C1375" s="15" t="s">
        <v>10264</v>
      </c>
      <c r="D1375" s="15">
        <v>1399</v>
      </c>
      <c r="E1375" s="15" t="s">
        <v>7814</v>
      </c>
      <c r="F1375" s="15">
        <v>5</v>
      </c>
      <c r="G1375" s="15" t="s">
        <v>7815</v>
      </c>
      <c r="H1375" s="15"/>
    </row>
    <row r="1376" spans="1:8" ht="45" x14ac:dyDescent="0.25">
      <c r="A1376" s="15" t="s">
        <v>7811</v>
      </c>
      <c r="B1376" s="15" t="s">
        <v>10265</v>
      </c>
      <c r="C1376" s="15" t="s">
        <v>10266</v>
      </c>
      <c r="D1376" s="15">
        <v>1865</v>
      </c>
      <c r="E1376" s="15" t="s">
        <v>7859</v>
      </c>
      <c r="F1376" s="15">
        <v>6</v>
      </c>
      <c r="G1376" s="15" t="s">
        <v>7819</v>
      </c>
      <c r="H1376" s="15"/>
    </row>
    <row r="1377" spans="1:8" ht="195" x14ac:dyDescent="0.25">
      <c r="A1377" s="15" t="s">
        <v>7811</v>
      </c>
      <c r="B1377" s="15" t="s">
        <v>10267</v>
      </c>
      <c r="C1377" s="15" t="s">
        <v>10268</v>
      </c>
      <c r="D1377" s="15">
        <v>1421</v>
      </c>
      <c r="E1377" s="15" t="s">
        <v>7814</v>
      </c>
      <c r="F1377" s="15">
        <v>5</v>
      </c>
      <c r="G1377" s="15" t="s">
        <v>10269</v>
      </c>
      <c r="H1377" s="15"/>
    </row>
    <row r="1378" spans="1:8" ht="135" x14ac:dyDescent="0.25">
      <c r="A1378" s="15" t="s">
        <v>7811</v>
      </c>
      <c r="B1378" s="15" t="s">
        <v>10270</v>
      </c>
      <c r="C1378" s="15" t="s">
        <v>10271</v>
      </c>
      <c r="D1378" s="15">
        <v>1306</v>
      </c>
      <c r="E1378" s="15" t="s">
        <v>7814</v>
      </c>
      <c r="F1378" s="15">
        <v>5</v>
      </c>
      <c r="G1378" s="15" t="s">
        <v>10272</v>
      </c>
      <c r="H1378" s="15"/>
    </row>
    <row r="1379" spans="1:8" ht="45" x14ac:dyDescent="0.25">
      <c r="A1379" s="15" t="s">
        <v>7811</v>
      </c>
      <c r="B1379" s="15" t="s">
        <v>10273</v>
      </c>
      <c r="C1379" s="15" t="s">
        <v>10274</v>
      </c>
      <c r="D1379" s="15">
        <v>1027</v>
      </c>
      <c r="E1379" s="15" t="s">
        <v>7877</v>
      </c>
      <c r="F1379" s="15">
        <v>8.1999999999999993</v>
      </c>
      <c r="G1379" s="15" t="s">
        <v>7819</v>
      </c>
      <c r="H1379" s="15"/>
    </row>
    <row r="1380" spans="1:8" ht="45" x14ac:dyDescent="0.25">
      <c r="A1380" s="15" t="s">
        <v>7811</v>
      </c>
      <c r="B1380" s="15" t="s">
        <v>10275</v>
      </c>
      <c r="C1380" s="15" t="s">
        <v>10276</v>
      </c>
      <c r="D1380" s="15">
        <v>1011</v>
      </c>
      <c r="E1380" s="15" t="s">
        <v>7877</v>
      </c>
      <c r="F1380" s="15">
        <v>8.1999999999999993</v>
      </c>
      <c r="G1380" s="15" t="s">
        <v>7819</v>
      </c>
      <c r="H1380" s="15"/>
    </row>
    <row r="1381" spans="1:8" ht="45" x14ac:dyDescent="0.25">
      <c r="A1381" s="15" t="s">
        <v>7811</v>
      </c>
      <c r="B1381" s="15" t="s">
        <v>10277</v>
      </c>
      <c r="C1381" s="15" t="s">
        <v>10278</v>
      </c>
      <c r="D1381" s="15">
        <v>1278</v>
      </c>
      <c r="E1381" s="15" t="s">
        <v>7859</v>
      </c>
      <c r="F1381" s="15">
        <v>6</v>
      </c>
      <c r="G1381" s="15" t="s">
        <v>7819</v>
      </c>
      <c r="H1381" s="15"/>
    </row>
    <row r="1382" spans="1:8" ht="45" x14ac:dyDescent="0.25">
      <c r="A1382" s="15" t="s">
        <v>7811</v>
      </c>
      <c r="B1382" s="15" t="s">
        <v>10279</v>
      </c>
      <c r="C1382" s="15" t="s">
        <v>10280</v>
      </c>
      <c r="D1382" s="15">
        <v>627</v>
      </c>
      <c r="E1382" s="15" t="s">
        <v>7877</v>
      </c>
      <c r="F1382" s="15">
        <v>5.2</v>
      </c>
      <c r="G1382" s="15" t="s">
        <v>7819</v>
      </c>
      <c r="H1382" s="15"/>
    </row>
    <row r="1383" spans="1:8" ht="75" x14ac:dyDescent="0.25">
      <c r="A1383" s="15" t="s">
        <v>7811</v>
      </c>
      <c r="B1383" s="15" t="s">
        <v>10281</v>
      </c>
      <c r="C1383" s="15" t="s">
        <v>10282</v>
      </c>
      <c r="D1383" s="15">
        <v>284</v>
      </c>
      <c r="E1383" s="15" t="s">
        <v>7859</v>
      </c>
      <c r="F1383" s="15">
        <v>3</v>
      </c>
      <c r="G1383" s="15" t="s">
        <v>7819</v>
      </c>
      <c r="H1383" s="15"/>
    </row>
    <row r="1384" spans="1:8" ht="45" x14ac:dyDescent="0.25">
      <c r="A1384" s="15" t="s">
        <v>7811</v>
      </c>
      <c r="B1384" s="15" t="s">
        <v>10283</v>
      </c>
      <c r="C1384" s="15" t="s">
        <v>10284</v>
      </c>
      <c r="D1384" s="15">
        <v>724</v>
      </c>
      <c r="E1384" s="15" t="s">
        <v>7818</v>
      </c>
      <c r="F1384" s="15">
        <v>8</v>
      </c>
      <c r="G1384" s="15" t="s">
        <v>7819</v>
      </c>
      <c r="H1384" s="15"/>
    </row>
    <row r="1385" spans="1:8" ht="45" x14ac:dyDescent="0.25">
      <c r="A1385" s="15" t="s">
        <v>7811</v>
      </c>
      <c r="B1385" s="15" t="s">
        <v>10285</v>
      </c>
      <c r="C1385" s="15" t="s">
        <v>10286</v>
      </c>
      <c r="D1385" s="15">
        <v>441</v>
      </c>
      <c r="E1385" s="15" t="s">
        <v>7877</v>
      </c>
      <c r="F1385" s="15">
        <v>2.1</v>
      </c>
      <c r="G1385" s="15" t="s">
        <v>7819</v>
      </c>
      <c r="H1385" s="15"/>
    </row>
    <row r="1386" spans="1:8" ht="45" x14ac:dyDescent="0.25">
      <c r="A1386" s="15" t="s">
        <v>7811</v>
      </c>
      <c r="B1386" s="15" t="s">
        <v>10287</v>
      </c>
      <c r="C1386" s="15" t="s">
        <v>10288</v>
      </c>
      <c r="D1386" s="15">
        <v>286</v>
      </c>
      <c r="E1386" s="15" t="s">
        <v>7818</v>
      </c>
      <c r="F1386" s="15">
        <v>10</v>
      </c>
      <c r="G1386" s="15" t="s">
        <v>7819</v>
      </c>
      <c r="H1386" s="15"/>
    </row>
    <row r="1387" spans="1:8" ht="45" x14ac:dyDescent="0.25">
      <c r="A1387" s="15" t="s">
        <v>7811</v>
      </c>
      <c r="B1387" s="15" t="s">
        <v>10289</v>
      </c>
      <c r="C1387" s="15" t="s">
        <v>10290</v>
      </c>
      <c r="D1387" s="15">
        <v>287</v>
      </c>
      <c r="E1387" s="15" t="s">
        <v>7838</v>
      </c>
      <c r="F1387" s="15">
        <v>8</v>
      </c>
      <c r="G1387" s="15" t="s">
        <v>7819</v>
      </c>
      <c r="H1387" s="15"/>
    </row>
    <row r="1388" spans="1:8" ht="45" x14ac:dyDescent="0.25">
      <c r="A1388" s="15" t="s">
        <v>7811</v>
      </c>
      <c r="B1388" s="15" t="s">
        <v>10291</v>
      </c>
      <c r="C1388" s="15" t="s">
        <v>10292</v>
      </c>
      <c r="D1388" s="15">
        <v>288</v>
      </c>
      <c r="E1388" s="15" t="s">
        <v>7838</v>
      </c>
      <c r="F1388" s="15">
        <v>8</v>
      </c>
      <c r="G1388" s="15" t="s">
        <v>7819</v>
      </c>
      <c r="H1388" s="15"/>
    </row>
    <row r="1389" spans="1:8" ht="60" x14ac:dyDescent="0.25">
      <c r="A1389" s="15" t="s">
        <v>7811</v>
      </c>
      <c r="B1389" s="15" t="s">
        <v>10293</v>
      </c>
      <c r="C1389" s="15" t="s">
        <v>10294</v>
      </c>
      <c r="D1389" s="15">
        <v>841</v>
      </c>
      <c r="E1389" s="15" t="s">
        <v>7814</v>
      </c>
      <c r="F1389" s="15">
        <v>5</v>
      </c>
      <c r="G1389" s="15" t="s">
        <v>10295</v>
      </c>
      <c r="H1389" s="15"/>
    </row>
    <row r="1390" spans="1:8" ht="60" x14ac:dyDescent="0.25">
      <c r="A1390" s="15" t="s">
        <v>7811</v>
      </c>
      <c r="B1390" s="15" t="s">
        <v>10296</v>
      </c>
      <c r="C1390" s="15" t="s">
        <v>10297</v>
      </c>
      <c r="D1390" s="15">
        <v>1194</v>
      </c>
      <c r="E1390" s="15" t="s">
        <v>7814</v>
      </c>
      <c r="F1390" s="15">
        <v>5</v>
      </c>
      <c r="G1390" s="15" t="s">
        <v>7815</v>
      </c>
      <c r="H1390" s="15"/>
    </row>
    <row r="1391" spans="1:8" ht="45" x14ac:dyDescent="0.25">
      <c r="A1391" s="15" t="s">
        <v>7811</v>
      </c>
      <c r="B1391" s="15" t="s">
        <v>10298</v>
      </c>
      <c r="C1391" s="15" t="s">
        <v>10299</v>
      </c>
      <c r="D1391" s="15">
        <v>1249</v>
      </c>
      <c r="E1391" s="15" t="s">
        <v>7838</v>
      </c>
      <c r="F1391" s="15">
        <v>8</v>
      </c>
      <c r="G1391" s="15" t="s">
        <v>7819</v>
      </c>
      <c r="H1391" s="15"/>
    </row>
    <row r="1392" spans="1:8" ht="270" x14ac:dyDescent="0.25">
      <c r="A1392" s="15" t="s">
        <v>7811</v>
      </c>
      <c r="B1392" s="15" t="s">
        <v>10300</v>
      </c>
      <c r="C1392" s="15" t="s">
        <v>10301</v>
      </c>
      <c r="D1392" s="15">
        <v>1250</v>
      </c>
      <c r="E1392" s="15" t="s">
        <v>7814</v>
      </c>
      <c r="F1392" s="15">
        <v>5</v>
      </c>
      <c r="G1392" s="15" t="s">
        <v>8565</v>
      </c>
      <c r="H1392" s="15"/>
    </row>
    <row r="1393" spans="1:8" ht="45" x14ac:dyDescent="0.25">
      <c r="A1393" s="15" t="s">
        <v>7811</v>
      </c>
      <c r="B1393" s="15" t="s">
        <v>10302</v>
      </c>
      <c r="C1393" s="15" t="s">
        <v>10303</v>
      </c>
      <c r="D1393" s="15">
        <v>1251</v>
      </c>
      <c r="E1393" s="15" t="s">
        <v>7818</v>
      </c>
      <c r="F1393" s="15">
        <v>30</v>
      </c>
      <c r="G1393" s="15" t="s">
        <v>7819</v>
      </c>
      <c r="H1393" s="15"/>
    </row>
    <row r="1394" spans="1:8" ht="45" x14ac:dyDescent="0.25">
      <c r="A1394" s="15" t="s">
        <v>7811</v>
      </c>
      <c r="B1394" s="15" t="s">
        <v>10304</v>
      </c>
      <c r="C1394" s="15" t="s">
        <v>10305</v>
      </c>
      <c r="D1394" s="15">
        <v>1252</v>
      </c>
      <c r="E1394" s="15" t="s">
        <v>7818</v>
      </c>
      <c r="F1394" s="15">
        <v>30</v>
      </c>
      <c r="G1394" s="15" t="s">
        <v>7819</v>
      </c>
      <c r="H1394" s="15"/>
    </row>
    <row r="1395" spans="1:8" ht="45" x14ac:dyDescent="0.25">
      <c r="A1395" s="15" t="s">
        <v>7811</v>
      </c>
      <c r="B1395" s="15" t="s">
        <v>10306</v>
      </c>
      <c r="C1395" s="15" t="s">
        <v>10307</v>
      </c>
      <c r="D1395" s="15">
        <v>1253</v>
      </c>
      <c r="E1395" s="15" t="s">
        <v>7838</v>
      </c>
      <c r="F1395" s="15">
        <v>8</v>
      </c>
      <c r="G1395" s="15" t="s">
        <v>7819</v>
      </c>
      <c r="H1395" s="15"/>
    </row>
    <row r="1396" spans="1:8" ht="45" x14ac:dyDescent="0.25">
      <c r="A1396" s="15" t="s">
        <v>7811</v>
      </c>
      <c r="B1396" s="15" t="s">
        <v>10308</v>
      </c>
      <c r="C1396" s="15" t="s">
        <v>10309</v>
      </c>
      <c r="D1396" s="15">
        <v>1254</v>
      </c>
      <c r="E1396" s="15" t="s">
        <v>7818</v>
      </c>
      <c r="F1396" s="15">
        <v>45</v>
      </c>
      <c r="G1396" s="15" t="s">
        <v>7819</v>
      </c>
      <c r="H1396" s="15"/>
    </row>
    <row r="1397" spans="1:8" ht="270" x14ac:dyDescent="0.25">
      <c r="A1397" s="15" t="s">
        <v>7811</v>
      </c>
      <c r="B1397" s="15" t="s">
        <v>10310</v>
      </c>
      <c r="C1397" s="15" t="s">
        <v>10311</v>
      </c>
      <c r="D1397" s="15">
        <v>721</v>
      </c>
      <c r="E1397" s="15" t="s">
        <v>7814</v>
      </c>
      <c r="F1397" s="15">
        <v>5</v>
      </c>
      <c r="G1397" s="15" t="s">
        <v>10312</v>
      </c>
      <c r="H1397" s="15"/>
    </row>
    <row r="1398" spans="1:8" ht="45" x14ac:dyDescent="0.25">
      <c r="A1398" s="15" t="s">
        <v>7811</v>
      </c>
      <c r="B1398" s="15" t="s">
        <v>10313</v>
      </c>
      <c r="C1398" s="15" t="s">
        <v>10314</v>
      </c>
      <c r="D1398" s="15">
        <v>448</v>
      </c>
      <c r="E1398" s="15" t="s">
        <v>7838</v>
      </c>
      <c r="F1398" s="15">
        <v>8</v>
      </c>
      <c r="G1398" s="15" t="s">
        <v>7819</v>
      </c>
      <c r="H1398" s="15"/>
    </row>
    <row r="1399" spans="1:8" ht="45" x14ac:dyDescent="0.25">
      <c r="A1399" s="15" t="s">
        <v>7811</v>
      </c>
      <c r="B1399" s="15" t="s">
        <v>10315</v>
      </c>
      <c r="C1399" s="15" t="s">
        <v>10316</v>
      </c>
      <c r="D1399" s="15">
        <v>449</v>
      </c>
      <c r="E1399" s="15" t="s">
        <v>7838</v>
      </c>
      <c r="F1399" s="15">
        <v>8</v>
      </c>
      <c r="G1399" s="15" t="s">
        <v>7819</v>
      </c>
      <c r="H1399" s="15"/>
    </row>
    <row r="1400" spans="1:8" ht="45" x14ac:dyDescent="0.25">
      <c r="A1400" s="15" t="s">
        <v>7811</v>
      </c>
      <c r="B1400" s="15" t="s">
        <v>10317</v>
      </c>
      <c r="C1400" s="15" t="s">
        <v>10318</v>
      </c>
      <c r="D1400" s="15">
        <v>446</v>
      </c>
      <c r="E1400" s="15" t="s">
        <v>7818</v>
      </c>
      <c r="F1400" s="15">
        <v>45</v>
      </c>
      <c r="G1400" s="15" t="s">
        <v>7819</v>
      </c>
      <c r="H1400" s="15"/>
    </row>
    <row r="1401" spans="1:8" ht="45" x14ac:dyDescent="0.25">
      <c r="A1401" s="15" t="s">
        <v>7811</v>
      </c>
      <c r="B1401" s="15" t="s">
        <v>10319</v>
      </c>
      <c r="C1401" s="15" t="s">
        <v>10320</v>
      </c>
      <c r="D1401" s="15">
        <v>447</v>
      </c>
      <c r="E1401" s="15" t="s">
        <v>7818</v>
      </c>
      <c r="F1401" s="15">
        <v>80</v>
      </c>
      <c r="G1401" s="15" t="s">
        <v>7819</v>
      </c>
      <c r="H1401" s="15"/>
    </row>
    <row r="1402" spans="1:8" ht="45" x14ac:dyDescent="0.25">
      <c r="A1402" s="15" t="s">
        <v>7811</v>
      </c>
      <c r="B1402" s="15" t="s">
        <v>10321</v>
      </c>
      <c r="C1402" s="15" t="s">
        <v>10322</v>
      </c>
      <c r="D1402" s="15">
        <v>290</v>
      </c>
      <c r="E1402" s="15" t="s">
        <v>7818</v>
      </c>
      <c r="F1402" s="15">
        <v>20</v>
      </c>
      <c r="G1402" s="15" t="s">
        <v>7819</v>
      </c>
      <c r="H1402" s="15"/>
    </row>
    <row r="1403" spans="1:8" ht="75" x14ac:dyDescent="0.25">
      <c r="A1403" s="15" t="s">
        <v>7811</v>
      </c>
      <c r="B1403" s="15" t="s">
        <v>10323</v>
      </c>
      <c r="C1403" s="15" t="s">
        <v>10324</v>
      </c>
      <c r="D1403" s="15">
        <v>776</v>
      </c>
      <c r="E1403" s="15" t="s">
        <v>7818</v>
      </c>
      <c r="F1403" s="15">
        <v>35</v>
      </c>
      <c r="G1403" s="15" t="s">
        <v>7819</v>
      </c>
      <c r="H1403" s="15"/>
    </row>
    <row r="1404" spans="1:8" ht="45" x14ac:dyDescent="0.25">
      <c r="A1404" s="15" t="s">
        <v>7811</v>
      </c>
      <c r="B1404" s="15" t="s">
        <v>10325</v>
      </c>
      <c r="C1404" s="15" t="s">
        <v>10326</v>
      </c>
      <c r="D1404" s="15">
        <v>625</v>
      </c>
      <c r="E1404" s="15" t="s">
        <v>7877</v>
      </c>
      <c r="F1404" s="15">
        <v>5.2</v>
      </c>
      <c r="G1404" s="15" t="s">
        <v>7819</v>
      </c>
      <c r="H1404" s="15"/>
    </row>
    <row r="1405" spans="1:8" ht="270" x14ac:dyDescent="0.25">
      <c r="A1405" s="15" t="s">
        <v>7811</v>
      </c>
      <c r="B1405" s="15" t="s">
        <v>10327</v>
      </c>
      <c r="C1405" s="15" t="s">
        <v>10328</v>
      </c>
      <c r="D1405" s="15">
        <v>1116</v>
      </c>
      <c r="E1405" s="15" t="s">
        <v>7814</v>
      </c>
      <c r="F1405" s="15">
        <v>5</v>
      </c>
      <c r="G1405" s="15" t="s">
        <v>10329</v>
      </c>
      <c r="H1405" s="15"/>
    </row>
    <row r="1406" spans="1:8" ht="60" x14ac:dyDescent="0.25">
      <c r="A1406" s="15" t="s">
        <v>7811</v>
      </c>
      <c r="B1406" s="15" t="s">
        <v>10330</v>
      </c>
      <c r="C1406" s="15" t="s">
        <v>10331</v>
      </c>
      <c r="D1406" s="15">
        <v>949</v>
      </c>
      <c r="E1406" s="15" t="s">
        <v>7814</v>
      </c>
      <c r="F1406" s="15">
        <v>5</v>
      </c>
      <c r="G1406" s="15" t="s">
        <v>7815</v>
      </c>
      <c r="H1406" s="15"/>
    </row>
    <row r="1407" spans="1:8" ht="60" x14ac:dyDescent="0.25">
      <c r="A1407" s="15" t="s">
        <v>7811</v>
      </c>
      <c r="B1407" s="15" t="s">
        <v>10332</v>
      </c>
      <c r="C1407" s="15" t="s">
        <v>10333</v>
      </c>
      <c r="D1407" s="15">
        <v>756</v>
      </c>
      <c r="E1407" s="15" t="s">
        <v>7818</v>
      </c>
      <c r="F1407" s="15">
        <v>35</v>
      </c>
      <c r="G1407" s="15" t="s">
        <v>7819</v>
      </c>
      <c r="H1407" s="15"/>
    </row>
    <row r="1408" spans="1:8" ht="90" x14ac:dyDescent="0.25">
      <c r="A1408" s="15" t="s">
        <v>7811</v>
      </c>
      <c r="B1408" s="15" t="s">
        <v>10334</v>
      </c>
      <c r="C1408" s="15" t="s">
        <v>10335</v>
      </c>
      <c r="D1408" s="15">
        <v>1391</v>
      </c>
      <c r="E1408" s="15" t="s">
        <v>7818</v>
      </c>
      <c r="F1408" s="15">
        <v>50</v>
      </c>
      <c r="G1408" s="15" t="s">
        <v>7819</v>
      </c>
      <c r="H1408" s="15"/>
    </row>
    <row r="1409" spans="1:8" ht="45" x14ac:dyDescent="0.25">
      <c r="A1409" s="15" t="s">
        <v>7811</v>
      </c>
      <c r="B1409" s="15" t="s">
        <v>10336</v>
      </c>
      <c r="C1409" s="15" t="s">
        <v>10337</v>
      </c>
      <c r="D1409" s="15">
        <v>292</v>
      </c>
      <c r="E1409" s="15" t="s">
        <v>7818</v>
      </c>
      <c r="F1409" s="15">
        <v>30</v>
      </c>
      <c r="G1409" s="15" t="s">
        <v>7819</v>
      </c>
      <c r="H1409" s="15"/>
    </row>
    <row r="1410" spans="1:8" ht="45" x14ac:dyDescent="0.25">
      <c r="A1410" s="15" t="s">
        <v>7811</v>
      </c>
      <c r="B1410" s="15" t="s">
        <v>10338</v>
      </c>
      <c r="C1410" s="15" t="s">
        <v>10339</v>
      </c>
      <c r="D1410" s="15">
        <v>484</v>
      </c>
      <c r="E1410" s="15" t="s">
        <v>7818</v>
      </c>
      <c r="F1410" s="15">
        <v>30</v>
      </c>
      <c r="G1410" s="15" t="s">
        <v>7819</v>
      </c>
      <c r="H1410" s="15"/>
    </row>
    <row r="1411" spans="1:8" ht="45" x14ac:dyDescent="0.25">
      <c r="A1411" s="15" t="s">
        <v>7811</v>
      </c>
      <c r="B1411" s="15" t="s">
        <v>10340</v>
      </c>
      <c r="C1411" s="15" t="s">
        <v>10341</v>
      </c>
      <c r="D1411" s="15">
        <v>293</v>
      </c>
      <c r="E1411" s="15" t="s">
        <v>7818</v>
      </c>
      <c r="F1411" s="15">
        <v>10</v>
      </c>
      <c r="G1411" s="15" t="s">
        <v>7819</v>
      </c>
      <c r="H1411" s="15"/>
    </row>
    <row r="1412" spans="1:8" ht="45" x14ac:dyDescent="0.25">
      <c r="A1412" s="15" t="s">
        <v>7811</v>
      </c>
      <c r="B1412" s="15" t="s">
        <v>10342</v>
      </c>
      <c r="C1412" s="15" t="s">
        <v>10343</v>
      </c>
      <c r="D1412" s="15">
        <v>294</v>
      </c>
      <c r="E1412" s="15" t="s">
        <v>7818</v>
      </c>
      <c r="F1412" s="15">
        <v>45</v>
      </c>
      <c r="G1412" s="15" t="s">
        <v>7819</v>
      </c>
      <c r="H1412" s="15"/>
    </row>
    <row r="1413" spans="1:8" ht="345" x14ac:dyDescent="0.25">
      <c r="A1413" s="15" t="s">
        <v>7811</v>
      </c>
      <c r="B1413" s="15" t="s">
        <v>10344</v>
      </c>
      <c r="C1413" s="15" t="s">
        <v>10345</v>
      </c>
      <c r="D1413" s="15">
        <v>497</v>
      </c>
      <c r="E1413" s="15" t="s">
        <v>7814</v>
      </c>
      <c r="F1413" s="15">
        <v>5</v>
      </c>
      <c r="G1413" s="15" t="s">
        <v>10346</v>
      </c>
      <c r="H1413" s="15"/>
    </row>
    <row r="1414" spans="1:8" ht="75" x14ac:dyDescent="0.25">
      <c r="A1414" s="15" t="s">
        <v>7811</v>
      </c>
      <c r="B1414" s="15" t="s">
        <v>10347</v>
      </c>
      <c r="C1414" s="15" t="s">
        <v>10348</v>
      </c>
      <c r="D1414" s="15">
        <v>830</v>
      </c>
      <c r="E1414" s="15" t="s">
        <v>7818</v>
      </c>
      <c r="F1414" s="15">
        <v>45</v>
      </c>
      <c r="G1414" s="15" t="s">
        <v>7819</v>
      </c>
      <c r="H1414" s="15"/>
    </row>
    <row r="1415" spans="1:8" ht="60" x14ac:dyDescent="0.25">
      <c r="A1415" s="15" t="s">
        <v>7811</v>
      </c>
      <c r="B1415" s="15" t="s">
        <v>10349</v>
      </c>
      <c r="C1415" s="15" t="s">
        <v>10350</v>
      </c>
      <c r="D1415" s="15">
        <v>1435</v>
      </c>
      <c r="E1415" s="15" t="s">
        <v>7814</v>
      </c>
      <c r="F1415" s="15">
        <v>5</v>
      </c>
      <c r="G1415" s="15" t="s">
        <v>7815</v>
      </c>
      <c r="H1415" s="15"/>
    </row>
    <row r="1416" spans="1:8" ht="60" x14ac:dyDescent="0.25">
      <c r="A1416" s="15" t="s">
        <v>7811</v>
      </c>
      <c r="B1416" s="15" t="s">
        <v>10351</v>
      </c>
      <c r="C1416" s="15" t="s">
        <v>10352</v>
      </c>
      <c r="D1416" s="15">
        <v>1153</v>
      </c>
      <c r="E1416" s="15" t="s">
        <v>7814</v>
      </c>
      <c r="F1416" s="15">
        <v>5</v>
      </c>
      <c r="G1416" s="15" t="s">
        <v>7815</v>
      </c>
      <c r="H1416" s="15"/>
    </row>
    <row r="1417" spans="1:8" ht="60" x14ac:dyDescent="0.25">
      <c r="A1417" s="15" t="s">
        <v>7811</v>
      </c>
      <c r="B1417" s="15" t="s">
        <v>10353</v>
      </c>
      <c r="C1417" s="15" t="s">
        <v>10354</v>
      </c>
      <c r="D1417" s="15">
        <v>1154</v>
      </c>
      <c r="E1417" s="15" t="s">
        <v>7814</v>
      </c>
      <c r="F1417" s="15">
        <v>5</v>
      </c>
      <c r="G1417" s="15" t="s">
        <v>7815</v>
      </c>
      <c r="H1417" s="15"/>
    </row>
    <row r="1418" spans="1:8" ht="45" x14ac:dyDescent="0.25">
      <c r="A1418" s="15" t="s">
        <v>7811</v>
      </c>
      <c r="B1418" s="15" t="s">
        <v>10355</v>
      </c>
      <c r="C1418" s="15" t="s">
        <v>10356</v>
      </c>
      <c r="D1418" s="15">
        <v>295</v>
      </c>
      <c r="E1418" s="15" t="s">
        <v>7818</v>
      </c>
      <c r="F1418" s="15">
        <v>60</v>
      </c>
      <c r="G1418" s="15" t="s">
        <v>7819</v>
      </c>
      <c r="H1418" s="15"/>
    </row>
    <row r="1419" spans="1:8" ht="45" x14ac:dyDescent="0.25">
      <c r="A1419" s="15" t="s">
        <v>7811</v>
      </c>
      <c r="B1419" s="15" t="s">
        <v>10357</v>
      </c>
      <c r="C1419" s="15" t="s">
        <v>10358</v>
      </c>
      <c r="D1419" s="15">
        <v>296</v>
      </c>
      <c r="E1419" s="15" t="s">
        <v>7818</v>
      </c>
      <c r="F1419" s="15">
        <v>60</v>
      </c>
      <c r="G1419" s="15" t="s">
        <v>7819</v>
      </c>
      <c r="H1419" s="15"/>
    </row>
    <row r="1420" spans="1:8" ht="60" x14ac:dyDescent="0.25">
      <c r="A1420" s="15" t="s">
        <v>7811</v>
      </c>
      <c r="B1420" s="15" t="s">
        <v>10359</v>
      </c>
      <c r="C1420" s="15" t="s">
        <v>10360</v>
      </c>
      <c r="D1420" s="15">
        <v>915</v>
      </c>
      <c r="E1420" s="15" t="s">
        <v>7859</v>
      </c>
      <c r="F1420" s="15">
        <v>2</v>
      </c>
      <c r="G1420" s="15" t="s">
        <v>7819</v>
      </c>
      <c r="H1420" s="15"/>
    </row>
    <row r="1421" spans="1:8" ht="60" x14ac:dyDescent="0.25">
      <c r="A1421" s="15" t="s">
        <v>7811</v>
      </c>
      <c r="B1421" s="15" t="s">
        <v>10361</v>
      </c>
      <c r="C1421" s="15" t="s">
        <v>10362</v>
      </c>
      <c r="D1421" s="15">
        <v>983</v>
      </c>
      <c r="E1421" s="15" t="s">
        <v>7814</v>
      </c>
      <c r="F1421" s="15">
        <v>5</v>
      </c>
      <c r="G1421" s="15" t="s">
        <v>10363</v>
      </c>
      <c r="H1421" s="15"/>
    </row>
    <row r="1422" spans="1:8" ht="180" x14ac:dyDescent="0.25">
      <c r="A1422" s="15" t="s">
        <v>7811</v>
      </c>
      <c r="B1422" s="15" t="s">
        <v>10364</v>
      </c>
      <c r="C1422" s="15" t="s">
        <v>10365</v>
      </c>
      <c r="D1422" s="15">
        <v>980</v>
      </c>
      <c r="E1422" s="15" t="s">
        <v>7814</v>
      </c>
      <c r="F1422" s="15">
        <v>5</v>
      </c>
      <c r="G1422" s="15" t="s">
        <v>10366</v>
      </c>
      <c r="H1422" s="15"/>
    </row>
    <row r="1423" spans="1:8" ht="105" x14ac:dyDescent="0.25">
      <c r="A1423" s="15" t="s">
        <v>7811</v>
      </c>
      <c r="B1423" s="15" t="s">
        <v>10367</v>
      </c>
      <c r="C1423" s="15" t="s">
        <v>10368</v>
      </c>
      <c r="D1423" s="15">
        <v>1307</v>
      </c>
      <c r="E1423" s="15" t="s">
        <v>7814</v>
      </c>
      <c r="F1423" s="15">
        <v>5</v>
      </c>
      <c r="G1423" s="15" t="s">
        <v>10369</v>
      </c>
      <c r="H1423" s="15"/>
    </row>
    <row r="1424" spans="1:8" ht="45" x14ac:dyDescent="0.25">
      <c r="A1424" s="15" t="s">
        <v>7811</v>
      </c>
      <c r="B1424" s="15" t="s">
        <v>10370</v>
      </c>
      <c r="C1424" s="15" t="s">
        <v>10371</v>
      </c>
      <c r="D1424" s="15">
        <v>1320</v>
      </c>
      <c r="E1424" s="15" t="s">
        <v>7818</v>
      </c>
      <c r="F1424" s="15">
        <v>45</v>
      </c>
      <c r="G1424" s="15" t="s">
        <v>7819</v>
      </c>
      <c r="H1424" s="15"/>
    </row>
    <row r="1425" spans="1:8" ht="45" x14ac:dyDescent="0.25">
      <c r="A1425" s="15" t="s">
        <v>7811</v>
      </c>
      <c r="B1425" s="15" t="s">
        <v>10372</v>
      </c>
      <c r="C1425" s="15" t="s">
        <v>10373</v>
      </c>
      <c r="D1425" s="15">
        <v>488</v>
      </c>
      <c r="E1425" s="15" t="s">
        <v>7838</v>
      </c>
      <c r="F1425" s="15">
        <v>8</v>
      </c>
      <c r="G1425" s="15" t="s">
        <v>7819</v>
      </c>
      <c r="H1425" s="15"/>
    </row>
    <row r="1426" spans="1:8" ht="135" x14ac:dyDescent="0.25">
      <c r="A1426" s="15" t="s">
        <v>7811</v>
      </c>
      <c r="B1426" s="15" t="s">
        <v>10374</v>
      </c>
      <c r="C1426" s="15" t="s">
        <v>10375</v>
      </c>
      <c r="D1426" s="15">
        <v>487</v>
      </c>
      <c r="E1426" s="15" t="s">
        <v>7814</v>
      </c>
      <c r="F1426" s="15">
        <v>5</v>
      </c>
      <c r="G1426" s="15" t="s">
        <v>10376</v>
      </c>
      <c r="H1426" s="15"/>
    </row>
    <row r="1427" spans="1:8" ht="45" x14ac:dyDescent="0.25">
      <c r="A1427" s="15" t="s">
        <v>7811</v>
      </c>
      <c r="B1427" s="15" t="s">
        <v>10377</v>
      </c>
      <c r="C1427" s="15" t="s">
        <v>10378</v>
      </c>
      <c r="D1427" s="15">
        <v>1321</v>
      </c>
      <c r="E1427" s="15" t="s">
        <v>7818</v>
      </c>
      <c r="F1427" s="15">
        <v>45</v>
      </c>
      <c r="G1427" s="15" t="s">
        <v>7819</v>
      </c>
      <c r="H1427" s="15"/>
    </row>
    <row r="1428" spans="1:8" ht="45" x14ac:dyDescent="0.25">
      <c r="A1428" s="15" t="s">
        <v>7811</v>
      </c>
      <c r="B1428" s="15" t="s">
        <v>10379</v>
      </c>
      <c r="C1428" s="15" t="s">
        <v>10380</v>
      </c>
      <c r="D1428" s="15">
        <v>1317</v>
      </c>
      <c r="E1428" s="15" t="s">
        <v>7818</v>
      </c>
      <c r="F1428" s="15">
        <v>30</v>
      </c>
      <c r="G1428" s="15" t="s">
        <v>7819</v>
      </c>
      <c r="H1428" s="15"/>
    </row>
    <row r="1429" spans="1:8" ht="45" x14ac:dyDescent="0.25">
      <c r="A1429" s="15" t="s">
        <v>7811</v>
      </c>
      <c r="B1429" s="15" t="s">
        <v>10381</v>
      </c>
      <c r="C1429" s="15" t="s">
        <v>10382</v>
      </c>
      <c r="D1429" s="15">
        <v>1323</v>
      </c>
      <c r="E1429" s="15" t="s">
        <v>7838</v>
      </c>
      <c r="F1429" s="15">
        <v>8</v>
      </c>
      <c r="G1429" s="15" t="s">
        <v>7819</v>
      </c>
      <c r="H1429" s="15"/>
    </row>
    <row r="1430" spans="1:8" ht="45" x14ac:dyDescent="0.25">
      <c r="A1430" s="15" t="s">
        <v>7811</v>
      </c>
      <c r="B1430" s="15" t="s">
        <v>10383</v>
      </c>
      <c r="C1430" s="15" t="s">
        <v>10384</v>
      </c>
      <c r="D1430" s="15">
        <v>1322</v>
      </c>
      <c r="E1430" s="15" t="s">
        <v>7838</v>
      </c>
      <c r="F1430" s="15">
        <v>4</v>
      </c>
      <c r="G1430" s="15" t="s">
        <v>7819</v>
      </c>
      <c r="H1430" s="15"/>
    </row>
    <row r="1431" spans="1:8" ht="45" x14ac:dyDescent="0.25">
      <c r="A1431" s="15" t="s">
        <v>7811</v>
      </c>
      <c r="B1431" s="15" t="s">
        <v>10385</v>
      </c>
      <c r="C1431" s="15" t="s">
        <v>10386</v>
      </c>
      <c r="D1431" s="15">
        <v>1316</v>
      </c>
      <c r="E1431" s="15" t="s">
        <v>7818</v>
      </c>
      <c r="F1431" s="15">
        <v>30</v>
      </c>
      <c r="G1431" s="15" t="s">
        <v>7819</v>
      </c>
      <c r="H1431" s="15"/>
    </row>
    <row r="1432" spans="1:8" ht="45" x14ac:dyDescent="0.25">
      <c r="A1432" s="15" t="s">
        <v>7811</v>
      </c>
      <c r="B1432" s="15" t="s">
        <v>10387</v>
      </c>
      <c r="C1432" s="15" t="s">
        <v>10388</v>
      </c>
      <c r="D1432" s="15">
        <v>1115</v>
      </c>
      <c r="E1432" s="15" t="s">
        <v>7818</v>
      </c>
      <c r="F1432" s="15">
        <v>30</v>
      </c>
      <c r="G1432" s="15" t="s">
        <v>7819</v>
      </c>
      <c r="H1432" s="15"/>
    </row>
    <row r="1433" spans="1:8" ht="90" x14ac:dyDescent="0.25">
      <c r="A1433" s="15" t="s">
        <v>7811</v>
      </c>
      <c r="B1433" s="15" t="s">
        <v>10389</v>
      </c>
      <c r="C1433" s="15" t="s">
        <v>10390</v>
      </c>
      <c r="D1433" s="15">
        <v>897</v>
      </c>
      <c r="E1433" s="15" t="s">
        <v>7814</v>
      </c>
      <c r="F1433" s="15">
        <v>5</v>
      </c>
      <c r="G1433" s="15" t="s">
        <v>10391</v>
      </c>
      <c r="H1433" s="15"/>
    </row>
    <row r="1434" spans="1:8" ht="45" x14ac:dyDescent="0.25">
      <c r="A1434" s="15" t="s">
        <v>7811</v>
      </c>
      <c r="B1434" s="15" t="s">
        <v>10392</v>
      </c>
      <c r="C1434" s="15" t="s">
        <v>10393</v>
      </c>
      <c r="D1434" s="15">
        <v>515</v>
      </c>
      <c r="E1434" s="15" t="s">
        <v>7877</v>
      </c>
      <c r="F1434" s="15">
        <v>3.2</v>
      </c>
      <c r="G1434" s="15" t="s">
        <v>7819</v>
      </c>
      <c r="H1434" s="15"/>
    </row>
    <row r="1435" spans="1:8" ht="45" x14ac:dyDescent="0.25">
      <c r="A1435" s="15" t="s">
        <v>7811</v>
      </c>
      <c r="B1435" s="15" t="s">
        <v>10394</v>
      </c>
      <c r="C1435" s="15" t="s">
        <v>10395</v>
      </c>
      <c r="D1435" s="15">
        <v>1053</v>
      </c>
      <c r="E1435" s="15" t="s">
        <v>7818</v>
      </c>
      <c r="F1435" s="15">
        <v>30</v>
      </c>
      <c r="G1435" s="15" t="s">
        <v>7819</v>
      </c>
      <c r="H1435" s="15"/>
    </row>
    <row r="1436" spans="1:8" ht="60" x14ac:dyDescent="0.25">
      <c r="A1436" s="15" t="s">
        <v>7811</v>
      </c>
      <c r="B1436" s="15" t="s">
        <v>10396</v>
      </c>
      <c r="C1436" s="15" t="s">
        <v>10397</v>
      </c>
      <c r="D1436" s="15">
        <v>1152</v>
      </c>
      <c r="E1436" s="15" t="s">
        <v>7814</v>
      </c>
      <c r="F1436" s="15">
        <v>5</v>
      </c>
      <c r="G1436" s="15" t="s">
        <v>7815</v>
      </c>
      <c r="H1436" s="15"/>
    </row>
    <row r="1437" spans="1:8" ht="240" x14ac:dyDescent="0.25">
      <c r="A1437" s="15" t="s">
        <v>7811</v>
      </c>
      <c r="B1437" s="15" t="s">
        <v>10398</v>
      </c>
      <c r="C1437" s="15" t="s">
        <v>10399</v>
      </c>
      <c r="D1437" s="15">
        <v>1286</v>
      </c>
      <c r="E1437" s="15" t="s">
        <v>7814</v>
      </c>
      <c r="F1437" s="15">
        <v>5</v>
      </c>
      <c r="G1437" s="15" t="s">
        <v>10400</v>
      </c>
      <c r="H1437" s="15"/>
    </row>
    <row r="1438" spans="1:8" ht="60" x14ac:dyDescent="0.25">
      <c r="A1438" s="15" t="s">
        <v>7811</v>
      </c>
      <c r="B1438" s="15" t="s">
        <v>10401</v>
      </c>
      <c r="C1438" s="15" t="s">
        <v>10402</v>
      </c>
      <c r="D1438" s="15">
        <v>297</v>
      </c>
      <c r="E1438" s="15" t="s">
        <v>7814</v>
      </c>
      <c r="F1438" s="15">
        <v>5</v>
      </c>
      <c r="G1438" s="15" t="s">
        <v>7815</v>
      </c>
      <c r="H1438" s="15"/>
    </row>
    <row r="1439" spans="1:8" ht="75" x14ac:dyDescent="0.25">
      <c r="A1439" s="15" t="s">
        <v>7811</v>
      </c>
      <c r="B1439" s="15" t="s">
        <v>10403</v>
      </c>
      <c r="C1439" s="15" t="s">
        <v>10404</v>
      </c>
      <c r="D1439" s="15">
        <v>714</v>
      </c>
      <c r="E1439" s="15" t="s">
        <v>7814</v>
      </c>
      <c r="F1439" s="15">
        <v>5</v>
      </c>
      <c r="G1439" s="15" t="s">
        <v>10405</v>
      </c>
      <c r="H1439" s="15"/>
    </row>
    <row r="1440" spans="1:8" ht="45" x14ac:dyDescent="0.25">
      <c r="A1440" s="15" t="s">
        <v>7811</v>
      </c>
      <c r="B1440" s="15" t="s">
        <v>10406</v>
      </c>
      <c r="C1440" s="15" t="s">
        <v>10407</v>
      </c>
      <c r="D1440" s="15">
        <v>298</v>
      </c>
      <c r="E1440" s="15" t="s">
        <v>7838</v>
      </c>
      <c r="F1440" s="15">
        <v>8</v>
      </c>
      <c r="G1440" s="15" t="s">
        <v>7819</v>
      </c>
      <c r="H1440" s="15"/>
    </row>
    <row r="1441" spans="1:8" ht="45" x14ac:dyDescent="0.25">
      <c r="A1441" s="15" t="s">
        <v>7811</v>
      </c>
      <c r="B1441" s="15" t="s">
        <v>10408</v>
      </c>
      <c r="C1441" s="15" t="s">
        <v>10409</v>
      </c>
      <c r="D1441" s="15">
        <v>299</v>
      </c>
      <c r="E1441" s="15" t="s">
        <v>7818</v>
      </c>
      <c r="F1441" s="15">
        <v>80</v>
      </c>
      <c r="G1441" s="15" t="s">
        <v>7819</v>
      </c>
      <c r="H1441" s="15"/>
    </row>
    <row r="1442" spans="1:8" ht="45" x14ac:dyDescent="0.25">
      <c r="A1442" s="15" t="s">
        <v>7811</v>
      </c>
      <c r="B1442" s="15" t="s">
        <v>10410</v>
      </c>
      <c r="C1442" s="15" t="s">
        <v>10411</v>
      </c>
      <c r="D1442" s="15">
        <v>300</v>
      </c>
      <c r="E1442" s="15" t="s">
        <v>7838</v>
      </c>
      <c r="F1442" s="15">
        <v>8</v>
      </c>
      <c r="G1442" s="15" t="s">
        <v>7819</v>
      </c>
      <c r="H1442" s="15"/>
    </row>
    <row r="1443" spans="1:8" ht="45" x14ac:dyDescent="0.25">
      <c r="A1443" s="15" t="s">
        <v>7811</v>
      </c>
      <c r="B1443" s="15" t="s">
        <v>10412</v>
      </c>
      <c r="C1443" s="15" t="s">
        <v>10413</v>
      </c>
      <c r="D1443" s="15">
        <v>301</v>
      </c>
      <c r="E1443" s="15" t="s">
        <v>7818</v>
      </c>
      <c r="F1443" s="15">
        <v>45</v>
      </c>
      <c r="G1443" s="15" t="s">
        <v>7819</v>
      </c>
      <c r="H1443" s="15"/>
    </row>
    <row r="1444" spans="1:8" ht="45" x14ac:dyDescent="0.25">
      <c r="A1444" s="15" t="s">
        <v>7811</v>
      </c>
      <c r="B1444" s="15" t="s">
        <v>10414</v>
      </c>
      <c r="C1444" s="15" t="s">
        <v>10415</v>
      </c>
      <c r="D1444" s="15">
        <v>302</v>
      </c>
      <c r="E1444" s="15" t="s">
        <v>7838</v>
      </c>
      <c r="F1444" s="15">
        <v>8</v>
      </c>
      <c r="G1444" s="15" t="s">
        <v>7819</v>
      </c>
      <c r="H1444" s="15"/>
    </row>
    <row r="1445" spans="1:8" ht="45" x14ac:dyDescent="0.25">
      <c r="A1445" s="15" t="s">
        <v>7811</v>
      </c>
      <c r="B1445" s="15" t="s">
        <v>10416</v>
      </c>
      <c r="C1445" s="15" t="s">
        <v>10417</v>
      </c>
      <c r="D1445" s="15">
        <v>303</v>
      </c>
      <c r="E1445" s="15" t="s">
        <v>7818</v>
      </c>
      <c r="F1445" s="15">
        <v>80</v>
      </c>
      <c r="G1445" s="15" t="s">
        <v>7819</v>
      </c>
      <c r="H1445" s="15"/>
    </row>
    <row r="1446" spans="1:8" ht="150" x14ac:dyDescent="0.25">
      <c r="A1446" s="15" t="s">
        <v>7811</v>
      </c>
      <c r="B1446" s="15" t="s">
        <v>10418</v>
      </c>
      <c r="C1446" s="15" t="s">
        <v>10419</v>
      </c>
      <c r="D1446" s="15">
        <v>1131</v>
      </c>
      <c r="E1446" s="15" t="s">
        <v>7814</v>
      </c>
      <c r="F1446" s="15">
        <v>5</v>
      </c>
      <c r="G1446" s="15" t="s">
        <v>10420</v>
      </c>
      <c r="H1446" s="15"/>
    </row>
    <row r="1447" spans="1:8" ht="60" x14ac:dyDescent="0.25">
      <c r="A1447" s="15" t="s">
        <v>7811</v>
      </c>
      <c r="B1447" s="15" t="s">
        <v>10421</v>
      </c>
      <c r="C1447" s="15" t="s">
        <v>10422</v>
      </c>
      <c r="D1447" s="15">
        <v>1137</v>
      </c>
      <c r="E1447" s="15" t="s">
        <v>7814</v>
      </c>
      <c r="F1447" s="15">
        <v>5</v>
      </c>
      <c r="G1447" s="15" t="s">
        <v>7815</v>
      </c>
      <c r="H1447" s="15"/>
    </row>
    <row r="1448" spans="1:8" ht="60" x14ac:dyDescent="0.25">
      <c r="A1448" s="15" t="s">
        <v>7811</v>
      </c>
      <c r="B1448" s="15" t="s">
        <v>10423</v>
      </c>
      <c r="C1448" s="15" t="s">
        <v>10424</v>
      </c>
      <c r="D1448" s="15">
        <v>367</v>
      </c>
      <c r="E1448" s="15" t="s">
        <v>7838</v>
      </c>
      <c r="F1448" s="15">
        <v>8</v>
      </c>
      <c r="G1448" s="15" t="s">
        <v>7819</v>
      </c>
      <c r="H1448" s="15"/>
    </row>
    <row r="1449" spans="1:8" ht="45" x14ac:dyDescent="0.25">
      <c r="A1449" s="15" t="s">
        <v>7811</v>
      </c>
      <c r="B1449" s="15" t="s">
        <v>10425</v>
      </c>
      <c r="C1449" s="15" t="s">
        <v>10426</v>
      </c>
      <c r="D1449" s="15">
        <v>1582</v>
      </c>
      <c r="E1449" s="15" t="s">
        <v>7818</v>
      </c>
      <c r="F1449" s="15">
        <v>30</v>
      </c>
      <c r="G1449" s="15" t="s">
        <v>7819</v>
      </c>
      <c r="H1449" s="15"/>
    </row>
    <row r="1450" spans="1:8" ht="45" x14ac:dyDescent="0.25">
      <c r="A1450" s="15" t="s">
        <v>7811</v>
      </c>
      <c r="B1450" s="15" t="s">
        <v>10427</v>
      </c>
      <c r="C1450" s="15" t="s">
        <v>10428</v>
      </c>
      <c r="D1450" s="15">
        <v>360</v>
      </c>
      <c r="E1450" s="15" t="s">
        <v>7818</v>
      </c>
      <c r="F1450" s="15">
        <v>35</v>
      </c>
      <c r="G1450" s="15" t="s">
        <v>7819</v>
      </c>
      <c r="H1450" s="15"/>
    </row>
    <row r="1451" spans="1:8" ht="45" x14ac:dyDescent="0.25">
      <c r="A1451" s="15" t="s">
        <v>7811</v>
      </c>
      <c r="B1451" s="15" t="s">
        <v>10429</v>
      </c>
      <c r="C1451" s="15" t="s">
        <v>10430</v>
      </c>
      <c r="D1451" s="15">
        <v>697</v>
      </c>
      <c r="E1451" s="15" t="s">
        <v>7818</v>
      </c>
      <c r="F1451" s="15">
        <v>45</v>
      </c>
      <c r="G1451" s="15" t="s">
        <v>7819</v>
      </c>
      <c r="H1451" s="15"/>
    </row>
    <row r="1452" spans="1:8" ht="90" x14ac:dyDescent="0.25">
      <c r="A1452" s="15" t="s">
        <v>7811</v>
      </c>
      <c r="B1452" s="15" t="s">
        <v>10431</v>
      </c>
      <c r="C1452" s="15" t="s">
        <v>10432</v>
      </c>
      <c r="D1452" s="15">
        <v>700</v>
      </c>
      <c r="E1452" s="15" t="s">
        <v>7814</v>
      </c>
      <c r="F1452" s="15">
        <v>5</v>
      </c>
      <c r="G1452" s="15" t="s">
        <v>10433</v>
      </c>
      <c r="H1452" s="15"/>
    </row>
    <row r="1453" spans="1:8" ht="75" x14ac:dyDescent="0.25">
      <c r="A1453" s="15" t="s">
        <v>7811</v>
      </c>
      <c r="B1453" s="15" t="s">
        <v>10434</v>
      </c>
      <c r="C1453" s="15" t="s">
        <v>10435</v>
      </c>
      <c r="D1453" s="15">
        <v>699</v>
      </c>
      <c r="E1453" s="15" t="s">
        <v>7814</v>
      </c>
      <c r="F1453" s="15">
        <v>5</v>
      </c>
      <c r="G1453" s="15" t="s">
        <v>10436</v>
      </c>
      <c r="H1453" s="15"/>
    </row>
    <row r="1454" spans="1:8" ht="45" x14ac:dyDescent="0.25">
      <c r="A1454" s="15" t="s">
        <v>7811</v>
      </c>
      <c r="B1454" s="15" t="s">
        <v>10437</v>
      </c>
      <c r="C1454" s="15" t="s">
        <v>10438</v>
      </c>
      <c r="D1454" s="15">
        <v>994</v>
      </c>
      <c r="E1454" s="15" t="s">
        <v>7838</v>
      </c>
      <c r="F1454" s="15">
        <v>8</v>
      </c>
      <c r="G1454" s="15" t="s">
        <v>7819</v>
      </c>
      <c r="H1454" s="15"/>
    </row>
    <row r="1455" spans="1:8" ht="45" x14ac:dyDescent="0.25">
      <c r="A1455" s="15" t="s">
        <v>7811</v>
      </c>
      <c r="B1455" s="15" t="s">
        <v>10439</v>
      </c>
      <c r="C1455" s="15" t="s">
        <v>10440</v>
      </c>
      <c r="D1455" s="15">
        <v>991</v>
      </c>
      <c r="E1455" s="15" t="s">
        <v>7838</v>
      </c>
      <c r="F1455" s="15">
        <v>8</v>
      </c>
      <c r="G1455" s="15" t="s">
        <v>7819</v>
      </c>
      <c r="H1455" s="15"/>
    </row>
    <row r="1456" spans="1:8" ht="75" x14ac:dyDescent="0.25">
      <c r="A1456" s="15" t="s">
        <v>7811</v>
      </c>
      <c r="B1456" s="15" t="s">
        <v>10441</v>
      </c>
      <c r="C1456" s="15" t="s">
        <v>10442</v>
      </c>
      <c r="D1456" s="15">
        <v>990</v>
      </c>
      <c r="E1456" s="15" t="s">
        <v>7814</v>
      </c>
      <c r="F1456" s="15">
        <v>5</v>
      </c>
      <c r="G1456" s="15" t="s">
        <v>10443</v>
      </c>
      <c r="H1456" s="15"/>
    </row>
    <row r="1457" spans="1:8" ht="45" x14ac:dyDescent="0.25">
      <c r="A1457" s="15" t="s">
        <v>7811</v>
      </c>
      <c r="B1457" s="15" t="s">
        <v>10444</v>
      </c>
      <c r="C1457" s="15" t="s">
        <v>10445</v>
      </c>
      <c r="D1457" s="15">
        <v>992</v>
      </c>
      <c r="E1457" s="15" t="s">
        <v>7818</v>
      </c>
      <c r="F1457" s="15">
        <v>6</v>
      </c>
      <c r="G1457" s="15" t="s">
        <v>7819</v>
      </c>
      <c r="H1457" s="15"/>
    </row>
    <row r="1458" spans="1:8" ht="75" x14ac:dyDescent="0.25">
      <c r="A1458" s="15" t="s">
        <v>7811</v>
      </c>
      <c r="B1458" s="15" t="s">
        <v>10446</v>
      </c>
      <c r="C1458" s="15" t="s">
        <v>10447</v>
      </c>
      <c r="D1458" s="15">
        <v>362</v>
      </c>
      <c r="E1458" s="15" t="s">
        <v>7814</v>
      </c>
      <c r="F1458" s="15">
        <v>5</v>
      </c>
      <c r="G1458" s="15" t="s">
        <v>8104</v>
      </c>
      <c r="H1458" s="15"/>
    </row>
    <row r="1459" spans="1:8" ht="45" x14ac:dyDescent="0.25">
      <c r="A1459" s="15" t="s">
        <v>7811</v>
      </c>
      <c r="B1459" s="15" t="s">
        <v>10448</v>
      </c>
      <c r="C1459" s="15" t="s">
        <v>10449</v>
      </c>
      <c r="D1459" s="15">
        <v>363</v>
      </c>
      <c r="E1459" s="15" t="s">
        <v>7838</v>
      </c>
      <c r="F1459" s="15">
        <v>8</v>
      </c>
      <c r="G1459" s="15" t="s">
        <v>7819</v>
      </c>
      <c r="H1459" s="15"/>
    </row>
    <row r="1460" spans="1:8" ht="409.5" x14ac:dyDescent="0.25">
      <c r="A1460" s="15" t="s">
        <v>7811</v>
      </c>
      <c r="B1460" s="15" t="s">
        <v>10450</v>
      </c>
      <c r="C1460" s="15" t="s">
        <v>10451</v>
      </c>
      <c r="D1460" s="15">
        <v>2155</v>
      </c>
      <c r="E1460" s="15" t="s">
        <v>7814</v>
      </c>
      <c r="F1460" s="15">
        <v>5</v>
      </c>
      <c r="G1460" s="15" t="s">
        <v>10452</v>
      </c>
      <c r="H1460" s="15"/>
    </row>
    <row r="1461" spans="1:8" ht="45" x14ac:dyDescent="0.25">
      <c r="A1461" s="15" t="s">
        <v>7811</v>
      </c>
      <c r="B1461" s="15" t="s">
        <v>10453</v>
      </c>
      <c r="C1461" s="15" t="s">
        <v>10454</v>
      </c>
      <c r="D1461" s="15">
        <v>870</v>
      </c>
      <c r="E1461" s="15" t="s">
        <v>7859</v>
      </c>
      <c r="F1461" s="15">
        <v>4</v>
      </c>
      <c r="G1461" s="15" t="s">
        <v>7819</v>
      </c>
      <c r="H1461" s="15"/>
    </row>
    <row r="1462" spans="1:8" ht="45" x14ac:dyDescent="0.25">
      <c r="A1462" s="15" t="s">
        <v>7811</v>
      </c>
      <c r="B1462" s="15" t="s">
        <v>10455</v>
      </c>
      <c r="C1462" s="15" t="s">
        <v>10456</v>
      </c>
      <c r="D1462" s="15">
        <v>877</v>
      </c>
      <c r="E1462" s="15" t="s">
        <v>7859</v>
      </c>
      <c r="F1462" s="15">
        <v>4</v>
      </c>
      <c r="G1462" s="15" t="s">
        <v>7819</v>
      </c>
      <c r="H1462" s="15"/>
    </row>
    <row r="1463" spans="1:8" ht="45" x14ac:dyDescent="0.25">
      <c r="A1463" s="15" t="s">
        <v>7811</v>
      </c>
      <c r="B1463" s="15" t="s">
        <v>10457</v>
      </c>
      <c r="C1463" s="15" t="s">
        <v>10458</v>
      </c>
      <c r="D1463" s="15">
        <v>453</v>
      </c>
      <c r="E1463" s="15" t="s">
        <v>7877</v>
      </c>
      <c r="F1463" s="15">
        <v>2.2000000000000002</v>
      </c>
      <c r="G1463" s="15" t="s">
        <v>7819</v>
      </c>
      <c r="H1463" s="15"/>
    </row>
    <row r="1464" spans="1:8" ht="45" x14ac:dyDescent="0.25">
      <c r="A1464" s="15" t="s">
        <v>7811</v>
      </c>
      <c r="B1464" s="15" t="s">
        <v>10459</v>
      </c>
      <c r="C1464" s="15" t="s">
        <v>10460</v>
      </c>
      <c r="D1464" s="15">
        <v>439</v>
      </c>
      <c r="E1464" s="15" t="s">
        <v>7877</v>
      </c>
      <c r="F1464" s="15">
        <v>2.1</v>
      </c>
      <c r="G1464" s="15" t="s">
        <v>7819</v>
      </c>
      <c r="H1464" s="15"/>
    </row>
    <row r="1465" spans="1:8" ht="75" x14ac:dyDescent="0.25">
      <c r="A1465" s="15" t="s">
        <v>7811</v>
      </c>
      <c r="B1465" s="15" t="s">
        <v>10461</v>
      </c>
      <c r="C1465" s="15" t="s">
        <v>10462</v>
      </c>
      <c r="D1465" s="15">
        <v>440</v>
      </c>
      <c r="E1465" s="15" t="s">
        <v>7877</v>
      </c>
      <c r="F1465" s="15">
        <v>2.1</v>
      </c>
      <c r="G1465" s="15" t="s">
        <v>7819</v>
      </c>
      <c r="H1465" s="15"/>
    </row>
    <row r="1466" spans="1:8" ht="45" x14ac:dyDescent="0.25">
      <c r="A1466" s="15" t="s">
        <v>7811</v>
      </c>
      <c r="B1466" s="15" t="s">
        <v>10463</v>
      </c>
      <c r="C1466" s="15" t="s">
        <v>10464</v>
      </c>
      <c r="D1466" s="15">
        <v>1149</v>
      </c>
      <c r="E1466" s="15" t="s">
        <v>7877</v>
      </c>
      <c r="F1466" s="15">
        <v>2.1</v>
      </c>
      <c r="G1466" s="15" t="s">
        <v>7819</v>
      </c>
      <c r="H1466" s="15"/>
    </row>
    <row r="1467" spans="1:8" ht="45" x14ac:dyDescent="0.25">
      <c r="A1467" s="15" t="s">
        <v>7811</v>
      </c>
      <c r="B1467" s="15" t="s">
        <v>10465</v>
      </c>
      <c r="C1467" s="15" t="s">
        <v>10466</v>
      </c>
      <c r="D1467" s="15">
        <v>1436</v>
      </c>
      <c r="E1467" s="15" t="s">
        <v>7859</v>
      </c>
      <c r="F1467" s="15">
        <v>4</v>
      </c>
      <c r="G1467" s="15" t="s">
        <v>7819</v>
      </c>
      <c r="H1467" s="15"/>
    </row>
    <row r="1468" spans="1:8" ht="45" x14ac:dyDescent="0.25">
      <c r="A1468" s="15" t="s">
        <v>7811</v>
      </c>
      <c r="B1468" s="15" t="s">
        <v>10467</v>
      </c>
      <c r="C1468" s="15" t="s">
        <v>10468</v>
      </c>
      <c r="D1468" s="15">
        <v>306</v>
      </c>
      <c r="E1468" s="15" t="s">
        <v>7818</v>
      </c>
      <c r="F1468" s="15">
        <v>15</v>
      </c>
      <c r="G1468" s="15" t="s">
        <v>7819</v>
      </c>
      <c r="H1468" s="15"/>
    </row>
    <row r="1469" spans="1:8" ht="135" x14ac:dyDescent="0.25">
      <c r="A1469" s="15" t="s">
        <v>10469</v>
      </c>
      <c r="B1469" s="15" t="s">
        <v>10470</v>
      </c>
      <c r="C1469" s="15" t="s">
        <v>10471</v>
      </c>
      <c r="D1469" s="15"/>
      <c r="E1469" s="15" t="s">
        <v>10472</v>
      </c>
      <c r="F1469" s="15"/>
      <c r="G1469" s="15" t="s">
        <v>10473</v>
      </c>
      <c r="H1469" s="15"/>
    </row>
    <row r="1470" spans="1:8" ht="409.5" x14ac:dyDescent="0.25">
      <c r="A1470" s="15" t="s">
        <v>10469</v>
      </c>
      <c r="B1470" s="15" t="s">
        <v>10474</v>
      </c>
      <c r="C1470" s="15" t="s">
        <v>10475</v>
      </c>
      <c r="D1470" s="15"/>
      <c r="E1470" s="15" t="s">
        <v>10472</v>
      </c>
      <c r="F1470" s="15"/>
      <c r="G1470" s="15" t="s">
        <v>10476</v>
      </c>
      <c r="H1470" s="15"/>
    </row>
    <row r="1471" spans="1:8" ht="60" x14ac:dyDescent="0.25">
      <c r="A1471" s="15" t="s">
        <v>10469</v>
      </c>
      <c r="B1471" s="15" t="s">
        <v>10477</v>
      </c>
      <c r="C1471" s="15" t="s">
        <v>10478</v>
      </c>
      <c r="D1471" s="15"/>
      <c r="E1471" s="15" t="s">
        <v>10472</v>
      </c>
      <c r="F1471" s="15"/>
      <c r="G1471" s="15" t="s">
        <v>10479</v>
      </c>
      <c r="H1471" s="15"/>
    </row>
    <row r="1472" spans="1:8" ht="30" x14ac:dyDescent="0.25">
      <c r="A1472" s="15" t="s">
        <v>10469</v>
      </c>
      <c r="B1472" s="15" t="s">
        <v>10480</v>
      </c>
      <c r="C1472" s="15" t="s">
        <v>10481</v>
      </c>
      <c r="D1472" s="15"/>
      <c r="E1472" s="15" t="s">
        <v>10472</v>
      </c>
      <c r="F1472" s="15">
        <v>60</v>
      </c>
      <c r="G1472" s="15"/>
      <c r="H1472" s="15"/>
    </row>
    <row r="1473" spans="1:8" ht="180" x14ac:dyDescent="0.25">
      <c r="A1473" s="15" t="s">
        <v>10469</v>
      </c>
      <c r="B1473" s="15" t="s">
        <v>10482</v>
      </c>
      <c r="C1473" s="15" t="s">
        <v>10483</v>
      </c>
      <c r="D1473" s="15"/>
      <c r="E1473" s="15" t="s">
        <v>10472</v>
      </c>
      <c r="F1473" s="15"/>
      <c r="G1473" s="15" t="s">
        <v>10484</v>
      </c>
      <c r="H1473" s="15"/>
    </row>
    <row r="1474" spans="1:8" ht="30" x14ac:dyDescent="0.25">
      <c r="A1474" s="15" t="s">
        <v>10469</v>
      </c>
      <c r="B1474" s="15" t="s">
        <v>10485</v>
      </c>
      <c r="C1474" s="15" t="s">
        <v>10486</v>
      </c>
      <c r="D1474" s="15"/>
      <c r="E1474" s="15" t="s">
        <v>10472</v>
      </c>
      <c r="F1474" s="15">
        <v>60</v>
      </c>
      <c r="G1474" s="15"/>
      <c r="H1474" s="15"/>
    </row>
    <row r="1475" spans="1:8" ht="45" x14ac:dyDescent="0.25">
      <c r="A1475" s="15" t="s">
        <v>10469</v>
      </c>
      <c r="B1475" s="15" t="s">
        <v>10487</v>
      </c>
      <c r="C1475" s="15" t="s">
        <v>10488</v>
      </c>
      <c r="D1475" s="15"/>
      <c r="E1475" s="15" t="s">
        <v>10489</v>
      </c>
      <c r="F1475" s="15"/>
      <c r="G1475" s="15"/>
      <c r="H1475" s="15"/>
    </row>
    <row r="1476" spans="1:8" ht="120" x14ac:dyDescent="0.25">
      <c r="A1476" s="15" t="s">
        <v>10469</v>
      </c>
      <c r="B1476" s="15" t="s">
        <v>10490</v>
      </c>
      <c r="C1476" s="15" t="s">
        <v>10491</v>
      </c>
      <c r="D1476" s="15"/>
      <c r="E1476" s="15" t="s">
        <v>10472</v>
      </c>
      <c r="F1476" s="15"/>
      <c r="G1476" s="15" t="s">
        <v>10492</v>
      </c>
      <c r="H1476" s="15"/>
    </row>
    <row r="1477" spans="1:8" ht="120" x14ac:dyDescent="0.25">
      <c r="A1477" s="15" t="s">
        <v>10469</v>
      </c>
      <c r="B1477" s="15" t="s">
        <v>10493</v>
      </c>
      <c r="C1477" s="15" t="s">
        <v>10494</v>
      </c>
      <c r="D1477" s="15"/>
      <c r="E1477" s="15" t="s">
        <v>10472</v>
      </c>
      <c r="F1477" s="15"/>
      <c r="G1477" s="15" t="s">
        <v>10495</v>
      </c>
      <c r="H1477" s="15"/>
    </row>
    <row r="1478" spans="1:8" ht="60" x14ac:dyDescent="0.25">
      <c r="A1478" s="15" t="s">
        <v>10469</v>
      </c>
      <c r="B1478" s="15" t="s">
        <v>10496</v>
      </c>
      <c r="C1478" s="15" t="s">
        <v>10497</v>
      </c>
      <c r="D1478" s="15"/>
      <c r="E1478" s="15" t="s">
        <v>10472</v>
      </c>
      <c r="F1478" s="15"/>
      <c r="G1478" s="15" t="s">
        <v>10498</v>
      </c>
      <c r="H1478" s="15"/>
    </row>
    <row r="1479" spans="1:8" ht="409.5" x14ac:dyDescent="0.25">
      <c r="A1479" s="15" t="s">
        <v>10469</v>
      </c>
      <c r="B1479" s="15" t="s">
        <v>10499</v>
      </c>
      <c r="C1479" s="15" t="s">
        <v>10500</v>
      </c>
      <c r="D1479" s="15"/>
      <c r="E1479" s="15" t="s">
        <v>10472</v>
      </c>
      <c r="F1479" s="15"/>
      <c r="G1479" s="15" t="s">
        <v>10501</v>
      </c>
      <c r="H1479" s="15"/>
    </row>
    <row r="1480" spans="1:8" x14ac:dyDescent="0.25">
      <c r="A1480" s="15" t="s">
        <v>10469</v>
      </c>
      <c r="B1480" s="15" t="s">
        <v>10502</v>
      </c>
      <c r="C1480" s="15" t="s">
        <v>10503</v>
      </c>
      <c r="D1480" s="15"/>
      <c r="E1480" s="15" t="s">
        <v>10472</v>
      </c>
      <c r="F1480" s="15">
        <v>80</v>
      </c>
      <c r="G1480" s="15"/>
      <c r="H1480" s="15"/>
    </row>
    <row r="1481" spans="1:8" x14ac:dyDescent="0.25">
      <c r="A1481" s="15" t="s">
        <v>10469</v>
      </c>
      <c r="B1481" s="15" t="s">
        <v>10504</v>
      </c>
      <c r="C1481" s="15" t="s">
        <v>10505</v>
      </c>
      <c r="D1481" s="15"/>
      <c r="E1481" s="15" t="s">
        <v>10506</v>
      </c>
      <c r="F1481" s="15"/>
      <c r="G1481" s="15"/>
      <c r="H1481" s="15"/>
    </row>
    <row r="1482" spans="1:8" x14ac:dyDescent="0.25">
      <c r="A1482" s="15" t="s">
        <v>10469</v>
      </c>
      <c r="B1482" s="15" t="s">
        <v>10507</v>
      </c>
      <c r="C1482" s="15" t="s">
        <v>10508</v>
      </c>
      <c r="D1482" s="15"/>
      <c r="E1482" s="15" t="s">
        <v>10509</v>
      </c>
      <c r="F1482" s="15"/>
      <c r="G1482" s="15"/>
      <c r="H1482" s="15"/>
    </row>
    <row r="1483" spans="1:8" ht="135" x14ac:dyDescent="0.25">
      <c r="A1483" s="15" t="s">
        <v>10469</v>
      </c>
      <c r="B1483" s="15" t="s">
        <v>10510</v>
      </c>
      <c r="C1483" s="15" t="s">
        <v>10511</v>
      </c>
      <c r="D1483" s="15"/>
      <c r="E1483" s="15" t="s">
        <v>10472</v>
      </c>
      <c r="F1483" s="15"/>
      <c r="G1483" s="15" t="s">
        <v>10512</v>
      </c>
      <c r="H1483" s="15"/>
    </row>
    <row r="1484" spans="1:8" x14ac:dyDescent="0.25">
      <c r="A1484" s="15" t="s">
        <v>10469</v>
      </c>
      <c r="B1484" s="15" t="s">
        <v>135</v>
      </c>
      <c r="C1484" s="15" t="s">
        <v>10513</v>
      </c>
      <c r="D1484" s="15"/>
      <c r="E1484" s="15" t="s">
        <v>10472</v>
      </c>
      <c r="F1484" s="15">
        <v>60</v>
      </c>
      <c r="G1484" s="15"/>
      <c r="H1484" s="15"/>
    </row>
    <row r="1485" spans="1:8" ht="90" x14ac:dyDescent="0.25">
      <c r="A1485" s="15" t="s">
        <v>10469</v>
      </c>
      <c r="B1485" s="15" t="s">
        <v>10514</v>
      </c>
      <c r="C1485" s="15" t="s">
        <v>10515</v>
      </c>
      <c r="D1485" s="15"/>
      <c r="E1485" s="15" t="s">
        <v>10472</v>
      </c>
      <c r="F1485" s="15"/>
      <c r="G1485" s="15" t="s">
        <v>10516</v>
      </c>
      <c r="H1485" s="15"/>
    </row>
    <row r="1486" spans="1:8" x14ac:dyDescent="0.25">
      <c r="A1486" s="15" t="s">
        <v>10469</v>
      </c>
      <c r="B1486" s="15" t="s">
        <v>10517</v>
      </c>
      <c r="C1486" s="15" t="s">
        <v>10518</v>
      </c>
      <c r="D1486" s="15"/>
      <c r="E1486" s="15" t="s">
        <v>10472</v>
      </c>
      <c r="F1486" s="15">
        <v>60</v>
      </c>
      <c r="G1486" s="15"/>
      <c r="H1486" s="15"/>
    </row>
    <row r="1487" spans="1:8" x14ac:dyDescent="0.25">
      <c r="A1487" s="15" t="s">
        <v>10469</v>
      </c>
      <c r="B1487" s="15" t="s">
        <v>10519</v>
      </c>
      <c r="C1487" s="15" t="s">
        <v>10520</v>
      </c>
      <c r="D1487" s="15"/>
      <c r="E1487" s="15" t="s">
        <v>10521</v>
      </c>
      <c r="F1487" s="15"/>
      <c r="G1487" s="15"/>
      <c r="H1487" s="15"/>
    </row>
    <row r="1488" spans="1:8" ht="60" x14ac:dyDescent="0.25">
      <c r="A1488" s="15" t="s">
        <v>10469</v>
      </c>
      <c r="B1488" s="15" t="s">
        <v>10522</v>
      </c>
      <c r="C1488" s="15" t="s">
        <v>10523</v>
      </c>
      <c r="D1488" s="15"/>
      <c r="E1488" s="15" t="s">
        <v>10472</v>
      </c>
      <c r="F1488" s="15"/>
      <c r="G1488" s="15" t="s">
        <v>10479</v>
      </c>
      <c r="H1488" s="15"/>
    </row>
    <row r="1489" spans="1:8" ht="120" x14ac:dyDescent="0.25">
      <c r="A1489" s="15" t="s">
        <v>10469</v>
      </c>
      <c r="B1489" s="15" t="s">
        <v>10524</v>
      </c>
      <c r="C1489" s="15" t="s">
        <v>10525</v>
      </c>
      <c r="D1489" s="15"/>
      <c r="E1489" s="15" t="s">
        <v>10472</v>
      </c>
      <c r="F1489" s="15"/>
      <c r="G1489" s="15" t="s">
        <v>10526</v>
      </c>
      <c r="H1489" s="15"/>
    </row>
    <row r="1490" spans="1:8" x14ac:dyDescent="0.25">
      <c r="A1490" s="15" t="s">
        <v>10469</v>
      </c>
      <c r="B1490" s="15" t="s">
        <v>10527</v>
      </c>
      <c r="C1490" s="15" t="s">
        <v>10528</v>
      </c>
      <c r="D1490" s="15"/>
      <c r="E1490" s="15" t="s">
        <v>10472</v>
      </c>
      <c r="F1490" s="15">
        <v>20</v>
      </c>
      <c r="G1490" s="15"/>
      <c r="H1490" s="15"/>
    </row>
    <row r="1491" spans="1:8" ht="30" x14ac:dyDescent="0.25">
      <c r="A1491" s="15" t="s">
        <v>10469</v>
      </c>
      <c r="B1491" s="15" t="s">
        <v>10529</v>
      </c>
      <c r="C1491" s="15" t="s">
        <v>10530</v>
      </c>
      <c r="D1491" s="15"/>
      <c r="E1491" s="15" t="s">
        <v>10472</v>
      </c>
      <c r="F1491" s="15"/>
      <c r="G1491" s="15"/>
      <c r="H1491" s="15"/>
    </row>
    <row r="1492" spans="1:8" ht="60" x14ac:dyDescent="0.25">
      <c r="A1492" s="15" t="s">
        <v>10469</v>
      </c>
      <c r="B1492" s="15" t="s">
        <v>10531</v>
      </c>
      <c r="C1492" s="15" t="s">
        <v>10532</v>
      </c>
      <c r="D1492" s="15"/>
      <c r="E1492" s="15" t="s">
        <v>10472</v>
      </c>
      <c r="F1492" s="15"/>
      <c r="G1492" s="15" t="s">
        <v>10533</v>
      </c>
      <c r="H1492" s="15"/>
    </row>
    <row r="1493" spans="1:8" ht="30" x14ac:dyDescent="0.25">
      <c r="A1493" s="15" t="s">
        <v>10469</v>
      </c>
      <c r="B1493" s="15" t="s">
        <v>10534</v>
      </c>
      <c r="C1493" s="15" t="s">
        <v>10535</v>
      </c>
      <c r="D1493" s="15"/>
      <c r="E1493" s="15" t="s">
        <v>10472</v>
      </c>
      <c r="F1493" s="15"/>
      <c r="G1493" s="15"/>
      <c r="H1493" s="15"/>
    </row>
    <row r="1494" spans="1:8" ht="30" x14ac:dyDescent="0.25">
      <c r="A1494" s="15" t="s">
        <v>10469</v>
      </c>
      <c r="B1494" s="15" t="s">
        <v>10536</v>
      </c>
      <c r="C1494" s="15" t="s">
        <v>10537</v>
      </c>
      <c r="D1494" s="15"/>
      <c r="E1494" s="15" t="s">
        <v>10538</v>
      </c>
      <c r="F1494" s="15"/>
      <c r="G1494" s="15"/>
      <c r="H1494" s="15"/>
    </row>
    <row r="1495" spans="1:8" ht="30" x14ac:dyDescent="0.25">
      <c r="A1495" s="15" t="s">
        <v>10469</v>
      </c>
      <c r="B1495" s="15" t="s">
        <v>10539</v>
      </c>
      <c r="C1495" s="15" t="s">
        <v>10540</v>
      </c>
      <c r="D1495" s="15"/>
      <c r="E1495" s="15" t="s">
        <v>10489</v>
      </c>
      <c r="F1495" s="15"/>
      <c r="G1495" s="15"/>
      <c r="H1495" s="15"/>
    </row>
    <row r="1496" spans="1:8" ht="315" x14ac:dyDescent="0.25">
      <c r="A1496" s="15" t="s">
        <v>10469</v>
      </c>
      <c r="B1496" s="15" t="s">
        <v>10541</v>
      </c>
      <c r="C1496" s="15" t="s">
        <v>10542</v>
      </c>
      <c r="D1496" s="15"/>
      <c r="E1496" s="15" t="s">
        <v>10472</v>
      </c>
      <c r="F1496" s="15"/>
      <c r="G1496" s="15" t="s">
        <v>10543</v>
      </c>
      <c r="H1496" s="15"/>
    </row>
    <row r="1497" spans="1:8" x14ac:dyDescent="0.25">
      <c r="A1497" s="15" t="s">
        <v>10469</v>
      </c>
      <c r="B1497" s="15" t="s">
        <v>10544</v>
      </c>
      <c r="C1497" s="15" t="s">
        <v>10545</v>
      </c>
      <c r="D1497" s="15"/>
      <c r="E1497" s="15" t="s">
        <v>10472</v>
      </c>
      <c r="F1497" s="15">
        <v>500</v>
      </c>
      <c r="G1497" s="15"/>
      <c r="H1497" s="15"/>
    </row>
    <row r="1498" spans="1:8" ht="60" x14ac:dyDescent="0.25">
      <c r="A1498" s="15" t="s">
        <v>10469</v>
      </c>
      <c r="B1498" s="15" t="s">
        <v>10546</v>
      </c>
      <c r="C1498" s="15" t="s">
        <v>10547</v>
      </c>
      <c r="D1498" s="15"/>
      <c r="E1498" s="15" t="s">
        <v>10472</v>
      </c>
      <c r="F1498" s="15"/>
      <c r="G1498" s="15" t="s">
        <v>10479</v>
      </c>
      <c r="H1498" s="15"/>
    </row>
    <row r="1499" spans="1:8" ht="60" x14ac:dyDescent="0.25">
      <c r="A1499" s="15" t="s">
        <v>10469</v>
      </c>
      <c r="B1499" s="15" t="s">
        <v>10548</v>
      </c>
      <c r="C1499" s="15" t="s">
        <v>10549</v>
      </c>
      <c r="D1499" s="15"/>
      <c r="E1499" s="15" t="s">
        <v>10472</v>
      </c>
      <c r="F1499" s="15"/>
      <c r="G1499" s="15" t="s">
        <v>10550</v>
      </c>
      <c r="H1499" s="15"/>
    </row>
    <row r="1500" spans="1:8" ht="30" x14ac:dyDescent="0.25">
      <c r="A1500" s="15" t="s">
        <v>10469</v>
      </c>
      <c r="B1500" s="15" t="s">
        <v>10551</v>
      </c>
      <c r="C1500" s="15" t="s">
        <v>10552</v>
      </c>
      <c r="D1500" s="15"/>
      <c r="E1500" s="15" t="s">
        <v>10521</v>
      </c>
      <c r="F1500" s="15"/>
      <c r="G1500" s="15"/>
      <c r="H1500" s="15"/>
    </row>
    <row r="1501" spans="1:8" ht="30" x14ac:dyDescent="0.25">
      <c r="A1501" s="15" t="s">
        <v>10469</v>
      </c>
      <c r="B1501" s="15" t="s">
        <v>10553</v>
      </c>
      <c r="C1501" s="15" t="s">
        <v>10554</v>
      </c>
      <c r="D1501" s="15"/>
      <c r="E1501" s="15" t="s">
        <v>10472</v>
      </c>
      <c r="F1501" s="15">
        <v>6</v>
      </c>
      <c r="G1501" s="15"/>
      <c r="H1501" s="15"/>
    </row>
    <row r="1502" spans="1:8" ht="90" x14ac:dyDescent="0.25">
      <c r="A1502" s="15" t="s">
        <v>10469</v>
      </c>
      <c r="B1502" s="15" t="s">
        <v>10555</v>
      </c>
      <c r="C1502" s="15" t="s">
        <v>10556</v>
      </c>
      <c r="D1502" s="15"/>
      <c r="E1502" s="15" t="s">
        <v>10472</v>
      </c>
      <c r="F1502" s="15"/>
      <c r="G1502" s="15" t="s">
        <v>10557</v>
      </c>
      <c r="H1502" s="15"/>
    </row>
    <row r="1503" spans="1:8" ht="30" x14ac:dyDescent="0.25">
      <c r="A1503" s="15" t="s">
        <v>10469</v>
      </c>
      <c r="B1503" s="15" t="s">
        <v>10558</v>
      </c>
      <c r="C1503" s="15" t="s">
        <v>10559</v>
      </c>
      <c r="D1503" s="15"/>
      <c r="E1503" s="15" t="s">
        <v>10472</v>
      </c>
      <c r="F1503" s="15">
        <v>45</v>
      </c>
      <c r="G1503" s="15"/>
      <c r="H1503" s="15"/>
    </row>
    <row r="1504" spans="1:8" x14ac:dyDescent="0.25">
      <c r="A1504" s="15" t="s">
        <v>10469</v>
      </c>
      <c r="B1504" s="15" t="s">
        <v>10560</v>
      </c>
      <c r="C1504" s="15" t="s">
        <v>10561</v>
      </c>
      <c r="D1504" s="15"/>
      <c r="E1504" s="15" t="s">
        <v>10521</v>
      </c>
      <c r="F1504" s="15"/>
      <c r="G1504" s="15"/>
      <c r="H1504" s="15"/>
    </row>
    <row r="1505" spans="1:8" ht="30" x14ac:dyDescent="0.25">
      <c r="A1505" s="15" t="s">
        <v>10469</v>
      </c>
      <c r="B1505" s="15" t="s">
        <v>10562</v>
      </c>
      <c r="C1505" s="15" t="s">
        <v>10563</v>
      </c>
      <c r="D1505" s="15"/>
      <c r="E1505" s="15" t="s">
        <v>10472</v>
      </c>
      <c r="F1505" s="15">
        <v>60</v>
      </c>
      <c r="G1505" s="15"/>
      <c r="H1505" s="15"/>
    </row>
    <row r="1506" spans="1:8" ht="105" x14ac:dyDescent="0.25">
      <c r="A1506" s="15" t="s">
        <v>10469</v>
      </c>
      <c r="B1506" s="15" t="s">
        <v>10564</v>
      </c>
      <c r="C1506" s="15" t="s">
        <v>10565</v>
      </c>
      <c r="D1506" s="15"/>
      <c r="E1506" s="15" t="s">
        <v>10472</v>
      </c>
      <c r="F1506" s="15"/>
      <c r="G1506" s="15" t="s">
        <v>10566</v>
      </c>
      <c r="H1506" s="15"/>
    </row>
    <row r="1507" spans="1:8" ht="30" x14ac:dyDescent="0.25">
      <c r="A1507" s="15" t="s">
        <v>10469</v>
      </c>
      <c r="B1507" s="15" t="s">
        <v>10567</v>
      </c>
      <c r="C1507" s="15" t="s">
        <v>10568</v>
      </c>
      <c r="D1507" s="15"/>
      <c r="E1507" s="15" t="s">
        <v>10509</v>
      </c>
      <c r="F1507" s="15"/>
      <c r="G1507" s="15"/>
      <c r="H1507" s="15"/>
    </row>
    <row r="1508" spans="1:8" ht="105" x14ac:dyDescent="0.25">
      <c r="A1508" s="15" t="s">
        <v>10469</v>
      </c>
      <c r="B1508" s="15" t="s">
        <v>10569</v>
      </c>
      <c r="C1508" s="15" t="s">
        <v>10570</v>
      </c>
      <c r="D1508" s="15"/>
      <c r="E1508" s="15" t="s">
        <v>10472</v>
      </c>
      <c r="F1508" s="15"/>
      <c r="G1508" s="15" t="s">
        <v>10571</v>
      </c>
      <c r="H1508" s="15"/>
    </row>
    <row r="1509" spans="1:8" x14ac:dyDescent="0.25">
      <c r="A1509" s="15" t="s">
        <v>10469</v>
      </c>
      <c r="B1509" s="15" t="s">
        <v>10572</v>
      </c>
      <c r="C1509" s="15" t="s">
        <v>10573</v>
      </c>
      <c r="D1509" s="15"/>
      <c r="E1509" s="15" t="s">
        <v>10472</v>
      </c>
      <c r="F1509" s="15">
        <v>40</v>
      </c>
      <c r="G1509" s="15"/>
      <c r="H1509" s="15"/>
    </row>
    <row r="1510" spans="1:8" x14ac:dyDescent="0.25">
      <c r="A1510" s="15" t="s">
        <v>10469</v>
      </c>
      <c r="B1510" s="15" t="s">
        <v>10574</v>
      </c>
      <c r="C1510" s="15" t="s">
        <v>10575</v>
      </c>
      <c r="D1510" s="15"/>
      <c r="E1510" s="15" t="s">
        <v>10472</v>
      </c>
      <c r="F1510" s="15">
        <v>4</v>
      </c>
      <c r="G1510" s="15"/>
      <c r="H1510" s="15"/>
    </row>
    <row r="1511" spans="1:8" ht="45" x14ac:dyDescent="0.25">
      <c r="A1511" s="15" t="s">
        <v>10469</v>
      </c>
      <c r="B1511" s="15" t="s">
        <v>10576</v>
      </c>
      <c r="C1511" s="15" t="s">
        <v>10577</v>
      </c>
      <c r="D1511" s="15"/>
      <c r="E1511" s="15" t="s">
        <v>10472</v>
      </c>
      <c r="F1511" s="15">
        <v>12</v>
      </c>
      <c r="G1511" s="15"/>
      <c r="H1511" s="15"/>
    </row>
    <row r="1512" spans="1:8" ht="30" x14ac:dyDescent="0.25">
      <c r="A1512" s="15" t="s">
        <v>10469</v>
      </c>
      <c r="B1512" s="15" t="s">
        <v>10578</v>
      </c>
      <c r="C1512" s="15" t="s">
        <v>10579</v>
      </c>
      <c r="D1512" s="15"/>
      <c r="E1512" s="15" t="s">
        <v>10472</v>
      </c>
      <c r="F1512" s="15">
        <v>6</v>
      </c>
      <c r="G1512" s="15"/>
      <c r="H1512" s="15"/>
    </row>
    <row r="1513" spans="1:8" ht="30" x14ac:dyDescent="0.25">
      <c r="A1513" s="15" t="s">
        <v>10469</v>
      </c>
      <c r="B1513" s="15" t="s">
        <v>10580</v>
      </c>
      <c r="C1513" s="15" t="s">
        <v>10581</v>
      </c>
      <c r="D1513" s="15"/>
      <c r="E1513" s="15" t="s">
        <v>10521</v>
      </c>
      <c r="F1513" s="15"/>
      <c r="G1513" s="15"/>
      <c r="H1513" s="15"/>
    </row>
    <row r="1514" spans="1:8" ht="30" x14ac:dyDescent="0.25">
      <c r="A1514" s="15" t="s">
        <v>10469</v>
      </c>
      <c r="B1514" s="15" t="s">
        <v>10582</v>
      </c>
      <c r="C1514" s="15" t="s">
        <v>10583</v>
      </c>
      <c r="D1514" s="15"/>
      <c r="E1514" s="15" t="s">
        <v>10472</v>
      </c>
      <c r="F1514" s="15">
        <v>11</v>
      </c>
      <c r="G1514" s="15"/>
      <c r="H1514" s="15"/>
    </row>
    <row r="1515" spans="1:8" ht="30" x14ac:dyDescent="0.25">
      <c r="A1515" s="15" t="s">
        <v>10469</v>
      </c>
      <c r="B1515" s="15" t="s">
        <v>10584</v>
      </c>
      <c r="C1515" s="15" t="s">
        <v>10585</v>
      </c>
      <c r="D1515" s="15"/>
      <c r="E1515" s="15" t="s">
        <v>10521</v>
      </c>
      <c r="F1515" s="15"/>
      <c r="G1515" s="15"/>
      <c r="H1515" s="15"/>
    </row>
    <row r="1516" spans="1:8" ht="45" x14ac:dyDescent="0.25">
      <c r="A1516" s="15" t="s">
        <v>10469</v>
      </c>
      <c r="B1516" s="15" t="s">
        <v>10586</v>
      </c>
      <c r="C1516" s="15" t="s">
        <v>10587</v>
      </c>
      <c r="D1516" s="15"/>
      <c r="E1516" s="15" t="s">
        <v>10472</v>
      </c>
      <c r="F1516" s="15">
        <v>60</v>
      </c>
      <c r="G1516" s="15"/>
      <c r="H1516" s="15"/>
    </row>
    <row r="1517" spans="1:8" ht="30" x14ac:dyDescent="0.25">
      <c r="A1517" s="15" t="s">
        <v>10469</v>
      </c>
      <c r="B1517" s="15" t="s">
        <v>10588</v>
      </c>
      <c r="C1517" s="15" t="s">
        <v>10589</v>
      </c>
      <c r="D1517" s="15"/>
      <c r="E1517" s="15" t="s">
        <v>10472</v>
      </c>
      <c r="F1517" s="15">
        <v>20</v>
      </c>
      <c r="G1517" s="15"/>
      <c r="H1517" s="15"/>
    </row>
    <row r="1518" spans="1:8" ht="30" x14ac:dyDescent="0.25">
      <c r="A1518" s="15" t="s">
        <v>10469</v>
      </c>
      <c r="B1518" s="15" t="s">
        <v>10590</v>
      </c>
      <c r="C1518" s="15" t="s">
        <v>10591</v>
      </c>
      <c r="D1518" s="15"/>
      <c r="E1518" s="15" t="s">
        <v>10472</v>
      </c>
      <c r="F1518" s="15">
        <v>80</v>
      </c>
      <c r="G1518" s="15"/>
      <c r="H1518" s="15"/>
    </row>
    <row r="1519" spans="1:8" ht="409.5" x14ac:dyDescent="0.25">
      <c r="A1519" s="25" t="s">
        <v>10469</v>
      </c>
      <c r="B1519" s="25" t="s">
        <v>10592</v>
      </c>
      <c r="C1519" s="25" t="s">
        <v>10593</v>
      </c>
      <c r="D1519" s="25"/>
      <c r="E1519" s="25" t="s">
        <v>10472</v>
      </c>
      <c r="F1519" s="25"/>
      <c r="G1519" s="8" t="s">
        <v>11388</v>
      </c>
      <c r="H1519" s="25"/>
    </row>
    <row r="1520" spans="1:8" ht="409.5" x14ac:dyDescent="0.25">
      <c r="A1520" s="26"/>
      <c r="B1520" s="26"/>
      <c r="C1520" s="26"/>
      <c r="D1520" s="26"/>
      <c r="E1520" s="26"/>
      <c r="F1520" s="26"/>
      <c r="G1520" s="8" t="s">
        <v>11389</v>
      </c>
      <c r="H1520" s="26"/>
    </row>
    <row r="1521" spans="1:8" ht="330" x14ac:dyDescent="0.25">
      <c r="A1521" s="15" t="s">
        <v>10469</v>
      </c>
      <c r="B1521" s="15" t="s">
        <v>10594</v>
      </c>
      <c r="C1521" s="15" t="s">
        <v>10595</v>
      </c>
      <c r="D1521" s="15"/>
      <c r="E1521" s="15" t="s">
        <v>10472</v>
      </c>
      <c r="F1521" s="15"/>
      <c r="G1521" s="15" t="s">
        <v>10596</v>
      </c>
      <c r="H1521" s="15"/>
    </row>
    <row r="1522" spans="1:8" ht="30" x14ac:dyDescent="0.25">
      <c r="A1522" s="15" t="s">
        <v>10469</v>
      </c>
      <c r="B1522" s="15" t="s">
        <v>10597</v>
      </c>
      <c r="C1522" s="15" t="s">
        <v>10598</v>
      </c>
      <c r="D1522" s="15"/>
      <c r="E1522" s="15" t="s">
        <v>10472</v>
      </c>
      <c r="F1522" s="15"/>
      <c r="G1522" s="15"/>
      <c r="H1522" s="15"/>
    </row>
    <row r="1523" spans="1:8" x14ac:dyDescent="0.25">
      <c r="A1523" s="15" t="s">
        <v>10469</v>
      </c>
      <c r="B1523" s="15" t="s">
        <v>10599</v>
      </c>
      <c r="C1523" s="15" t="s">
        <v>10600</v>
      </c>
      <c r="D1523" s="15"/>
      <c r="E1523" s="15" t="s">
        <v>10521</v>
      </c>
      <c r="F1523" s="15"/>
      <c r="G1523" s="15"/>
      <c r="H1523" s="15"/>
    </row>
    <row r="1524" spans="1:8" x14ac:dyDescent="0.25">
      <c r="A1524" s="15" t="s">
        <v>10469</v>
      </c>
      <c r="B1524" s="15" t="s">
        <v>10601</v>
      </c>
      <c r="C1524" s="15" t="s">
        <v>10602</v>
      </c>
      <c r="D1524" s="15"/>
      <c r="E1524" s="15" t="s">
        <v>10472</v>
      </c>
      <c r="F1524" s="15">
        <v>60</v>
      </c>
      <c r="G1524" s="15"/>
      <c r="H1524" s="15"/>
    </row>
    <row r="1525" spans="1:8" ht="105" x14ac:dyDescent="0.25">
      <c r="A1525" s="15" t="s">
        <v>10469</v>
      </c>
      <c r="B1525" s="15" t="s">
        <v>10603</v>
      </c>
      <c r="C1525" s="15" t="s">
        <v>10604</v>
      </c>
      <c r="D1525" s="15"/>
      <c r="E1525" s="15" t="s">
        <v>10472</v>
      </c>
      <c r="F1525" s="15"/>
      <c r="G1525" s="15" t="s">
        <v>10605</v>
      </c>
      <c r="H1525" s="15"/>
    </row>
    <row r="1526" spans="1:8" x14ac:dyDescent="0.25">
      <c r="A1526" s="15" t="s">
        <v>10469</v>
      </c>
      <c r="B1526" s="15" t="s">
        <v>10606</v>
      </c>
      <c r="C1526" s="15" t="s">
        <v>10607</v>
      </c>
      <c r="D1526" s="15"/>
      <c r="E1526" s="15" t="s">
        <v>10472</v>
      </c>
      <c r="F1526" s="15">
        <v>60</v>
      </c>
      <c r="G1526" s="15"/>
      <c r="H1526" s="15"/>
    </row>
    <row r="1527" spans="1:8" ht="255" x14ac:dyDescent="0.25">
      <c r="A1527" s="15" t="s">
        <v>10469</v>
      </c>
      <c r="B1527" s="15" t="s">
        <v>1962</v>
      </c>
      <c r="C1527" s="15" t="s">
        <v>10608</v>
      </c>
      <c r="D1527" s="15"/>
      <c r="E1527" s="15" t="s">
        <v>10472</v>
      </c>
      <c r="F1527" s="15"/>
      <c r="G1527" s="15" t="s">
        <v>10609</v>
      </c>
      <c r="H1527" s="15"/>
    </row>
    <row r="1528" spans="1:8" ht="30" x14ac:dyDescent="0.25">
      <c r="A1528" s="15" t="s">
        <v>10469</v>
      </c>
      <c r="B1528" s="15" t="s">
        <v>10610</v>
      </c>
      <c r="C1528" s="15" t="s">
        <v>10611</v>
      </c>
      <c r="D1528" s="15"/>
      <c r="E1528" s="15" t="s">
        <v>10472</v>
      </c>
      <c r="F1528" s="15">
        <v>10</v>
      </c>
      <c r="G1528" s="15"/>
      <c r="H1528" s="15"/>
    </row>
    <row r="1529" spans="1:8" ht="30" x14ac:dyDescent="0.25">
      <c r="A1529" s="15" t="s">
        <v>10469</v>
      </c>
      <c r="B1529" s="15" t="s">
        <v>10612</v>
      </c>
      <c r="C1529" s="15" t="s">
        <v>1954</v>
      </c>
      <c r="D1529" s="15"/>
      <c r="E1529" s="15" t="s">
        <v>10472</v>
      </c>
      <c r="F1529" s="15">
        <v>3</v>
      </c>
      <c r="G1529" s="15"/>
      <c r="H1529" s="15"/>
    </row>
    <row r="1530" spans="1:8" ht="270" x14ac:dyDescent="0.25">
      <c r="A1530" s="15" t="s">
        <v>10469</v>
      </c>
      <c r="B1530" s="15" t="s">
        <v>10613</v>
      </c>
      <c r="C1530" s="15" t="s">
        <v>10614</v>
      </c>
      <c r="D1530" s="15"/>
      <c r="E1530" s="15" t="s">
        <v>10472</v>
      </c>
      <c r="F1530" s="15"/>
      <c r="G1530" s="15" t="s">
        <v>10615</v>
      </c>
      <c r="H1530" s="15"/>
    </row>
    <row r="1531" spans="1:8" ht="90" x14ac:dyDescent="0.25">
      <c r="A1531" s="15" t="s">
        <v>10469</v>
      </c>
      <c r="B1531" s="15" t="s">
        <v>10616</v>
      </c>
      <c r="C1531" s="15" t="s">
        <v>10617</v>
      </c>
      <c r="D1531" s="15"/>
      <c r="E1531" s="15" t="s">
        <v>10472</v>
      </c>
      <c r="F1531" s="15"/>
      <c r="G1531" s="15" t="s">
        <v>10618</v>
      </c>
      <c r="H1531" s="15"/>
    </row>
    <row r="1532" spans="1:8" ht="285" x14ac:dyDescent="0.25">
      <c r="A1532" s="15" t="s">
        <v>10469</v>
      </c>
      <c r="B1532" s="15" t="s">
        <v>10619</v>
      </c>
      <c r="C1532" s="15" t="s">
        <v>1989</v>
      </c>
      <c r="D1532" s="15"/>
      <c r="E1532" s="15" t="s">
        <v>10472</v>
      </c>
      <c r="F1532" s="15"/>
      <c r="G1532" s="15" t="s">
        <v>10620</v>
      </c>
      <c r="H1532" s="15"/>
    </row>
    <row r="1533" spans="1:8" ht="300" x14ac:dyDescent="0.25">
      <c r="A1533" s="15" t="s">
        <v>10469</v>
      </c>
      <c r="B1533" s="15" t="s">
        <v>10621</v>
      </c>
      <c r="C1533" s="15" t="s">
        <v>1993</v>
      </c>
      <c r="D1533" s="15"/>
      <c r="E1533" s="15" t="s">
        <v>10472</v>
      </c>
      <c r="F1533" s="15"/>
      <c r="G1533" s="15" t="s">
        <v>10622</v>
      </c>
      <c r="H1533" s="15"/>
    </row>
    <row r="1534" spans="1:8" ht="315" x14ac:dyDescent="0.25">
      <c r="A1534" s="15" t="s">
        <v>10469</v>
      </c>
      <c r="B1534" s="15" t="s">
        <v>10623</v>
      </c>
      <c r="C1534" s="15" t="s">
        <v>10624</v>
      </c>
      <c r="D1534" s="15"/>
      <c r="E1534" s="15" t="s">
        <v>10472</v>
      </c>
      <c r="F1534" s="15"/>
      <c r="G1534" s="15" t="s">
        <v>10625</v>
      </c>
      <c r="H1534" s="15"/>
    </row>
    <row r="1535" spans="1:8" ht="60" x14ac:dyDescent="0.25">
      <c r="A1535" s="15" t="s">
        <v>10469</v>
      </c>
      <c r="B1535" s="15" t="s">
        <v>10626</v>
      </c>
      <c r="C1535" s="15" t="s">
        <v>10627</v>
      </c>
      <c r="D1535" s="15"/>
      <c r="E1535" s="15" t="s">
        <v>10472</v>
      </c>
      <c r="F1535" s="15"/>
      <c r="G1535" s="15" t="s">
        <v>10498</v>
      </c>
      <c r="H1535" s="15"/>
    </row>
    <row r="1536" spans="1:8" ht="120" x14ac:dyDescent="0.25">
      <c r="A1536" s="15" t="s">
        <v>10469</v>
      </c>
      <c r="B1536" s="15" t="s">
        <v>10628</v>
      </c>
      <c r="C1536" s="15" t="s">
        <v>10629</v>
      </c>
      <c r="D1536" s="15"/>
      <c r="E1536" s="15" t="s">
        <v>10472</v>
      </c>
      <c r="F1536" s="15"/>
      <c r="G1536" s="15" t="s">
        <v>10630</v>
      </c>
      <c r="H1536" s="15"/>
    </row>
    <row r="1537" spans="1:8" ht="165" x14ac:dyDescent="0.25">
      <c r="A1537" s="15" t="s">
        <v>10469</v>
      </c>
      <c r="B1537" s="15" t="s">
        <v>10631</v>
      </c>
      <c r="C1537" s="15" t="s">
        <v>1997</v>
      </c>
      <c r="D1537" s="15"/>
      <c r="E1537" s="15" t="s">
        <v>10472</v>
      </c>
      <c r="F1537" s="15"/>
      <c r="G1537" s="15" t="s">
        <v>10632</v>
      </c>
      <c r="H1537" s="15"/>
    </row>
    <row r="1538" spans="1:8" ht="60" x14ac:dyDescent="0.25">
      <c r="A1538" s="15" t="s">
        <v>10469</v>
      </c>
      <c r="B1538" s="15" t="s">
        <v>10633</v>
      </c>
      <c r="C1538" s="15" t="s">
        <v>10634</v>
      </c>
      <c r="D1538" s="15"/>
      <c r="E1538" s="15" t="s">
        <v>10472</v>
      </c>
      <c r="F1538" s="15"/>
      <c r="G1538" s="15" t="s">
        <v>10550</v>
      </c>
      <c r="H1538" s="15"/>
    </row>
    <row r="1539" spans="1:8" ht="30" x14ac:dyDescent="0.25">
      <c r="A1539" s="15" t="s">
        <v>10469</v>
      </c>
      <c r="B1539" s="15" t="s">
        <v>10635</v>
      </c>
      <c r="C1539" s="15" t="s">
        <v>10636</v>
      </c>
      <c r="D1539" s="15"/>
      <c r="E1539" s="15" t="s">
        <v>10489</v>
      </c>
      <c r="F1539" s="15"/>
      <c r="G1539" s="15"/>
      <c r="H1539" s="15"/>
    </row>
    <row r="1540" spans="1:8" ht="409.5" x14ac:dyDescent="0.25">
      <c r="A1540" s="15" t="s">
        <v>10469</v>
      </c>
      <c r="B1540" s="15" t="s">
        <v>10637</v>
      </c>
      <c r="C1540" s="15" t="s">
        <v>10638</v>
      </c>
      <c r="D1540" s="15"/>
      <c r="E1540" s="15" t="s">
        <v>10472</v>
      </c>
      <c r="F1540" s="15"/>
      <c r="G1540" s="15" t="s">
        <v>10639</v>
      </c>
      <c r="H1540" s="15"/>
    </row>
    <row r="1541" spans="1:8" ht="409.5" x14ac:dyDescent="0.25">
      <c r="A1541" s="15" t="s">
        <v>10469</v>
      </c>
      <c r="B1541" s="15" t="s">
        <v>10640</v>
      </c>
      <c r="C1541" s="15" t="s">
        <v>10641</v>
      </c>
      <c r="D1541" s="15"/>
      <c r="E1541" s="15" t="s">
        <v>10472</v>
      </c>
      <c r="F1541" s="15"/>
      <c r="G1541" s="15" t="s">
        <v>10642</v>
      </c>
      <c r="H1541" s="15"/>
    </row>
    <row r="1542" spans="1:8" ht="60" x14ac:dyDescent="0.25">
      <c r="A1542" s="15" t="s">
        <v>10469</v>
      </c>
      <c r="B1542" s="15" t="s">
        <v>10643</v>
      </c>
      <c r="C1542" s="15" t="s">
        <v>10644</v>
      </c>
      <c r="D1542" s="15"/>
      <c r="E1542" s="15" t="s">
        <v>10472</v>
      </c>
      <c r="F1542" s="15"/>
      <c r="G1542" s="15" t="s">
        <v>10645</v>
      </c>
      <c r="H1542" s="15"/>
    </row>
    <row r="1543" spans="1:8" ht="60" x14ac:dyDescent="0.25">
      <c r="A1543" s="15" t="s">
        <v>10469</v>
      </c>
      <c r="B1543" s="15" t="s">
        <v>10646</v>
      </c>
      <c r="C1543" s="15" t="s">
        <v>10647</v>
      </c>
      <c r="D1543" s="15"/>
      <c r="E1543" s="15" t="s">
        <v>10472</v>
      </c>
      <c r="F1543" s="15"/>
      <c r="G1543" s="15" t="s">
        <v>10648</v>
      </c>
      <c r="H1543" s="15"/>
    </row>
    <row r="1544" spans="1:8" x14ac:dyDescent="0.25">
      <c r="A1544" s="15" t="s">
        <v>10469</v>
      </c>
      <c r="B1544" s="15" t="s">
        <v>10649</v>
      </c>
      <c r="C1544" s="15" t="s">
        <v>10650</v>
      </c>
      <c r="D1544" s="15"/>
      <c r="E1544" s="15" t="s">
        <v>10521</v>
      </c>
      <c r="F1544" s="15"/>
      <c r="G1544" s="15"/>
      <c r="H1544" s="15"/>
    </row>
    <row r="1545" spans="1:8" ht="30" x14ac:dyDescent="0.25">
      <c r="A1545" s="15" t="s">
        <v>10469</v>
      </c>
      <c r="B1545" s="15" t="s">
        <v>10651</v>
      </c>
      <c r="C1545" s="15" t="s">
        <v>10652</v>
      </c>
      <c r="D1545" s="15"/>
      <c r="E1545" s="15" t="s">
        <v>10472</v>
      </c>
      <c r="F1545" s="15">
        <v>20</v>
      </c>
      <c r="G1545" s="15"/>
      <c r="H1545" s="15"/>
    </row>
    <row r="1546" spans="1:8" ht="90" x14ac:dyDescent="0.25">
      <c r="A1546" s="15" t="s">
        <v>10469</v>
      </c>
      <c r="B1546" s="15" t="s">
        <v>10653</v>
      </c>
      <c r="C1546" s="15" t="s">
        <v>10654</v>
      </c>
      <c r="D1546" s="15"/>
      <c r="E1546" s="15" t="s">
        <v>10472</v>
      </c>
      <c r="F1546" s="15"/>
      <c r="G1546" s="15" t="s">
        <v>10655</v>
      </c>
      <c r="H1546" s="15"/>
    </row>
    <row r="1547" spans="1:8" ht="360" x14ac:dyDescent="0.25">
      <c r="A1547" s="15" t="s">
        <v>10469</v>
      </c>
      <c r="B1547" s="15" t="s">
        <v>10656</v>
      </c>
      <c r="C1547" s="15" t="s">
        <v>10657</v>
      </c>
      <c r="D1547" s="15"/>
      <c r="E1547" s="15" t="s">
        <v>10472</v>
      </c>
      <c r="F1547" s="15"/>
      <c r="G1547" s="15" t="s">
        <v>10658</v>
      </c>
      <c r="H1547" s="15"/>
    </row>
    <row r="1548" spans="1:8" x14ac:dyDescent="0.25">
      <c r="A1548" s="15" t="s">
        <v>10469</v>
      </c>
      <c r="B1548" s="15" t="s">
        <v>10659</v>
      </c>
      <c r="C1548" s="15" t="s">
        <v>10660</v>
      </c>
      <c r="D1548" s="15"/>
      <c r="E1548" s="15" t="s">
        <v>10472</v>
      </c>
      <c r="F1548" s="15">
        <v>40</v>
      </c>
      <c r="G1548" s="15"/>
      <c r="H1548" s="15"/>
    </row>
    <row r="1549" spans="1:8" x14ac:dyDescent="0.25">
      <c r="A1549" s="15" t="s">
        <v>10469</v>
      </c>
      <c r="B1549" s="15" t="s">
        <v>10661</v>
      </c>
      <c r="C1549" s="15" t="s">
        <v>10662</v>
      </c>
      <c r="D1549" s="15"/>
      <c r="E1549" s="15" t="s">
        <v>10521</v>
      </c>
      <c r="F1549" s="15"/>
      <c r="G1549" s="15"/>
      <c r="H1549" s="15"/>
    </row>
    <row r="1550" spans="1:8" x14ac:dyDescent="0.25">
      <c r="A1550" s="15" t="s">
        <v>10469</v>
      </c>
      <c r="B1550" s="15" t="s">
        <v>2694</v>
      </c>
      <c r="C1550" s="15" t="s">
        <v>10663</v>
      </c>
      <c r="D1550" s="15"/>
      <c r="E1550" s="15" t="s">
        <v>10521</v>
      </c>
      <c r="F1550" s="15"/>
      <c r="G1550" s="15"/>
      <c r="H1550" s="15"/>
    </row>
    <row r="1551" spans="1:8" x14ac:dyDescent="0.25">
      <c r="A1551" s="15" t="s">
        <v>10469</v>
      </c>
      <c r="B1551" s="15" t="s">
        <v>2699</v>
      </c>
      <c r="C1551" s="15" t="s">
        <v>10664</v>
      </c>
      <c r="D1551" s="15"/>
      <c r="E1551" s="15" t="s">
        <v>10472</v>
      </c>
      <c r="F1551" s="15">
        <v>40</v>
      </c>
      <c r="G1551" s="15"/>
      <c r="H1551" s="15"/>
    </row>
    <row r="1552" spans="1:8" ht="30" x14ac:dyDescent="0.25">
      <c r="A1552" s="15" t="s">
        <v>10469</v>
      </c>
      <c r="B1552" s="15" t="s">
        <v>10665</v>
      </c>
      <c r="C1552" s="15" t="s">
        <v>10666</v>
      </c>
      <c r="D1552" s="15"/>
      <c r="E1552" s="15" t="s">
        <v>10489</v>
      </c>
      <c r="F1552" s="15"/>
      <c r="G1552" s="15"/>
      <c r="H1552" s="15"/>
    </row>
    <row r="1553" spans="1:8" x14ac:dyDescent="0.25">
      <c r="A1553" s="15" t="s">
        <v>10469</v>
      </c>
      <c r="B1553" s="15" t="s">
        <v>10667</v>
      </c>
      <c r="C1553" s="15" t="s">
        <v>10668</v>
      </c>
      <c r="D1553" s="15"/>
      <c r="E1553" s="15" t="s">
        <v>10521</v>
      </c>
      <c r="F1553" s="15"/>
      <c r="G1553" s="15"/>
      <c r="H1553" s="15"/>
    </row>
    <row r="1554" spans="1:8" x14ac:dyDescent="0.25">
      <c r="A1554" s="15" t="s">
        <v>10469</v>
      </c>
      <c r="B1554" s="15" t="s">
        <v>10669</v>
      </c>
      <c r="C1554" s="15" t="s">
        <v>10670</v>
      </c>
      <c r="D1554" s="15"/>
      <c r="E1554" s="15" t="s">
        <v>10671</v>
      </c>
      <c r="F1554" s="15"/>
      <c r="G1554" s="15"/>
      <c r="H1554" s="15"/>
    </row>
    <row r="1555" spans="1:8" ht="409.5" x14ac:dyDescent="0.25">
      <c r="A1555" s="15" t="s">
        <v>10469</v>
      </c>
      <c r="B1555" s="15" t="s">
        <v>10672</v>
      </c>
      <c r="C1555" s="15" t="s">
        <v>10673</v>
      </c>
      <c r="D1555" s="15"/>
      <c r="E1555" s="15" t="s">
        <v>10472</v>
      </c>
      <c r="F1555" s="15">
        <v>3</v>
      </c>
      <c r="G1555" s="8" t="s">
        <v>11390</v>
      </c>
      <c r="H1555" s="15"/>
    </row>
    <row r="1556" spans="1:8" ht="30" x14ac:dyDescent="0.25">
      <c r="A1556" s="15" t="s">
        <v>10469</v>
      </c>
      <c r="B1556" s="15" t="s">
        <v>10674</v>
      </c>
      <c r="C1556" s="15" t="s">
        <v>10675</v>
      </c>
      <c r="D1556" s="15"/>
      <c r="E1556" s="15" t="s">
        <v>10472</v>
      </c>
      <c r="F1556" s="15"/>
      <c r="G1556" s="15"/>
      <c r="H1556" s="15"/>
    </row>
    <row r="1557" spans="1:8" ht="195" x14ac:dyDescent="0.25">
      <c r="A1557" s="15" t="s">
        <v>10469</v>
      </c>
      <c r="B1557" s="15" t="s">
        <v>10676</v>
      </c>
      <c r="C1557" s="15" t="s">
        <v>10677</v>
      </c>
      <c r="D1557" s="15"/>
      <c r="E1557" s="15" t="s">
        <v>10472</v>
      </c>
      <c r="F1557" s="15"/>
      <c r="G1557" s="15" t="s">
        <v>10678</v>
      </c>
      <c r="H1557" s="15"/>
    </row>
    <row r="1558" spans="1:8" ht="30" x14ac:dyDescent="0.25">
      <c r="A1558" s="15" t="s">
        <v>10469</v>
      </c>
      <c r="B1558" s="15" t="s">
        <v>10679</v>
      </c>
      <c r="C1558" s="15" t="s">
        <v>10680</v>
      </c>
      <c r="D1558" s="15"/>
      <c r="E1558" s="15" t="s">
        <v>10521</v>
      </c>
      <c r="F1558" s="15"/>
      <c r="G1558" s="15"/>
      <c r="H1558" s="15"/>
    </row>
    <row r="1559" spans="1:8" ht="30" x14ac:dyDescent="0.25">
      <c r="A1559" s="15" t="s">
        <v>10469</v>
      </c>
      <c r="B1559" s="15" t="s">
        <v>10681</v>
      </c>
      <c r="C1559" s="15" t="s">
        <v>10682</v>
      </c>
      <c r="D1559" s="15"/>
      <c r="E1559" s="15" t="s">
        <v>10521</v>
      </c>
      <c r="F1559" s="15"/>
      <c r="G1559" s="15"/>
      <c r="H1559" s="15"/>
    </row>
    <row r="1560" spans="1:8" ht="30" x14ac:dyDescent="0.25">
      <c r="A1560" s="15" t="s">
        <v>10469</v>
      </c>
      <c r="B1560" s="15" t="s">
        <v>10683</v>
      </c>
      <c r="C1560" s="15" t="s">
        <v>10684</v>
      </c>
      <c r="D1560" s="15"/>
      <c r="E1560" s="15" t="s">
        <v>10521</v>
      </c>
      <c r="F1560" s="15"/>
      <c r="G1560" s="15"/>
      <c r="H1560" s="15"/>
    </row>
    <row r="1561" spans="1:8" ht="60" x14ac:dyDescent="0.25">
      <c r="A1561" s="15" t="s">
        <v>10469</v>
      </c>
      <c r="B1561" s="15" t="s">
        <v>10685</v>
      </c>
      <c r="C1561" s="15" t="s">
        <v>10686</v>
      </c>
      <c r="D1561" s="15"/>
      <c r="E1561" s="15" t="s">
        <v>10472</v>
      </c>
      <c r="F1561" s="15"/>
      <c r="G1561" s="15" t="s">
        <v>10498</v>
      </c>
      <c r="H1561" s="15"/>
    </row>
    <row r="1562" spans="1:8" ht="30" x14ac:dyDescent="0.25">
      <c r="A1562" s="15" t="s">
        <v>10469</v>
      </c>
      <c r="B1562" s="15" t="s">
        <v>10687</v>
      </c>
      <c r="C1562" s="15" t="s">
        <v>10688</v>
      </c>
      <c r="D1562" s="15"/>
      <c r="E1562" s="15" t="s">
        <v>10489</v>
      </c>
      <c r="F1562" s="15"/>
      <c r="G1562" s="15"/>
      <c r="H1562" s="15"/>
    </row>
    <row r="1563" spans="1:8" ht="165" x14ac:dyDescent="0.25">
      <c r="A1563" s="15" t="s">
        <v>10469</v>
      </c>
      <c r="B1563" s="15" t="s">
        <v>10689</v>
      </c>
      <c r="C1563" s="15" t="s">
        <v>10690</v>
      </c>
      <c r="D1563" s="15"/>
      <c r="E1563" s="15" t="s">
        <v>10472</v>
      </c>
      <c r="F1563" s="15"/>
      <c r="G1563" s="15" t="s">
        <v>10691</v>
      </c>
      <c r="H1563" s="15"/>
    </row>
    <row r="1564" spans="1:8" ht="409.5" x14ac:dyDescent="0.25">
      <c r="A1564" s="15" t="s">
        <v>10469</v>
      </c>
      <c r="B1564" s="15" t="s">
        <v>10692</v>
      </c>
      <c r="C1564" s="15" t="s">
        <v>10693</v>
      </c>
      <c r="D1564" s="15"/>
      <c r="E1564" s="15" t="s">
        <v>10472</v>
      </c>
      <c r="F1564" s="15"/>
      <c r="G1564" s="8" t="s">
        <v>11391</v>
      </c>
      <c r="H1564" s="15"/>
    </row>
    <row r="1565" spans="1:8" x14ac:dyDescent="0.25">
      <c r="A1565" s="15" t="s">
        <v>10469</v>
      </c>
      <c r="B1565" s="15" t="s">
        <v>10694</v>
      </c>
      <c r="C1565" s="15" t="s">
        <v>10695</v>
      </c>
      <c r="D1565" s="15"/>
      <c r="E1565" s="15" t="s">
        <v>10472</v>
      </c>
      <c r="F1565" s="15">
        <v>60</v>
      </c>
      <c r="G1565" s="15"/>
      <c r="H1565" s="15"/>
    </row>
    <row r="1566" spans="1:8" ht="30" x14ac:dyDescent="0.25">
      <c r="A1566" s="15" t="s">
        <v>10469</v>
      </c>
      <c r="B1566" s="15" t="s">
        <v>10696</v>
      </c>
      <c r="C1566" s="15" t="s">
        <v>10697</v>
      </c>
      <c r="D1566" s="15"/>
      <c r="E1566" s="15" t="s">
        <v>10538</v>
      </c>
      <c r="F1566" s="15"/>
      <c r="G1566" s="15"/>
      <c r="H1566" s="15"/>
    </row>
    <row r="1567" spans="1:8" ht="30" x14ac:dyDescent="0.25">
      <c r="A1567" s="15" t="s">
        <v>10469</v>
      </c>
      <c r="B1567" s="15" t="s">
        <v>10698</v>
      </c>
      <c r="C1567" s="15" t="s">
        <v>10699</v>
      </c>
      <c r="D1567" s="15"/>
      <c r="E1567" s="15" t="s">
        <v>10538</v>
      </c>
      <c r="F1567" s="15"/>
      <c r="G1567" s="15"/>
      <c r="H1567" s="15"/>
    </row>
    <row r="1568" spans="1:8" ht="105" x14ac:dyDescent="0.25">
      <c r="A1568" s="15" t="s">
        <v>10469</v>
      </c>
      <c r="B1568" s="15" t="s">
        <v>10700</v>
      </c>
      <c r="C1568" s="15" t="s">
        <v>10701</v>
      </c>
      <c r="D1568" s="15"/>
      <c r="E1568" s="15" t="s">
        <v>10472</v>
      </c>
      <c r="F1568" s="15"/>
      <c r="G1568" s="15" t="s">
        <v>10702</v>
      </c>
      <c r="H1568" s="15"/>
    </row>
    <row r="1569" spans="1:8" ht="60" x14ac:dyDescent="0.25">
      <c r="A1569" s="15" t="s">
        <v>10469</v>
      </c>
      <c r="B1569" s="15" t="s">
        <v>10703</v>
      </c>
      <c r="C1569" s="15" t="s">
        <v>10704</v>
      </c>
      <c r="D1569" s="15"/>
      <c r="E1569" s="15" t="s">
        <v>10521</v>
      </c>
      <c r="F1569" s="15"/>
      <c r="G1569" s="15"/>
      <c r="H1569" s="15"/>
    </row>
    <row r="1570" spans="1:8" x14ac:dyDescent="0.25">
      <c r="A1570" s="15" t="s">
        <v>10469</v>
      </c>
      <c r="B1570" s="15" t="s">
        <v>10705</v>
      </c>
      <c r="C1570" s="15" t="s">
        <v>10706</v>
      </c>
      <c r="D1570" s="15"/>
      <c r="E1570" s="15" t="s">
        <v>10472</v>
      </c>
      <c r="F1570" s="15">
        <v>500</v>
      </c>
      <c r="G1570" s="15"/>
      <c r="H1570" s="15"/>
    </row>
    <row r="1571" spans="1:8" ht="90" x14ac:dyDescent="0.25">
      <c r="A1571" s="15" t="s">
        <v>10469</v>
      </c>
      <c r="B1571" s="15" t="s">
        <v>10707</v>
      </c>
      <c r="C1571" s="15" t="s">
        <v>10708</v>
      </c>
      <c r="D1571" s="15"/>
      <c r="E1571" s="15" t="s">
        <v>10472</v>
      </c>
      <c r="F1571" s="15"/>
      <c r="G1571" s="15" t="s">
        <v>10709</v>
      </c>
      <c r="H1571" s="15"/>
    </row>
    <row r="1572" spans="1:8" ht="75" x14ac:dyDescent="0.25">
      <c r="A1572" s="15" t="s">
        <v>10469</v>
      </c>
      <c r="B1572" s="15" t="s">
        <v>10710</v>
      </c>
      <c r="C1572" s="15" t="s">
        <v>10711</v>
      </c>
      <c r="D1572" s="15"/>
      <c r="E1572" s="15" t="s">
        <v>10472</v>
      </c>
      <c r="F1572" s="15"/>
      <c r="G1572" s="15" t="s">
        <v>10712</v>
      </c>
      <c r="H1572" s="15"/>
    </row>
    <row r="1573" spans="1:8" ht="90" x14ac:dyDescent="0.25">
      <c r="A1573" s="15" t="s">
        <v>10469</v>
      </c>
      <c r="B1573" s="15" t="s">
        <v>10713</v>
      </c>
      <c r="C1573" s="15" t="s">
        <v>10714</v>
      </c>
      <c r="D1573" s="15"/>
      <c r="E1573" s="15" t="s">
        <v>10472</v>
      </c>
      <c r="F1573" s="15"/>
      <c r="G1573" s="15" t="s">
        <v>10715</v>
      </c>
      <c r="H1573" s="15"/>
    </row>
    <row r="1574" spans="1:8" ht="30" x14ac:dyDescent="0.25">
      <c r="A1574" s="15" t="s">
        <v>10469</v>
      </c>
      <c r="B1574" s="15" t="s">
        <v>10716</v>
      </c>
      <c r="C1574" s="15" t="s">
        <v>10717</v>
      </c>
      <c r="D1574" s="15"/>
      <c r="E1574" s="15" t="s">
        <v>10472</v>
      </c>
      <c r="F1574" s="15">
        <v>30</v>
      </c>
      <c r="G1574" s="15"/>
      <c r="H1574" s="15"/>
    </row>
    <row r="1575" spans="1:8" x14ac:dyDescent="0.25">
      <c r="A1575" s="15" t="s">
        <v>10469</v>
      </c>
      <c r="B1575" s="15" t="s">
        <v>10718</v>
      </c>
      <c r="C1575" s="15" t="s">
        <v>10719</v>
      </c>
      <c r="D1575" s="15"/>
      <c r="E1575" s="15" t="s">
        <v>10521</v>
      </c>
      <c r="F1575" s="15"/>
      <c r="G1575" s="15"/>
      <c r="H1575" s="15"/>
    </row>
    <row r="1576" spans="1:8" ht="60" x14ac:dyDescent="0.25">
      <c r="A1576" s="15" t="s">
        <v>10469</v>
      </c>
      <c r="B1576" s="15" t="s">
        <v>10720</v>
      </c>
      <c r="C1576" s="15" t="s">
        <v>10721</v>
      </c>
      <c r="D1576" s="15"/>
      <c r="E1576" s="15" t="s">
        <v>10521</v>
      </c>
      <c r="F1576" s="15"/>
      <c r="G1576" s="15"/>
      <c r="H1576" s="15"/>
    </row>
    <row r="1577" spans="1:8" ht="409.5" x14ac:dyDescent="0.25">
      <c r="A1577" s="25" t="s">
        <v>10469</v>
      </c>
      <c r="B1577" s="25" t="s">
        <v>10722</v>
      </c>
      <c r="C1577" s="25" t="s">
        <v>10723</v>
      </c>
      <c r="D1577" s="25"/>
      <c r="E1577" s="25" t="s">
        <v>10472</v>
      </c>
      <c r="F1577" s="25">
        <v>3</v>
      </c>
      <c r="G1577" s="8" t="s">
        <v>11392</v>
      </c>
      <c r="H1577" s="25"/>
    </row>
    <row r="1578" spans="1:8" ht="409.5" x14ac:dyDescent="0.25">
      <c r="A1578" s="26"/>
      <c r="B1578" s="26"/>
      <c r="C1578" s="26"/>
      <c r="D1578" s="26"/>
      <c r="E1578" s="26"/>
      <c r="F1578" s="26"/>
      <c r="G1578" s="8" t="s">
        <v>11393</v>
      </c>
      <c r="H1578" s="26"/>
    </row>
    <row r="1579" spans="1:8" ht="60" x14ac:dyDescent="0.25">
      <c r="A1579" s="15" t="s">
        <v>10469</v>
      </c>
      <c r="B1579" s="15" t="s">
        <v>10724</v>
      </c>
      <c r="C1579" s="15" t="s">
        <v>10725</v>
      </c>
      <c r="D1579" s="15"/>
      <c r="E1579" s="15" t="s">
        <v>10472</v>
      </c>
      <c r="F1579" s="15"/>
      <c r="G1579" s="15" t="s">
        <v>10479</v>
      </c>
      <c r="H1579" s="15"/>
    </row>
    <row r="1580" spans="1:8" ht="45" x14ac:dyDescent="0.25">
      <c r="A1580" s="15" t="s">
        <v>10469</v>
      </c>
      <c r="B1580" s="15" t="s">
        <v>10726</v>
      </c>
      <c r="C1580" s="15" t="s">
        <v>10727</v>
      </c>
      <c r="D1580" s="15"/>
      <c r="E1580" s="15" t="s">
        <v>10472</v>
      </c>
      <c r="F1580" s="15">
        <v>20</v>
      </c>
      <c r="G1580" s="15"/>
      <c r="H1580" s="15"/>
    </row>
    <row r="1581" spans="1:8" ht="225" x14ac:dyDescent="0.25">
      <c r="A1581" s="15" t="s">
        <v>10469</v>
      </c>
      <c r="B1581" s="15" t="s">
        <v>10728</v>
      </c>
      <c r="C1581" s="15" t="s">
        <v>10729</v>
      </c>
      <c r="D1581" s="15"/>
      <c r="E1581" s="15" t="s">
        <v>10472</v>
      </c>
      <c r="F1581" s="15"/>
      <c r="G1581" s="15" t="s">
        <v>10730</v>
      </c>
      <c r="H1581" s="15"/>
    </row>
    <row r="1582" spans="1:8" ht="409.5" x14ac:dyDescent="0.25">
      <c r="A1582" s="15" t="s">
        <v>10469</v>
      </c>
      <c r="B1582" s="15" t="s">
        <v>10731</v>
      </c>
      <c r="C1582" s="15" t="s">
        <v>10732</v>
      </c>
      <c r="D1582" s="15"/>
      <c r="E1582" s="15" t="s">
        <v>10472</v>
      </c>
      <c r="F1582" s="15"/>
      <c r="G1582" s="15" t="s">
        <v>10733</v>
      </c>
      <c r="H1582" s="15"/>
    </row>
    <row r="1583" spans="1:8" x14ac:dyDescent="0.25">
      <c r="A1583" s="15" t="s">
        <v>10469</v>
      </c>
      <c r="B1583" s="15" t="s">
        <v>10734</v>
      </c>
      <c r="C1583" s="15" t="s">
        <v>10735</v>
      </c>
      <c r="D1583" s="15"/>
      <c r="E1583" s="15" t="s">
        <v>10521</v>
      </c>
      <c r="F1583" s="15"/>
      <c r="G1583" s="15"/>
      <c r="H1583" s="15"/>
    </row>
    <row r="1584" spans="1:8" ht="30" x14ac:dyDescent="0.25">
      <c r="A1584" s="15" t="s">
        <v>10469</v>
      </c>
      <c r="B1584" s="15" t="s">
        <v>10736</v>
      </c>
      <c r="C1584" s="15" t="s">
        <v>10737</v>
      </c>
      <c r="D1584" s="15"/>
      <c r="E1584" s="15" t="s">
        <v>10472</v>
      </c>
      <c r="F1584" s="15">
        <v>128</v>
      </c>
      <c r="G1584" s="15"/>
      <c r="H1584" s="15"/>
    </row>
    <row r="1585" spans="1:8" ht="30" x14ac:dyDescent="0.25">
      <c r="A1585" s="15" t="s">
        <v>10469</v>
      </c>
      <c r="B1585" s="15" t="s">
        <v>10738</v>
      </c>
      <c r="C1585" s="15" t="s">
        <v>10739</v>
      </c>
      <c r="D1585" s="15"/>
      <c r="E1585" s="15" t="s">
        <v>10472</v>
      </c>
      <c r="F1585" s="15">
        <v>60</v>
      </c>
      <c r="G1585" s="15"/>
      <c r="H1585" s="15"/>
    </row>
    <row r="1586" spans="1:8" ht="75" x14ac:dyDescent="0.25">
      <c r="A1586" s="15" t="s">
        <v>10469</v>
      </c>
      <c r="B1586" s="15" t="s">
        <v>10740</v>
      </c>
      <c r="C1586" s="15" t="s">
        <v>10741</v>
      </c>
      <c r="D1586" s="15"/>
      <c r="E1586" s="15" t="s">
        <v>10472</v>
      </c>
      <c r="F1586" s="15"/>
      <c r="G1586" s="15" t="s">
        <v>10742</v>
      </c>
      <c r="H1586" s="15"/>
    </row>
    <row r="1587" spans="1:8" ht="210" x14ac:dyDescent="0.25">
      <c r="A1587" s="15" t="s">
        <v>10469</v>
      </c>
      <c r="B1587" s="15" t="s">
        <v>10743</v>
      </c>
      <c r="C1587" s="15" t="s">
        <v>10744</v>
      </c>
      <c r="D1587" s="15"/>
      <c r="E1587" s="15" t="s">
        <v>10472</v>
      </c>
      <c r="F1587" s="15"/>
      <c r="G1587" s="15" t="s">
        <v>10745</v>
      </c>
      <c r="H1587" s="15"/>
    </row>
    <row r="1588" spans="1:8" ht="30" x14ac:dyDescent="0.25">
      <c r="A1588" s="15" t="s">
        <v>10469</v>
      </c>
      <c r="B1588" s="15" t="s">
        <v>10746</v>
      </c>
      <c r="C1588" s="15" t="s">
        <v>10747</v>
      </c>
      <c r="D1588" s="15"/>
      <c r="E1588" s="15" t="s">
        <v>10521</v>
      </c>
      <c r="F1588" s="15"/>
      <c r="G1588" s="15"/>
      <c r="H1588" s="15"/>
    </row>
    <row r="1589" spans="1:8" ht="409.5" x14ac:dyDescent="0.25">
      <c r="A1589" s="25" t="s">
        <v>10469</v>
      </c>
      <c r="B1589" s="25" t="s">
        <v>10748</v>
      </c>
      <c r="C1589" s="25" t="s">
        <v>10749</v>
      </c>
      <c r="D1589" s="25"/>
      <c r="E1589" s="25" t="s">
        <v>10472</v>
      </c>
      <c r="F1589" s="25">
        <v>2</v>
      </c>
      <c r="G1589" s="8" t="s">
        <v>11394</v>
      </c>
      <c r="H1589" s="25"/>
    </row>
    <row r="1590" spans="1:8" ht="409.5" x14ac:dyDescent="0.25">
      <c r="A1590" s="26"/>
      <c r="B1590" s="26"/>
      <c r="C1590" s="26"/>
      <c r="D1590" s="26"/>
      <c r="E1590" s="26"/>
      <c r="F1590" s="26"/>
      <c r="G1590" s="8" t="s">
        <v>11395</v>
      </c>
      <c r="H1590" s="26"/>
    </row>
    <row r="1591" spans="1:8" x14ac:dyDescent="0.25">
      <c r="A1591" s="15" t="s">
        <v>10469</v>
      </c>
      <c r="B1591" s="15" t="s">
        <v>10750</v>
      </c>
      <c r="C1591" s="15" t="s">
        <v>10751</v>
      </c>
      <c r="D1591" s="15"/>
      <c r="E1591" s="15" t="s">
        <v>10472</v>
      </c>
      <c r="F1591" s="15">
        <v>80</v>
      </c>
      <c r="G1591" s="15"/>
      <c r="H1591" s="15"/>
    </row>
    <row r="1592" spans="1:8" ht="225" x14ac:dyDescent="0.25">
      <c r="A1592" s="15" t="s">
        <v>10469</v>
      </c>
      <c r="B1592" s="15" t="s">
        <v>10752</v>
      </c>
      <c r="C1592" s="15" t="s">
        <v>10753</v>
      </c>
      <c r="D1592" s="15"/>
      <c r="E1592" s="15" t="s">
        <v>10472</v>
      </c>
      <c r="F1592" s="15"/>
      <c r="G1592" s="15" t="s">
        <v>10754</v>
      </c>
      <c r="H1592" s="15"/>
    </row>
    <row r="1593" spans="1:8" ht="105" x14ac:dyDescent="0.25">
      <c r="A1593" s="15" t="s">
        <v>10469</v>
      </c>
      <c r="B1593" s="15" t="s">
        <v>10755</v>
      </c>
      <c r="C1593" s="15" t="s">
        <v>10756</v>
      </c>
      <c r="D1593" s="15"/>
      <c r="E1593" s="15" t="s">
        <v>10472</v>
      </c>
      <c r="F1593" s="15"/>
      <c r="G1593" s="15" t="s">
        <v>10757</v>
      </c>
      <c r="H1593" s="15"/>
    </row>
    <row r="1594" spans="1:8" ht="30" x14ac:dyDescent="0.25">
      <c r="A1594" s="15" t="s">
        <v>10469</v>
      </c>
      <c r="B1594" s="15" t="s">
        <v>10758</v>
      </c>
      <c r="C1594" s="15" t="s">
        <v>10759</v>
      </c>
      <c r="D1594" s="15"/>
      <c r="E1594" s="15" t="s">
        <v>10521</v>
      </c>
      <c r="F1594" s="15"/>
      <c r="G1594" s="15"/>
      <c r="H1594" s="15"/>
    </row>
    <row r="1595" spans="1:8" ht="45" x14ac:dyDescent="0.25">
      <c r="A1595" s="15" t="s">
        <v>10469</v>
      </c>
      <c r="B1595" s="15" t="s">
        <v>10760</v>
      </c>
      <c r="C1595" s="15" t="s">
        <v>10761</v>
      </c>
      <c r="D1595" s="15"/>
      <c r="E1595" s="15" t="s">
        <v>10472</v>
      </c>
      <c r="F1595" s="15">
        <v>40</v>
      </c>
      <c r="G1595" s="15"/>
      <c r="H1595" s="15"/>
    </row>
    <row r="1596" spans="1:8" ht="60" x14ac:dyDescent="0.25">
      <c r="A1596" s="15" t="s">
        <v>10469</v>
      </c>
      <c r="B1596" s="15" t="s">
        <v>10762</v>
      </c>
      <c r="C1596" s="15" t="s">
        <v>10763</v>
      </c>
      <c r="D1596" s="15"/>
      <c r="E1596" s="15" t="s">
        <v>10472</v>
      </c>
      <c r="F1596" s="15"/>
      <c r="G1596" s="15" t="s">
        <v>10764</v>
      </c>
      <c r="H1596" s="15"/>
    </row>
    <row r="1597" spans="1:8" ht="30" x14ac:dyDescent="0.25">
      <c r="A1597" s="15" t="s">
        <v>10469</v>
      </c>
      <c r="B1597" s="15" t="s">
        <v>10765</v>
      </c>
      <c r="C1597" s="15" t="s">
        <v>10766</v>
      </c>
      <c r="D1597" s="15"/>
      <c r="E1597" s="15" t="s">
        <v>10472</v>
      </c>
      <c r="F1597" s="15">
        <v>80</v>
      </c>
      <c r="G1597" s="15"/>
      <c r="H1597" s="15"/>
    </row>
    <row r="1598" spans="1:8" ht="105" x14ac:dyDescent="0.25">
      <c r="A1598" s="15" t="s">
        <v>10469</v>
      </c>
      <c r="B1598" s="15" t="s">
        <v>10767</v>
      </c>
      <c r="C1598" s="15" t="s">
        <v>10768</v>
      </c>
      <c r="D1598" s="15"/>
      <c r="E1598" s="15" t="s">
        <v>10472</v>
      </c>
      <c r="F1598" s="15"/>
      <c r="G1598" s="15" t="s">
        <v>10769</v>
      </c>
      <c r="H1598" s="15"/>
    </row>
    <row r="1599" spans="1:8" ht="105" x14ac:dyDescent="0.25">
      <c r="A1599" s="15" t="s">
        <v>10469</v>
      </c>
      <c r="B1599" s="15" t="s">
        <v>10770</v>
      </c>
      <c r="C1599" s="15" t="s">
        <v>10771</v>
      </c>
      <c r="D1599" s="15"/>
      <c r="E1599" s="15" t="s">
        <v>10472</v>
      </c>
      <c r="F1599" s="15"/>
      <c r="G1599" s="15" t="s">
        <v>10769</v>
      </c>
      <c r="H1599" s="15"/>
    </row>
    <row r="1600" spans="1:8" ht="60" x14ac:dyDescent="0.25">
      <c r="A1600" s="15" t="s">
        <v>10469</v>
      </c>
      <c r="B1600" s="15" t="s">
        <v>10772</v>
      </c>
      <c r="C1600" s="15" t="s">
        <v>10773</v>
      </c>
      <c r="D1600" s="15"/>
      <c r="E1600" s="15" t="s">
        <v>10472</v>
      </c>
      <c r="F1600" s="15"/>
      <c r="G1600" s="15" t="s">
        <v>10774</v>
      </c>
      <c r="H1600" s="15"/>
    </row>
    <row r="1601" spans="1:8" ht="165" x14ac:dyDescent="0.25">
      <c r="A1601" s="15" t="s">
        <v>10469</v>
      </c>
      <c r="B1601" s="15" t="s">
        <v>10775</v>
      </c>
      <c r="C1601" s="15" t="s">
        <v>10776</v>
      </c>
      <c r="D1601" s="15"/>
      <c r="E1601" s="15" t="s">
        <v>10472</v>
      </c>
      <c r="F1601" s="15"/>
      <c r="G1601" s="15" t="s">
        <v>10777</v>
      </c>
      <c r="H1601" s="15"/>
    </row>
    <row r="1602" spans="1:8" ht="195" x14ac:dyDescent="0.25">
      <c r="A1602" s="15" t="s">
        <v>10469</v>
      </c>
      <c r="B1602" s="15" t="s">
        <v>10778</v>
      </c>
      <c r="C1602" s="15" t="s">
        <v>10779</v>
      </c>
      <c r="D1602" s="15"/>
      <c r="E1602" s="15" t="s">
        <v>10472</v>
      </c>
      <c r="F1602" s="15"/>
      <c r="G1602" s="15" t="s">
        <v>10780</v>
      </c>
      <c r="H1602" s="15"/>
    </row>
    <row r="1603" spans="1:8" ht="30" x14ac:dyDescent="0.25">
      <c r="A1603" s="15" t="s">
        <v>10469</v>
      </c>
      <c r="B1603" s="15" t="s">
        <v>10781</v>
      </c>
      <c r="C1603" s="15" t="s">
        <v>10782</v>
      </c>
      <c r="D1603" s="15"/>
      <c r="E1603" s="15" t="s">
        <v>10472</v>
      </c>
      <c r="F1603" s="15"/>
      <c r="G1603" s="15"/>
      <c r="H1603" s="15"/>
    </row>
    <row r="1604" spans="1:8" ht="30" x14ac:dyDescent="0.25">
      <c r="A1604" s="15" t="s">
        <v>10469</v>
      </c>
      <c r="B1604" s="15" t="s">
        <v>10783</v>
      </c>
      <c r="C1604" s="15" t="s">
        <v>10784</v>
      </c>
      <c r="D1604" s="15"/>
      <c r="E1604" s="15" t="s">
        <v>10472</v>
      </c>
      <c r="F1604" s="15">
        <v>80</v>
      </c>
      <c r="G1604" s="15"/>
      <c r="H1604" s="15"/>
    </row>
    <row r="1605" spans="1:8" ht="30" x14ac:dyDescent="0.25">
      <c r="A1605" s="15" t="s">
        <v>10469</v>
      </c>
      <c r="B1605" s="15" t="s">
        <v>10785</v>
      </c>
      <c r="C1605" s="15" t="s">
        <v>10786</v>
      </c>
      <c r="D1605" s="15"/>
      <c r="E1605" s="15" t="s">
        <v>10521</v>
      </c>
      <c r="F1605" s="15"/>
      <c r="G1605" s="15"/>
      <c r="H1605" s="15"/>
    </row>
    <row r="1606" spans="1:8" ht="30" x14ac:dyDescent="0.25">
      <c r="A1606" s="15" t="s">
        <v>10469</v>
      </c>
      <c r="B1606" s="15" t="s">
        <v>10787</v>
      </c>
      <c r="C1606" s="15" t="s">
        <v>10788</v>
      </c>
      <c r="D1606" s="15"/>
      <c r="E1606" s="15" t="s">
        <v>10472</v>
      </c>
      <c r="F1606" s="15">
        <v>40</v>
      </c>
      <c r="G1606" s="15"/>
      <c r="H1606" s="15"/>
    </row>
    <row r="1607" spans="1:8" ht="30" x14ac:dyDescent="0.25">
      <c r="A1607" s="15" t="s">
        <v>10469</v>
      </c>
      <c r="B1607" s="15" t="s">
        <v>10789</v>
      </c>
      <c r="C1607" s="15" t="s">
        <v>10790</v>
      </c>
      <c r="D1607" s="15"/>
      <c r="E1607" s="15" t="s">
        <v>10521</v>
      </c>
      <c r="F1607" s="15"/>
      <c r="G1607" s="15"/>
      <c r="H1607" s="15"/>
    </row>
    <row r="1608" spans="1:8" x14ac:dyDescent="0.25">
      <c r="A1608" s="15" t="s">
        <v>10469</v>
      </c>
      <c r="B1608" s="15" t="s">
        <v>10791</v>
      </c>
      <c r="C1608" s="15" t="s">
        <v>10792</v>
      </c>
      <c r="D1608" s="15"/>
      <c r="E1608" s="15" t="s">
        <v>10472</v>
      </c>
      <c r="F1608" s="15">
        <v>40</v>
      </c>
      <c r="G1608" s="15"/>
      <c r="H1608" s="15"/>
    </row>
    <row r="1609" spans="1:8" ht="405" x14ac:dyDescent="0.25">
      <c r="A1609" s="15" t="s">
        <v>10469</v>
      </c>
      <c r="B1609" s="15" t="s">
        <v>10793</v>
      </c>
      <c r="C1609" s="15" t="s">
        <v>10794</v>
      </c>
      <c r="D1609" s="15"/>
      <c r="E1609" s="15" t="s">
        <v>10472</v>
      </c>
      <c r="F1609" s="15"/>
      <c r="G1609" s="15" t="s">
        <v>10795</v>
      </c>
      <c r="H1609" s="15"/>
    </row>
    <row r="1610" spans="1:8" ht="30" x14ac:dyDescent="0.25">
      <c r="A1610" s="15" t="s">
        <v>10469</v>
      </c>
      <c r="B1610" s="15" t="s">
        <v>10796</v>
      </c>
      <c r="C1610" s="15" t="s">
        <v>10797</v>
      </c>
      <c r="D1610" s="15"/>
      <c r="E1610" s="15" t="s">
        <v>10472</v>
      </c>
      <c r="F1610" s="15"/>
      <c r="G1610" s="15"/>
      <c r="H1610" s="15"/>
    </row>
    <row r="1611" spans="1:8" ht="150" x14ac:dyDescent="0.25">
      <c r="A1611" s="15" t="s">
        <v>10469</v>
      </c>
      <c r="B1611" s="15" t="s">
        <v>10798</v>
      </c>
      <c r="C1611" s="15" t="s">
        <v>10799</v>
      </c>
      <c r="D1611" s="15"/>
      <c r="E1611" s="15" t="s">
        <v>10472</v>
      </c>
      <c r="F1611" s="15"/>
      <c r="G1611" s="15" t="s">
        <v>10800</v>
      </c>
      <c r="H1611" s="15"/>
    </row>
    <row r="1612" spans="1:8" x14ac:dyDescent="0.25">
      <c r="A1612" s="15" t="s">
        <v>10469</v>
      </c>
      <c r="B1612" s="15" t="s">
        <v>10801</v>
      </c>
      <c r="C1612" s="15" t="s">
        <v>10802</v>
      </c>
      <c r="D1612" s="15"/>
      <c r="E1612" s="15" t="s">
        <v>10472</v>
      </c>
      <c r="F1612" s="15">
        <v>40</v>
      </c>
      <c r="G1612" s="15"/>
      <c r="H1612" s="15"/>
    </row>
    <row r="1613" spans="1:8" x14ac:dyDescent="0.25">
      <c r="A1613" s="15" t="s">
        <v>10469</v>
      </c>
      <c r="B1613" s="15" t="s">
        <v>10803</v>
      </c>
      <c r="C1613" s="15" t="s">
        <v>10804</v>
      </c>
      <c r="D1613" s="15"/>
      <c r="E1613" s="15" t="s">
        <v>10472</v>
      </c>
      <c r="F1613" s="15">
        <v>20</v>
      </c>
      <c r="G1613" s="15"/>
      <c r="H1613" s="15"/>
    </row>
    <row r="1614" spans="1:8" x14ac:dyDescent="0.25">
      <c r="A1614" s="15" t="s">
        <v>10469</v>
      </c>
      <c r="B1614" s="15" t="s">
        <v>10805</v>
      </c>
      <c r="C1614" s="15" t="s">
        <v>10806</v>
      </c>
      <c r="D1614" s="15"/>
      <c r="E1614" s="15" t="s">
        <v>10521</v>
      </c>
      <c r="F1614" s="15"/>
      <c r="G1614" s="15"/>
      <c r="H1614" s="15"/>
    </row>
    <row r="1615" spans="1:8" ht="30" x14ac:dyDescent="0.25">
      <c r="A1615" s="15" t="s">
        <v>10469</v>
      </c>
      <c r="B1615" s="15" t="s">
        <v>10807</v>
      </c>
      <c r="C1615" s="15" t="s">
        <v>10808</v>
      </c>
      <c r="D1615" s="15"/>
      <c r="E1615" s="15" t="s">
        <v>10472</v>
      </c>
      <c r="F1615" s="15">
        <v>20</v>
      </c>
      <c r="G1615" s="15"/>
      <c r="H1615" s="15"/>
    </row>
    <row r="1616" spans="1:8" ht="409.5" x14ac:dyDescent="0.25">
      <c r="A1616" s="15" t="s">
        <v>10469</v>
      </c>
      <c r="B1616" s="15" t="s">
        <v>10809</v>
      </c>
      <c r="C1616" s="15" t="s">
        <v>10810</v>
      </c>
      <c r="D1616" s="15"/>
      <c r="E1616" s="15" t="s">
        <v>10472</v>
      </c>
      <c r="F1616" s="15">
        <v>20</v>
      </c>
      <c r="G1616" s="15" t="s">
        <v>10811</v>
      </c>
      <c r="H1616" s="15"/>
    </row>
    <row r="1617" spans="1:8" x14ac:dyDescent="0.25">
      <c r="A1617" s="15" t="s">
        <v>10469</v>
      </c>
      <c r="B1617" s="15" t="s">
        <v>10812</v>
      </c>
      <c r="C1617" s="15" t="s">
        <v>10813</v>
      </c>
      <c r="D1617" s="15"/>
      <c r="E1617" s="15" t="s">
        <v>10472</v>
      </c>
      <c r="F1617" s="15">
        <v>30</v>
      </c>
      <c r="G1617" s="15"/>
      <c r="H1617" s="15"/>
    </row>
    <row r="1618" spans="1:8" x14ac:dyDescent="0.25">
      <c r="A1618" s="15" t="s">
        <v>10469</v>
      </c>
      <c r="B1618" s="15" t="s">
        <v>10814</v>
      </c>
      <c r="C1618" s="15" t="s">
        <v>10815</v>
      </c>
      <c r="D1618" s="15"/>
      <c r="E1618" s="15" t="s">
        <v>10472</v>
      </c>
      <c r="F1618" s="15">
        <v>30</v>
      </c>
      <c r="G1618" s="15"/>
      <c r="H1618" s="15"/>
    </row>
    <row r="1619" spans="1:8" ht="60" x14ac:dyDescent="0.25">
      <c r="A1619" s="15" t="s">
        <v>10469</v>
      </c>
      <c r="B1619" s="15" t="s">
        <v>10816</v>
      </c>
      <c r="C1619" s="15" t="s">
        <v>10817</v>
      </c>
      <c r="D1619" s="15"/>
      <c r="E1619" s="15" t="s">
        <v>10472</v>
      </c>
      <c r="F1619" s="15"/>
      <c r="G1619" s="15" t="s">
        <v>10550</v>
      </c>
      <c r="H1619" s="15"/>
    </row>
    <row r="1620" spans="1:8" ht="60" x14ac:dyDescent="0.25">
      <c r="A1620" s="15" t="s">
        <v>10469</v>
      </c>
      <c r="B1620" s="15" t="s">
        <v>10818</v>
      </c>
      <c r="C1620" s="15" t="s">
        <v>10819</v>
      </c>
      <c r="D1620" s="15"/>
      <c r="E1620" s="15" t="s">
        <v>10472</v>
      </c>
      <c r="F1620" s="15"/>
      <c r="G1620" s="15" t="s">
        <v>10498</v>
      </c>
      <c r="H1620" s="15"/>
    </row>
    <row r="1621" spans="1:8" ht="120" x14ac:dyDescent="0.25">
      <c r="A1621" s="15" t="s">
        <v>10469</v>
      </c>
      <c r="B1621" s="15" t="s">
        <v>10820</v>
      </c>
      <c r="C1621" s="15" t="s">
        <v>10821</v>
      </c>
      <c r="D1621" s="15"/>
      <c r="E1621" s="15" t="s">
        <v>10472</v>
      </c>
      <c r="F1621" s="15"/>
      <c r="G1621" s="15" t="s">
        <v>10630</v>
      </c>
      <c r="H1621" s="15"/>
    </row>
    <row r="1622" spans="1:8" ht="30" x14ac:dyDescent="0.25">
      <c r="A1622" s="15" t="s">
        <v>10469</v>
      </c>
      <c r="B1622" s="15" t="s">
        <v>10822</v>
      </c>
      <c r="C1622" s="15" t="s">
        <v>10823</v>
      </c>
      <c r="D1622" s="15"/>
      <c r="E1622" s="15" t="s">
        <v>10472</v>
      </c>
      <c r="F1622" s="15">
        <v>60</v>
      </c>
      <c r="G1622" s="15"/>
      <c r="H1622" s="15"/>
    </row>
    <row r="1623" spans="1:8" ht="30" x14ac:dyDescent="0.25">
      <c r="A1623" s="15" t="s">
        <v>10469</v>
      </c>
      <c r="B1623" s="15" t="s">
        <v>10824</v>
      </c>
      <c r="C1623" s="15" t="s">
        <v>10825</v>
      </c>
      <c r="D1623" s="15"/>
      <c r="E1623" s="15" t="s">
        <v>10472</v>
      </c>
      <c r="F1623" s="15">
        <v>60</v>
      </c>
      <c r="G1623" s="15"/>
      <c r="H1623" s="15"/>
    </row>
    <row r="1624" spans="1:8" ht="409.5" x14ac:dyDescent="0.25">
      <c r="A1624" s="15" t="s">
        <v>10469</v>
      </c>
      <c r="B1624" s="15" t="s">
        <v>10826</v>
      </c>
      <c r="C1624" s="15" t="s">
        <v>10827</v>
      </c>
      <c r="D1624" s="15"/>
      <c r="E1624" s="15" t="s">
        <v>10472</v>
      </c>
      <c r="F1624" s="15"/>
      <c r="G1624" s="15" t="s">
        <v>10733</v>
      </c>
      <c r="H1624" s="15"/>
    </row>
    <row r="1625" spans="1:8" ht="30" x14ac:dyDescent="0.25">
      <c r="A1625" s="15" t="s">
        <v>10469</v>
      </c>
      <c r="B1625" s="15" t="s">
        <v>10828</v>
      </c>
      <c r="C1625" s="15" t="s">
        <v>10829</v>
      </c>
      <c r="D1625" s="15"/>
      <c r="E1625" s="15" t="s">
        <v>10472</v>
      </c>
      <c r="F1625" s="15">
        <v>40</v>
      </c>
      <c r="G1625" s="15"/>
      <c r="H1625" s="15"/>
    </row>
    <row r="1626" spans="1:8" ht="210" x14ac:dyDescent="0.25">
      <c r="A1626" s="15" t="s">
        <v>10469</v>
      </c>
      <c r="B1626" s="15" t="s">
        <v>10830</v>
      </c>
      <c r="C1626" s="15" t="s">
        <v>10831</v>
      </c>
      <c r="D1626" s="15"/>
      <c r="E1626" s="15" t="s">
        <v>10472</v>
      </c>
      <c r="F1626" s="15"/>
      <c r="G1626" s="15" t="s">
        <v>10832</v>
      </c>
      <c r="H1626" s="15"/>
    </row>
    <row r="1627" spans="1:8" ht="60" x14ac:dyDescent="0.25">
      <c r="A1627" s="15" t="s">
        <v>10469</v>
      </c>
      <c r="B1627" s="15" t="s">
        <v>10833</v>
      </c>
      <c r="C1627" s="15" t="s">
        <v>10834</v>
      </c>
      <c r="D1627" s="15"/>
      <c r="E1627" s="15" t="s">
        <v>10472</v>
      </c>
      <c r="F1627" s="15"/>
      <c r="G1627" s="15" t="s">
        <v>10835</v>
      </c>
      <c r="H1627" s="15"/>
    </row>
    <row r="1628" spans="1:8" x14ac:dyDescent="0.25">
      <c r="A1628" s="15" t="s">
        <v>10469</v>
      </c>
      <c r="B1628" s="15" t="s">
        <v>10836</v>
      </c>
      <c r="C1628" s="15" t="s">
        <v>10837</v>
      </c>
      <c r="D1628" s="15"/>
      <c r="E1628" s="15" t="s">
        <v>10472</v>
      </c>
      <c r="F1628" s="15">
        <v>25</v>
      </c>
      <c r="G1628" s="15"/>
      <c r="H1628" s="15"/>
    </row>
    <row r="1629" spans="1:8" ht="180" x14ac:dyDescent="0.25">
      <c r="A1629" s="15" t="s">
        <v>10469</v>
      </c>
      <c r="B1629" s="15" t="s">
        <v>10838</v>
      </c>
      <c r="C1629" s="15" t="s">
        <v>10839</v>
      </c>
      <c r="D1629" s="15"/>
      <c r="E1629" s="15" t="s">
        <v>10472</v>
      </c>
      <c r="F1629" s="15"/>
      <c r="G1629" s="15" t="s">
        <v>10840</v>
      </c>
      <c r="H1629" s="15"/>
    </row>
    <row r="1630" spans="1:8" x14ac:dyDescent="0.25">
      <c r="A1630" s="15" t="s">
        <v>10469</v>
      </c>
      <c r="B1630" s="15" t="s">
        <v>10841</v>
      </c>
      <c r="C1630" s="15" t="s">
        <v>10842</v>
      </c>
      <c r="D1630" s="15"/>
      <c r="E1630" s="15" t="s">
        <v>10472</v>
      </c>
      <c r="F1630" s="15"/>
      <c r="G1630" s="15"/>
      <c r="H1630" s="15"/>
    </row>
    <row r="1631" spans="1:8" ht="210" x14ac:dyDescent="0.25">
      <c r="A1631" s="15" t="s">
        <v>10469</v>
      </c>
      <c r="B1631" s="15" t="s">
        <v>10843</v>
      </c>
      <c r="C1631" s="15" t="s">
        <v>10844</v>
      </c>
      <c r="D1631" s="15"/>
      <c r="E1631" s="15" t="s">
        <v>10472</v>
      </c>
      <c r="F1631" s="15"/>
      <c r="G1631" s="15" t="s">
        <v>10845</v>
      </c>
      <c r="H1631" s="15"/>
    </row>
    <row r="1632" spans="1:8" x14ac:dyDescent="0.25">
      <c r="A1632" s="15" t="s">
        <v>10469</v>
      </c>
      <c r="B1632" s="15" t="s">
        <v>4847</v>
      </c>
      <c r="C1632" s="15" t="s">
        <v>10846</v>
      </c>
      <c r="D1632" s="15"/>
      <c r="E1632" s="15" t="s">
        <v>10472</v>
      </c>
      <c r="F1632" s="15">
        <v>26</v>
      </c>
      <c r="G1632" s="15"/>
      <c r="H1632" s="15"/>
    </row>
    <row r="1633" spans="1:8" ht="120" x14ac:dyDescent="0.25">
      <c r="A1633" s="15" t="s">
        <v>10469</v>
      </c>
      <c r="B1633" s="15" t="s">
        <v>10847</v>
      </c>
      <c r="C1633" s="15" t="s">
        <v>10848</v>
      </c>
      <c r="D1633" s="15"/>
      <c r="E1633" s="15" t="s">
        <v>10472</v>
      </c>
      <c r="F1633" s="15"/>
      <c r="G1633" s="15" t="s">
        <v>10849</v>
      </c>
      <c r="H1633" s="15"/>
    </row>
    <row r="1634" spans="1:8" ht="45" x14ac:dyDescent="0.25">
      <c r="A1634" s="15" t="s">
        <v>10469</v>
      </c>
      <c r="B1634" s="15" t="s">
        <v>10850</v>
      </c>
      <c r="C1634" s="15" t="s">
        <v>10851</v>
      </c>
      <c r="D1634" s="15"/>
      <c r="E1634" s="15" t="s">
        <v>10521</v>
      </c>
      <c r="F1634" s="15"/>
      <c r="G1634" s="15"/>
      <c r="H1634" s="15"/>
    </row>
    <row r="1635" spans="1:8" ht="300" x14ac:dyDescent="0.25">
      <c r="A1635" s="15" t="s">
        <v>10469</v>
      </c>
      <c r="B1635" s="15" t="s">
        <v>10852</v>
      </c>
      <c r="C1635" s="15" t="s">
        <v>10853</v>
      </c>
      <c r="D1635" s="15"/>
      <c r="E1635" s="15" t="s">
        <v>10472</v>
      </c>
      <c r="F1635" s="15"/>
      <c r="G1635" s="15" t="s">
        <v>10854</v>
      </c>
      <c r="H1635" s="15"/>
    </row>
    <row r="1636" spans="1:8" ht="30" x14ac:dyDescent="0.25">
      <c r="A1636" s="15" t="s">
        <v>10469</v>
      </c>
      <c r="B1636" s="15" t="s">
        <v>10855</v>
      </c>
      <c r="C1636" s="15" t="s">
        <v>10856</v>
      </c>
      <c r="D1636" s="15"/>
      <c r="E1636" s="15" t="s">
        <v>10472</v>
      </c>
      <c r="F1636" s="15">
        <v>20</v>
      </c>
      <c r="G1636" s="15"/>
      <c r="H1636" s="15"/>
    </row>
    <row r="1637" spans="1:8" ht="135" x14ac:dyDescent="0.25">
      <c r="A1637" s="15" t="s">
        <v>10469</v>
      </c>
      <c r="B1637" s="15" t="s">
        <v>10857</v>
      </c>
      <c r="C1637" s="15" t="s">
        <v>10858</v>
      </c>
      <c r="D1637" s="15"/>
      <c r="E1637" s="15" t="s">
        <v>10472</v>
      </c>
      <c r="F1637" s="15"/>
      <c r="G1637" s="15" t="s">
        <v>10859</v>
      </c>
      <c r="H1637" s="15"/>
    </row>
    <row r="1638" spans="1:8" ht="30" x14ac:dyDescent="0.25">
      <c r="A1638" s="15" t="s">
        <v>10469</v>
      </c>
      <c r="B1638" s="15" t="s">
        <v>10860</v>
      </c>
      <c r="C1638" s="15" t="s">
        <v>10861</v>
      </c>
      <c r="D1638" s="15"/>
      <c r="E1638" s="15" t="s">
        <v>10472</v>
      </c>
      <c r="F1638" s="15">
        <v>30</v>
      </c>
      <c r="G1638" s="15"/>
      <c r="H1638" s="15"/>
    </row>
    <row r="1639" spans="1:8" ht="30" x14ac:dyDescent="0.25">
      <c r="A1639" s="15" t="s">
        <v>10469</v>
      </c>
      <c r="B1639" s="15" t="s">
        <v>10862</v>
      </c>
      <c r="C1639" s="15" t="s">
        <v>10863</v>
      </c>
      <c r="D1639" s="15"/>
      <c r="E1639" s="15" t="s">
        <v>10521</v>
      </c>
      <c r="F1639" s="15"/>
      <c r="G1639" s="15"/>
      <c r="H1639" s="15"/>
    </row>
    <row r="1640" spans="1:8" ht="409.5" x14ac:dyDescent="0.25">
      <c r="A1640" s="15" t="s">
        <v>10469</v>
      </c>
      <c r="B1640" s="15" t="s">
        <v>10864</v>
      </c>
      <c r="C1640" s="15" t="s">
        <v>10865</v>
      </c>
      <c r="D1640" s="15"/>
      <c r="E1640" s="15" t="s">
        <v>10472</v>
      </c>
      <c r="F1640" s="15"/>
      <c r="G1640" s="15" t="s">
        <v>10733</v>
      </c>
      <c r="H1640" s="15"/>
    </row>
    <row r="1641" spans="1:8" ht="45" x14ac:dyDescent="0.25">
      <c r="A1641" s="15" t="s">
        <v>10469</v>
      </c>
      <c r="B1641" s="15" t="s">
        <v>10866</v>
      </c>
      <c r="C1641" s="15" t="s">
        <v>10867</v>
      </c>
      <c r="D1641" s="15"/>
      <c r="E1641" s="15" t="s">
        <v>10472</v>
      </c>
      <c r="F1641" s="15">
        <v>8</v>
      </c>
      <c r="G1641" s="15"/>
      <c r="H1641" s="15"/>
    </row>
    <row r="1642" spans="1:8" ht="45" x14ac:dyDescent="0.25">
      <c r="A1642" s="15" t="s">
        <v>10469</v>
      </c>
      <c r="B1642" s="15" t="s">
        <v>10866</v>
      </c>
      <c r="C1642" s="15" t="s">
        <v>10867</v>
      </c>
      <c r="D1642" s="15"/>
      <c r="E1642" s="15" t="s">
        <v>10472</v>
      </c>
      <c r="F1642" s="15">
        <v>8</v>
      </c>
      <c r="G1642" s="15"/>
      <c r="H1642" s="15"/>
    </row>
    <row r="1643" spans="1:8" ht="30" x14ac:dyDescent="0.25">
      <c r="A1643" s="15" t="s">
        <v>10469</v>
      </c>
      <c r="B1643" s="15" t="s">
        <v>10868</v>
      </c>
      <c r="C1643" s="15" t="s">
        <v>10869</v>
      </c>
      <c r="D1643" s="15"/>
      <c r="E1643" s="15" t="s">
        <v>10472</v>
      </c>
      <c r="F1643" s="15">
        <v>8</v>
      </c>
      <c r="G1643" s="15"/>
      <c r="H1643" s="15"/>
    </row>
    <row r="1644" spans="1:8" ht="30" x14ac:dyDescent="0.25">
      <c r="A1644" s="15" t="s">
        <v>10469</v>
      </c>
      <c r="B1644" s="15" t="s">
        <v>10870</v>
      </c>
      <c r="C1644" s="15" t="s">
        <v>10871</v>
      </c>
      <c r="D1644" s="15"/>
      <c r="E1644" s="15" t="s">
        <v>10472</v>
      </c>
      <c r="F1644" s="15">
        <v>30</v>
      </c>
      <c r="G1644" s="15"/>
      <c r="H1644" s="15"/>
    </row>
    <row r="1645" spans="1:8" ht="30" x14ac:dyDescent="0.25">
      <c r="A1645" s="15" t="s">
        <v>10469</v>
      </c>
      <c r="B1645" s="15" t="s">
        <v>10872</v>
      </c>
      <c r="C1645" s="15" t="s">
        <v>10873</v>
      </c>
      <c r="D1645" s="15"/>
      <c r="E1645" s="15" t="s">
        <v>10472</v>
      </c>
      <c r="F1645" s="15">
        <v>30</v>
      </c>
      <c r="G1645" s="15"/>
      <c r="H1645" s="15"/>
    </row>
    <row r="1646" spans="1:8" ht="30" x14ac:dyDescent="0.25">
      <c r="A1646" s="15" t="s">
        <v>10469</v>
      </c>
      <c r="B1646" s="15" t="s">
        <v>10874</v>
      </c>
      <c r="C1646" s="15" t="s">
        <v>10875</v>
      </c>
      <c r="D1646" s="15"/>
      <c r="E1646" s="15" t="s">
        <v>10472</v>
      </c>
      <c r="F1646" s="15">
        <v>30</v>
      </c>
      <c r="G1646" s="15"/>
      <c r="H1646" s="15"/>
    </row>
    <row r="1647" spans="1:8" ht="409.5" x14ac:dyDescent="0.25">
      <c r="A1647" s="15" t="s">
        <v>10469</v>
      </c>
      <c r="B1647" s="15" t="s">
        <v>10876</v>
      </c>
      <c r="C1647" s="15" t="s">
        <v>10877</v>
      </c>
      <c r="D1647" s="15"/>
      <c r="E1647" s="15" t="s">
        <v>10472</v>
      </c>
      <c r="F1647" s="15"/>
      <c r="G1647" s="15" t="s">
        <v>10733</v>
      </c>
      <c r="H1647" s="15"/>
    </row>
    <row r="1648" spans="1:8" ht="330" x14ac:dyDescent="0.25">
      <c r="A1648" s="15" t="s">
        <v>10469</v>
      </c>
      <c r="B1648" s="15" t="s">
        <v>10878</v>
      </c>
      <c r="C1648" s="15" t="s">
        <v>10879</v>
      </c>
      <c r="D1648" s="15"/>
      <c r="E1648" s="15" t="s">
        <v>10472</v>
      </c>
      <c r="F1648" s="15"/>
      <c r="G1648" s="15" t="s">
        <v>10880</v>
      </c>
      <c r="H1648" s="15"/>
    </row>
    <row r="1649" spans="1:8" ht="120" x14ac:dyDescent="0.25">
      <c r="A1649" s="15" t="s">
        <v>10469</v>
      </c>
      <c r="B1649" s="15" t="s">
        <v>10881</v>
      </c>
      <c r="C1649" s="15" t="s">
        <v>10882</v>
      </c>
      <c r="D1649" s="15"/>
      <c r="E1649" s="15" t="s">
        <v>10472</v>
      </c>
      <c r="F1649" s="15"/>
      <c r="G1649" s="15" t="s">
        <v>10883</v>
      </c>
      <c r="H1649" s="15"/>
    </row>
    <row r="1650" spans="1:8" ht="30" x14ac:dyDescent="0.25">
      <c r="A1650" s="15" t="s">
        <v>10469</v>
      </c>
      <c r="B1650" s="15" t="s">
        <v>10884</v>
      </c>
      <c r="C1650" s="15" t="s">
        <v>10885</v>
      </c>
      <c r="D1650" s="15"/>
      <c r="E1650" s="15" t="s">
        <v>10472</v>
      </c>
      <c r="F1650" s="15">
        <v>15</v>
      </c>
      <c r="G1650" s="15"/>
      <c r="H1650" s="15"/>
    </row>
    <row r="1651" spans="1:8" ht="60" x14ac:dyDescent="0.25">
      <c r="A1651" s="15" t="s">
        <v>10469</v>
      </c>
      <c r="B1651" s="15" t="s">
        <v>10886</v>
      </c>
      <c r="C1651" s="15" t="s">
        <v>10887</v>
      </c>
      <c r="D1651" s="15"/>
      <c r="E1651" s="15" t="s">
        <v>10472</v>
      </c>
      <c r="F1651" s="15"/>
      <c r="G1651" s="15" t="s">
        <v>10888</v>
      </c>
      <c r="H1651" s="15"/>
    </row>
    <row r="1652" spans="1:8" ht="30" x14ac:dyDescent="0.25">
      <c r="A1652" s="15" t="s">
        <v>10469</v>
      </c>
      <c r="B1652" s="15" t="s">
        <v>10889</v>
      </c>
      <c r="C1652" s="15" t="s">
        <v>10535</v>
      </c>
      <c r="D1652" s="15"/>
      <c r="E1652" s="15" t="s">
        <v>10472</v>
      </c>
      <c r="F1652" s="15"/>
      <c r="G1652" s="15"/>
      <c r="H1652" s="15"/>
    </row>
    <row r="1653" spans="1:8" x14ac:dyDescent="0.25">
      <c r="A1653" s="15" t="s">
        <v>10469</v>
      </c>
      <c r="B1653" s="15" t="s">
        <v>10890</v>
      </c>
      <c r="C1653" s="15" t="s">
        <v>10891</v>
      </c>
      <c r="D1653" s="15"/>
      <c r="E1653" s="15" t="s">
        <v>10472</v>
      </c>
      <c r="F1653" s="15">
        <v>30</v>
      </c>
      <c r="G1653" s="15"/>
      <c r="H1653" s="15"/>
    </row>
    <row r="1654" spans="1:8" x14ac:dyDescent="0.25">
      <c r="A1654" s="15" t="s">
        <v>10469</v>
      </c>
      <c r="B1654" s="15" t="s">
        <v>10892</v>
      </c>
      <c r="C1654" s="15" t="s">
        <v>10893</v>
      </c>
      <c r="D1654" s="15"/>
      <c r="E1654" s="15" t="s">
        <v>10472</v>
      </c>
      <c r="F1654" s="15">
        <v>3</v>
      </c>
      <c r="G1654" s="15"/>
      <c r="H1654" s="15"/>
    </row>
    <row r="1655" spans="1:8" x14ac:dyDescent="0.25">
      <c r="A1655" s="15" t="s">
        <v>10469</v>
      </c>
      <c r="B1655" s="15" t="s">
        <v>10894</v>
      </c>
      <c r="C1655" s="15" t="s">
        <v>10895</v>
      </c>
      <c r="D1655" s="15"/>
      <c r="E1655" s="15" t="s">
        <v>10472</v>
      </c>
      <c r="F1655" s="15">
        <v>60</v>
      </c>
      <c r="G1655" s="15"/>
      <c r="H1655" s="15"/>
    </row>
    <row r="1656" spans="1:8" x14ac:dyDescent="0.25">
      <c r="A1656" s="15" t="s">
        <v>10469</v>
      </c>
      <c r="B1656" s="15" t="s">
        <v>10896</v>
      </c>
      <c r="C1656" s="15" t="s">
        <v>10897</v>
      </c>
      <c r="D1656" s="15"/>
      <c r="E1656" s="15" t="s">
        <v>10472</v>
      </c>
      <c r="F1656" s="15">
        <v>60</v>
      </c>
      <c r="G1656" s="15"/>
      <c r="H1656" s="15"/>
    </row>
    <row r="1657" spans="1:8" ht="30" x14ac:dyDescent="0.25">
      <c r="A1657" s="15" t="s">
        <v>10469</v>
      </c>
      <c r="B1657" s="15" t="s">
        <v>10898</v>
      </c>
      <c r="C1657" s="15" t="s">
        <v>10899</v>
      </c>
      <c r="D1657" s="15"/>
      <c r="E1657" s="15" t="s">
        <v>10472</v>
      </c>
      <c r="F1657" s="15">
        <v>26</v>
      </c>
      <c r="G1657" s="15"/>
      <c r="H1657" s="15"/>
    </row>
    <row r="1658" spans="1:8" ht="409.5" x14ac:dyDescent="0.25">
      <c r="A1658" s="15" t="s">
        <v>10469</v>
      </c>
      <c r="B1658" s="15" t="s">
        <v>10900</v>
      </c>
      <c r="C1658" s="15" t="s">
        <v>10901</v>
      </c>
      <c r="D1658" s="15"/>
      <c r="E1658" s="15" t="s">
        <v>10472</v>
      </c>
      <c r="F1658" s="15"/>
      <c r="G1658" s="15" t="s">
        <v>10902</v>
      </c>
      <c r="H1658" s="15"/>
    </row>
    <row r="1659" spans="1:8" ht="30" x14ac:dyDescent="0.25">
      <c r="A1659" s="15" t="s">
        <v>10469</v>
      </c>
      <c r="B1659" s="15" t="s">
        <v>10903</v>
      </c>
      <c r="C1659" s="15" t="s">
        <v>10904</v>
      </c>
      <c r="D1659" s="15"/>
      <c r="E1659" s="15" t="s">
        <v>10521</v>
      </c>
      <c r="F1659" s="15"/>
      <c r="G1659" s="15"/>
      <c r="H1659" s="15"/>
    </row>
    <row r="1660" spans="1:8" ht="150" x14ac:dyDescent="0.25">
      <c r="A1660" s="15" t="s">
        <v>10469</v>
      </c>
      <c r="B1660" s="15" t="s">
        <v>10905</v>
      </c>
      <c r="C1660" s="15" t="s">
        <v>10906</v>
      </c>
      <c r="D1660" s="15"/>
      <c r="E1660" s="15" t="s">
        <v>10472</v>
      </c>
      <c r="F1660" s="15"/>
      <c r="G1660" s="15" t="s">
        <v>10907</v>
      </c>
      <c r="H1660" s="15"/>
    </row>
    <row r="1661" spans="1:8" ht="90" x14ac:dyDescent="0.25">
      <c r="A1661" s="15" t="s">
        <v>10469</v>
      </c>
      <c r="B1661" s="15" t="s">
        <v>10908</v>
      </c>
      <c r="C1661" s="15" t="s">
        <v>10909</v>
      </c>
      <c r="D1661" s="15"/>
      <c r="E1661" s="15" t="s">
        <v>10472</v>
      </c>
      <c r="F1661" s="15"/>
      <c r="G1661" s="15" t="s">
        <v>10910</v>
      </c>
      <c r="H1661" s="15"/>
    </row>
    <row r="1662" spans="1:8" ht="30" x14ac:dyDescent="0.25">
      <c r="A1662" s="15" t="s">
        <v>10469</v>
      </c>
      <c r="B1662" s="15" t="s">
        <v>10911</v>
      </c>
      <c r="C1662" s="15" t="s">
        <v>10912</v>
      </c>
      <c r="D1662" s="15"/>
      <c r="E1662" s="15" t="s">
        <v>10913</v>
      </c>
      <c r="F1662" s="15"/>
      <c r="G1662" s="15"/>
      <c r="H1662" s="15"/>
    </row>
    <row r="1663" spans="1:8" ht="30" x14ac:dyDescent="0.25">
      <c r="A1663" s="15" t="s">
        <v>10469</v>
      </c>
      <c r="B1663" s="15" t="s">
        <v>10914</v>
      </c>
      <c r="C1663" s="15" t="s">
        <v>10915</v>
      </c>
      <c r="D1663" s="15"/>
      <c r="E1663" s="15" t="s">
        <v>10913</v>
      </c>
      <c r="F1663" s="15"/>
      <c r="G1663" s="15"/>
      <c r="H1663" s="15"/>
    </row>
    <row r="1664" spans="1:8" x14ac:dyDescent="0.25">
      <c r="A1664" s="15" t="s">
        <v>10469</v>
      </c>
      <c r="B1664" s="15" t="s">
        <v>10916</v>
      </c>
      <c r="C1664" s="15" t="s">
        <v>10917</v>
      </c>
      <c r="D1664" s="15"/>
      <c r="E1664" s="15" t="s">
        <v>10472</v>
      </c>
      <c r="F1664" s="15">
        <v>60</v>
      </c>
      <c r="G1664" s="15"/>
      <c r="H1664" s="15"/>
    </row>
    <row r="1665" spans="1:8" ht="135" x14ac:dyDescent="0.25">
      <c r="A1665" s="15" t="s">
        <v>10469</v>
      </c>
      <c r="B1665" s="15" t="s">
        <v>10918</v>
      </c>
      <c r="C1665" s="15" t="s">
        <v>10919</v>
      </c>
      <c r="D1665" s="15"/>
      <c r="E1665" s="15" t="s">
        <v>10472</v>
      </c>
      <c r="F1665" s="15"/>
      <c r="G1665" s="15" t="s">
        <v>10920</v>
      </c>
      <c r="H1665" s="15"/>
    </row>
    <row r="1666" spans="1:8" ht="30" x14ac:dyDescent="0.25">
      <c r="A1666" s="15" t="s">
        <v>10469</v>
      </c>
      <c r="B1666" s="15" t="s">
        <v>10921</v>
      </c>
      <c r="C1666" s="15" t="s">
        <v>10922</v>
      </c>
      <c r="D1666" s="15"/>
      <c r="E1666" s="15" t="s">
        <v>10472</v>
      </c>
      <c r="F1666" s="15"/>
      <c r="G1666" s="15"/>
      <c r="H1666" s="15"/>
    </row>
    <row r="1667" spans="1:8" ht="45" x14ac:dyDescent="0.25">
      <c r="A1667" s="15" t="s">
        <v>10469</v>
      </c>
      <c r="B1667" s="15" t="s">
        <v>10923</v>
      </c>
      <c r="C1667" s="15" t="s">
        <v>10924</v>
      </c>
      <c r="D1667" s="15"/>
      <c r="E1667" s="15" t="s">
        <v>10472</v>
      </c>
      <c r="F1667" s="15"/>
      <c r="G1667" s="15"/>
      <c r="H1667" s="15"/>
    </row>
    <row r="1668" spans="1:8" x14ac:dyDescent="0.25">
      <c r="A1668" s="15" t="s">
        <v>10469</v>
      </c>
      <c r="B1668" s="15" t="s">
        <v>10925</v>
      </c>
      <c r="C1668" s="15" t="s">
        <v>10926</v>
      </c>
      <c r="D1668" s="15"/>
      <c r="E1668" s="15" t="s">
        <v>10472</v>
      </c>
      <c r="F1668" s="15"/>
      <c r="G1668" s="15"/>
      <c r="H1668" s="15"/>
    </row>
    <row r="1669" spans="1:8" ht="120" x14ac:dyDescent="0.25">
      <c r="A1669" s="15" t="s">
        <v>10469</v>
      </c>
      <c r="B1669" s="15" t="s">
        <v>10927</v>
      </c>
      <c r="C1669" s="15" t="s">
        <v>10928</v>
      </c>
      <c r="D1669" s="15"/>
      <c r="E1669" s="15" t="s">
        <v>10472</v>
      </c>
      <c r="F1669" s="15"/>
      <c r="G1669" s="15" t="s">
        <v>10929</v>
      </c>
      <c r="H1669" s="15"/>
    </row>
    <row r="1670" spans="1:8" ht="60" x14ac:dyDescent="0.25">
      <c r="A1670" s="15" t="s">
        <v>10469</v>
      </c>
      <c r="B1670" s="15" t="s">
        <v>10930</v>
      </c>
      <c r="C1670" s="15" t="s">
        <v>10931</v>
      </c>
      <c r="D1670" s="15"/>
      <c r="E1670" s="15" t="s">
        <v>10472</v>
      </c>
      <c r="F1670" s="15"/>
      <c r="G1670" s="15" t="s">
        <v>10479</v>
      </c>
      <c r="H1670" s="15"/>
    </row>
    <row r="1671" spans="1:8" ht="30" x14ac:dyDescent="0.25">
      <c r="A1671" s="15" t="s">
        <v>10469</v>
      </c>
      <c r="B1671" s="15" t="s">
        <v>10932</v>
      </c>
      <c r="C1671" s="15" t="s">
        <v>10933</v>
      </c>
      <c r="D1671" s="15"/>
      <c r="E1671" s="15" t="s">
        <v>10472</v>
      </c>
      <c r="F1671" s="15"/>
      <c r="G1671" s="15"/>
      <c r="H1671" s="15"/>
    </row>
    <row r="1672" spans="1:8" ht="210" x14ac:dyDescent="0.25">
      <c r="A1672" s="15" t="s">
        <v>10469</v>
      </c>
      <c r="B1672" s="15" t="s">
        <v>10934</v>
      </c>
      <c r="C1672" s="15" t="s">
        <v>10935</v>
      </c>
      <c r="D1672" s="15"/>
      <c r="E1672" s="15" t="s">
        <v>10472</v>
      </c>
      <c r="F1672" s="15"/>
      <c r="G1672" s="15" t="s">
        <v>10936</v>
      </c>
      <c r="H1672" s="15"/>
    </row>
    <row r="1673" spans="1:8" x14ac:dyDescent="0.25">
      <c r="A1673" s="15" t="s">
        <v>10469</v>
      </c>
      <c r="B1673" s="15" t="s">
        <v>10937</v>
      </c>
      <c r="C1673" s="15" t="s">
        <v>10938</v>
      </c>
      <c r="D1673" s="15"/>
      <c r="E1673" s="15" t="s">
        <v>10472</v>
      </c>
      <c r="F1673" s="15">
        <v>60</v>
      </c>
      <c r="G1673" s="15"/>
      <c r="H1673" s="15"/>
    </row>
    <row r="1674" spans="1:8" x14ac:dyDescent="0.25">
      <c r="A1674" s="15" t="s">
        <v>10469</v>
      </c>
      <c r="B1674" s="15" t="s">
        <v>10939</v>
      </c>
      <c r="C1674" s="15" t="s">
        <v>10940</v>
      </c>
      <c r="D1674" s="15"/>
      <c r="E1674" s="15" t="s">
        <v>10671</v>
      </c>
      <c r="F1674" s="15"/>
      <c r="G1674" s="15"/>
      <c r="H1674" s="15"/>
    </row>
    <row r="1675" spans="1:8" ht="30" x14ac:dyDescent="0.25">
      <c r="A1675" s="15" t="s">
        <v>10469</v>
      </c>
      <c r="B1675" s="15" t="s">
        <v>10941</v>
      </c>
      <c r="C1675" s="15" t="s">
        <v>10942</v>
      </c>
      <c r="D1675" s="15"/>
      <c r="E1675" s="15" t="s">
        <v>10472</v>
      </c>
      <c r="F1675" s="15">
        <v>20</v>
      </c>
      <c r="G1675" s="15"/>
      <c r="H1675" s="15"/>
    </row>
    <row r="1676" spans="1:8" ht="45" x14ac:dyDescent="0.25">
      <c r="A1676" s="15" t="s">
        <v>10469</v>
      </c>
      <c r="B1676" s="15" t="s">
        <v>10943</v>
      </c>
      <c r="C1676" s="15" t="s">
        <v>10944</v>
      </c>
      <c r="D1676" s="15"/>
      <c r="E1676" s="15" t="s">
        <v>10472</v>
      </c>
      <c r="F1676" s="15"/>
      <c r="G1676" s="15"/>
      <c r="H1676" s="15"/>
    </row>
    <row r="1677" spans="1:8" ht="409.5" x14ac:dyDescent="0.25">
      <c r="A1677" s="15" t="s">
        <v>10469</v>
      </c>
      <c r="B1677" s="15" t="s">
        <v>10945</v>
      </c>
      <c r="C1677" s="15" t="s">
        <v>10946</v>
      </c>
      <c r="D1677" s="15"/>
      <c r="E1677" s="15" t="s">
        <v>10472</v>
      </c>
      <c r="F1677" s="15"/>
      <c r="G1677" s="15" t="s">
        <v>10947</v>
      </c>
      <c r="H1677" s="15"/>
    </row>
    <row r="1678" spans="1:8" ht="120" x14ac:dyDescent="0.25">
      <c r="A1678" s="15" t="s">
        <v>10469</v>
      </c>
      <c r="B1678" s="15" t="s">
        <v>10948</v>
      </c>
      <c r="C1678" s="15" t="s">
        <v>10949</v>
      </c>
      <c r="D1678" s="15"/>
      <c r="E1678" s="15" t="s">
        <v>10472</v>
      </c>
      <c r="F1678" s="15"/>
      <c r="G1678" s="15" t="s">
        <v>10950</v>
      </c>
      <c r="H1678" s="15"/>
    </row>
    <row r="1679" spans="1:8" ht="30" x14ac:dyDescent="0.25">
      <c r="A1679" s="15" t="s">
        <v>10469</v>
      </c>
      <c r="B1679" s="15" t="s">
        <v>10951</v>
      </c>
      <c r="C1679" s="15" t="s">
        <v>10952</v>
      </c>
      <c r="D1679" s="15"/>
      <c r="E1679" s="15" t="s">
        <v>10472</v>
      </c>
      <c r="F1679" s="15">
        <v>80</v>
      </c>
      <c r="G1679" s="15"/>
      <c r="H1679" s="15"/>
    </row>
    <row r="1680" spans="1:8" ht="60" x14ac:dyDescent="0.25">
      <c r="A1680" s="15" t="s">
        <v>10469</v>
      </c>
      <c r="B1680" s="15" t="s">
        <v>10953</v>
      </c>
      <c r="C1680" s="15" t="s">
        <v>10954</v>
      </c>
      <c r="D1680" s="15"/>
      <c r="E1680" s="15" t="s">
        <v>10472</v>
      </c>
      <c r="F1680" s="15"/>
      <c r="G1680" s="15" t="s">
        <v>10955</v>
      </c>
      <c r="H1680" s="15"/>
    </row>
    <row r="1681" spans="1:8" ht="30" x14ac:dyDescent="0.25">
      <c r="A1681" s="15" t="s">
        <v>10469</v>
      </c>
      <c r="B1681" s="15" t="s">
        <v>10956</v>
      </c>
      <c r="C1681" s="15" t="s">
        <v>10957</v>
      </c>
      <c r="D1681" s="15"/>
      <c r="E1681" s="15" t="s">
        <v>10472</v>
      </c>
      <c r="F1681" s="15">
        <v>40</v>
      </c>
      <c r="G1681" s="15"/>
      <c r="H1681" s="15"/>
    </row>
    <row r="1682" spans="1:8" ht="45" x14ac:dyDescent="0.25">
      <c r="A1682" s="15" t="s">
        <v>10469</v>
      </c>
      <c r="B1682" s="15" t="s">
        <v>10958</v>
      </c>
      <c r="C1682" s="15" t="s">
        <v>10959</v>
      </c>
      <c r="D1682" s="15"/>
      <c r="E1682" s="15" t="s">
        <v>10472</v>
      </c>
      <c r="F1682" s="15">
        <v>50</v>
      </c>
      <c r="G1682" s="15"/>
      <c r="H1682" s="15"/>
    </row>
    <row r="1683" spans="1:8" x14ac:dyDescent="0.25">
      <c r="A1683" s="15" t="s">
        <v>10469</v>
      </c>
      <c r="B1683" s="15" t="s">
        <v>10960</v>
      </c>
      <c r="C1683" s="15" t="s">
        <v>10961</v>
      </c>
      <c r="D1683" s="15"/>
      <c r="E1683" s="15" t="s">
        <v>10521</v>
      </c>
      <c r="F1683" s="15"/>
      <c r="G1683" s="15"/>
      <c r="H1683" s="15"/>
    </row>
    <row r="1684" spans="1:8" ht="409.5" x14ac:dyDescent="0.25">
      <c r="A1684" s="15" t="s">
        <v>10469</v>
      </c>
      <c r="B1684" s="15" t="s">
        <v>10962</v>
      </c>
      <c r="C1684" s="15" t="s">
        <v>10963</v>
      </c>
      <c r="D1684" s="15"/>
      <c r="E1684" s="15" t="s">
        <v>10472</v>
      </c>
      <c r="F1684" s="15">
        <v>3</v>
      </c>
      <c r="G1684" s="8" t="s">
        <v>11396</v>
      </c>
      <c r="H1684" s="15"/>
    </row>
    <row r="1685" spans="1:8" ht="60" x14ac:dyDescent="0.25">
      <c r="A1685" s="15" t="s">
        <v>10469</v>
      </c>
      <c r="B1685" s="15" t="s">
        <v>10964</v>
      </c>
      <c r="C1685" s="15" t="s">
        <v>10965</v>
      </c>
      <c r="D1685" s="15"/>
      <c r="E1685" s="15" t="s">
        <v>10472</v>
      </c>
      <c r="F1685" s="15"/>
      <c r="G1685" s="15" t="s">
        <v>10966</v>
      </c>
      <c r="H1685" s="15"/>
    </row>
    <row r="1686" spans="1:8" ht="30" x14ac:dyDescent="0.25">
      <c r="A1686" s="15" t="s">
        <v>10469</v>
      </c>
      <c r="B1686" s="15" t="s">
        <v>10967</v>
      </c>
      <c r="C1686" s="15" t="s">
        <v>10968</v>
      </c>
      <c r="D1686" s="15"/>
      <c r="E1686" s="15" t="s">
        <v>10472</v>
      </c>
      <c r="F1686" s="15">
        <v>40</v>
      </c>
      <c r="G1686" s="15"/>
      <c r="H1686" s="15"/>
    </row>
    <row r="1687" spans="1:8" x14ac:dyDescent="0.25">
      <c r="A1687" s="15" t="s">
        <v>10469</v>
      </c>
      <c r="B1687" s="15" t="s">
        <v>10969</v>
      </c>
      <c r="C1687" s="15" t="s">
        <v>10970</v>
      </c>
      <c r="D1687" s="15"/>
      <c r="E1687" s="15" t="s">
        <v>10472</v>
      </c>
      <c r="F1687" s="15">
        <v>40</v>
      </c>
      <c r="G1687" s="15"/>
      <c r="H1687" s="15"/>
    </row>
    <row r="1688" spans="1:8" ht="30" x14ac:dyDescent="0.25">
      <c r="A1688" s="15" t="s">
        <v>10469</v>
      </c>
      <c r="B1688" s="15" t="s">
        <v>10971</v>
      </c>
      <c r="C1688" s="15" t="s">
        <v>10972</v>
      </c>
      <c r="D1688" s="15"/>
      <c r="E1688" s="15" t="s">
        <v>10489</v>
      </c>
      <c r="F1688" s="15"/>
      <c r="G1688" s="15"/>
      <c r="H1688" s="15"/>
    </row>
    <row r="1689" spans="1:8" ht="30" x14ac:dyDescent="0.25">
      <c r="A1689" s="15" t="s">
        <v>10469</v>
      </c>
      <c r="B1689" s="15" t="s">
        <v>10973</v>
      </c>
      <c r="C1689" s="15" t="s">
        <v>10974</v>
      </c>
      <c r="D1689" s="15"/>
      <c r="E1689" s="15" t="s">
        <v>10489</v>
      </c>
      <c r="F1689" s="15"/>
      <c r="G1689" s="15"/>
      <c r="H1689" s="15"/>
    </row>
    <row r="1690" spans="1:8" x14ac:dyDescent="0.25">
      <c r="A1690" s="15" t="s">
        <v>10469</v>
      </c>
      <c r="B1690" s="15" t="s">
        <v>10975</v>
      </c>
      <c r="C1690" s="15" t="s">
        <v>10976</v>
      </c>
      <c r="D1690" s="15"/>
      <c r="E1690" s="15" t="s">
        <v>10489</v>
      </c>
      <c r="F1690" s="15"/>
      <c r="G1690" s="15"/>
      <c r="H1690" s="15"/>
    </row>
    <row r="1691" spans="1:8" ht="30" x14ac:dyDescent="0.25">
      <c r="A1691" s="15" t="s">
        <v>10977</v>
      </c>
      <c r="B1691" s="15" t="s">
        <v>10978</v>
      </c>
      <c r="C1691" s="15" t="s">
        <v>10979</v>
      </c>
      <c r="D1691" s="15"/>
      <c r="E1691" s="15" t="s">
        <v>10980</v>
      </c>
      <c r="F1691" s="15"/>
      <c r="G1691" s="15"/>
      <c r="H1691" s="16" t="s">
        <v>7377</v>
      </c>
    </row>
    <row r="1692" spans="1:8" ht="30" x14ac:dyDescent="0.25">
      <c r="A1692" s="15" t="s">
        <v>10977</v>
      </c>
      <c r="B1692" s="15" t="s">
        <v>10981</v>
      </c>
      <c r="C1692" s="15"/>
      <c r="D1692" s="15"/>
      <c r="E1692" s="15" t="s">
        <v>10982</v>
      </c>
      <c r="F1692" s="15"/>
      <c r="G1692" s="15"/>
      <c r="H1692" s="16" t="s">
        <v>7377</v>
      </c>
    </row>
    <row r="1693" spans="1:8" ht="30" x14ac:dyDescent="0.25">
      <c r="A1693" s="15" t="s">
        <v>10977</v>
      </c>
      <c r="B1693" s="15" t="s">
        <v>10983</v>
      </c>
      <c r="C1693" s="15"/>
      <c r="D1693" s="15"/>
      <c r="E1693" s="15" t="s">
        <v>10984</v>
      </c>
      <c r="F1693" s="15"/>
      <c r="G1693" s="15"/>
      <c r="H1693" s="16" t="s">
        <v>7377</v>
      </c>
    </row>
    <row r="1694" spans="1:8" ht="30" x14ac:dyDescent="0.25">
      <c r="A1694" s="15" t="s">
        <v>10977</v>
      </c>
      <c r="B1694" s="15" t="s">
        <v>10985</v>
      </c>
      <c r="C1694" s="15" t="s">
        <v>10979</v>
      </c>
      <c r="D1694" s="15"/>
      <c r="E1694" s="15" t="s">
        <v>10980</v>
      </c>
      <c r="F1694" s="15"/>
      <c r="G1694" s="15"/>
      <c r="H1694" s="16" t="s">
        <v>7377</v>
      </c>
    </row>
    <row r="1695" spans="1:8" x14ac:dyDescent="0.25">
      <c r="A1695" s="15" t="s">
        <v>10977</v>
      </c>
      <c r="B1695" s="15" t="s">
        <v>10986</v>
      </c>
      <c r="C1695" s="15" t="s">
        <v>10987</v>
      </c>
      <c r="D1695" s="15"/>
      <c r="E1695" s="15" t="s">
        <v>10988</v>
      </c>
      <c r="F1695" s="15"/>
      <c r="G1695" s="15"/>
      <c r="H1695" s="16" t="s">
        <v>7377</v>
      </c>
    </row>
    <row r="1696" spans="1:8" ht="75" x14ac:dyDescent="0.25">
      <c r="A1696" s="15" t="s">
        <v>10977</v>
      </c>
      <c r="B1696" s="15" t="s">
        <v>10989</v>
      </c>
      <c r="C1696" s="15" t="s">
        <v>10990</v>
      </c>
      <c r="D1696" s="15"/>
      <c r="E1696" s="15" t="s">
        <v>10988</v>
      </c>
      <c r="F1696" s="15"/>
      <c r="G1696" s="15"/>
      <c r="H1696" s="16" t="s">
        <v>7377</v>
      </c>
    </row>
    <row r="1697" spans="1:8" ht="30" x14ac:dyDescent="0.25">
      <c r="A1697" s="15" t="s">
        <v>10977</v>
      </c>
      <c r="B1697" s="15" t="s">
        <v>10991</v>
      </c>
      <c r="C1697" s="15" t="s">
        <v>10992</v>
      </c>
      <c r="D1697" s="15"/>
      <c r="E1697" s="15" t="s">
        <v>10988</v>
      </c>
      <c r="F1697" s="15"/>
      <c r="G1697" s="15"/>
      <c r="H1697" s="16" t="s">
        <v>7377</v>
      </c>
    </row>
    <row r="1698" spans="1:8" ht="45" x14ac:dyDescent="0.25">
      <c r="A1698" s="15" t="s">
        <v>10977</v>
      </c>
      <c r="B1698" s="15" t="s">
        <v>10993</v>
      </c>
      <c r="C1698" s="15" t="s">
        <v>10994</v>
      </c>
      <c r="D1698" s="15"/>
      <c r="E1698" s="15" t="s">
        <v>10995</v>
      </c>
      <c r="F1698" s="15"/>
      <c r="G1698" s="15"/>
      <c r="H1698" s="16" t="s">
        <v>7377</v>
      </c>
    </row>
    <row r="1699" spans="1:8" ht="45" x14ac:dyDescent="0.25">
      <c r="A1699" s="15" t="s">
        <v>10977</v>
      </c>
      <c r="B1699" s="15" t="s">
        <v>10996</v>
      </c>
      <c r="C1699" s="15" t="s">
        <v>10997</v>
      </c>
      <c r="D1699" s="15"/>
      <c r="E1699" s="15" t="s">
        <v>10998</v>
      </c>
      <c r="F1699" s="15"/>
      <c r="G1699" s="15"/>
      <c r="H1699" s="16" t="s">
        <v>7377</v>
      </c>
    </row>
    <row r="1700" spans="1:8" ht="60" x14ac:dyDescent="0.25">
      <c r="A1700" s="15" t="s">
        <v>10977</v>
      </c>
      <c r="B1700" s="15" t="s">
        <v>10999</v>
      </c>
      <c r="C1700" s="15" t="s">
        <v>11000</v>
      </c>
      <c r="D1700" s="15"/>
      <c r="E1700" s="15" t="s">
        <v>10988</v>
      </c>
      <c r="F1700" s="15"/>
      <c r="G1700" s="15"/>
      <c r="H1700" s="16" t="s">
        <v>7377</v>
      </c>
    </row>
    <row r="1701" spans="1:8" ht="45" x14ac:dyDescent="0.25">
      <c r="A1701" s="15" t="s">
        <v>10977</v>
      </c>
      <c r="B1701" s="15" t="s">
        <v>11001</v>
      </c>
      <c r="C1701" s="15" t="s">
        <v>11002</v>
      </c>
      <c r="D1701" s="15"/>
      <c r="E1701" s="15" t="s">
        <v>10980</v>
      </c>
      <c r="F1701" s="15"/>
      <c r="G1701" s="15"/>
      <c r="H1701" s="16" t="s">
        <v>7377</v>
      </c>
    </row>
    <row r="1702" spans="1:8" ht="45" x14ac:dyDescent="0.25">
      <c r="A1702" s="15" t="s">
        <v>10977</v>
      </c>
      <c r="B1702" s="15" t="s">
        <v>11003</v>
      </c>
      <c r="C1702" s="15" t="s">
        <v>11004</v>
      </c>
      <c r="D1702" s="15"/>
      <c r="E1702" s="15" t="s">
        <v>10988</v>
      </c>
      <c r="F1702" s="15"/>
      <c r="G1702" s="15"/>
      <c r="H1702" s="16" t="s">
        <v>7377</v>
      </c>
    </row>
    <row r="1703" spans="1:8" ht="30" x14ac:dyDescent="0.25">
      <c r="A1703" s="15" t="s">
        <v>10977</v>
      </c>
      <c r="B1703" s="15" t="s">
        <v>11005</v>
      </c>
      <c r="C1703" s="15" t="s">
        <v>11006</v>
      </c>
      <c r="D1703" s="15"/>
      <c r="E1703" s="15" t="s">
        <v>11007</v>
      </c>
      <c r="F1703" s="15"/>
      <c r="G1703" s="15"/>
      <c r="H1703" s="16" t="s">
        <v>7377</v>
      </c>
    </row>
    <row r="1704" spans="1:8" ht="30" x14ac:dyDescent="0.25">
      <c r="A1704" s="15" t="s">
        <v>10977</v>
      </c>
      <c r="B1704" s="15" t="s">
        <v>11008</v>
      </c>
      <c r="C1704" s="15"/>
      <c r="D1704" s="15"/>
      <c r="E1704" s="15" t="s">
        <v>11009</v>
      </c>
      <c r="F1704" s="15"/>
      <c r="G1704" s="15"/>
      <c r="H1704" s="16" t="s">
        <v>7377</v>
      </c>
    </row>
    <row r="1705" spans="1:8" ht="45" x14ac:dyDescent="0.25">
      <c r="A1705" s="15" t="s">
        <v>10977</v>
      </c>
      <c r="B1705" s="15" t="s">
        <v>11010</v>
      </c>
      <c r="C1705" s="15" t="s">
        <v>11011</v>
      </c>
      <c r="D1705" s="15"/>
      <c r="E1705" s="15" t="s">
        <v>11012</v>
      </c>
      <c r="F1705" s="15"/>
      <c r="G1705" s="15"/>
      <c r="H1705" s="16" t="s">
        <v>7377</v>
      </c>
    </row>
    <row r="1706" spans="1:8" ht="45" x14ac:dyDescent="0.25">
      <c r="A1706" s="15" t="s">
        <v>10977</v>
      </c>
      <c r="B1706" s="15" t="s">
        <v>11013</v>
      </c>
      <c r="C1706" s="15" t="s">
        <v>11014</v>
      </c>
      <c r="D1706" s="15"/>
      <c r="E1706" s="15" t="s">
        <v>10988</v>
      </c>
      <c r="F1706" s="15"/>
      <c r="G1706" s="15"/>
      <c r="H1706" s="16" t="s">
        <v>7377</v>
      </c>
    </row>
    <row r="1707" spans="1:8" ht="45" x14ac:dyDescent="0.25">
      <c r="A1707" s="15" t="s">
        <v>10977</v>
      </c>
      <c r="B1707" s="15" t="s">
        <v>11015</v>
      </c>
      <c r="C1707" s="15" t="s">
        <v>11016</v>
      </c>
      <c r="D1707" s="15"/>
      <c r="E1707" s="15" t="s">
        <v>10988</v>
      </c>
      <c r="F1707" s="15"/>
      <c r="G1707" s="15"/>
      <c r="H1707" s="16" t="s">
        <v>7377</v>
      </c>
    </row>
    <row r="1708" spans="1:8" ht="45" x14ac:dyDescent="0.25">
      <c r="A1708" s="15" t="s">
        <v>10977</v>
      </c>
      <c r="B1708" s="15" t="s">
        <v>11017</v>
      </c>
      <c r="C1708" s="15" t="s">
        <v>11018</v>
      </c>
      <c r="D1708" s="15"/>
      <c r="E1708" s="15" t="s">
        <v>10995</v>
      </c>
      <c r="F1708" s="15"/>
      <c r="G1708" s="15"/>
      <c r="H1708" s="16" t="s">
        <v>7377</v>
      </c>
    </row>
    <row r="1709" spans="1:8" ht="60" x14ac:dyDescent="0.25">
      <c r="A1709" s="15" t="s">
        <v>10977</v>
      </c>
      <c r="B1709" s="15" t="s">
        <v>11019</v>
      </c>
      <c r="C1709" s="15" t="s">
        <v>11020</v>
      </c>
      <c r="D1709" s="15"/>
      <c r="E1709" s="15" t="s">
        <v>10988</v>
      </c>
      <c r="F1709" s="15"/>
      <c r="G1709" s="15"/>
      <c r="H1709" s="16" t="s">
        <v>7377</v>
      </c>
    </row>
    <row r="1710" spans="1:8" ht="60" x14ac:dyDescent="0.25">
      <c r="A1710" s="15" t="s">
        <v>10977</v>
      </c>
      <c r="B1710" s="15" t="s">
        <v>11021</v>
      </c>
      <c r="C1710" s="15" t="s">
        <v>11022</v>
      </c>
      <c r="D1710" s="15"/>
      <c r="E1710" s="15" t="s">
        <v>10988</v>
      </c>
      <c r="F1710" s="15"/>
      <c r="G1710" s="15"/>
      <c r="H1710" s="16" t="s">
        <v>7377</v>
      </c>
    </row>
    <row r="1711" spans="1:8" ht="60" x14ac:dyDescent="0.25">
      <c r="A1711" s="15" t="s">
        <v>10977</v>
      </c>
      <c r="B1711" s="15" t="s">
        <v>11023</v>
      </c>
      <c r="C1711" s="15" t="s">
        <v>11024</v>
      </c>
      <c r="D1711" s="15"/>
      <c r="E1711" s="15" t="s">
        <v>10988</v>
      </c>
      <c r="F1711" s="15"/>
      <c r="G1711" s="15"/>
      <c r="H1711" s="16" t="s">
        <v>7377</v>
      </c>
    </row>
    <row r="1712" spans="1:8" ht="75" x14ac:dyDescent="0.25">
      <c r="A1712" s="15" t="s">
        <v>10977</v>
      </c>
      <c r="B1712" s="15" t="s">
        <v>11025</v>
      </c>
      <c r="C1712" s="15" t="s">
        <v>11026</v>
      </c>
      <c r="D1712" s="15"/>
      <c r="E1712" s="15" t="s">
        <v>11007</v>
      </c>
      <c r="F1712" s="15"/>
      <c r="G1712" s="15"/>
      <c r="H1712" s="16" t="s">
        <v>7377</v>
      </c>
    </row>
    <row r="1713" spans="1:8" ht="30" x14ac:dyDescent="0.25">
      <c r="A1713" s="15" t="s">
        <v>10977</v>
      </c>
      <c r="B1713" s="15" t="s">
        <v>11027</v>
      </c>
      <c r="C1713" s="15" t="s">
        <v>11028</v>
      </c>
      <c r="D1713" s="15"/>
      <c r="E1713" s="15" t="s">
        <v>11029</v>
      </c>
      <c r="F1713" s="15"/>
      <c r="G1713" s="15"/>
      <c r="H1713" s="16" t="s">
        <v>7377</v>
      </c>
    </row>
    <row r="1714" spans="1:8" ht="45" x14ac:dyDescent="0.25">
      <c r="A1714" s="15" t="s">
        <v>10977</v>
      </c>
      <c r="B1714" s="15" t="s">
        <v>11030</v>
      </c>
      <c r="C1714" s="15" t="s">
        <v>11031</v>
      </c>
      <c r="D1714" s="15"/>
      <c r="E1714" s="15" t="s">
        <v>10988</v>
      </c>
      <c r="F1714" s="15"/>
      <c r="G1714" s="15"/>
      <c r="H1714" s="16" t="s">
        <v>7377</v>
      </c>
    </row>
    <row r="1715" spans="1:8" ht="45" x14ac:dyDescent="0.25">
      <c r="A1715" s="15" t="s">
        <v>10977</v>
      </c>
      <c r="B1715" s="15" t="s">
        <v>11032</v>
      </c>
      <c r="C1715" s="15" t="s">
        <v>11033</v>
      </c>
      <c r="D1715" s="15"/>
      <c r="E1715" s="15" t="s">
        <v>10988</v>
      </c>
      <c r="F1715" s="15"/>
      <c r="G1715" s="15"/>
      <c r="H1715" s="16" t="s">
        <v>7377</v>
      </c>
    </row>
    <row r="1716" spans="1:8" ht="45" x14ac:dyDescent="0.25">
      <c r="A1716" s="15" t="s">
        <v>10977</v>
      </c>
      <c r="B1716" s="15" t="s">
        <v>11034</v>
      </c>
      <c r="C1716" s="15" t="s">
        <v>11035</v>
      </c>
      <c r="D1716" s="15"/>
      <c r="E1716" s="15" t="s">
        <v>11036</v>
      </c>
      <c r="F1716" s="15"/>
      <c r="G1716" s="15"/>
      <c r="H1716" s="16" t="s">
        <v>7377</v>
      </c>
    </row>
    <row r="1717" spans="1:8" ht="60" x14ac:dyDescent="0.25">
      <c r="A1717" s="15" t="s">
        <v>10977</v>
      </c>
      <c r="B1717" s="15" t="s">
        <v>11037</v>
      </c>
      <c r="C1717" s="15" t="s">
        <v>11038</v>
      </c>
      <c r="D1717" s="15"/>
      <c r="E1717" s="15" t="s">
        <v>10998</v>
      </c>
      <c r="F1717" s="15"/>
      <c r="G1717" s="15"/>
      <c r="H1717" s="16" t="s">
        <v>7377</v>
      </c>
    </row>
    <row r="1718" spans="1:8" ht="60" x14ac:dyDescent="0.25">
      <c r="A1718" s="15" t="s">
        <v>10977</v>
      </c>
      <c r="B1718" s="15" t="s">
        <v>11039</v>
      </c>
      <c r="C1718" s="15" t="s">
        <v>11040</v>
      </c>
      <c r="D1718" s="15"/>
      <c r="E1718" s="15" t="s">
        <v>10988</v>
      </c>
      <c r="F1718" s="15"/>
      <c r="G1718" s="15"/>
      <c r="H1718" s="16" t="s">
        <v>7377</v>
      </c>
    </row>
    <row r="1719" spans="1:8" ht="45" x14ac:dyDescent="0.25">
      <c r="A1719" s="15" t="s">
        <v>10977</v>
      </c>
      <c r="B1719" s="15" t="s">
        <v>11041</v>
      </c>
      <c r="C1719" s="15" t="s">
        <v>11042</v>
      </c>
      <c r="D1719" s="15"/>
      <c r="E1719" s="15" t="s">
        <v>10988</v>
      </c>
      <c r="F1719" s="15"/>
      <c r="G1719" s="15"/>
      <c r="H1719" s="16" t="s">
        <v>7377</v>
      </c>
    </row>
    <row r="1720" spans="1:8" ht="45" x14ac:dyDescent="0.25">
      <c r="A1720" s="15" t="s">
        <v>10977</v>
      </c>
      <c r="B1720" s="15" t="s">
        <v>11043</v>
      </c>
      <c r="C1720" s="15" t="s">
        <v>11044</v>
      </c>
      <c r="D1720" s="15"/>
      <c r="E1720" s="15" t="s">
        <v>10995</v>
      </c>
      <c r="F1720" s="15"/>
      <c r="G1720" s="15"/>
      <c r="H1720" s="16" t="s">
        <v>7377</v>
      </c>
    </row>
    <row r="1721" spans="1:8" ht="45" x14ac:dyDescent="0.25">
      <c r="A1721" s="15" t="s">
        <v>10977</v>
      </c>
      <c r="B1721" s="15" t="s">
        <v>11045</v>
      </c>
      <c r="C1721" s="15" t="s">
        <v>11046</v>
      </c>
      <c r="D1721" s="15"/>
      <c r="E1721" s="15" t="s">
        <v>10995</v>
      </c>
      <c r="F1721" s="15"/>
      <c r="G1721" s="15"/>
      <c r="H1721" s="16" t="s">
        <v>7377</v>
      </c>
    </row>
    <row r="1722" spans="1:8" ht="45" x14ac:dyDescent="0.25">
      <c r="A1722" s="15" t="s">
        <v>10977</v>
      </c>
      <c r="B1722" s="15" t="s">
        <v>11047</v>
      </c>
      <c r="C1722" s="15" t="s">
        <v>11048</v>
      </c>
      <c r="D1722" s="15"/>
      <c r="E1722" s="15" t="s">
        <v>10988</v>
      </c>
      <c r="F1722" s="15"/>
      <c r="G1722" s="15"/>
      <c r="H1722" s="16" t="s">
        <v>7377</v>
      </c>
    </row>
    <row r="1723" spans="1:8" ht="60" x14ac:dyDescent="0.25">
      <c r="A1723" s="15" t="s">
        <v>10977</v>
      </c>
      <c r="B1723" s="15" t="s">
        <v>11049</v>
      </c>
      <c r="C1723" s="15" t="s">
        <v>11022</v>
      </c>
      <c r="D1723" s="15"/>
      <c r="E1723" s="15" t="s">
        <v>10988</v>
      </c>
      <c r="F1723" s="15"/>
      <c r="G1723" s="15"/>
      <c r="H1723" s="16" t="s">
        <v>7377</v>
      </c>
    </row>
    <row r="1724" spans="1:8" ht="75" x14ac:dyDescent="0.25">
      <c r="A1724" s="15" t="s">
        <v>10977</v>
      </c>
      <c r="B1724" s="15" t="s">
        <v>11050</v>
      </c>
      <c r="C1724" s="15" t="s">
        <v>11051</v>
      </c>
      <c r="D1724" s="15"/>
      <c r="E1724" s="15" t="s">
        <v>11007</v>
      </c>
      <c r="F1724" s="15"/>
      <c r="G1724" s="15"/>
      <c r="H1724" s="16" t="s">
        <v>7377</v>
      </c>
    </row>
    <row r="1725" spans="1:8" ht="30" x14ac:dyDescent="0.25">
      <c r="A1725" s="15" t="s">
        <v>10977</v>
      </c>
      <c r="B1725" s="15" t="s">
        <v>11052</v>
      </c>
      <c r="C1725" s="15" t="s">
        <v>11053</v>
      </c>
      <c r="D1725" s="15"/>
      <c r="E1725" s="15" t="s">
        <v>11009</v>
      </c>
      <c r="F1725" s="15"/>
      <c r="G1725" s="15"/>
      <c r="H1725" s="16" t="s">
        <v>7377</v>
      </c>
    </row>
    <row r="1726" spans="1:8" ht="60" x14ac:dyDescent="0.25">
      <c r="A1726" s="15" t="s">
        <v>10977</v>
      </c>
      <c r="B1726" s="15" t="s">
        <v>11054</v>
      </c>
      <c r="C1726" s="15" t="s">
        <v>11055</v>
      </c>
      <c r="D1726" s="15"/>
      <c r="E1726" s="15" t="s">
        <v>11056</v>
      </c>
      <c r="F1726" s="15"/>
      <c r="G1726" s="15"/>
      <c r="H1726" s="16" t="s">
        <v>7377</v>
      </c>
    </row>
    <row r="1727" spans="1:8" ht="60" x14ac:dyDescent="0.25">
      <c r="A1727" s="15" t="s">
        <v>10977</v>
      </c>
      <c r="B1727" s="15" t="s">
        <v>11057</v>
      </c>
      <c r="C1727" s="15" t="s">
        <v>11058</v>
      </c>
      <c r="D1727" s="15"/>
      <c r="E1727" s="15" t="s">
        <v>10988</v>
      </c>
      <c r="F1727" s="15"/>
      <c r="G1727" s="15"/>
      <c r="H1727" s="16" t="s">
        <v>7377</v>
      </c>
    </row>
    <row r="1728" spans="1:8" ht="45" x14ac:dyDescent="0.25">
      <c r="A1728" s="15" t="s">
        <v>10977</v>
      </c>
      <c r="B1728" s="15" t="s">
        <v>11059</v>
      </c>
      <c r="C1728" s="15" t="s">
        <v>11060</v>
      </c>
      <c r="D1728" s="15"/>
      <c r="E1728" s="15" t="s">
        <v>10995</v>
      </c>
      <c r="F1728" s="15"/>
      <c r="G1728" s="15"/>
      <c r="H1728" s="16" t="s">
        <v>7377</v>
      </c>
    </row>
    <row r="1729" spans="1:8" ht="45" x14ac:dyDescent="0.25">
      <c r="A1729" s="15" t="s">
        <v>10977</v>
      </c>
      <c r="B1729" s="15" t="s">
        <v>11061</v>
      </c>
      <c r="C1729" s="15" t="s">
        <v>11062</v>
      </c>
      <c r="D1729" s="15"/>
      <c r="E1729" s="15" t="s">
        <v>10988</v>
      </c>
      <c r="F1729" s="15"/>
      <c r="G1729" s="15"/>
      <c r="H1729" s="16" t="s">
        <v>7377</v>
      </c>
    </row>
    <row r="1730" spans="1:8" ht="30" x14ac:dyDescent="0.25">
      <c r="A1730" s="15" t="s">
        <v>10977</v>
      </c>
      <c r="B1730" s="15" t="s">
        <v>11063</v>
      </c>
      <c r="C1730" s="15" t="s">
        <v>11064</v>
      </c>
      <c r="D1730" s="15"/>
      <c r="E1730" s="15" t="s">
        <v>11009</v>
      </c>
      <c r="F1730" s="15"/>
      <c r="G1730" s="15"/>
      <c r="H1730" s="16" t="s">
        <v>7377</v>
      </c>
    </row>
    <row r="1731" spans="1:8" ht="30" x14ac:dyDescent="0.25">
      <c r="A1731" s="15" t="s">
        <v>10977</v>
      </c>
      <c r="B1731" s="15" t="s">
        <v>11065</v>
      </c>
      <c r="C1731" s="15" t="s">
        <v>11066</v>
      </c>
      <c r="D1731" s="15"/>
      <c r="E1731" s="15" t="s">
        <v>10988</v>
      </c>
      <c r="F1731" s="15"/>
      <c r="G1731" s="15"/>
      <c r="H1731" s="16" t="s">
        <v>7377</v>
      </c>
    </row>
    <row r="1732" spans="1:8" ht="30" x14ac:dyDescent="0.25">
      <c r="A1732" s="15" t="s">
        <v>10977</v>
      </c>
      <c r="B1732" s="15" t="s">
        <v>11067</v>
      </c>
      <c r="C1732" s="15" t="s">
        <v>11068</v>
      </c>
      <c r="D1732" s="15"/>
      <c r="E1732" s="15" t="s">
        <v>10988</v>
      </c>
      <c r="F1732" s="15"/>
      <c r="G1732" s="15"/>
      <c r="H1732" s="16" t="s">
        <v>7377</v>
      </c>
    </row>
    <row r="1733" spans="1:8" ht="45" x14ac:dyDescent="0.25">
      <c r="A1733" s="15" t="s">
        <v>10977</v>
      </c>
      <c r="B1733" s="15" t="s">
        <v>11069</v>
      </c>
      <c r="C1733" s="15" t="s">
        <v>11070</v>
      </c>
      <c r="D1733" s="15"/>
      <c r="E1733" s="15" t="s">
        <v>10988</v>
      </c>
      <c r="F1733" s="15"/>
      <c r="G1733" s="15"/>
      <c r="H1733" s="16" t="s">
        <v>7377</v>
      </c>
    </row>
    <row r="1734" spans="1:8" x14ac:dyDescent="0.25">
      <c r="A1734" s="15" t="s">
        <v>10977</v>
      </c>
      <c r="B1734" s="15" t="s">
        <v>11071</v>
      </c>
      <c r="C1734" s="15" t="s">
        <v>11072</v>
      </c>
      <c r="D1734" s="15"/>
      <c r="E1734" s="15" t="s">
        <v>11073</v>
      </c>
      <c r="F1734" s="15"/>
      <c r="G1734" s="15"/>
      <c r="H1734" s="16" t="s">
        <v>7377</v>
      </c>
    </row>
    <row r="1735" spans="1:8" ht="45" x14ac:dyDescent="0.25">
      <c r="A1735" s="15" t="s">
        <v>10977</v>
      </c>
      <c r="B1735" s="15" t="s">
        <v>11074</v>
      </c>
      <c r="C1735" s="15" t="s">
        <v>11075</v>
      </c>
      <c r="D1735" s="15"/>
      <c r="E1735" s="15" t="s">
        <v>11076</v>
      </c>
      <c r="F1735" s="15"/>
      <c r="G1735" s="15"/>
      <c r="H1735" s="16" t="s">
        <v>7377</v>
      </c>
    </row>
    <row r="1736" spans="1:8" ht="30" x14ac:dyDescent="0.25">
      <c r="A1736" s="15" t="s">
        <v>10977</v>
      </c>
      <c r="B1736" s="15" t="s">
        <v>11077</v>
      </c>
      <c r="C1736" s="15" t="s">
        <v>10979</v>
      </c>
      <c r="D1736" s="15"/>
      <c r="E1736" s="15" t="s">
        <v>10980</v>
      </c>
      <c r="F1736" s="15"/>
      <c r="G1736" s="15"/>
      <c r="H1736" s="16" t="s">
        <v>7377</v>
      </c>
    </row>
    <row r="1737" spans="1:8" ht="30" x14ac:dyDescent="0.25">
      <c r="A1737" s="15" t="s">
        <v>10977</v>
      </c>
      <c r="B1737" s="15" t="s">
        <v>11078</v>
      </c>
      <c r="C1737" s="15" t="s">
        <v>11079</v>
      </c>
      <c r="D1737" s="15"/>
      <c r="E1737" s="15" t="s">
        <v>10988</v>
      </c>
      <c r="F1737" s="15"/>
      <c r="G1737" s="15"/>
      <c r="H1737" s="16" t="s">
        <v>7377</v>
      </c>
    </row>
    <row r="1738" spans="1:8" ht="30" x14ac:dyDescent="0.25">
      <c r="A1738" s="15" t="s">
        <v>10977</v>
      </c>
      <c r="B1738" s="15" t="s">
        <v>11080</v>
      </c>
      <c r="C1738" s="15" t="s">
        <v>11081</v>
      </c>
      <c r="D1738" s="15"/>
      <c r="E1738" s="15" t="s">
        <v>11009</v>
      </c>
      <c r="F1738" s="15"/>
      <c r="G1738" s="15"/>
      <c r="H1738" s="16" t="s">
        <v>7377</v>
      </c>
    </row>
    <row r="1739" spans="1:8" ht="30" x14ac:dyDescent="0.25">
      <c r="A1739" s="15" t="s">
        <v>10977</v>
      </c>
      <c r="B1739" s="15" t="s">
        <v>11082</v>
      </c>
      <c r="C1739" s="15" t="s">
        <v>11083</v>
      </c>
      <c r="D1739" s="15"/>
      <c r="E1739" s="15" t="s">
        <v>10988</v>
      </c>
      <c r="F1739" s="15"/>
      <c r="G1739" s="15"/>
      <c r="H1739" s="16" t="s">
        <v>7377</v>
      </c>
    </row>
    <row r="1740" spans="1:8" ht="45" x14ac:dyDescent="0.25">
      <c r="A1740" s="15" t="s">
        <v>10977</v>
      </c>
      <c r="B1740" s="15" t="s">
        <v>11084</v>
      </c>
      <c r="C1740" s="15" t="s">
        <v>11085</v>
      </c>
      <c r="D1740" s="15"/>
      <c r="E1740" s="15" t="s">
        <v>11009</v>
      </c>
      <c r="F1740" s="15"/>
      <c r="G1740" s="15"/>
      <c r="H1740" s="16" t="s">
        <v>7377</v>
      </c>
    </row>
    <row r="1741" spans="1:8" ht="30" x14ac:dyDescent="0.25">
      <c r="A1741" s="15" t="s">
        <v>10977</v>
      </c>
      <c r="B1741" s="15" t="s">
        <v>11086</v>
      </c>
      <c r="C1741" s="15" t="s">
        <v>11087</v>
      </c>
      <c r="D1741" s="15"/>
      <c r="E1741" s="15" t="s">
        <v>11009</v>
      </c>
      <c r="F1741" s="15"/>
      <c r="G1741" s="15"/>
      <c r="H1741" s="16" t="s">
        <v>7377</v>
      </c>
    </row>
    <row r="1742" spans="1:8" ht="45" x14ac:dyDescent="0.25">
      <c r="A1742" s="15" t="s">
        <v>10977</v>
      </c>
      <c r="B1742" s="15" t="s">
        <v>11088</v>
      </c>
      <c r="C1742" s="15" t="s">
        <v>11089</v>
      </c>
      <c r="D1742" s="15"/>
      <c r="E1742" s="15" t="s">
        <v>10998</v>
      </c>
      <c r="F1742" s="15"/>
      <c r="G1742" s="15"/>
      <c r="H1742" s="16" t="s">
        <v>7377</v>
      </c>
    </row>
    <row r="1743" spans="1:8" ht="45" x14ac:dyDescent="0.25">
      <c r="A1743" s="15" t="s">
        <v>10977</v>
      </c>
      <c r="B1743" s="15" t="s">
        <v>11090</v>
      </c>
      <c r="C1743" s="15" t="s">
        <v>11091</v>
      </c>
      <c r="D1743" s="15"/>
      <c r="E1743" s="15" t="s">
        <v>11009</v>
      </c>
      <c r="F1743" s="15"/>
      <c r="G1743" s="15"/>
      <c r="H1743" s="16" t="s">
        <v>7377</v>
      </c>
    </row>
    <row r="1744" spans="1:8" ht="45" x14ac:dyDescent="0.25">
      <c r="A1744" s="15" t="s">
        <v>10977</v>
      </c>
      <c r="B1744" s="15" t="s">
        <v>11092</v>
      </c>
      <c r="C1744" s="15" t="s">
        <v>11093</v>
      </c>
      <c r="D1744" s="15"/>
      <c r="E1744" s="15" t="s">
        <v>10995</v>
      </c>
      <c r="F1744" s="15"/>
      <c r="G1744" s="15"/>
      <c r="H1744" s="16" t="s">
        <v>7377</v>
      </c>
    </row>
    <row r="1745" spans="1:8" ht="30" x14ac:dyDescent="0.25">
      <c r="A1745" s="15" t="s">
        <v>10977</v>
      </c>
      <c r="B1745" s="15" t="s">
        <v>11094</v>
      </c>
      <c r="C1745" s="15"/>
      <c r="D1745" s="15"/>
      <c r="E1745" s="15" t="s">
        <v>11073</v>
      </c>
      <c r="F1745" s="15"/>
      <c r="G1745" s="15"/>
      <c r="H1745" s="16" t="s">
        <v>7377</v>
      </c>
    </row>
    <row r="1746" spans="1:8" x14ac:dyDescent="0.25">
      <c r="A1746" s="15" t="s">
        <v>10977</v>
      </c>
      <c r="B1746" s="15" t="s">
        <v>11095</v>
      </c>
      <c r="C1746" s="15" t="s">
        <v>11096</v>
      </c>
      <c r="D1746" s="15"/>
      <c r="E1746" s="15" t="s">
        <v>10988</v>
      </c>
      <c r="F1746" s="15"/>
      <c r="G1746" s="15"/>
      <c r="H1746" s="16" t="s">
        <v>7377</v>
      </c>
    </row>
    <row r="1747" spans="1:8" x14ac:dyDescent="0.25">
      <c r="A1747" s="15" t="s">
        <v>10977</v>
      </c>
      <c r="B1747" s="15" t="s">
        <v>11097</v>
      </c>
      <c r="C1747" s="15"/>
      <c r="D1747" s="15"/>
      <c r="E1747" s="15" t="s">
        <v>11009</v>
      </c>
      <c r="F1747" s="15"/>
      <c r="G1747" s="15"/>
      <c r="H1747" s="16" t="s">
        <v>7377</v>
      </c>
    </row>
    <row r="1748" spans="1:8" x14ac:dyDescent="0.25">
      <c r="A1748" s="15" t="s">
        <v>10977</v>
      </c>
      <c r="B1748" s="15" t="s">
        <v>11098</v>
      </c>
      <c r="C1748" s="15"/>
      <c r="D1748" s="15"/>
      <c r="E1748" s="15" t="s">
        <v>11073</v>
      </c>
      <c r="F1748" s="15"/>
      <c r="G1748" s="15"/>
      <c r="H1748" s="16" t="s">
        <v>7377</v>
      </c>
    </row>
    <row r="1749" spans="1:8" ht="30" x14ac:dyDescent="0.25">
      <c r="A1749" s="15" t="s">
        <v>10977</v>
      </c>
      <c r="B1749" s="15" t="s">
        <v>11099</v>
      </c>
      <c r="C1749" s="15"/>
      <c r="D1749" s="15"/>
      <c r="E1749" s="15" t="s">
        <v>11073</v>
      </c>
      <c r="F1749" s="15"/>
      <c r="G1749" s="15"/>
      <c r="H1749" s="16" t="s">
        <v>7377</v>
      </c>
    </row>
    <row r="1750" spans="1:8" ht="30" x14ac:dyDescent="0.25">
      <c r="A1750" s="15" t="s">
        <v>10977</v>
      </c>
      <c r="B1750" s="15" t="s">
        <v>11100</v>
      </c>
      <c r="C1750" s="15"/>
      <c r="D1750" s="15"/>
      <c r="E1750" s="15" t="s">
        <v>11009</v>
      </c>
      <c r="F1750" s="15"/>
      <c r="G1750" s="15"/>
      <c r="H1750" s="16" t="s">
        <v>7377</v>
      </c>
    </row>
    <row r="1751" spans="1:8" x14ac:dyDescent="0.25">
      <c r="A1751" s="15" t="s">
        <v>10977</v>
      </c>
      <c r="B1751" s="15" t="s">
        <v>11101</v>
      </c>
      <c r="C1751" s="15"/>
      <c r="D1751" s="15"/>
      <c r="E1751" s="15" t="s">
        <v>11073</v>
      </c>
      <c r="F1751" s="15"/>
      <c r="G1751" s="15"/>
      <c r="H1751" s="16" t="s">
        <v>7377</v>
      </c>
    </row>
    <row r="1752" spans="1:8" x14ac:dyDescent="0.25">
      <c r="A1752" s="15" t="s">
        <v>10977</v>
      </c>
      <c r="B1752" s="15" t="s">
        <v>11102</v>
      </c>
      <c r="C1752" s="15" t="s">
        <v>11103</v>
      </c>
      <c r="D1752" s="15"/>
      <c r="E1752" s="15" t="s">
        <v>11073</v>
      </c>
      <c r="F1752" s="15"/>
      <c r="G1752" s="15"/>
      <c r="H1752" s="16" t="s">
        <v>7377</v>
      </c>
    </row>
    <row r="1753" spans="1:8" x14ac:dyDescent="0.25">
      <c r="A1753" s="15" t="s">
        <v>10977</v>
      </c>
      <c r="B1753" s="15" t="s">
        <v>11104</v>
      </c>
      <c r="C1753" s="15"/>
      <c r="D1753" s="15"/>
      <c r="E1753" s="15" t="s">
        <v>11009</v>
      </c>
      <c r="F1753" s="15"/>
      <c r="G1753" s="15"/>
      <c r="H1753" s="16" t="s">
        <v>7377</v>
      </c>
    </row>
    <row r="1754" spans="1:8" ht="30" x14ac:dyDescent="0.25">
      <c r="A1754" s="15" t="s">
        <v>10977</v>
      </c>
      <c r="B1754" s="15" t="s">
        <v>11105</v>
      </c>
      <c r="C1754" s="15"/>
      <c r="D1754" s="15"/>
      <c r="E1754" s="15" t="s">
        <v>10988</v>
      </c>
      <c r="F1754" s="15"/>
      <c r="G1754" s="15"/>
      <c r="H1754" s="16" t="s">
        <v>7377</v>
      </c>
    </row>
    <row r="1755" spans="1:8" ht="30" x14ac:dyDescent="0.25">
      <c r="A1755" s="15" t="s">
        <v>10977</v>
      </c>
      <c r="B1755" s="15" t="s">
        <v>11106</v>
      </c>
      <c r="C1755" s="15" t="s">
        <v>11107</v>
      </c>
      <c r="D1755" s="15"/>
      <c r="E1755" s="15" t="s">
        <v>10988</v>
      </c>
      <c r="F1755" s="15"/>
      <c r="G1755" s="15"/>
      <c r="H1755" s="16" t="s">
        <v>7377</v>
      </c>
    </row>
    <row r="1756" spans="1:8" x14ac:dyDescent="0.25">
      <c r="A1756" s="15" t="s">
        <v>10977</v>
      </c>
      <c r="B1756" s="15" t="s">
        <v>11108</v>
      </c>
      <c r="C1756" s="15"/>
      <c r="D1756" s="15"/>
      <c r="E1756" s="15" t="s">
        <v>11109</v>
      </c>
      <c r="F1756" s="15"/>
      <c r="G1756" s="15"/>
      <c r="H1756" s="16" t="s">
        <v>7377</v>
      </c>
    </row>
    <row r="1757" spans="1:8" x14ac:dyDescent="0.25">
      <c r="A1757" s="15" t="s">
        <v>10977</v>
      </c>
      <c r="B1757" s="15" t="s">
        <v>11110</v>
      </c>
      <c r="C1757" s="15"/>
      <c r="D1757" s="15"/>
      <c r="E1757" s="15" t="s">
        <v>10988</v>
      </c>
      <c r="F1757" s="15"/>
      <c r="G1757" s="15"/>
      <c r="H1757" s="16" t="s">
        <v>7377</v>
      </c>
    </row>
    <row r="1758" spans="1:8" ht="30" x14ac:dyDescent="0.25">
      <c r="A1758" s="15" t="s">
        <v>10977</v>
      </c>
      <c r="B1758" s="15" t="s">
        <v>11111</v>
      </c>
      <c r="C1758" s="15" t="s">
        <v>11112</v>
      </c>
      <c r="D1758" s="15"/>
      <c r="E1758" s="15" t="s">
        <v>11009</v>
      </c>
      <c r="F1758" s="15"/>
      <c r="G1758" s="15"/>
      <c r="H1758" s="16" t="s">
        <v>7377</v>
      </c>
    </row>
    <row r="1759" spans="1:8" x14ac:dyDescent="0.25">
      <c r="A1759" s="15" t="s">
        <v>10977</v>
      </c>
      <c r="B1759" s="15" t="s">
        <v>11113</v>
      </c>
      <c r="C1759" s="15"/>
      <c r="D1759" s="15"/>
      <c r="E1759" s="15" t="s">
        <v>11109</v>
      </c>
      <c r="F1759" s="15"/>
      <c r="G1759" s="15"/>
      <c r="H1759" s="16" t="s">
        <v>7377</v>
      </c>
    </row>
    <row r="1760" spans="1:8" x14ac:dyDescent="0.25">
      <c r="A1760" s="15" t="s">
        <v>10977</v>
      </c>
      <c r="B1760" s="15" t="s">
        <v>11114</v>
      </c>
      <c r="C1760" s="15"/>
      <c r="D1760" s="15"/>
      <c r="E1760" s="15" t="s">
        <v>11115</v>
      </c>
      <c r="F1760" s="15"/>
      <c r="G1760" s="15"/>
      <c r="H1760" s="16" t="s">
        <v>7377</v>
      </c>
    </row>
    <row r="1761" spans="1:8" ht="30" x14ac:dyDescent="0.25">
      <c r="A1761" s="15" t="s">
        <v>10977</v>
      </c>
      <c r="B1761" s="15" t="s">
        <v>11116</v>
      </c>
      <c r="C1761" s="15"/>
      <c r="D1761" s="15"/>
      <c r="E1761" s="15" t="s">
        <v>10998</v>
      </c>
      <c r="F1761" s="15"/>
      <c r="G1761" s="15"/>
      <c r="H1761" s="16" t="s">
        <v>7377</v>
      </c>
    </row>
    <row r="1762" spans="1:8" ht="30" x14ac:dyDescent="0.25">
      <c r="A1762" s="15" t="s">
        <v>10977</v>
      </c>
      <c r="B1762" s="15" t="s">
        <v>11117</v>
      </c>
      <c r="C1762" s="15"/>
      <c r="D1762" s="15"/>
      <c r="E1762" s="15" t="s">
        <v>11118</v>
      </c>
      <c r="F1762" s="15"/>
      <c r="G1762" s="15"/>
      <c r="H1762" s="16" t="s">
        <v>7377</v>
      </c>
    </row>
    <row r="1763" spans="1:8" ht="30" x14ac:dyDescent="0.25">
      <c r="A1763" s="15" t="s">
        <v>10977</v>
      </c>
      <c r="B1763" s="15" t="s">
        <v>11119</v>
      </c>
      <c r="C1763" s="15"/>
      <c r="D1763" s="15"/>
      <c r="E1763" s="15" t="s">
        <v>11118</v>
      </c>
      <c r="F1763" s="15"/>
      <c r="G1763" s="15"/>
      <c r="H1763" s="16" t="s">
        <v>7377</v>
      </c>
    </row>
    <row r="1764" spans="1:8" ht="30" x14ac:dyDescent="0.25">
      <c r="A1764" s="15" t="s">
        <v>10977</v>
      </c>
      <c r="B1764" s="15" t="s">
        <v>11120</v>
      </c>
      <c r="C1764" s="15" t="s">
        <v>11121</v>
      </c>
      <c r="D1764" s="15"/>
      <c r="E1764" s="15" t="s">
        <v>11122</v>
      </c>
      <c r="F1764" s="15"/>
      <c r="G1764" s="15"/>
      <c r="H1764" s="16" t="s">
        <v>7377</v>
      </c>
    </row>
    <row r="1765" spans="1:8" ht="45" x14ac:dyDescent="0.25">
      <c r="A1765" s="15" t="s">
        <v>10977</v>
      </c>
      <c r="B1765" s="15" t="s">
        <v>11123</v>
      </c>
      <c r="C1765" s="15" t="s">
        <v>11124</v>
      </c>
      <c r="D1765" s="15"/>
      <c r="E1765" s="15" t="s">
        <v>11125</v>
      </c>
      <c r="F1765" s="15"/>
      <c r="G1765" s="15"/>
      <c r="H1765" s="16" t="s">
        <v>7377</v>
      </c>
    </row>
    <row r="1766" spans="1:8" x14ac:dyDescent="0.25">
      <c r="A1766" s="15" t="s">
        <v>10977</v>
      </c>
      <c r="B1766" s="15" t="s">
        <v>11126</v>
      </c>
      <c r="C1766" s="15" t="s">
        <v>11127</v>
      </c>
      <c r="D1766" s="15"/>
      <c r="E1766" s="15" t="s">
        <v>11128</v>
      </c>
      <c r="F1766" s="15"/>
      <c r="G1766" s="15"/>
      <c r="H1766" s="16" t="s">
        <v>7377</v>
      </c>
    </row>
    <row r="1767" spans="1:8" x14ac:dyDescent="0.25">
      <c r="A1767" s="15" t="s">
        <v>10977</v>
      </c>
      <c r="B1767" s="15" t="s">
        <v>11129</v>
      </c>
      <c r="C1767" s="15"/>
      <c r="D1767" s="15"/>
      <c r="E1767" s="15" t="s">
        <v>11109</v>
      </c>
      <c r="F1767" s="15"/>
      <c r="G1767" s="15"/>
      <c r="H1767" s="16" t="s">
        <v>7377</v>
      </c>
    </row>
    <row r="1768" spans="1:8" ht="30" x14ac:dyDescent="0.25">
      <c r="A1768" s="15" t="s">
        <v>10977</v>
      </c>
      <c r="B1768" s="15" t="s">
        <v>11130</v>
      </c>
      <c r="C1768" s="15" t="s">
        <v>11131</v>
      </c>
      <c r="D1768" s="15"/>
      <c r="E1768" s="15" t="s">
        <v>10984</v>
      </c>
      <c r="F1768" s="15"/>
      <c r="G1768" s="15"/>
      <c r="H1768" s="16" t="s">
        <v>7377</v>
      </c>
    </row>
    <row r="1769" spans="1:8" ht="45" x14ac:dyDescent="0.25">
      <c r="A1769" s="15" t="s">
        <v>10977</v>
      </c>
      <c r="B1769" s="15" t="s">
        <v>11132</v>
      </c>
      <c r="C1769" s="15" t="s">
        <v>11133</v>
      </c>
      <c r="D1769" s="15"/>
      <c r="E1769" s="15" t="s">
        <v>11134</v>
      </c>
      <c r="F1769" s="15"/>
      <c r="G1769" s="15"/>
      <c r="H1769" s="16" t="s">
        <v>7377</v>
      </c>
    </row>
    <row r="1770" spans="1:8" ht="45" x14ac:dyDescent="0.25">
      <c r="A1770" s="15" t="s">
        <v>10977</v>
      </c>
      <c r="B1770" s="15" t="s">
        <v>11135</v>
      </c>
      <c r="C1770" s="15" t="s">
        <v>11136</v>
      </c>
      <c r="D1770" s="15"/>
      <c r="E1770" s="15" t="s">
        <v>10998</v>
      </c>
      <c r="F1770" s="15"/>
      <c r="G1770" s="15"/>
      <c r="H1770" s="16" t="s">
        <v>7377</v>
      </c>
    </row>
    <row r="1771" spans="1:8" ht="75" x14ac:dyDescent="0.25">
      <c r="A1771" s="15" t="s">
        <v>10977</v>
      </c>
      <c r="B1771" s="15" t="s">
        <v>11137</v>
      </c>
      <c r="C1771" s="15" t="s">
        <v>11138</v>
      </c>
      <c r="D1771" s="15"/>
      <c r="E1771" s="15" t="s">
        <v>10998</v>
      </c>
      <c r="F1771" s="15"/>
      <c r="G1771" s="15"/>
      <c r="H1771" s="16" t="s">
        <v>7377</v>
      </c>
    </row>
    <row r="1772" spans="1:8" x14ac:dyDescent="0.25">
      <c r="A1772" s="15" t="s">
        <v>10977</v>
      </c>
      <c r="B1772" s="15" t="s">
        <v>11139</v>
      </c>
      <c r="C1772" s="15" t="s">
        <v>11140</v>
      </c>
      <c r="D1772" s="15"/>
      <c r="E1772" s="15" t="s">
        <v>11134</v>
      </c>
      <c r="F1772" s="15"/>
      <c r="G1772" s="15"/>
      <c r="H1772" s="16" t="s">
        <v>7377</v>
      </c>
    </row>
    <row r="1773" spans="1:8" x14ac:dyDescent="0.25">
      <c r="A1773" s="15" t="s">
        <v>10977</v>
      </c>
      <c r="B1773" s="15" t="s">
        <v>11141</v>
      </c>
      <c r="C1773" s="15"/>
      <c r="D1773" s="15"/>
      <c r="E1773" s="15" t="s">
        <v>10998</v>
      </c>
      <c r="F1773" s="15"/>
      <c r="G1773" s="15"/>
      <c r="H1773" s="16" t="s">
        <v>7377</v>
      </c>
    </row>
    <row r="1774" spans="1:8" x14ac:dyDescent="0.25">
      <c r="A1774" s="15" t="s">
        <v>10977</v>
      </c>
      <c r="B1774" s="15" t="s">
        <v>11142</v>
      </c>
      <c r="C1774" s="15"/>
      <c r="D1774" s="15"/>
      <c r="E1774" s="15" t="s">
        <v>10998</v>
      </c>
      <c r="F1774" s="15"/>
      <c r="G1774" s="15"/>
      <c r="H1774" s="16" t="s">
        <v>7377</v>
      </c>
    </row>
    <row r="1775" spans="1:8" x14ac:dyDescent="0.25">
      <c r="A1775" s="15" t="s">
        <v>10977</v>
      </c>
      <c r="B1775" s="15" t="s">
        <v>11143</v>
      </c>
      <c r="C1775" s="15"/>
      <c r="D1775" s="15"/>
      <c r="E1775" s="15" t="s">
        <v>10995</v>
      </c>
      <c r="F1775" s="15"/>
      <c r="G1775" s="15"/>
      <c r="H1775" s="16" t="s">
        <v>7377</v>
      </c>
    </row>
    <row r="1776" spans="1:8" ht="30" x14ac:dyDescent="0.25">
      <c r="A1776" s="15" t="s">
        <v>10977</v>
      </c>
      <c r="B1776" s="15" t="s">
        <v>11144</v>
      </c>
      <c r="C1776" s="15"/>
      <c r="D1776" s="15"/>
      <c r="E1776" s="15" t="s">
        <v>10988</v>
      </c>
      <c r="F1776" s="15"/>
      <c r="G1776" s="15"/>
      <c r="H1776" s="16" t="s">
        <v>7377</v>
      </c>
    </row>
    <row r="1777" spans="1:8" ht="30" x14ac:dyDescent="0.25">
      <c r="A1777" s="15" t="s">
        <v>10977</v>
      </c>
      <c r="B1777" s="15" t="s">
        <v>11145</v>
      </c>
      <c r="C1777" s="15"/>
      <c r="D1777" s="15"/>
      <c r="E1777" s="15" t="s">
        <v>10998</v>
      </c>
      <c r="F1777" s="15"/>
      <c r="G1777" s="15"/>
      <c r="H1777" s="16" t="s">
        <v>7377</v>
      </c>
    </row>
    <row r="1778" spans="1:8" ht="30" x14ac:dyDescent="0.25">
      <c r="A1778" s="15" t="s">
        <v>10977</v>
      </c>
      <c r="B1778" s="15" t="s">
        <v>11146</v>
      </c>
      <c r="C1778" s="15"/>
      <c r="D1778" s="15"/>
      <c r="E1778" s="15" t="s">
        <v>10998</v>
      </c>
      <c r="F1778" s="15"/>
      <c r="G1778" s="15"/>
      <c r="H1778" s="16" t="s">
        <v>7377</v>
      </c>
    </row>
    <row r="1779" spans="1:8" ht="30" x14ac:dyDescent="0.25">
      <c r="A1779" s="15" t="s">
        <v>10977</v>
      </c>
      <c r="B1779" s="15" t="s">
        <v>11147</v>
      </c>
      <c r="C1779" s="15"/>
      <c r="D1779" s="15"/>
      <c r="E1779" s="15" t="s">
        <v>10998</v>
      </c>
      <c r="F1779" s="15"/>
      <c r="G1779" s="15"/>
      <c r="H1779" s="16" t="s">
        <v>7377</v>
      </c>
    </row>
    <row r="1780" spans="1:8" ht="30" x14ac:dyDescent="0.25">
      <c r="A1780" s="15" t="s">
        <v>10977</v>
      </c>
      <c r="B1780" s="15" t="s">
        <v>11148</v>
      </c>
      <c r="C1780" s="15"/>
      <c r="D1780" s="15"/>
      <c r="E1780" s="15" t="s">
        <v>10988</v>
      </c>
      <c r="F1780" s="15"/>
      <c r="G1780" s="15"/>
      <c r="H1780" s="16" t="s">
        <v>7377</v>
      </c>
    </row>
    <row r="1781" spans="1:8" ht="45" x14ac:dyDescent="0.25">
      <c r="A1781" s="15" t="s">
        <v>10977</v>
      </c>
      <c r="B1781" s="15" t="s">
        <v>11149</v>
      </c>
      <c r="C1781" s="15" t="s">
        <v>11150</v>
      </c>
      <c r="D1781" s="15"/>
      <c r="E1781" s="15" t="s">
        <v>11073</v>
      </c>
      <c r="F1781" s="15"/>
      <c r="G1781" s="15"/>
      <c r="H1781" s="16" t="s">
        <v>7377</v>
      </c>
    </row>
    <row r="1782" spans="1:8" ht="30" x14ac:dyDescent="0.25">
      <c r="A1782" s="15" t="s">
        <v>10977</v>
      </c>
      <c r="B1782" s="15" t="s">
        <v>11151</v>
      </c>
      <c r="C1782" s="15"/>
      <c r="D1782" s="15"/>
      <c r="E1782" s="15" t="s">
        <v>11152</v>
      </c>
      <c r="F1782" s="15"/>
      <c r="G1782" s="15"/>
      <c r="H1782" s="16" t="s">
        <v>7377</v>
      </c>
    </row>
    <row r="1783" spans="1:8" ht="30" x14ac:dyDescent="0.25">
      <c r="A1783" s="15" t="s">
        <v>10977</v>
      </c>
      <c r="B1783" s="15" t="s">
        <v>11153</v>
      </c>
      <c r="C1783" s="15"/>
      <c r="D1783" s="15"/>
      <c r="E1783" s="15" t="s">
        <v>10988</v>
      </c>
      <c r="F1783" s="15"/>
      <c r="G1783" s="15"/>
      <c r="H1783" s="16" t="s">
        <v>7377</v>
      </c>
    </row>
    <row r="1784" spans="1:8" ht="30" x14ac:dyDescent="0.25">
      <c r="A1784" s="15" t="s">
        <v>10977</v>
      </c>
      <c r="B1784" s="15" t="s">
        <v>11154</v>
      </c>
      <c r="C1784" s="15"/>
      <c r="D1784" s="15"/>
      <c r="E1784" s="15" t="s">
        <v>11073</v>
      </c>
      <c r="F1784" s="15"/>
      <c r="G1784" s="15"/>
      <c r="H1784" s="16" t="s">
        <v>7377</v>
      </c>
    </row>
    <row r="1785" spans="1:8" ht="30" x14ac:dyDescent="0.25">
      <c r="A1785" s="15" t="s">
        <v>10977</v>
      </c>
      <c r="B1785" s="15" t="s">
        <v>11155</v>
      </c>
      <c r="C1785" s="15" t="s">
        <v>11156</v>
      </c>
      <c r="D1785" s="15"/>
      <c r="E1785" s="15" t="s">
        <v>11073</v>
      </c>
      <c r="F1785" s="15"/>
      <c r="G1785" s="15"/>
      <c r="H1785" s="16" t="s">
        <v>7377</v>
      </c>
    </row>
    <row r="1786" spans="1:8" ht="30" x14ac:dyDescent="0.25">
      <c r="A1786" s="15" t="s">
        <v>10977</v>
      </c>
      <c r="B1786" s="15" t="s">
        <v>11157</v>
      </c>
      <c r="C1786" s="15"/>
      <c r="D1786" s="15"/>
      <c r="E1786" s="15" t="s">
        <v>11073</v>
      </c>
      <c r="F1786" s="15"/>
      <c r="G1786" s="15"/>
      <c r="H1786" s="16" t="s">
        <v>7377</v>
      </c>
    </row>
    <row r="1787" spans="1:8" ht="30" x14ac:dyDescent="0.25">
      <c r="A1787" s="15" t="s">
        <v>10977</v>
      </c>
      <c r="B1787" s="15" t="s">
        <v>11158</v>
      </c>
      <c r="C1787" s="15"/>
      <c r="D1787" s="15"/>
      <c r="E1787" s="15" t="s">
        <v>11076</v>
      </c>
      <c r="F1787" s="15"/>
      <c r="G1787" s="15"/>
      <c r="H1787" s="16" t="s">
        <v>7377</v>
      </c>
    </row>
    <row r="1788" spans="1:8" ht="30" x14ac:dyDescent="0.25">
      <c r="A1788" s="15" t="s">
        <v>10977</v>
      </c>
      <c r="B1788" s="15" t="s">
        <v>11159</v>
      </c>
      <c r="C1788" s="15"/>
      <c r="D1788" s="15"/>
      <c r="E1788" s="15" t="s">
        <v>10982</v>
      </c>
      <c r="F1788" s="15"/>
      <c r="G1788" s="15"/>
      <c r="H1788" s="16" t="s">
        <v>7377</v>
      </c>
    </row>
    <row r="1789" spans="1:8" x14ac:dyDescent="0.25">
      <c r="A1789" s="15" t="s">
        <v>10977</v>
      </c>
      <c r="B1789" s="15" t="s">
        <v>11160</v>
      </c>
      <c r="C1789" s="15" t="s">
        <v>11161</v>
      </c>
      <c r="D1789" s="15"/>
      <c r="E1789" s="15" t="s">
        <v>11162</v>
      </c>
      <c r="F1789" s="15"/>
      <c r="G1789" s="15"/>
      <c r="H1789" s="16" t="s">
        <v>7377</v>
      </c>
    </row>
    <row r="1790" spans="1:8" ht="30" x14ac:dyDescent="0.25">
      <c r="A1790" s="15" t="s">
        <v>10977</v>
      </c>
      <c r="B1790" s="15" t="s">
        <v>11163</v>
      </c>
      <c r="C1790" s="15" t="s">
        <v>11164</v>
      </c>
      <c r="D1790" s="15"/>
      <c r="E1790" s="15" t="s">
        <v>11165</v>
      </c>
      <c r="F1790" s="15"/>
      <c r="G1790" s="15"/>
      <c r="H1790" s="16" t="s">
        <v>7377</v>
      </c>
    </row>
    <row r="1791" spans="1:8" ht="45" x14ac:dyDescent="0.25">
      <c r="A1791" s="15" t="s">
        <v>10977</v>
      </c>
      <c r="B1791" s="15" t="s">
        <v>11166</v>
      </c>
      <c r="C1791" s="15" t="s">
        <v>11167</v>
      </c>
      <c r="D1791" s="15"/>
      <c r="E1791" s="15" t="s">
        <v>11168</v>
      </c>
      <c r="F1791" s="15"/>
      <c r="G1791" s="15"/>
      <c r="H1791" s="16" t="s">
        <v>7377</v>
      </c>
    </row>
    <row r="1792" spans="1:8" ht="30" x14ac:dyDescent="0.25">
      <c r="A1792" s="15" t="s">
        <v>10977</v>
      </c>
      <c r="B1792" s="15" t="s">
        <v>11169</v>
      </c>
      <c r="C1792" s="15" t="s">
        <v>11170</v>
      </c>
      <c r="D1792" s="15"/>
      <c r="E1792" s="15" t="s">
        <v>10988</v>
      </c>
      <c r="F1792" s="15"/>
      <c r="G1792" s="15"/>
      <c r="H1792" s="16" t="s">
        <v>7377</v>
      </c>
    </row>
    <row r="1793" spans="1:8" ht="30" x14ac:dyDescent="0.25">
      <c r="A1793" s="15" t="s">
        <v>10977</v>
      </c>
      <c r="B1793" s="15" t="s">
        <v>11171</v>
      </c>
      <c r="C1793" s="15"/>
      <c r="D1793" s="15"/>
      <c r="E1793" s="15" t="s">
        <v>10998</v>
      </c>
      <c r="F1793" s="15"/>
      <c r="G1793" s="15"/>
      <c r="H1793" s="16" t="s">
        <v>7377</v>
      </c>
    </row>
    <row r="1794" spans="1:8" ht="30" x14ac:dyDescent="0.25">
      <c r="A1794" s="15" t="s">
        <v>10977</v>
      </c>
      <c r="B1794" s="15" t="s">
        <v>11172</v>
      </c>
      <c r="C1794" s="15" t="s">
        <v>11173</v>
      </c>
      <c r="D1794" s="15"/>
      <c r="E1794" s="15" t="s">
        <v>10988</v>
      </c>
      <c r="F1794" s="15"/>
      <c r="G1794" s="15"/>
      <c r="H1794" s="16" t="s">
        <v>7377</v>
      </c>
    </row>
    <row r="1795" spans="1:8" ht="30" x14ac:dyDescent="0.25">
      <c r="A1795" s="15" t="s">
        <v>10977</v>
      </c>
      <c r="B1795" s="15" t="s">
        <v>11174</v>
      </c>
      <c r="C1795" s="15"/>
      <c r="D1795" s="15"/>
      <c r="E1795" s="15" t="s">
        <v>10998</v>
      </c>
      <c r="F1795" s="15"/>
      <c r="G1795" s="15"/>
      <c r="H1795" s="16" t="s">
        <v>7377</v>
      </c>
    </row>
    <row r="1796" spans="1:8" x14ac:dyDescent="0.25">
      <c r="A1796" s="15" t="s">
        <v>10977</v>
      </c>
      <c r="B1796" s="15" t="s">
        <v>11175</v>
      </c>
      <c r="C1796" s="15"/>
      <c r="D1796" s="15"/>
      <c r="E1796" s="15" t="s">
        <v>10998</v>
      </c>
      <c r="F1796" s="15"/>
      <c r="G1796" s="15"/>
      <c r="H1796" s="16" t="s">
        <v>7377</v>
      </c>
    </row>
    <row r="1797" spans="1:8" x14ac:dyDescent="0.25">
      <c r="A1797" s="15" t="s">
        <v>10977</v>
      </c>
      <c r="B1797" s="15" t="s">
        <v>11176</v>
      </c>
      <c r="C1797" s="15"/>
      <c r="D1797" s="15"/>
      <c r="E1797" s="15" t="s">
        <v>10998</v>
      </c>
      <c r="F1797" s="15"/>
      <c r="G1797" s="15"/>
      <c r="H1797" s="16" t="s">
        <v>7377</v>
      </c>
    </row>
    <row r="1798" spans="1:8" x14ac:dyDescent="0.25">
      <c r="A1798" s="15" t="s">
        <v>10977</v>
      </c>
      <c r="B1798" s="15" t="s">
        <v>11177</v>
      </c>
      <c r="C1798" s="15"/>
      <c r="D1798" s="15"/>
      <c r="E1798" s="15" t="s">
        <v>11178</v>
      </c>
      <c r="F1798" s="15"/>
      <c r="G1798" s="15"/>
      <c r="H1798" s="16" t="s">
        <v>7377</v>
      </c>
    </row>
    <row r="1799" spans="1:8" ht="30" x14ac:dyDescent="0.25">
      <c r="A1799" s="15" t="s">
        <v>10977</v>
      </c>
      <c r="B1799" s="15" t="s">
        <v>11179</v>
      </c>
      <c r="C1799" s="15"/>
      <c r="D1799" s="15"/>
      <c r="E1799" s="15" t="s">
        <v>10988</v>
      </c>
      <c r="F1799" s="15"/>
      <c r="G1799" s="15"/>
      <c r="H1799" s="16" t="s">
        <v>7377</v>
      </c>
    </row>
    <row r="1800" spans="1:8" x14ac:dyDescent="0.25">
      <c r="A1800" s="15" t="s">
        <v>10977</v>
      </c>
      <c r="B1800" s="15" t="s">
        <v>11180</v>
      </c>
      <c r="C1800" s="15"/>
      <c r="D1800" s="15"/>
      <c r="E1800" s="15" t="s">
        <v>10998</v>
      </c>
      <c r="F1800" s="15"/>
      <c r="G1800" s="15"/>
      <c r="H1800" s="16" t="s">
        <v>7377</v>
      </c>
    </row>
    <row r="1801" spans="1:8" x14ac:dyDescent="0.25">
      <c r="A1801" s="15" t="s">
        <v>10977</v>
      </c>
      <c r="B1801" s="15" t="s">
        <v>11181</v>
      </c>
      <c r="C1801" s="15"/>
      <c r="D1801" s="15"/>
      <c r="E1801" s="15" t="s">
        <v>10998</v>
      </c>
      <c r="F1801" s="15"/>
      <c r="G1801" s="15"/>
      <c r="H1801" s="16" t="s">
        <v>7377</v>
      </c>
    </row>
    <row r="1802" spans="1:8" ht="45" x14ac:dyDescent="0.25">
      <c r="A1802" s="15" t="s">
        <v>10977</v>
      </c>
      <c r="B1802" s="15" t="s">
        <v>11182</v>
      </c>
      <c r="C1802" s="15" t="s">
        <v>11167</v>
      </c>
      <c r="D1802" s="15"/>
      <c r="E1802" s="15" t="s">
        <v>11168</v>
      </c>
      <c r="F1802" s="15"/>
      <c r="G1802" s="15"/>
      <c r="H1802" s="16" t="s">
        <v>7377</v>
      </c>
    </row>
    <row r="1803" spans="1:8" ht="45" x14ac:dyDescent="0.25">
      <c r="A1803" s="15" t="s">
        <v>10977</v>
      </c>
      <c r="B1803" s="15" t="s">
        <v>11183</v>
      </c>
      <c r="C1803" s="15" t="s">
        <v>11184</v>
      </c>
      <c r="D1803" s="15"/>
      <c r="E1803" s="15" t="s">
        <v>11109</v>
      </c>
      <c r="F1803" s="15"/>
      <c r="G1803" s="15"/>
      <c r="H1803" s="16" t="s">
        <v>7377</v>
      </c>
    </row>
    <row r="1804" spans="1:8" ht="45" x14ac:dyDescent="0.25">
      <c r="A1804" s="15" t="s">
        <v>10977</v>
      </c>
      <c r="B1804" s="15" t="s">
        <v>11185</v>
      </c>
      <c r="C1804" s="15" t="s">
        <v>11186</v>
      </c>
      <c r="D1804" s="15"/>
      <c r="E1804" s="15" t="s">
        <v>10988</v>
      </c>
      <c r="F1804" s="15"/>
      <c r="G1804" s="15"/>
      <c r="H1804" s="16" t="s">
        <v>7377</v>
      </c>
    </row>
    <row r="1805" spans="1:8" ht="45" x14ac:dyDescent="0.25">
      <c r="A1805" s="15" t="s">
        <v>10977</v>
      </c>
      <c r="B1805" s="15" t="s">
        <v>11187</v>
      </c>
      <c r="C1805" s="15" t="s">
        <v>11188</v>
      </c>
      <c r="D1805" s="15"/>
      <c r="E1805" s="15" t="s">
        <v>10988</v>
      </c>
      <c r="F1805" s="15"/>
      <c r="G1805" s="15"/>
      <c r="H1805" s="16" t="s">
        <v>7377</v>
      </c>
    </row>
    <row r="1806" spans="1:8" ht="30" x14ac:dyDescent="0.25">
      <c r="A1806" s="15" t="s">
        <v>10977</v>
      </c>
      <c r="B1806" s="15" t="s">
        <v>11189</v>
      </c>
      <c r="C1806" s="15" t="s">
        <v>11190</v>
      </c>
      <c r="D1806" s="15"/>
      <c r="E1806" s="15" t="s">
        <v>10998</v>
      </c>
      <c r="F1806" s="15"/>
      <c r="G1806" s="15"/>
      <c r="H1806" s="16" t="s">
        <v>7377</v>
      </c>
    </row>
    <row r="1807" spans="1:8" ht="30" x14ac:dyDescent="0.25">
      <c r="A1807" s="15" t="s">
        <v>10977</v>
      </c>
      <c r="B1807" s="15" t="s">
        <v>11191</v>
      </c>
      <c r="C1807" s="15" t="s">
        <v>11192</v>
      </c>
      <c r="D1807" s="15"/>
      <c r="E1807" s="15" t="s">
        <v>10998</v>
      </c>
      <c r="F1807" s="15"/>
      <c r="G1807" s="15"/>
      <c r="H1807" s="16" t="s">
        <v>7377</v>
      </c>
    </row>
    <row r="1808" spans="1:8" ht="45" x14ac:dyDescent="0.25">
      <c r="A1808" s="15" t="s">
        <v>10977</v>
      </c>
      <c r="B1808" s="15" t="s">
        <v>11193</v>
      </c>
      <c r="C1808" s="15" t="s">
        <v>11186</v>
      </c>
      <c r="D1808" s="15"/>
      <c r="E1808" s="15" t="s">
        <v>10988</v>
      </c>
      <c r="F1808" s="15"/>
      <c r="G1808" s="15"/>
      <c r="H1808" s="16" t="s">
        <v>7377</v>
      </c>
    </row>
    <row r="1809" spans="1:8" ht="30" x14ac:dyDescent="0.25">
      <c r="A1809" s="15" t="s">
        <v>10977</v>
      </c>
      <c r="B1809" s="15" t="s">
        <v>11194</v>
      </c>
      <c r="C1809" s="15"/>
      <c r="D1809" s="15"/>
      <c r="E1809" s="15" t="s">
        <v>10998</v>
      </c>
      <c r="F1809" s="15"/>
      <c r="G1809" s="15"/>
      <c r="H1809" s="16" t="s">
        <v>7377</v>
      </c>
    </row>
    <row r="1810" spans="1:8" x14ac:dyDescent="0.25">
      <c r="A1810" s="15" t="s">
        <v>10977</v>
      </c>
      <c r="B1810" s="15" t="s">
        <v>11195</v>
      </c>
      <c r="C1810" s="15"/>
      <c r="D1810" s="15"/>
      <c r="E1810" s="15" t="s">
        <v>10998</v>
      </c>
      <c r="F1810" s="15"/>
      <c r="G1810" s="15"/>
      <c r="H1810" s="16" t="s">
        <v>7377</v>
      </c>
    </row>
    <row r="1811" spans="1:8" ht="60" x14ac:dyDescent="0.25">
      <c r="A1811" s="15" t="s">
        <v>10977</v>
      </c>
      <c r="B1811" s="15" t="s">
        <v>11196</v>
      </c>
      <c r="C1811" s="15" t="s">
        <v>11197</v>
      </c>
      <c r="D1811" s="15"/>
      <c r="E1811" s="15" t="s">
        <v>11198</v>
      </c>
      <c r="F1811" s="15"/>
      <c r="G1811" s="15"/>
      <c r="H1811" s="16" t="s">
        <v>7377</v>
      </c>
    </row>
    <row r="1812" spans="1:8" x14ac:dyDescent="0.25">
      <c r="A1812" s="15" t="s">
        <v>10977</v>
      </c>
      <c r="B1812" s="15" t="s">
        <v>11199</v>
      </c>
      <c r="C1812" s="15" t="s">
        <v>11200</v>
      </c>
      <c r="D1812" s="15"/>
      <c r="E1812" s="15" t="s">
        <v>10984</v>
      </c>
      <c r="F1812" s="15"/>
      <c r="G1812" s="15"/>
      <c r="H1812" s="16" t="s">
        <v>7377</v>
      </c>
    </row>
    <row r="1813" spans="1:8" ht="30" x14ac:dyDescent="0.25">
      <c r="A1813" s="15" t="s">
        <v>10977</v>
      </c>
      <c r="B1813" s="15" t="s">
        <v>11201</v>
      </c>
      <c r="C1813" s="15" t="s">
        <v>11202</v>
      </c>
      <c r="D1813" s="15"/>
      <c r="E1813" s="15" t="s">
        <v>11203</v>
      </c>
      <c r="F1813" s="15"/>
      <c r="G1813" s="15"/>
      <c r="H1813" s="16" t="s">
        <v>7377</v>
      </c>
    </row>
    <row r="1814" spans="1:8" ht="30" x14ac:dyDescent="0.25">
      <c r="A1814" s="15" t="s">
        <v>10977</v>
      </c>
      <c r="B1814" s="15" t="s">
        <v>11204</v>
      </c>
      <c r="C1814" s="15"/>
      <c r="D1814" s="15"/>
      <c r="E1814" s="15" t="s">
        <v>11205</v>
      </c>
      <c r="F1814" s="15"/>
      <c r="G1814" s="15"/>
      <c r="H1814" s="16" t="s">
        <v>7377</v>
      </c>
    </row>
    <row r="1815" spans="1:8" ht="30" x14ac:dyDescent="0.25">
      <c r="A1815" s="15" t="s">
        <v>10977</v>
      </c>
      <c r="B1815" s="15" t="s">
        <v>11206</v>
      </c>
      <c r="C1815" s="15"/>
      <c r="D1815" s="15"/>
      <c r="E1815" s="15" t="s">
        <v>11207</v>
      </c>
      <c r="F1815" s="15"/>
      <c r="G1815" s="15"/>
      <c r="H1815" s="16" t="s">
        <v>7377</v>
      </c>
    </row>
    <row r="1816" spans="1:8" ht="30" x14ac:dyDescent="0.25">
      <c r="A1816" s="15" t="s">
        <v>10977</v>
      </c>
      <c r="B1816" s="15" t="s">
        <v>11208</v>
      </c>
      <c r="C1816" s="15" t="s">
        <v>11209</v>
      </c>
      <c r="D1816" s="15"/>
      <c r="E1816" s="15" t="s">
        <v>10988</v>
      </c>
      <c r="F1816" s="15"/>
      <c r="G1816" s="15"/>
      <c r="H1816" s="16" t="s">
        <v>7377</v>
      </c>
    </row>
    <row r="1817" spans="1:8" x14ac:dyDescent="0.25">
      <c r="A1817" s="15" t="s">
        <v>10977</v>
      </c>
      <c r="B1817" s="15" t="s">
        <v>11210</v>
      </c>
      <c r="C1817" s="15" t="s">
        <v>11211</v>
      </c>
      <c r="D1817" s="15"/>
      <c r="E1817" s="15" t="s">
        <v>10998</v>
      </c>
      <c r="F1817" s="15"/>
      <c r="G1817" s="15"/>
      <c r="H1817" s="16" t="s">
        <v>7377</v>
      </c>
    </row>
    <row r="1818" spans="1:8" x14ac:dyDescent="0.25">
      <c r="A1818" s="15" t="s">
        <v>10977</v>
      </c>
      <c r="B1818" s="15" t="s">
        <v>11212</v>
      </c>
      <c r="C1818" s="15"/>
      <c r="D1818" s="15"/>
      <c r="E1818" s="15" t="s">
        <v>11009</v>
      </c>
      <c r="F1818" s="15"/>
      <c r="G1818" s="15"/>
      <c r="H1818" s="16" t="s">
        <v>7377</v>
      </c>
    </row>
    <row r="1819" spans="1:8" x14ac:dyDescent="0.25">
      <c r="A1819" s="15" t="s">
        <v>10977</v>
      </c>
      <c r="B1819" s="15" t="s">
        <v>11213</v>
      </c>
      <c r="C1819" s="15" t="s">
        <v>11161</v>
      </c>
      <c r="D1819" s="15"/>
      <c r="E1819" s="15" t="s">
        <v>11162</v>
      </c>
      <c r="F1819" s="15"/>
      <c r="G1819" s="15"/>
      <c r="H1819" s="16" t="s">
        <v>7377</v>
      </c>
    </row>
    <row r="1820" spans="1:8" x14ac:dyDescent="0.25">
      <c r="A1820" s="15" t="s">
        <v>10977</v>
      </c>
      <c r="B1820" s="15" t="s">
        <v>11214</v>
      </c>
      <c r="C1820" s="15" t="s">
        <v>11215</v>
      </c>
      <c r="D1820" s="15"/>
      <c r="E1820" s="15" t="s">
        <v>11216</v>
      </c>
      <c r="F1820" s="15"/>
      <c r="G1820" s="15"/>
      <c r="H1820" s="16" t="s">
        <v>7377</v>
      </c>
    </row>
    <row r="1821" spans="1:8" ht="30" x14ac:dyDescent="0.25">
      <c r="A1821" s="15" t="s">
        <v>10977</v>
      </c>
      <c r="B1821" s="15" t="s">
        <v>11217</v>
      </c>
      <c r="C1821" s="15" t="s">
        <v>11218</v>
      </c>
      <c r="D1821" s="15"/>
      <c r="E1821" s="15" t="s">
        <v>11219</v>
      </c>
      <c r="F1821" s="15"/>
      <c r="G1821" s="15"/>
      <c r="H1821" s="16" t="s">
        <v>7377</v>
      </c>
    </row>
    <row r="1822" spans="1:8" x14ac:dyDescent="0.25">
      <c r="A1822" s="15" t="s">
        <v>10977</v>
      </c>
      <c r="B1822" s="15" t="s">
        <v>11220</v>
      </c>
      <c r="C1822" s="15"/>
      <c r="D1822" s="15"/>
      <c r="E1822" s="15" t="s">
        <v>10988</v>
      </c>
      <c r="F1822" s="15"/>
      <c r="G1822" s="15"/>
      <c r="H1822" s="16" t="s">
        <v>7377</v>
      </c>
    </row>
    <row r="1823" spans="1:8" ht="30" x14ac:dyDescent="0.25">
      <c r="A1823" s="15" t="s">
        <v>10977</v>
      </c>
      <c r="B1823" s="15" t="s">
        <v>11221</v>
      </c>
      <c r="C1823" s="15"/>
      <c r="D1823" s="15"/>
      <c r="E1823" s="15" t="s">
        <v>11109</v>
      </c>
      <c r="F1823" s="15"/>
      <c r="G1823" s="15"/>
      <c r="H1823" s="16" t="s">
        <v>7377</v>
      </c>
    </row>
    <row r="1824" spans="1:8" ht="30" x14ac:dyDescent="0.25">
      <c r="A1824" s="15" t="s">
        <v>10977</v>
      </c>
      <c r="B1824" s="15" t="s">
        <v>11222</v>
      </c>
      <c r="C1824" s="15" t="s">
        <v>11223</v>
      </c>
      <c r="D1824" s="15"/>
      <c r="E1824" s="15" t="s">
        <v>11109</v>
      </c>
      <c r="F1824" s="15"/>
      <c r="G1824" s="15"/>
      <c r="H1824" s="16" t="s">
        <v>7377</v>
      </c>
    </row>
    <row r="1825" spans="1:8" x14ac:dyDescent="0.25">
      <c r="A1825" s="15" t="s">
        <v>10977</v>
      </c>
      <c r="B1825" s="15" t="s">
        <v>11224</v>
      </c>
      <c r="C1825" s="15"/>
      <c r="D1825" s="15"/>
      <c r="E1825" s="15" t="s">
        <v>10988</v>
      </c>
      <c r="F1825" s="15"/>
      <c r="G1825" s="15"/>
      <c r="H1825" s="16" t="s">
        <v>7377</v>
      </c>
    </row>
    <row r="1826" spans="1:8" x14ac:dyDescent="0.25">
      <c r="A1826" s="15" t="s">
        <v>10977</v>
      </c>
      <c r="B1826" s="15" t="s">
        <v>11225</v>
      </c>
      <c r="C1826" s="15"/>
      <c r="D1826" s="15"/>
      <c r="E1826" s="15" t="s">
        <v>10988</v>
      </c>
      <c r="F1826" s="15"/>
      <c r="G1826" s="15"/>
      <c r="H1826" s="16" t="s">
        <v>7377</v>
      </c>
    </row>
    <row r="1827" spans="1:8" x14ac:dyDescent="0.25">
      <c r="A1827" s="15" t="s">
        <v>10977</v>
      </c>
      <c r="B1827" s="15" t="s">
        <v>11226</v>
      </c>
      <c r="C1827" s="15"/>
      <c r="D1827" s="15"/>
      <c r="E1827" s="15" t="s">
        <v>10988</v>
      </c>
      <c r="F1827" s="15"/>
      <c r="G1827" s="15"/>
      <c r="H1827" s="16" t="s">
        <v>7377</v>
      </c>
    </row>
    <row r="1828" spans="1:8" x14ac:dyDescent="0.25">
      <c r="A1828" s="15" t="s">
        <v>10977</v>
      </c>
      <c r="B1828" s="15" t="s">
        <v>11227</v>
      </c>
      <c r="C1828" s="15"/>
      <c r="D1828" s="15"/>
      <c r="E1828" s="15" t="s">
        <v>11073</v>
      </c>
      <c r="F1828" s="15"/>
      <c r="G1828" s="15"/>
      <c r="H1828" s="16" t="s">
        <v>7377</v>
      </c>
    </row>
    <row r="1829" spans="1:8" x14ac:dyDescent="0.25">
      <c r="A1829" s="15" t="s">
        <v>10977</v>
      </c>
      <c r="B1829" s="15" t="s">
        <v>11228</v>
      </c>
      <c r="C1829" s="15"/>
      <c r="D1829" s="15"/>
      <c r="E1829" s="15" t="s">
        <v>11073</v>
      </c>
      <c r="F1829" s="15"/>
      <c r="G1829" s="15"/>
      <c r="H1829" s="16" t="s">
        <v>7377</v>
      </c>
    </row>
    <row r="1830" spans="1:8" x14ac:dyDescent="0.25">
      <c r="A1830" s="15" t="s">
        <v>10977</v>
      </c>
      <c r="B1830" s="15" t="s">
        <v>11229</v>
      </c>
      <c r="C1830" s="15"/>
      <c r="D1830" s="15"/>
      <c r="E1830" s="15" t="s">
        <v>11073</v>
      </c>
      <c r="F1830" s="15"/>
      <c r="G1830" s="15"/>
      <c r="H1830" s="16" t="s">
        <v>7377</v>
      </c>
    </row>
    <row r="1831" spans="1:8" x14ac:dyDescent="0.25">
      <c r="A1831" s="15" t="s">
        <v>10977</v>
      </c>
      <c r="B1831" s="15" t="s">
        <v>11230</v>
      </c>
      <c r="C1831" s="15"/>
      <c r="D1831" s="15"/>
      <c r="E1831" s="15" t="s">
        <v>11073</v>
      </c>
      <c r="F1831" s="15"/>
      <c r="G1831" s="15"/>
      <c r="H1831" s="16" t="s">
        <v>7377</v>
      </c>
    </row>
    <row r="1832" spans="1:8" x14ac:dyDescent="0.25">
      <c r="A1832" s="15" t="s">
        <v>10977</v>
      </c>
      <c r="B1832" s="15" t="s">
        <v>11231</v>
      </c>
      <c r="C1832" s="15"/>
      <c r="D1832" s="15"/>
      <c r="E1832" s="15" t="s">
        <v>10988</v>
      </c>
      <c r="F1832" s="15"/>
      <c r="G1832" s="15"/>
      <c r="H1832" s="16" t="s">
        <v>7377</v>
      </c>
    </row>
    <row r="1833" spans="1:8" x14ac:dyDescent="0.25">
      <c r="A1833" s="15" t="s">
        <v>10977</v>
      </c>
      <c r="B1833" s="15" t="s">
        <v>11232</v>
      </c>
      <c r="C1833" s="15"/>
      <c r="D1833" s="15"/>
      <c r="E1833" s="15" t="s">
        <v>10988</v>
      </c>
      <c r="F1833" s="15"/>
      <c r="G1833" s="15"/>
      <c r="H1833" s="16" t="s">
        <v>7377</v>
      </c>
    </row>
    <row r="1834" spans="1:8" x14ac:dyDescent="0.25">
      <c r="A1834" s="15" t="s">
        <v>10977</v>
      </c>
      <c r="B1834" s="15" t="s">
        <v>11233</v>
      </c>
      <c r="C1834" s="15"/>
      <c r="D1834" s="15"/>
      <c r="E1834" s="15" t="s">
        <v>10988</v>
      </c>
      <c r="F1834" s="15"/>
      <c r="G1834" s="15"/>
      <c r="H1834" s="16" t="s">
        <v>7377</v>
      </c>
    </row>
    <row r="1835" spans="1:8" x14ac:dyDescent="0.25">
      <c r="A1835" s="15" t="s">
        <v>10977</v>
      </c>
      <c r="B1835" s="15" t="s">
        <v>11234</v>
      </c>
      <c r="C1835" s="15"/>
      <c r="D1835" s="15"/>
      <c r="E1835" s="15" t="s">
        <v>10988</v>
      </c>
      <c r="F1835" s="15"/>
      <c r="G1835" s="15"/>
      <c r="H1835" s="16" t="s">
        <v>7377</v>
      </c>
    </row>
    <row r="1836" spans="1:8" ht="30" x14ac:dyDescent="0.25">
      <c r="A1836" s="15" t="s">
        <v>10977</v>
      </c>
      <c r="B1836" s="15" t="s">
        <v>11235</v>
      </c>
      <c r="C1836" s="15"/>
      <c r="D1836" s="15"/>
      <c r="E1836" s="15" t="s">
        <v>11009</v>
      </c>
      <c r="F1836" s="15"/>
      <c r="G1836" s="15"/>
      <c r="H1836" s="16" t="s">
        <v>7377</v>
      </c>
    </row>
    <row r="1837" spans="1:8" ht="30" x14ac:dyDescent="0.25">
      <c r="A1837" s="15" t="s">
        <v>10977</v>
      </c>
      <c r="B1837" s="15" t="s">
        <v>11236</v>
      </c>
      <c r="C1837" s="15" t="s">
        <v>11237</v>
      </c>
      <c r="D1837" s="15"/>
      <c r="E1837" s="15" t="s">
        <v>11238</v>
      </c>
      <c r="F1837" s="15"/>
      <c r="G1837" s="15"/>
      <c r="H1837" s="16" t="s">
        <v>7377</v>
      </c>
    </row>
    <row r="1838" spans="1:8" ht="30" x14ac:dyDescent="0.25">
      <c r="A1838" s="15" t="s">
        <v>10977</v>
      </c>
      <c r="B1838" s="15" t="s">
        <v>11239</v>
      </c>
      <c r="C1838" s="15"/>
      <c r="D1838" s="15"/>
      <c r="E1838" s="15" t="s">
        <v>11109</v>
      </c>
      <c r="F1838" s="15"/>
      <c r="G1838" s="15"/>
      <c r="H1838" s="16" t="s">
        <v>7377</v>
      </c>
    </row>
    <row r="1839" spans="1:8" ht="75" x14ac:dyDescent="0.25">
      <c r="A1839" s="15" t="s">
        <v>10977</v>
      </c>
      <c r="B1839" s="15" t="s">
        <v>11240</v>
      </c>
      <c r="C1839" s="15" t="s">
        <v>11241</v>
      </c>
      <c r="D1839" s="15"/>
      <c r="E1839" s="15" t="s">
        <v>11242</v>
      </c>
      <c r="F1839" s="15"/>
      <c r="G1839" s="15"/>
      <c r="H1839" s="16" t="s">
        <v>7377</v>
      </c>
    </row>
    <row r="1840" spans="1:8" ht="30" x14ac:dyDescent="0.25">
      <c r="A1840" s="15" t="s">
        <v>10977</v>
      </c>
      <c r="B1840" s="15" t="s">
        <v>11243</v>
      </c>
      <c r="C1840" s="15" t="s">
        <v>11244</v>
      </c>
      <c r="D1840" s="15"/>
      <c r="E1840" s="15" t="s">
        <v>11245</v>
      </c>
      <c r="F1840" s="15"/>
      <c r="G1840" s="15"/>
      <c r="H1840" s="16" t="s">
        <v>7377</v>
      </c>
    </row>
    <row r="1841" spans="1:8" ht="30" x14ac:dyDescent="0.25">
      <c r="A1841" s="15" t="s">
        <v>10977</v>
      </c>
      <c r="B1841" s="15" t="s">
        <v>11246</v>
      </c>
      <c r="C1841" s="15" t="s">
        <v>11247</v>
      </c>
      <c r="D1841" s="15"/>
      <c r="E1841" s="15" t="s">
        <v>11248</v>
      </c>
      <c r="F1841" s="15"/>
      <c r="G1841" s="15"/>
      <c r="H1841" s="16" t="s">
        <v>7377</v>
      </c>
    </row>
    <row r="1842" spans="1:8" ht="30" x14ac:dyDescent="0.25">
      <c r="A1842" s="15" t="s">
        <v>10977</v>
      </c>
      <c r="B1842" s="15" t="s">
        <v>11249</v>
      </c>
      <c r="C1842" s="15" t="s">
        <v>11250</v>
      </c>
      <c r="D1842" s="15"/>
      <c r="E1842" s="15" t="s">
        <v>11251</v>
      </c>
      <c r="F1842" s="15"/>
      <c r="G1842" s="15"/>
      <c r="H1842" s="16" t="s">
        <v>7377</v>
      </c>
    </row>
    <row r="1843" spans="1:8" ht="30" x14ac:dyDescent="0.25">
      <c r="A1843" s="15" t="s">
        <v>10977</v>
      </c>
      <c r="B1843" s="15" t="s">
        <v>11252</v>
      </c>
      <c r="C1843" s="15" t="s">
        <v>11253</v>
      </c>
      <c r="D1843" s="15"/>
      <c r="E1843" s="15" t="s">
        <v>11254</v>
      </c>
      <c r="F1843" s="15"/>
      <c r="G1843" s="15"/>
      <c r="H1843" s="16" t="s">
        <v>7377</v>
      </c>
    </row>
    <row r="1844" spans="1:8" ht="30" x14ac:dyDescent="0.25">
      <c r="A1844" s="15" t="s">
        <v>10977</v>
      </c>
      <c r="B1844" s="15" t="s">
        <v>11255</v>
      </c>
      <c r="C1844" s="15" t="s">
        <v>11011</v>
      </c>
      <c r="D1844" s="15"/>
      <c r="E1844" s="15" t="s">
        <v>11115</v>
      </c>
      <c r="F1844" s="15"/>
      <c r="G1844" s="15"/>
      <c r="H1844" s="16" t="s">
        <v>7377</v>
      </c>
    </row>
    <row r="1845" spans="1:8" x14ac:dyDescent="0.25">
      <c r="A1845" s="15" t="s">
        <v>10977</v>
      </c>
      <c r="B1845" s="15" t="s">
        <v>11256</v>
      </c>
      <c r="C1845" s="15"/>
      <c r="D1845" s="15"/>
      <c r="E1845" s="15" t="s">
        <v>10988</v>
      </c>
      <c r="F1845" s="15"/>
      <c r="G1845" s="15"/>
      <c r="H1845" s="16" t="s">
        <v>7377</v>
      </c>
    </row>
    <row r="1846" spans="1:8" ht="30" x14ac:dyDescent="0.25">
      <c r="A1846" s="15" t="s">
        <v>10977</v>
      </c>
      <c r="B1846" s="15" t="s">
        <v>11257</v>
      </c>
      <c r="C1846" s="15"/>
      <c r="D1846" s="15"/>
      <c r="E1846" s="15" t="s">
        <v>10995</v>
      </c>
      <c r="F1846" s="15"/>
      <c r="G1846" s="15"/>
      <c r="H1846" s="16" t="s">
        <v>7377</v>
      </c>
    </row>
    <row r="1847" spans="1:8" x14ac:dyDescent="0.25">
      <c r="A1847" s="15" t="s">
        <v>10977</v>
      </c>
      <c r="B1847" s="15" t="s">
        <v>11258</v>
      </c>
      <c r="C1847" s="15" t="s">
        <v>11259</v>
      </c>
      <c r="D1847" s="15"/>
      <c r="E1847" s="15" t="s">
        <v>10998</v>
      </c>
      <c r="F1847" s="15"/>
      <c r="G1847" s="15"/>
      <c r="H1847" s="16" t="s">
        <v>7377</v>
      </c>
    </row>
    <row r="1848" spans="1:8" ht="30" x14ac:dyDescent="0.25">
      <c r="A1848" s="15" t="s">
        <v>10977</v>
      </c>
      <c r="B1848" s="15" t="s">
        <v>11260</v>
      </c>
      <c r="C1848" s="15" t="s">
        <v>11261</v>
      </c>
      <c r="D1848" s="15"/>
      <c r="E1848" s="15" t="s">
        <v>10998</v>
      </c>
      <c r="F1848" s="15"/>
      <c r="G1848" s="15"/>
      <c r="H1848" s="16" t="s">
        <v>7377</v>
      </c>
    </row>
    <row r="1849" spans="1:8" ht="30" x14ac:dyDescent="0.25">
      <c r="A1849" s="15" t="s">
        <v>10977</v>
      </c>
      <c r="B1849" s="15" t="s">
        <v>11262</v>
      </c>
      <c r="C1849" s="15" t="s">
        <v>11263</v>
      </c>
      <c r="D1849" s="15"/>
      <c r="E1849" s="15" t="s">
        <v>10988</v>
      </c>
      <c r="F1849" s="15"/>
      <c r="G1849" s="15"/>
      <c r="H1849" s="16" t="s">
        <v>7377</v>
      </c>
    </row>
    <row r="1850" spans="1:8" ht="45" x14ac:dyDescent="0.25">
      <c r="A1850" s="15" t="s">
        <v>10977</v>
      </c>
      <c r="B1850" s="15" t="s">
        <v>11264</v>
      </c>
      <c r="C1850" s="15"/>
      <c r="D1850" s="15"/>
      <c r="E1850" s="15" t="s">
        <v>11265</v>
      </c>
      <c r="F1850" s="15"/>
      <c r="G1850" s="15"/>
      <c r="H1850" s="16" t="s">
        <v>7377</v>
      </c>
    </row>
    <row r="1851" spans="1:8" ht="45" x14ac:dyDescent="0.25">
      <c r="A1851" s="15" t="s">
        <v>10977</v>
      </c>
      <c r="B1851" s="15" t="s">
        <v>11266</v>
      </c>
      <c r="C1851" s="15" t="s">
        <v>11267</v>
      </c>
      <c r="D1851" s="15"/>
      <c r="E1851" s="15" t="s">
        <v>11073</v>
      </c>
      <c r="F1851" s="15"/>
      <c r="G1851" s="15"/>
      <c r="H1851" s="16" t="s">
        <v>7377</v>
      </c>
    </row>
    <row r="1852" spans="1:8" ht="45" x14ac:dyDescent="0.25">
      <c r="A1852" s="15" t="s">
        <v>10977</v>
      </c>
      <c r="B1852" s="15" t="s">
        <v>11268</v>
      </c>
      <c r="C1852" s="15" t="s">
        <v>11269</v>
      </c>
      <c r="D1852" s="15"/>
      <c r="E1852" s="15" t="s">
        <v>10988</v>
      </c>
      <c r="F1852" s="15"/>
      <c r="G1852" s="15"/>
      <c r="H1852" s="16" t="s">
        <v>7377</v>
      </c>
    </row>
    <row r="1853" spans="1:8" ht="30" x14ac:dyDescent="0.25">
      <c r="A1853" s="15" t="s">
        <v>10977</v>
      </c>
      <c r="B1853" s="15" t="s">
        <v>11270</v>
      </c>
      <c r="C1853" s="15" t="s">
        <v>11271</v>
      </c>
      <c r="D1853" s="15"/>
      <c r="E1853" s="15" t="s">
        <v>10988</v>
      </c>
      <c r="F1853" s="15"/>
      <c r="G1853" s="15"/>
      <c r="H1853" s="16" t="s">
        <v>7377</v>
      </c>
    </row>
    <row r="1854" spans="1:8" ht="30" x14ac:dyDescent="0.25">
      <c r="A1854" s="15" t="s">
        <v>10977</v>
      </c>
      <c r="B1854" s="15" t="s">
        <v>11272</v>
      </c>
      <c r="C1854" s="15" t="s">
        <v>11273</v>
      </c>
      <c r="D1854" s="15"/>
      <c r="E1854" s="15" t="s">
        <v>11073</v>
      </c>
      <c r="F1854" s="15"/>
      <c r="G1854" s="15"/>
      <c r="H1854" s="16" t="s">
        <v>7377</v>
      </c>
    </row>
    <row r="1855" spans="1:8" ht="30" x14ac:dyDescent="0.25">
      <c r="A1855" s="15" t="s">
        <v>10977</v>
      </c>
      <c r="B1855" s="15" t="s">
        <v>11274</v>
      </c>
      <c r="C1855" s="15" t="s">
        <v>11275</v>
      </c>
      <c r="D1855" s="15"/>
      <c r="E1855" s="15" t="s">
        <v>10998</v>
      </c>
      <c r="F1855" s="15"/>
      <c r="G1855" s="15"/>
      <c r="H1855" s="16" t="s">
        <v>7377</v>
      </c>
    </row>
    <row r="1856" spans="1:8" ht="30" x14ac:dyDescent="0.25">
      <c r="A1856" s="15" t="s">
        <v>10977</v>
      </c>
      <c r="B1856" s="15" t="s">
        <v>11276</v>
      </c>
      <c r="C1856" s="15" t="s">
        <v>11277</v>
      </c>
      <c r="D1856" s="15"/>
      <c r="E1856" s="15" t="s">
        <v>11073</v>
      </c>
      <c r="F1856" s="15"/>
      <c r="G1856" s="15"/>
      <c r="H1856" s="16" t="s">
        <v>7377</v>
      </c>
    </row>
    <row r="1857" spans="1:8" ht="30" x14ac:dyDescent="0.25">
      <c r="A1857" s="15" t="s">
        <v>10977</v>
      </c>
      <c r="B1857" s="15" t="s">
        <v>11278</v>
      </c>
      <c r="C1857" s="15" t="s">
        <v>11279</v>
      </c>
      <c r="D1857" s="15"/>
      <c r="E1857" s="15" t="s">
        <v>10988</v>
      </c>
      <c r="F1857" s="15"/>
      <c r="G1857" s="15"/>
      <c r="H1857" s="16" t="s">
        <v>7377</v>
      </c>
    </row>
    <row r="1858" spans="1:8" ht="30" x14ac:dyDescent="0.25">
      <c r="A1858" s="15" t="s">
        <v>10977</v>
      </c>
      <c r="B1858" s="15" t="s">
        <v>11280</v>
      </c>
      <c r="C1858" s="15" t="s">
        <v>11281</v>
      </c>
      <c r="D1858" s="15"/>
      <c r="E1858" s="15" t="s">
        <v>10988</v>
      </c>
      <c r="F1858" s="15"/>
      <c r="G1858" s="15"/>
      <c r="H1858" s="16" t="s">
        <v>7377</v>
      </c>
    </row>
    <row r="1859" spans="1:8" x14ac:dyDescent="0.25">
      <c r="A1859" s="15" t="s">
        <v>10977</v>
      </c>
      <c r="B1859" s="15" t="s">
        <v>11282</v>
      </c>
      <c r="C1859" s="15" t="s">
        <v>11283</v>
      </c>
      <c r="D1859" s="15"/>
      <c r="E1859" s="15" t="s">
        <v>10988</v>
      </c>
      <c r="F1859" s="15"/>
      <c r="G1859" s="15"/>
      <c r="H1859" s="16" t="s">
        <v>7377</v>
      </c>
    </row>
    <row r="1860" spans="1:8" ht="45" x14ac:dyDescent="0.25">
      <c r="A1860" s="15" t="s">
        <v>10977</v>
      </c>
      <c r="B1860" s="15" t="s">
        <v>11284</v>
      </c>
      <c r="C1860" s="15" t="s">
        <v>11285</v>
      </c>
      <c r="D1860" s="15"/>
      <c r="E1860" s="15" t="s">
        <v>11036</v>
      </c>
      <c r="F1860" s="15"/>
      <c r="G1860" s="15"/>
      <c r="H1860" s="16" t="s">
        <v>7377</v>
      </c>
    </row>
    <row r="1861" spans="1:8" ht="30" x14ac:dyDescent="0.25">
      <c r="A1861" s="15" t="s">
        <v>10977</v>
      </c>
      <c r="B1861" s="15" t="s">
        <v>11286</v>
      </c>
      <c r="C1861" s="15" t="s">
        <v>11287</v>
      </c>
      <c r="D1861" s="15"/>
      <c r="E1861" s="15" t="s">
        <v>11009</v>
      </c>
      <c r="F1861" s="15"/>
      <c r="G1861" s="15"/>
      <c r="H1861" s="16" t="s">
        <v>7377</v>
      </c>
    </row>
    <row r="1862" spans="1:8" ht="30" x14ac:dyDescent="0.25">
      <c r="A1862" s="15" t="s">
        <v>10977</v>
      </c>
      <c r="B1862" s="15" t="s">
        <v>11288</v>
      </c>
      <c r="C1862" s="15" t="s">
        <v>11289</v>
      </c>
      <c r="D1862" s="15"/>
      <c r="E1862" s="15" t="s">
        <v>11076</v>
      </c>
      <c r="F1862" s="15"/>
      <c r="G1862" s="15"/>
      <c r="H1862" s="16" t="s">
        <v>7377</v>
      </c>
    </row>
    <row r="1863" spans="1:8" ht="30" x14ac:dyDescent="0.25">
      <c r="A1863" s="15" t="s">
        <v>10977</v>
      </c>
      <c r="B1863" s="15" t="s">
        <v>11290</v>
      </c>
      <c r="C1863" s="15" t="s">
        <v>11291</v>
      </c>
      <c r="D1863" s="15"/>
      <c r="E1863" s="15" t="s">
        <v>11292</v>
      </c>
      <c r="F1863" s="15"/>
      <c r="G1863" s="15"/>
      <c r="H1863" s="16" t="s">
        <v>7377</v>
      </c>
    </row>
    <row r="1864" spans="1:8" ht="75" x14ac:dyDescent="0.25">
      <c r="A1864" s="15" t="s">
        <v>10977</v>
      </c>
      <c r="B1864" s="15" t="s">
        <v>11293</v>
      </c>
      <c r="C1864" s="15" t="s">
        <v>11294</v>
      </c>
      <c r="D1864" s="15"/>
      <c r="E1864" s="15" t="s">
        <v>11036</v>
      </c>
      <c r="F1864" s="15"/>
      <c r="G1864" s="15"/>
      <c r="H1864" s="16" t="s">
        <v>7377</v>
      </c>
    </row>
    <row r="1865" spans="1:8" ht="30" x14ac:dyDescent="0.25">
      <c r="A1865" s="15" t="s">
        <v>10977</v>
      </c>
      <c r="B1865" s="15" t="s">
        <v>11295</v>
      </c>
      <c r="C1865" s="15" t="s">
        <v>11296</v>
      </c>
      <c r="D1865" s="15"/>
      <c r="E1865" s="15" t="s">
        <v>11009</v>
      </c>
      <c r="F1865" s="15"/>
      <c r="G1865" s="15"/>
      <c r="H1865" s="16" t="s">
        <v>7377</v>
      </c>
    </row>
    <row r="1866" spans="1:8" ht="45" x14ac:dyDescent="0.25">
      <c r="A1866" s="15" t="s">
        <v>10977</v>
      </c>
      <c r="B1866" s="15" t="s">
        <v>11297</v>
      </c>
      <c r="C1866" s="15" t="s">
        <v>11298</v>
      </c>
      <c r="D1866" s="15"/>
      <c r="E1866" s="15" t="s">
        <v>11036</v>
      </c>
      <c r="F1866" s="15"/>
      <c r="G1866" s="15"/>
      <c r="H1866" s="16" t="s">
        <v>7377</v>
      </c>
    </row>
    <row r="1867" spans="1:8" ht="30" x14ac:dyDescent="0.25">
      <c r="A1867" s="15" t="s">
        <v>10977</v>
      </c>
      <c r="B1867" s="15" t="s">
        <v>11299</v>
      </c>
      <c r="C1867" s="15" t="s">
        <v>11300</v>
      </c>
      <c r="D1867" s="15"/>
      <c r="E1867" s="15" t="s">
        <v>11009</v>
      </c>
      <c r="F1867" s="15"/>
      <c r="G1867" s="15"/>
      <c r="H1867" s="16" t="s">
        <v>7377</v>
      </c>
    </row>
    <row r="1868" spans="1:8" x14ac:dyDescent="0.25">
      <c r="A1868" s="15" t="s">
        <v>10977</v>
      </c>
      <c r="B1868" s="15" t="s">
        <v>11301</v>
      </c>
      <c r="C1868" s="15" t="s">
        <v>11302</v>
      </c>
      <c r="D1868" s="15"/>
      <c r="E1868" s="15" t="s">
        <v>10988</v>
      </c>
      <c r="F1868" s="15"/>
      <c r="G1868" s="15"/>
      <c r="H1868" s="16" t="s">
        <v>7377</v>
      </c>
    </row>
    <row r="1869" spans="1:8" x14ac:dyDescent="0.25">
      <c r="A1869" s="15" t="s">
        <v>10977</v>
      </c>
      <c r="B1869" s="15" t="s">
        <v>11303</v>
      </c>
      <c r="C1869" s="15" t="s">
        <v>11304</v>
      </c>
      <c r="D1869" s="15"/>
      <c r="E1869" s="15" t="s">
        <v>11198</v>
      </c>
      <c r="F1869" s="15"/>
      <c r="G1869" s="15"/>
      <c r="H1869" s="16" t="s">
        <v>7377</v>
      </c>
    </row>
    <row r="1870" spans="1:8" ht="45" x14ac:dyDescent="0.25">
      <c r="A1870" s="15" t="s">
        <v>10977</v>
      </c>
      <c r="B1870" s="15" t="s">
        <v>11305</v>
      </c>
      <c r="C1870" s="15" t="s">
        <v>11306</v>
      </c>
      <c r="D1870" s="15"/>
      <c r="E1870" s="15" t="s">
        <v>11307</v>
      </c>
      <c r="F1870" s="15"/>
      <c r="G1870" s="15"/>
      <c r="H1870" s="16" t="s">
        <v>7377</v>
      </c>
    </row>
    <row r="1871" spans="1:8" ht="45" x14ac:dyDescent="0.25">
      <c r="A1871" s="15" t="s">
        <v>10977</v>
      </c>
      <c r="B1871" s="15" t="s">
        <v>11308</v>
      </c>
      <c r="C1871" s="15" t="s">
        <v>11309</v>
      </c>
      <c r="D1871" s="15"/>
      <c r="E1871" s="15" t="s">
        <v>11307</v>
      </c>
      <c r="F1871" s="15"/>
      <c r="G1871" s="15"/>
      <c r="H1871" s="16" t="s">
        <v>7377</v>
      </c>
    </row>
    <row r="1872" spans="1:8" ht="45" x14ac:dyDescent="0.25">
      <c r="A1872" s="15" t="s">
        <v>10977</v>
      </c>
      <c r="B1872" s="15" t="s">
        <v>11310</v>
      </c>
      <c r="C1872" s="15" t="s">
        <v>11311</v>
      </c>
      <c r="D1872" s="15"/>
      <c r="E1872" s="15" t="s">
        <v>10988</v>
      </c>
      <c r="F1872" s="15"/>
      <c r="G1872" s="15"/>
      <c r="H1872" s="16" t="s">
        <v>7377</v>
      </c>
    </row>
    <row r="1873" spans="1:8" ht="30" x14ac:dyDescent="0.25">
      <c r="A1873" s="15" t="s">
        <v>10977</v>
      </c>
      <c r="B1873" s="15" t="s">
        <v>11312</v>
      </c>
      <c r="C1873" s="15" t="s">
        <v>11313</v>
      </c>
      <c r="D1873" s="15"/>
      <c r="E1873" s="15" t="s">
        <v>10998</v>
      </c>
      <c r="F1873" s="15"/>
      <c r="G1873" s="15"/>
      <c r="H1873" s="16" t="s">
        <v>7377</v>
      </c>
    </row>
    <row r="1874" spans="1:8" ht="30" x14ac:dyDescent="0.25">
      <c r="A1874" s="15" t="s">
        <v>10977</v>
      </c>
      <c r="B1874" s="15" t="s">
        <v>11314</v>
      </c>
      <c r="C1874" s="15" t="s">
        <v>11315</v>
      </c>
      <c r="D1874" s="15"/>
      <c r="E1874" s="15" t="s">
        <v>10988</v>
      </c>
      <c r="F1874" s="15"/>
      <c r="G1874" s="15"/>
      <c r="H1874" s="16" t="s">
        <v>7377</v>
      </c>
    </row>
    <row r="1875" spans="1:8" ht="30" x14ac:dyDescent="0.25">
      <c r="A1875" s="15" t="s">
        <v>10977</v>
      </c>
      <c r="B1875" s="15" t="s">
        <v>11316</v>
      </c>
      <c r="C1875" s="15" t="s">
        <v>11317</v>
      </c>
      <c r="D1875" s="15"/>
      <c r="E1875" s="15" t="s">
        <v>10995</v>
      </c>
      <c r="F1875" s="15"/>
      <c r="G1875" s="15"/>
      <c r="H1875" s="16" t="s">
        <v>7377</v>
      </c>
    </row>
    <row r="1876" spans="1:8" ht="30" x14ac:dyDescent="0.25">
      <c r="A1876" s="15" t="s">
        <v>10977</v>
      </c>
      <c r="B1876" s="15" t="s">
        <v>11318</v>
      </c>
      <c r="C1876" s="15" t="s">
        <v>11319</v>
      </c>
      <c r="D1876" s="15"/>
      <c r="E1876" s="15" t="s">
        <v>10995</v>
      </c>
      <c r="F1876" s="15"/>
      <c r="G1876" s="15"/>
      <c r="H1876" s="16" t="s">
        <v>7377</v>
      </c>
    </row>
    <row r="1877" spans="1:8" ht="30" x14ac:dyDescent="0.25">
      <c r="A1877" s="15" t="s">
        <v>10977</v>
      </c>
      <c r="B1877" s="15" t="s">
        <v>11320</v>
      </c>
      <c r="C1877" s="15" t="s">
        <v>11321</v>
      </c>
      <c r="D1877" s="15"/>
      <c r="E1877" s="15" t="s">
        <v>10988</v>
      </c>
      <c r="F1877" s="15"/>
      <c r="G1877" s="15"/>
      <c r="H1877" s="16" t="s">
        <v>7377</v>
      </c>
    </row>
    <row r="1878" spans="1:8" ht="45" x14ac:dyDescent="0.25">
      <c r="A1878" s="15" t="s">
        <v>10977</v>
      </c>
      <c r="B1878" s="15" t="s">
        <v>11322</v>
      </c>
      <c r="C1878" s="15" t="s">
        <v>11323</v>
      </c>
      <c r="D1878" s="15"/>
      <c r="E1878" s="15" t="s">
        <v>11073</v>
      </c>
      <c r="F1878" s="15"/>
      <c r="G1878" s="15"/>
      <c r="H1878" s="16" t="s">
        <v>7377</v>
      </c>
    </row>
    <row r="1879" spans="1:8" ht="30" x14ac:dyDescent="0.25">
      <c r="A1879" s="15" t="s">
        <v>10977</v>
      </c>
      <c r="B1879" s="15" t="s">
        <v>11324</v>
      </c>
      <c r="C1879" s="15" t="s">
        <v>11325</v>
      </c>
      <c r="D1879" s="15"/>
      <c r="E1879" s="15" t="s">
        <v>10998</v>
      </c>
      <c r="F1879" s="15"/>
      <c r="G1879" s="15"/>
      <c r="H1879" s="16" t="s">
        <v>7377</v>
      </c>
    </row>
    <row r="1880" spans="1:8" ht="30" x14ac:dyDescent="0.25">
      <c r="A1880" s="15" t="s">
        <v>10977</v>
      </c>
      <c r="B1880" s="15" t="s">
        <v>11326</v>
      </c>
      <c r="C1880" s="15" t="s">
        <v>11327</v>
      </c>
      <c r="D1880" s="15"/>
      <c r="E1880" s="15" t="s">
        <v>10998</v>
      </c>
      <c r="F1880" s="15"/>
      <c r="G1880" s="15"/>
      <c r="H1880" s="16" t="s">
        <v>7377</v>
      </c>
    </row>
    <row r="1881" spans="1:8" ht="30" x14ac:dyDescent="0.25">
      <c r="A1881" s="15" t="s">
        <v>10977</v>
      </c>
      <c r="B1881" s="15" t="s">
        <v>11328</v>
      </c>
      <c r="C1881" s="15"/>
      <c r="D1881" s="15"/>
      <c r="E1881" s="15" t="s">
        <v>10995</v>
      </c>
      <c r="F1881" s="15"/>
      <c r="G1881" s="15"/>
      <c r="H1881" s="16" t="s">
        <v>7377</v>
      </c>
    </row>
    <row r="1882" spans="1:8" ht="30" x14ac:dyDescent="0.25">
      <c r="A1882" s="15" t="s">
        <v>10977</v>
      </c>
      <c r="B1882" s="15" t="s">
        <v>11329</v>
      </c>
      <c r="C1882" s="15"/>
      <c r="D1882" s="15"/>
      <c r="E1882" s="15" t="s">
        <v>10988</v>
      </c>
      <c r="F1882" s="15"/>
      <c r="G1882" s="15"/>
      <c r="H1882" s="16" t="s">
        <v>7377</v>
      </c>
    </row>
    <row r="1883" spans="1:8" ht="30" x14ac:dyDescent="0.25">
      <c r="A1883" s="15" t="s">
        <v>10977</v>
      </c>
      <c r="B1883" s="15" t="s">
        <v>11330</v>
      </c>
      <c r="C1883" s="15" t="s">
        <v>11331</v>
      </c>
      <c r="D1883" s="15"/>
      <c r="E1883" s="15" t="s">
        <v>10988</v>
      </c>
      <c r="F1883" s="15"/>
      <c r="G1883" s="15"/>
      <c r="H1883" s="16" t="s">
        <v>7377</v>
      </c>
    </row>
    <row r="1884" spans="1:8" ht="45" x14ac:dyDescent="0.25">
      <c r="A1884" s="15" t="s">
        <v>10977</v>
      </c>
      <c r="B1884" s="15" t="s">
        <v>11332</v>
      </c>
      <c r="C1884" s="15" t="s">
        <v>11333</v>
      </c>
      <c r="D1884" s="15"/>
      <c r="E1884" s="15" t="s">
        <v>10995</v>
      </c>
      <c r="F1884" s="15"/>
      <c r="G1884" s="15"/>
      <c r="H1884" s="16" t="s">
        <v>7377</v>
      </c>
    </row>
    <row r="1885" spans="1:8" ht="45" x14ac:dyDescent="0.25">
      <c r="A1885" s="15" t="s">
        <v>10977</v>
      </c>
      <c r="B1885" s="15" t="s">
        <v>11334</v>
      </c>
      <c r="C1885" s="15" t="s">
        <v>11335</v>
      </c>
      <c r="D1885" s="15"/>
      <c r="E1885" s="15" t="s">
        <v>11036</v>
      </c>
      <c r="F1885" s="15"/>
      <c r="G1885" s="15"/>
      <c r="H1885" s="16" t="s">
        <v>7377</v>
      </c>
    </row>
    <row r="1886" spans="1:8" ht="45" x14ac:dyDescent="0.25">
      <c r="A1886" s="15" t="s">
        <v>10977</v>
      </c>
      <c r="B1886" s="15" t="s">
        <v>11336</v>
      </c>
      <c r="C1886" s="15" t="s">
        <v>11337</v>
      </c>
      <c r="D1886" s="15"/>
      <c r="E1886" s="15" t="s">
        <v>11036</v>
      </c>
      <c r="F1886" s="15"/>
      <c r="G1886" s="15"/>
      <c r="H1886" s="16" t="s">
        <v>7377</v>
      </c>
    </row>
    <row r="1887" spans="1:8" ht="30" x14ac:dyDescent="0.25">
      <c r="A1887" s="15" t="s">
        <v>10977</v>
      </c>
      <c r="B1887" s="15" t="s">
        <v>11338</v>
      </c>
      <c r="C1887" s="15" t="s">
        <v>11339</v>
      </c>
      <c r="D1887" s="15"/>
      <c r="E1887" s="15" t="s">
        <v>11036</v>
      </c>
      <c r="F1887" s="15"/>
      <c r="G1887" s="15"/>
      <c r="H1887" s="16" t="s">
        <v>7377</v>
      </c>
    </row>
    <row r="1888" spans="1:8" ht="60" x14ac:dyDescent="0.25">
      <c r="A1888" s="15" t="s">
        <v>10977</v>
      </c>
      <c r="B1888" s="15" t="s">
        <v>11340</v>
      </c>
      <c r="C1888" s="15" t="s">
        <v>11341</v>
      </c>
      <c r="D1888" s="15"/>
      <c r="E1888" s="15" t="s">
        <v>11036</v>
      </c>
      <c r="F1888" s="15"/>
      <c r="G1888" s="15"/>
      <c r="H1888" s="16" t="s">
        <v>7377</v>
      </c>
    </row>
    <row r="1889" spans="1:8" x14ac:dyDescent="0.25">
      <c r="A1889" s="15" t="s">
        <v>10977</v>
      </c>
      <c r="B1889" s="15" t="s">
        <v>11342</v>
      </c>
      <c r="C1889" s="15" t="s">
        <v>11343</v>
      </c>
      <c r="D1889" s="15"/>
      <c r="E1889" s="15" t="s">
        <v>10988</v>
      </c>
      <c r="F1889" s="15"/>
      <c r="G1889" s="15"/>
      <c r="H1889" s="16" t="s">
        <v>7377</v>
      </c>
    </row>
    <row r="1890" spans="1:8" ht="30" x14ac:dyDescent="0.25">
      <c r="A1890" s="15" t="s">
        <v>10977</v>
      </c>
      <c r="B1890" s="15" t="s">
        <v>11344</v>
      </c>
      <c r="C1890" s="15" t="s">
        <v>11345</v>
      </c>
      <c r="D1890" s="15"/>
      <c r="E1890" s="15" t="s">
        <v>10988</v>
      </c>
      <c r="F1890" s="15"/>
      <c r="G1890" s="15"/>
      <c r="H1890" s="16" t="s">
        <v>7377</v>
      </c>
    </row>
    <row r="1891" spans="1:8" ht="30" x14ac:dyDescent="0.25">
      <c r="A1891" s="15" t="s">
        <v>10977</v>
      </c>
      <c r="B1891" s="15" t="s">
        <v>11346</v>
      </c>
      <c r="C1891" s="15" t="s">
        <v>11345</v>
      </c>
      <c r="D1891" s="15"/>
      <c r="E1891" s="15" t="s">
        <v>10988</v>
      </c>
      <c r="F1891" s="15"/>
      <c r="G1891" s="15"/>
      <c r="H1891" s="16" t="s">
        <v>7377</v>
      </c>
    </row>
    <row r="1892" spans="1:8" ht="30" x14ac:dyDescent="0.25">
      <c r="A1892" s="15" t="s">
        <v>10977</v>
      </c>
      <c r="B1892" s="15" t="s">
        <v>11347</v>
      </c>
      <c r="C1892" s="15" t="s">
        <v>11237</v>
      </c>
      <c r="D1892" s="15"/>
      <c r="E1892" s="15" t="s">
        <v>11238</v>
      </c>
      <c r="F1892" s="15"/>
      <c r="G1892" s="15"/>
      <c r="H1892" s="16" t="s">
        <v>7377</v>
      </c>
    </row>
  </sheetData>
  <autoFilter ref="A1:H1892"/>
  <mergeCells count="70">
    <mergeCell ref="A365:A367"/>
    <mergeCell ref="H524:H539"/>
    <mergeCell ref="F524:F539"/>
    <mergeCell ref="E524:E539"/>
    <mergeCell ref="D524:D539"/>
    <mergeCell ref="C524:C539"/>
    <mergeCell ref="B524:B539"/>
    <mergeCell ref="A524:A539"/>
    <mergeCell ref="H365:H367"/>
    <mergeCell ref="F365:F367"/>
    <mergeCell ref="E365:E367"/>
    <mergeCell ref="D365:D367"/>
    <mergeCell ref="C365:C367"/>
    <mergeCell ref="B365:B367"/>
    <mergeCell ref="A613:A614"/>
    <mergeCell ref="H822:H823"/>
    <mergeCell ref="F822:F823"/>
    <mergeCell ref="E822:E823"/>
    <mergeCell ref="D822:D823"/>
    <mergeCell ref="C822:C823"/>
    <mergeCell ref="B822:B823"/>
    <mergeCell ref="A822:A823"/>
    <mergeCell ref="H613:H614"/>
    <mergeCell ref="F613:F614"/>
    <mergeCell ref="E613:E614"/>
    <mergeCell ref="D613:D614"/>
    <mergeCell ref="C613:C614"/>
    <mergeCell ref="B613:B614"/>
    <mergeCell ref="A965:A969"/>
    <mergeCell ref="H1012:H1016"/>
    <mergeCell ref="F1012:F1016"/>
    <mergeCell ref="E1012:E1016"/>
    <mergeCell ref="D1012:D1016"/>
    <mergeCell ref="C1012:C1016"/>
    <mergeCell ref="B1012:B1016"/>
    <mergeCell ref="A1012:A1016"/>
    <mergeCell ref="H965:H969"/>
    <mergeCell ref="F965:F969"/>
    <mergeCell ref="E965:E969"/>
    <mergeCell ref="D965:D969"/>
    <mergeCell ref="C965:C969"/>
    <mergeCell ref="B965:B969"/>
    <mergeCell ref="A1024:A1029"/>
    <mergeCell ref="H1519:H1520"/>
    <mergeCell ref="F1519:F1520"/>
    <mergeCell ref="E1519:E1520"/>
    <mergeCell ref="D1519:D1520"/>
    <mergeCell ref="C1519:C1520"/>
    <mergeCell ref="B1519:B1520"/>
    <mergeCell ref="A1519:A1520"/>
    <mergeCell ref="H1024:H1029"/>
    <mergeCell ref="F1024:F1029"/>
    <mergeCell ref="E1024:E1029"/>
    <mergeCell ref="D1024:D1029"/>
    <mergeCell ref="C1024:C1029"/>
    <mergeCell ref="B1024:B1029"/>
    <mergeCell ref="A1577:A1578"/>
    <mergeCell ref="H1589:H1590"/>
    <mergeCell ref="F1589:F1590"/>
    <mergeCell ref="E1589:E1590"/>
    <mergeCell ref="D1589:D1590"/>
    <mergeCell ref="C1589:C1590"/>
    <mergeCell ref="B1589:B1590"/>
    <mergeCell ref="A1589:A1590"/>
    <mergeCell ref="H1577:H1578"/>
    <mergeCell ref="F1577:F1578"/>
    <mergeCell ref="E1577:E1578"/>
    <mergeCell ref="D1577:D1578"/>
    <mergeCell ref="C1577:C1578"/>
    <mergeCell ref="B1577:B1578"/>
  </mergeCells>
  <hyperlinks>
    <hyperlink ref="H2" r:id="rId1" location="Link204" display="http://www.ed-fi.org/docs/1.3/schema/ed-fi-core_academicweek.html - Link204"/>
    <hyperlink ref="H3" r:id="rId2" location="Link205" display="http://www.ed-fi.org/docs/1.3/schema/ed-fi-core_academicweek.html - Link205"/>
    <hyperlink ref="H4" r:id="rId3" location="Link203" display="http://www.ed-fi.org/docs/1.3/schema/ed-fi-core_academicweek.html - Link203"/>
    <hyperlink ref="H5" r:id="rId4" location="Link214" display="http://www.ed-fi.org/docs/1.3/schema/ed-fi-core_account.html - Link214"/>
    <hyperlink ref="H6" r:id="rId5" location="Link21C" display="http://www.ed-fi.org/docs/1.3/schema/ed-fi-core_accountcodedescriptorreferencetype.html - Link21C"/>
    <hyperlink ref="H7" r:id="rId6" location="Link215" display="http://www.ed-fi.org/docs/1.3/schema/ed-fi-core_account.html - Link215"/>
    <hyperlink ref="H8" r:id="rId7" location="Link22F" display="http://www.ed-fi.org/docs/1.3/schema/ed-fi-core_actual.html - Link22F"/>
    <hyperlink ref="H9" r:id="rId8" location="Link230" display="http://www.ed-fi.org/docs/1.3/schema/ed-fi-core_actual.html - Link230"/>
    <hyperlink ref="H10" r:id="rId9" location="Link26E" display="http://www.ed-fi.org/docs/1.3/schema/ed-fi-core_contentstandardtype.html - Link26E"/>
    <hyperlink ref="H11" r:id="rId10" location="Link26F" display="http://www.ed-fi.org/docs/1.3/schema/ed-fi-core_contentstandardtype.html - Link26F"/>
    <hyperlink ref="H12" r:id="rId11" location="Link257" display="http://www.ed-fi.org/docs/1.3/schema/ed-fi-core_assessment.html - Link257"/>
    <hyperlink ref="H13" r:id="rId12" location="Link255" display="http://www.ed-fi.org/docs/1.3/schema/ed-fi-core_assessment.html - Link255"/>
    <hyperlink ref="H14" r:id="rId13" location="Link260" display="http://www.ed-fi.org/docs/1.3/schema/ed-fi-core_assessmentidentificationcode.html - Link260"/>
    <hyperlink ref="H15" r:id="rId14" location="Link283" display="http://www.ed-fi.org/docs/1.3/schema/ed-fi-core_assessmentfamily.html - Link283"/>
    <hyperlink ref="H16" r:id="rId15" location="Link282" display="http://www.ed-fi.org/docs/1.3/schema/ed-fi-core_assessmentfamily.html - Link282"/>
    <hyperlink ref="H17" r:id="rId16" location="Link281" display="http://www.ed-fi.org/docs/1.3/schema/ed-fi-core_assessmentfamily.html - Link281"/>
    <hyperlink ref="H18" r:id="rId17" location="Link294" display="http://www.ed-fi.org/docs/1.3/schema/ed-fi-core_assessmentitem.html - Link294"/>
    <hyperlink ref="H19" r:id="rId18" location="Link296" display="http://www.ed-fi.org/docs/1.3/schema/ed-fi-core_assessmentitem.html - Link296"/>
    <hyperlink ref="H20" r:id="rId19" location="Link2A5" display="http://www.ed-fi.org/docs/1.3/schema/ed-fi-core_attendanceevent.html - Link2A5"/>
    <hyperlink ref="H21" r:id="rId20" location="Link2B4" display="http://www.ed-fi.org/docs/1.3/schema/ed-fi-core_bellschedule.html - Link2B4"/>
    <hyperlink ref="H22" r:id="rId21" location="Link2BD" display="http://www.ed-fi.org/docs/1.3/schema/ed-fi-core_meetingtime.html - Link2BD"/>
    <hyperlink ref="H23" r:id="rId22" location="Link2D1" display="http://www.ed-fi.org/docs/1.3/schema/ed-fi-core_budget.html - Link2D1"/>
    <hyperlink ref="H24" r:id="rId23" location="Link2EA" display="http://www.ed-fi.org/docs/1.3/schema/ed-fi-core_cohort.html - Link2EA"/>
    <hyperlink ref="H25" r:id="rId24" location="Link2E9" display="http://www.ed-fi.org/docs/1.3/schema/ed-fi-core_cohort.html - Link2E9"/>
    <hyperlink ref="H26" r:id="rId25" location="Link2E8" display="http://www.ed-fi.org/docs/1.3/schema/ed-fi-core_cohort.html - Link2E8"/>
    <hyperlink ref="H27" r:id="rId26" location="Link2FC" display="http://www.ed-fi.org/docs/1.3/schema/ed-fi-core_contractedstaff.html - Link2FC"/>
    <hyperlink ref="H28" r:id="rId27" location="Link2FD" display="http://www.ed-fi.org/docs/1.3/schema/ed-fi-core_contractedstaff.html - Link2FD"/>
    <hyperlink ref="H29" r:id="rId28" location="Link30F" display="http://www.ed-fi.org/docs/1.3/schema/ed-fi-core_course.html - Link30F"/>
    <hyperlink ref="H30" r:id="rId29" location="Link308" display="http://www.ed-fi.org/docs/1.3/schema/ed-fi-core_course.html - Link308"/>
    <hyperlink ref="H31" r:id="rId30" location="Link319" display="http://www.ed-fi.org/docs/1.3/schema/ed-fi-core_credits.html - Link319"/>
    <hyperlink ref="H32" r:id="rId31" location="Link301" display="http://www.ed-fi.org/docs/1.3/schema/ed-fi-core_course.html - Link301"/>
    <hyperlink ref="H33" r:id="rId32" location="Link323" display="http://www.ed-fi.org/docs/1.3/schema/ed-fi-core_courseoffering.html - Link323"/>
    <hyperlink ref="H34" r:id="rId33" location="Link333" display="http://www.ed-fi.org/docs/1.3/schema/ed-fi-core_coursetranscript.html - Link333"/>
    <hyperlink ref="H35" r:id="rId34" location="Link3BD" display="http://www.ed-fi.org/docs/1.3/schema/ed-fi-core_educationcontent.html - Link3BD"/>
    <hyperlink ref="H36" r:id="rId35" location="Link3C9" display="http://www.ed-fi.org/docs/1.3/schema/ed-fi-core_educationcontent.html - Link3C9"/>
    <hyperlink ref="H37" r:id="rId36" location="Link3CA" display="http://www.ed-fi.org/docs/1.3/schema/ed-fi-core_educationcontent.html - Link3CA"/>
    <hyperlink ref="H38" r:id="rId37" location="Link3B9" display="http://www.ed-fi.org/docs/1.3/schema/ed-fi-core_educationcontent.html - Link3B9"/>
    <hyperlink ref="H39" r:id="rId38" location="Link3C6" display="http://www.ed-fi.org/docs/1.3/schema/ed-fi-core_educationcontent.html - Link3C6"/>
    <hyperlink ref="H40" r:id="rId39" location="Link21E" display="http://www.ed-fi.org/docs/1.3/schema/ed-fi-core_accountabilityrating.html - Link21E"/>
    <hyperlink ref="H41" r:id="rId40" location="Link21F" display="http://www.ed-fi.org/docs/1.3/schema/ed-fi-core_accountabilityrating.html - Link21F"/>
    <hyperlink ref="H42" r:id="rId41" location="Link221" display="http://www.ed-fi.org/docs/1.3/schema/ed-fi-core_accountabilityrating.html - Link221"/>
    <hyperlink ref="H43" r:id="rId42" location="Link222" display="http://www.ed-fi.org/docs/1.3/schema/ed-fi-core_accountabilityrating.html - Link222"/>
    <hyperlink ref="H44" r:id="rId43" location="Link21D" display="http://www.ed-fi.org/docs/1.3/schema/ed-fi-core_accountabilityrating.html - Link21D"/>
    <hyperlink ref="H45" r:id="rId44" location="Link23D" display="http://www.ed-fi.org/docs/1.3/schema/ed-fi-core_address.html - Link23D"/>
    <hyperlink ref="H46" r:id="rId45" location="Link241" display="http://www.ed-fi.org/docs/1.3/schema/ed-fi-core_address.html - Link241"/>
    <hyperlink ref="H47" r:id="rId46" location="Link242" display="http://www.ed-fi.org/docs/1.3/schema/ed-fi-core_address.html - Link242"/>
    <hyperlink ref="H48" r:id="rId47" location="Link3F6" display="http://www.ed-fi.org/docs/1.3/schema/ed-fi-core_educationorganizationinterventionprescriptionassociation.html - Link3F6"/>
    <hyperlink ref="H49" r:id="rId48" location="Link3F7" display="http://www.ed-fi.org/docs/1.3/schema/ed-fi-core_educationorganizationinterventionprescriptionassociation.html - Link3F7"/>
    <hyperlink ref="H50" r:id="rId49" location="Link21E" display="http://www.ed-fi.org/docs/1.3/schema/ed-fi-core_accountabilityrating.html - Link21E"/>
    <hyperlink ref="H51" r:id="rId50" location="Link21F" display="http://www.ed-fi.org/docs/1.3/schema/ed-fi-core_accountabilityrating.html - Link21F"/>
    <hyperlink ref="H52" r:id="rId51" location="Link221" display="http://www.ed-fi.org/docs/1.3/schema/ed-fi-core_accountabilityrating.html - Link221"/>
    <hyperlink ref="H53" r:id="rId52" location="Link222" display="http://www.ed-fi.org/docs/1.3/schema/ed-fi-core_accountabilityrating.html - Link222"/>
    <hyperlink ref="H54" r:id="rId53" location="Link21D" display="http://www.ed-fi.org/docs/1.3/schema/ed-fi-core_accountabilityrating.html - Link21D"/>
    <hyperlink ref="H55" r:id="rId54" location="Link23D" display="http://www.ed-fi.org/docs/1.3/schema/ed-fi-core_address.html - Link23D"/>
    <hyperlink ref="H56" r:id="rId55" location="Link3F9" display="http://www.ed-fi.org/docs/1.3/schema/ed-fi-core_educationorganizationnetwork.html - Link3F9"/>
    <hyperlink ref="H57" r:id="rId56" location="Link3FC" display="http://www.ed-fi.org/docs/1.3/schema/ed-fi-core_educationorganizationnetworkassociation.html - Link3FC"/>
    <hyperlink ref="H58" r:id="rId57" location="Link3FD" display="http://www.ed-fi.org/docs/1.3/schema/ed-fi-core_educationorganizationnetworkassociation.html - Link3FD"/>
    <hyperlink ref="H59" r:id="rId58" location="Link21E" display="http://www.ed-fi.org/docs/1.3/schema/ed-fi-core_accountabilityrating.html - Link21E"/>
    <hyperlink ref="H60" r:id="rId59" location="Link21F" display="http://www.ed-fi.org/docs/1.3/schema/ed-fi-core_accountabilityrating.html - Link21F"/>
    <hyperlink ref="H61" r:id="rId60" location="Link221" display="http://www.ed-fi.org/docs/1.3/schema/ed-fi-core_accountabilityrating.html - Link221"/>
    <hyperlink ref="H62" r:id="rId61" location="Link222" display="http://www.ed-fi.org/docs/1.3/schema/ed-fi-core_accountabilityrating.html - Link222"/>
    <hyperlink ref="H63" r:id="rId62" location="Link21D" display="http://www.ed-fi.org/docs/1.3/schema/ed-fi-core_accountabilityrating.html - Link21D"/>
    <hyperlink ref="H64" r:id="rId63" location="Link23D" display="http://www.ed-fi.org/docs/1.3/schema/ed-fi-core_address.html - Link23D"/>
    <hyperlink ref="H65" r:id="rId64" location="Link241" display="http://www.ed-fi.org/docs/1.3/schema/ed-fi-core_address.html - Link241"/>
    <hyperlink ref="H66" r:id="rId65" location="Link242" display="http://www.ed-fi.org/docs/1.3/schema/ed-fi-core_address.html - Link242"/>
    <hyperlink ref="H67" r:id="rId66" location="Link42D" display="http://www.ed-fi.org/docs/1.3/schema/ed-fi-core_feederschoolassociation.html - Link42D"/>
    <hyperlink ref="H68" r:id="rId67" location="Link42E" display="http://www.ed-fi.org/docs/1.3/schema/ed-fi-core_feederschoolassociation.html - Link42E"/>
    <hyperlink ref="H69" r:id="rId68" location="Link42F" display="http://www.ed-fi.org/docs/1.3/schema/ed-fi-core_feederschoolassociation.html - Link42F"/>
    <hyperlink ref="H70" r:id="rId69" location="Link43A" display="http://www.ed-fi.org/docs/1.3/schema/ed-fi-core_gradebookentry.html - Link43A"/>
    <hyperlink ref="H71" r:id="rId70" location="Link455" display="http://www.ed-fi.org/docs/1.3/schema/ed-fi-core_gradingperiod.html - Link455"/>
    <hyperlink ref="H72" r:id="rId71" location="Link458" display="http://www.ed-fi.org/docs/1.3/schema/ed-fi-core_gradingperiod.html - Link458"/>
    <hyperlink ref="H73" r:id="rId72" location="Link319" display="http://www.ed-fi.org/docs/1.3/schema/ed-fi-core_credits.html - Link319"/>
    <hyperlink ref="H74" r:id="rId73" location="Link34C" display="http://www.ed-fi.org/docs/1.3/schema/ed-fi-core_creditsbycourse.html - Link34C"/>
    <hyperlink ref="H75" r:id="rId74" location="Link373" display="http://www.ed-fi.org/docs/1.3/schema/ed-fi-core_graduationplan.html - Link373"/>
    <hyperlink ref="H76" r:id="rId75" location="Link472" display="http://www.ed-fi.org/docs/1.3/schema/ed-fi-core_interventionprescription.html - Link472"/>
    <hyperlink ref="H77" r:id="rId76" location="Link35F" display="http://www.ed-fi.org/docs/1.3/schema/ed-fi-core_interventionprescription.html - Link35F"/>
    <hyperlink ref="H78" r:id="rId77" location="Link36D" display="http://www.ed-fi.org/docs/1.3/schema/ed-fi-core_interventionprescription.html - Link36D"/>
    <hyperlink ref="H79" r:id="rId78" location="Link2BD" display="http://www.ed-fi.org/docs/1.3/schema/ed-fi-core_meetingtime.html - Link2BD"/>
    <hyperlink ref="H80" r:id="rId79" location="Link470" display="http://www.ed-fi.org/docs/1.3/schema/ed-fi-core_interventionprescription.html - Link470"/>
    <hyperlink ref="H81" r:id="rId80" location="Link471" display="http://www.ed-fi.org/docs/1.3/schema/ed-fi-core_interventionprescription.html - Link471"/>
    <hyperlink ref="H82" r:id="rId81" location="Link472" display="http://www.ed-fi.org/docs/1.3/schema/ed-fi-core_interventionprescription.html - Link472"/>
    <hyperlink ref="H83" r:id="rId82" location="Link35F" display="http://www.ed-fi.org/docs/1.3/schema/ed-fi-core_interventionprescription.html - Link35F"/>
    <hyperlink ref="H84" r:id="rId83" location="Link36D" display="http://www.ed-fi.org/docs/1.3/schema/ed-fi-core_interventionprescription.html - Link36D"/>
    <hyperlink ref="H85" r:id="rId84" location="Link46F" display="http://www.ed-fi.org/docs/1.3/schema/ed-fi-core_interventionprescription.html - Link46F"/>
    <hyperlink ref="H86" r:id="rId85" location="Link470" display="http://www.ed-fi.org/docs/1.3/schema/ed-fi-core_interventionprescription.html - Link470"/>
    <hyperlink ref="H87" r:id="rId86" location="Link471" display="http://www.ed-fi.org/docs/1.3/schema/ed-fi-core_interventionprescription.html - Link471"/>
    <hyperlink ref="H88" r:id="rId87" location="Link485" display="http://www.ed-fi.org/docs/1.3/schema/ed-fi-core_interventionstudy.html - Link485"/>
    <hyperlink ref="H89" r:id="rId88" location="Link486" display="http://www.ed-fi.org/docs/1.3/schema/ed-fi-core_interventionstudy.html - Link486"/>
    <hyperlink ref="H90" r:id="rId89" location="Link360" display="http://www.ed-fi.org/docs/1.3/schema/ed-fi-core_interventioneffectiveness.html - Link360"/>
    <hyperlink ref="H91" r:id="rId90" location="Link479" display="http://www.ed-fi.org/docs/1.3/schema/ed-fi-core_interventioneffectiveness.html - Link479"/>
    <hyperlink ref="H92" r:id="rId91" location="Link478" display="http://www.ed-fi.org/docs/1.3/schema/ed-fi-core_interventioneffectiveness.html - Link478"/>
    <hyperlink ref="H93" r:id="rId92" location="Link47A" display="http://www.ed-fi.org/docs/1.3/schema/ed-fi-core_interventioneffectiveness.html - Link47A"/>
    <hyperlink ref="H94" r:id="rId93" location="Link484" display="http://www.ed-fi.org/docs/1.3/schema/ed-fi-core_interventionstudy.html - Link484"/>
    <hyperlink ref="H95" r:id="rId94" location="Link487" display="http://www.ed-fi.org/docs/1.3/schema/ed-fi-core_interventionstudy.html - Link487"/>
    <hyperlink ref="H96" r:id="rId95" location="Link488" display="http://www.ed-fi.org/docs/1.3/schema/ed-fi-core_interventionstudy.html - Link488"/>
    <hyperlink ref="H97" r:id="rId96" location="Link355" display="http://www.ed-fi.org/docs/1.3/schema/ed-fi-core_learningobjective.html - Link355"/>
    <hyperlink ref="H98" r:id="rId97" location="Link26E" display="http://www.ed-fi.org/docs/1.3/schema/ed-fi-core_contentstandardtype.html - Link26E"/>
    <hyperlink ref="H99" r:id="rId98" location="Link26F" display="http://www.ed-fi.org/docs/1.3/schema/ed-fi-core_contentstandardtype.html - Link26F"/>
    <hyperlink ref="H100" r:id="rId99" location="Link48E" display="http://www.ed-fi.org/docs/1.3/schema/ed-fi-core_learningobjective.html - Link48E"/>
    <hyperlink ref="H101" r:id="rId100" location="Link491" display="http://www.ed-fi.org/docs/1.3/schema/ed-fi-core_learningobjective.html - Link491"/>
    <hyperlink ref="H102" r:id="rId101" location="Link26E" display="http://www.ed-fi.org/docs/1.3/schema/ed-fi-core_contentstandardtype.html - Link26E"/>
    <hyperlink ref="H103" r:id="rId102" location="Link26F" display="http://www.ed-fi.org/docs/1.3/schema/ed-fi-core_contentstandardtype.html - Link26F"/>
    <hyperlink ref="H104" r:id="rId103" location="Link4A0" display="http://www.ed-fi.org/docs/1.3/schema/ed-fi-core_learningstandard.html - Link4A0"/>
    <hyperlink ref="H105" r:id="rId104" location="Link38C" display="http://www.ed-fi.org/docs/1.3/schema/ed-fi-core_learningstandard.html - Link38C"/>
    <hyperlink ref="H106" r:id="rId105" location="Link4AE" display="http://www.ed-fi.org/docs/1.3/schema/ed-fi-core_leaveevent.html - Link4AE"/>
    <hyperlink ref="H107" r:id="rId106" location="Link4B1" display="http://www.ed-fi.org/docs/1.3/schema/ed-fi-core_leaveevent.html - Link4B1"/>
    <hyperlink ref="H108" r:id="rId107" location="Link4B0" display="http://www.ed-fi.org/docs/1.3/schema/ed-fi-core_leaveevent.html - Link4B0"/>
    <hyperlink ref="H109" r:id="rId108" location="Link4B2" display="http://www.ed-fi.org/docs/1.3/schema/ed-fi-core_leaveevent.html - Link4B2"/>
    <hyperlink ref="H110" r:id="rId109" location="Link21F" display="http://www.ed-fi.org/docs/1.3/schema/ed-fi-core_accountabilityrating.html - Link21F"/>
    <hyperlink ref="H111" r:id="rId110" location="Link221" display="http://www.ed-fi.org/docs/1.3/schema/ed-fi-core_accountabilityrating.html - Link221"/>
    <hyperlink ref="H112" r:id="rId111" location="Link23D" display="http://www.ed-fi.org/docs/1.3/schema/ed-fi-core_address.html - Link23D"/>
    <hyperlink ref="H113" r:id="rId112" location="Link241" display="http://www.ed-fi.org/docs/1.3/schema/ed-fi-core_address.html - Link241"/>
    <hyperlink ref="H114" r:id="rId113" location="Link242" display="http://www.ed-fi.org/docs/1.3/schema/ed-fi-core_address.html - Link242"/>
    <hyperlink ref="H115" r:id="rId114" location="Link4BE" display="http://www.ed-fi.org/docs/1.3/schema/ed-fi-core_localeducationagencyfederalfunds.html - Link4BE"/>
    <hyperlink ref="H116" r:id="rId115" location="Link4C8" display="http://www.ed-fi.org/docs/1.3/schema/ed-fi-core_location.html - Link4C8"/>
    <hyperlink ref="H117" r:id="rId116" location="Link4C9" display="http://www.ed-fi.org/docs/1.3/schema/ed-fi-core_location.html - Link4C9"/>
    <hyperlink ref="H118" r:id="rId117" location="Link4DE" display="http://www.ed-fi.org/docs/1.3/schema/ed-fi-core_objectiveassessment.html - Link4DE"/>
    <hyperlink ref="H119" r:id="rId118" location="Link4DD" display="http://www.ed-fi.org/docs/1.3/schema/ed-fi-core_objectiveassessment.html - Link4DD"/>
    <hyperlink ref="H120" r:id="rId119" location="Link356" display="http://www.ed-fi.org/docs/1.3/schema/ed-fi-core_openstaffposition.html - Link356"/>
    <hyperlink ref="H121" r:id="rId120" location="Link4E5" display="http://www.ed-fi.org/docs/1.3/schema/ed-fi-core_openstaffposition.html - Link4E5"/>
    <hyperlink ref="H122" r:id="rId121" location="Link4E6" display="http://www.ed-fi.org/docs/1.3/schema/ed-fi-core_openstaffposition.html - Link4E6"/>
    <hyperlink ref="H123" r:id="rId122" location="Link376" display="http://www.ed-fi.org/docs/1.3/schema/ed-fi-core_openstaffposition.html - Link376"/>
    <hyperlink ref="H124" r:id="rId123" location="Link4E7" display="http://www.ed-fi.org/docs/1.3/schema/ed-fi-core_openstaffposition.html - Link4E7"/>
    <hyperlink ref="H125" r:id="rId124" location="Link37F" display="http://www.ed-fi.org/docs/1.3/schema/ed-fi-core_openstaffposition.html - Link37F"/>
    <hyperlink ref="H126" r:id="rId125" location="Link4E4" display="http://www.ed-fi.org/docs/1.3/schema/ed-fi-core_openstaffposition.html - Link4E4"/>
    <hyperlink ref="H127" r:id="rId126" location="Link23D" display="http://www.ed-fi.org/docs/1.3/schema/ed-fi-core_address.html - Link23D"/>
    <hyperlink ref="H128" r:id="rId127" location="Link241" display="http://www.ed-fi.org/docs/1.3/schema/ed-fi-core_address.html - Link241"/>
    <hyperlink ref="H129" r:id="rId128" location="Link237" display="http://www.ed-fi.org/docs/1.3/schema/ed-fi-core_address.html - Link237"/>
    <hyperlink ref="H130" r:id="rId129" location="Link242" display="http://www.ed-fi.org/docs/1.3/schema/ed-fi-core_address.html - Link242"/>
    <hyperlink ref="H131" r:id="rId130" location="Link4F8" display="http://www.ed-fi.org/docs/1.3/schema/ed-fi-core_parent.html - Link4F8"/>
    <hyperlink ref="H132" r:id="rId131" location="Link468" display="http://www.ed-fi.org/docs/1.3/schema/ed-fi-core_identificationdocument.html - Link468"/>
    <hyperlink ref="H133" r:id="rId132" location="Link466" display="http://www.ed-fi.org/docs/1.3/schema/ed-fi-core_identificationdocument.html - Link466"/>
    <hyperlink ref="H134" r:id="rId133" location="Link46B" display="http://www.ed-fi.org/docs/1.3/schema/ed-fi-core_identificationdocument.html - Link46B"/>
    <hyperlink ref="H135" r:id="rId134" location="Link469" display="http://www.ed-fi.org/docs/1.3/schema/ed-fi-core_identificationdocument.html - Link469"/>
    <hyperlink ref="H136" r:id="rId135" location="Link46A" display="http://www.ed-fi.org/docs/1.3/schema/ed-fi-core_identificationdocument.html - Link46A"/>
    <hyperlink ref="H137" r:id="rId136" location="Link4F5" display="http://www.ed-fi.org/docs/1.3/schema/ed-fi-core_parent.html - Link4F5"/>
    <hyperlink ref="H138" r:id="rId137" location="Link4F5" display="http://www.ed-fi.org/docs/1.3/schema/ed-fi-core_parent.html - Link4F5"/>
    <hyperlink ref="H139" r:id="rId138" location="Link504" display="http://www.ed-fi.org/docs/1.3/schema/ed-fi-core_payroll.html - Link504"/>
    <hyperlink ref="H140" r:id="rId139" location="Link513" display="http://www.ed-fi.org/docs/1.3/schema/ed-fi-core_postsecondaryinstitution.html - Link513"/>
    <hyperlink ref="H141" r:id="rId140" location="Link380" display="http://www.ed-fi.org/docs/1.3/schema/ed-fi-core_program.html - Link380"/>
    <hyperlink ref="H142" r:id="rId141" location="Link51A" display="http://www.ed-fi.org/docs/1.3/schema/ed-fi-core_program.html - Link51A"/>
    <hyperlink ref="H143" r:id="rId142" location="Link51B" display="http://www.ed-fi.org/docs/1.3/schema/ed-fi-core_servicedescriptorreferencetype.html - Link51B"/>
    <hyperlink ref="H144" r:id="rId143" location="Link53C" display="http://www.ed-fi.org/docs/1.3/schema/ed-fi-core_reportcard.html - Link53C"/>
    <hyperlink ref="H145" r:id="rId144" location="Link547" display="http://www.ed-fi.org/docs/1.3/schema/ed-fi-core_restraintevent.html - Link547"/>
    <hyperlink ref="H146" r:id="rId145" location="Link54A" display="http://www.ed-fi.org/docs/1.3/schema/ed-fi-core_restrainteventreasonstype.html - Link54A"/>
    <hyperlink ref="H147" r:id="rId146" location="Link21F" display="http://www.ed-fi.org/docs/1.3/schema/ed-fi-core_accountabilityrating.html - Link21F"/>
    <hyperlink ref="H148" r:id="rId147" location="Link221" display="http://www.ed-fi.org/docs/1.3/schema/ed-fi-core_accountabilityrating.html - Link221"/>
    <hyperlink ref="H149" r:id="rId148" location="Link23D" display="http://www.ed-fi.org/docs/1.3/schema/ed-fi-core_address.html - Link23D"/>
    <hyperlink ref="H150" r:id="rId149" location="Link241" display="http://www.ed-fi.org/docs/1.3/schema/ed-fi-core_address.html - Link241"/>
    <hyperlink ref="H151" r:id="rId150" location="Link242" display="http://www.ed-fi.org/docs/1.3/schema/ed-fi-core_address.html - Link242"/>
    <hyperlink ref="H152" r:id="rId151" location="Link387" display="http://www.ed-fi.org/docs/1.3/schema/ed-fi-core_section.html - Link387"/>
    <hyperlink ref="H153" r:id="rId152" location="Link23D" display="http://www.ed-fi.org/docs/1.3/schema/ed-fi-core_address.html - Link23D"/>
    <hyperlink ref="H154" r:id="rId153" location="Link241" display="http://www.ed-fi.org/docs/1.3/schema/ed-fi-core_address.html - Link241"/>
    <hyperlink ref="H155" r:id="rId154" location="Link237" display="http://www.ed-fi.org/docs/1.3/schema/ed-fi-core_address.html - Link237"/>
    <hyperlink ref="H156" r:id="rId155" location="Link242" display="http://www.ed-fi.org/docs/1.3/schema/ed-fi-core_address.html - Link242"/>
    <hyperlink ref="H157" r:id="rId156" location="Link468" display="http://www.ed-fi.org/docs/1.3/schema/ed-fi-core_identificationdocument.html - Link468"/>
    <hyperlink ref="H158" r:id="rId157" location="Link466" display="http://www.ed-fi.org/docs/1.3/schema/ed-fi-core_identificationdocument.html - Link466"/>
    <hyperlink ref="H159" r:id="rId158" location="Link46B" display="http://www.ed-fi.org/docs/1.3/schema/ed-fi-core_identificationdocument.html - Link46B"/>
    <hyperlink ref="H160" r:id="rId159" location="Link469" display="http://www.ed-fi.org/docs/1.3/schema/ed-fi-core_identificationdocument.html - Link469"/>
    <hyperlink ref="H161" r:id="rId160" location="Link46A" display="http://www.ed-fi.org/docs/1.3/schema/ed-fi-core_identificationdocument.html - Link46A"/>
    <hyperlink ref="H162" r:id="rId161" location="Link468" display="http://www.ed-fi.org/docs/1.3/schema/ed-fi-core_identificationdocument.html - Link468"/>
    <hyperlink ref="H163" r:id="rId162" location="Link466" display="http://www.ed-fi.org/docs/1.3/schema/ed-fi-core_identificationdocument.html - Link466"/>
    <hyperlink ref="H164" r:id="rId163" location="Link46B" display="http://www.ed-fi.org/docs/1.3/schema/ed-fi-core_identificationdocument.html - Link46B"/>
    <hyperlink ref="H165" r:id="rId164" location="Link469" display="http://www.ed-fi.org/docs/1.3/schema/ed-fi-core_identificationdocument.html - Link469"/>
    <hyperlink ref="H166" r:id="rId165" location="Link46A" display="http://www.ed-fi.org/docs/1.3/schema/ed-fi-core_identificationdocument.html - Link46A"/>
    <hyperlink ref="H167" r:id="rId166" location="Link33B" display="http://www.ed-fi.org/docs/1.3/schema/ed-fi-core_credential.html - Link33B"/>
    <hyperlink ref="H168" r:id="rId167" location="Link33C" display="http://www.ed-fi.org/docs/1.3/schema/ed-fi-core_credential.html - Link33C"/>
    <hyperlink ref="H169" r:id="rId168" location="Link58A" display="http://www.ed-fi.org/docs/1.3/schema/ed-fi-core_staff.html - Link58A"/>
    <hyperlink ref="H170" r:id="rId169" location="Link468" display="http://www.ed-fi.org/docs/1.3/schema/ed-fi-core_identificationdocument.html - Link468"/>
    <hyperlink ref="H171" r:id="rId170" location="Link466" display="http://www.ed-fi.org/docs/1.3/schema/ed-fi-core_identificationdocument.html - Link466"/>
    <hyperlink ref="H172" r:id="rId171" location="Link46B" display="http://www.ed-fi.org/docs/1.3/schema/ed-fi-core_identificationdocument.html - Link46B"/>
    <hyperlink ref="H173" r:id="rId172" location="Link469" display="http://www.ed-fi.org/docs/1.3/schema/ed-fi-core_identificationdocument.html - Link469"/>
    <hyperlink ref="H174" r:id="rId173" location="Link46A" display="http://www.ed-fi.org/docs/1.3/schema/ed-fi-core_identificationdocument.html - Link46A"/>
    <hyperlink ref="H175" r:id="rId174" location="Link4F4" display="http://www.ed-fi.org/docs/1.3/schema/ed-fi-core_person.html - Link4F4"/>
    <hyperlink ref="H176" r:id="rId175" location="Link5E9" display="http://www.ed-fi.org/docs/1.3/schema/ed-fi-core_studentcohortassociation.html - Link5E9"/>
    <hyperlink ref="H177" r:id="rId176" location="Link591" display="http://www.ed-fi.org/docs/1.3/schema/ed-fi-core_staffcohortassociation.html - Link591"/>
    <hyperlink ref="H178" r:id="rId177" location="Link592" display="http://www.ed-fi.org/docs/1.3/schema/ed-fi-core_staffcohortassociation.html - Link592"/>
    <hyperlink ref="H179" r:id="rId178" location="Link59B" display="http://www.ed-fi.org/docs/1.3/schema/ed-fi-core_staffeducationorgemploymentassociation.html - Link59B"/>
    <hyperlink ref="H180" r:id="rId179" location="Link59D" display="http://www.ed-fi.org/docs/1.3/schema/ed-fi-core_staffeducationorgemploymentassociation.html - Link59D"/>
    <hyperlink ref="H181" r:id="rId180" location="Link5A8" display="http://www.ed-fi.org/docs/1.3/schema/ed-fi-core_staffprogramassociation.html - Link5A8"/>
    <hyperlink ref="H182" r:id="rId181" location="Link5A9" display="http://www.ed-fi.org/docs/1.3/schema/ed-fi-core_staffprogramassociation.html - Link5A9"/>
    <hyperlink ref="H183" r:id="rId182" location="Link5AA" display="http://www.ed-fi.org/docs/1.3/schema/ed-fi-core_staffprogramassociation.html - Link5AA"/>
    <hyperlink ref="H184" r:id="rId183" location="Link21F" display="http://www.ed-fi.org/docs/1.3/schema/ed-fi-core_accountabilityrating.html - Link21F"/>
    <hyperlink ref="H185" r:id="rId184" location="Link221" display="http://www.ed-fi.org/docs/1.3/schema/ed-fi-core_accountabilityrating.html - Link221"/>
    <hyperlink ref="H186" r:id="rId185" location="Link23D" display="http://www.ed-fi.org/docs/1.3/schema/ed-fi-core_address.html - Link23D"/>
    <hyperlink ref="H187" r:id="rId186" location="Link241" display="http://www.ed-fi.org/docs/1.3/schema/ed-fi-core_address.html - Link241"/>
    <hyperlink ref="H188" r:id="rId187" location="Link242" display="http://www.ed-fi.org/docs/1.3/schema/ed-fi-core_address.html - Link242"/>
    <hyperlink ref="H189" r:id="rId188" location="Link5B1" display="http://www.ed-fi.org/docs/1.3/schema/ed-fi-core_stateeducationagencyfederalfunds.html - Link5B1"/>
    <hyperlink ref="H190" r:id="rId189" location="Link23D" display="http://www.ed-fi.org/docs/1.3/schema/ed-fi-core_address.html - Link23D"/>
    <hyperlink ref="H191" r:id="rId190" location="Link241" display="http://www.ed-fi.org/docs/1.3/schema/ed-fi-core_address.html - Link241"/>
    <hyperlink ref="H192" r:id="rId191" location="Link237" display="http://www.ed-fi.org/docs/1.3/schema/ed-fi-core_address.html - Link237"/>
    <hyperlink ref="H193" r:id="rId192" location="Link242" display="http://www.ed-fi.org/docs/1.3/schema/ed-fi-core_address.html - Link242"/>
    <hyperlink ref="H194" r:id="rId193" location="Link468" display="http://www.ed-fi.org/docs/1.3/schema/ed-fi-core_identificationdocument.html - Link468"/>
    <hyperlink ref="H195" r:id="rId194" location="Link466" display="http://www.ed-fi.org/docs/1.3/schema/ed-fi-core_identificationdocument.html - Link466"/>
    <hyperlink ref="H196" r:id="rId195" location="Link46B" display="http://www.ed-fi.org/docs/1.3/schema/ed-fi-core_identificationdocument.html - Link46B"/>
    <hyperlink ref="H197" r:id="rId196" location="Link469" display="http://www.ed-fi.org/docs/1.3/schema/ed-fi-core_identificationdocument.html - Link469"/>
    <hyperlink ref="H198" r:id="rId197" location="Link46A" display="http://www.ed-fi.org/docs/1.3/schema/ed-fi-core_identificationdocument.html - Link46A"/>
    <hyperlink ref="H199" r:id="rId198" location="Link468" display="http://www.ed-fi.org/docs/1.3/schema/ed-fi-core_identificationdocument.html - Link468"/>
    <hyperlink ref="H200" r:id="rId199" location="Link466" display="http://www.ed-fi.org/docs/1.3/schema/ed-fi-core_identificationdocument.html - Link466"/>
    <hyperlink ref="H201" r:id="rId200" location="Link46B" display="http://www.ed-fi.org/docs/1.3/schema/ed-fi-core_identificationdocument.html - Link46B"/>
    <hyperlink ref="H202" r:id="rId201" location="Link469" display="http://www.ed-fi.org/docs/1.3/schema/ed-fi-core_identificationdocument.html - Link469"/>
    <hyperlink ref="H203" r:id="rId202" location="Link46A" display="http://www.ed-fi.org/docs/1.3/schema/ed-fi-core_identificationdocument.html - Link46A"/>
    <hyperlink ref="H204" r:id="rId203" location="Link396" display="http://www.ed-fi.org/docs/1.3/schema/ed-fi-core_disability.html - Link396"/>
    <hyperlink ref="H205" r:id="rId204" location="Link4AB" display="http://www.ed-fi.org/docs/1.3/schema/ed-fi-core_learningstyles.html - Link4AB"/>
    <hyperlink ref="H206" r:id="rId205" location="Link4AC" display="http://www.ed-fi.org/docs/1.3/schema/ed-fi-core_learningstyles.html - Link4AC"/>
    <hyperlink ref="H207" r:id="rId206" location="Link4AA" display="http://www.ed-fi.org/docs/1.3/schema/ed-fi-core_learningstyles.html - Link4AA"/>
    <hyperlink ref="H208" r:id="rId207" location="Link5BE" display="http://www.ed-fi.org/docs/1.3/schema/ed-fi-core_student.html - Link5BE"/>
    <hyperlink ref="H209" r:id="rId208" location="Link4D4" display="http://www.ed-fi.org/docs/1.3/schema/ed-fi-core_name.html - Link4D4"/>
    <hyperlink ref="H210" r:id="rId209" location="Link468" display="http://www.ed-fi.org/docs/1.3/schema/ed-fi-core_identificationdocument.html - Link468"/>
    <hyperlink ref="H211" r:id="rId210" location="Link466" display="http://www.ed-fi.org/docs/1.3/schema/ed-fi-core_identificationdocument.html - Link466"/>
    <hyperlink ref="H212" r:id="rId211" location="Link46B" display="http://www.ed-fi.org/docs/1.3/schema/ed-fi-core_identificationdocument.html - Link46B"/>
    <hyperlink ref="H213" r:id="rId212" location="Link469" display="http://www.ed-fi.org/docs/1.3/schema/ed-fi-core_identificationdocument.html - Link469"/>
    <hyperlink ref="H214" r:id="rId213" location="Link46A" display="http://www.ed-fi.org/docs/1.3/schema/ed-fi-core_identificationdocument.html - Link46A"/>
    <hyperlink ref="H215" r:id="rId214" location="Link524" display="http://www.ed-fi.org/docs/1.3/schema/ed-fi-core_programparticipation.html - Link524"/>
    <hyperlink ref="H216" r:id="rId215" location="Link381" display="http://www.ed-fi.org/docs/1.3/schema/ed-fi-core_programparticipation.html - Link381"/>
    <hyperlink ref="H217" r:id="rId216" location="Link5C5" display="http://www.ed-fi.org/docs/1.3/schema/ed-fi-core_studentcharacteristic.html - Link5C5"/>
    <hyperlink ref="H218" r:id="rId217" location="Link5C9" display="http://www.ed-fi.org/docs/1.3/schema/ed-fi-core_studentindicator.html - Link5C9"/>
    <hyperlink ref="H219" r:id="rId218" location="Link5CB" display="http://www.ed-fi.org/docs/1.3/schema/ed-fi-core_studentindicator.html - Link5CB"/>
    <hyperlink ref="H220" r:id="rId219" location="Link5CA" display="http://www.ed-fi.org/docs/1.3/schema/ed-fi-core_studentindicator.html - Link5CA"/>
    <hyperlink ref="H221" r:id="rId220" location="Link5C6" display="http://www.ed-fi.org/docs/1.3/schema/ed-fi-core_studentindicator.html - Link5C6"/>
    <hyperlink ref="H222" r:id="rId221" location="Link1EE" display="http://www.ed-fi.org/docs/1.3/schema/ed-fi-core_achievement.html - Link1EE"/>
    <hyperlink ref="H223" r:id="rId222" location="Link2E2" display="http://www.ed-fi.org/docs/1.3/schema/ed-fi-core_classranking.html - Link2E2"/>
    <hyperlink ref="H224" r:id="rId223" location="Link1EE" display="http://www.ed-fi.org/docs/1.3/schema/ed-fi-core_achievement.html - Link1EE"/>
    <hyperlink ref="H225" r:id="rId224" location="Link1EF" display="http://www.ed-fi.org/docs/1.3/schema/ed-fi-core_achievement.html - Link1EF"/>
    <hyperlink ref="H226" r:id="rId225" location="Link1F0" display="http://www.ed-fi.org/docs/1.3/schema/ed-fi-core_achievement.html - Link1F0"/>
    <hyperlink ref="H227" r:id="rId226" location="Link1EE" display="http://www.ed-fi.org/docs/1.3/schema/ed-fi-core_achievement.html - Link1EE"/>
    <hyperlink ref="H228" r:id="rId227" location="Link1EF" display="http://www.ed-fi.org/docs/1.3/schema/ed-fi-core_achievement.html - Link1EF"/>
    <hyperlink ref="H229" r:id="rId228" location="Link1F0" display="http://www.ed-fi.org/docs/1.3/schema/ed-fi-core_achievement.html - Link1F0"/>
    <hyperlink ref="H230" r:id="rId229" location="Link534" display="http://www.ed-fi.org/docs/1.3/schema/ed-fi-core_recognition.html - Link534"/>
    <hyperlink ref="H231" r:id="rId230" location="Link533" display="http://www.ed-fi.org/docs/1.3/schema/ed-fi-core_recognition.html - Link533"/>
    <hyperlink ref="H232" r:id="rId231" location="Link319" display="http://www.ed-fi.org/docs/1.3/schema/ed-fi-core_credits.html - Link319"/>
    <hyperlink ref="H233" r:id="rId232" location="Link5D0" display="http://www.ed-fi.org/docs/1.3/schema/ed-fi-core_studentacademicrecord.html - Link5D0"/>
    <hyperlink ref="H234" r:id="rId233" location="Link35C" display="http://www.ed-fi.org/docs/1.3/schema/ed-fi-core_studentcompetency.html - Link35C"/>
    <hyperlink ref="H235" r:id="rId234" location="Link5F1" display="http://www.ed-fi.org/docs/1.3/schema/ed-fi-core_studentcompetencyobjective.html - Link5F1"/>
    <hyperlink ref="H236" r:id="rId235" location="Link352" display="http://www.ed-fi.org/docs/1.3/schema/ed-fi-core_cteprogram.html - Link352"/>
    <hyperlink ref="H237" r:id="rId236" location="Link5F9" display="http://www.ed-fi.org/docs/1.3/schema/ed-fi-core_studentprogramassociation.html - Link5F9"/>
    <hyperlink ref="H238" r:id="rId237" location="Link570" display="http://www.ed-fi.org/docs/1.3/schema/ed-fi-core_studentprogramassociation.html - Link570"/>
    <hyperlink ref="H239" r:id="rId238" location="Link51B" display="http://www.ed-fi.org/docs/1.3/schema/ed-fi-core_servicedescriptorreferencetype.html - Link51B"/>
    <hyperlink ref="H240" r:id="rId239" location="Link2B1" display="http://www.ed-fi.org/docs/1.3/schema/ed-fi-core_behaviordescriptorreferencetype.html - Link2B1"/>
    <hyperlink ref="H241" r:id="rId240" location="Link35D" display="http://www.ed-fi.org/docs/1.3/schema/ed-fi-core_studentgradebookentry.html - Link35D"/>
    <hyperlink ref="H242" r:id="rId241" location="Link5FD" display="http://www.ed-fi.org/docs/1.3/schema/ed-fi-core_studentgradebookentry.html - Link5FD"/>
    <hyperlink ref="H243" r:id="rId242" location="Link360" display="http://www.ed-fi.org/docs/1.3/schema/ed-fi-core_interventioneffectiveness.html - Link360"/>
    <hyperlink ref="H244" r:id="rId243" location="Link36A" display="http://www.ed-fi.org/docs/1.3/schema/ed-fi-core_interventioneffectiveness.html - Link36A"/>
    <hyperlink ref="H245" r:id="rId244" location="Link479" display="http://www.ed-fi.org/docs/1.3/schema/ed-fi-core_interventioneffectiveness.html - Link479"/>
    <hyperlink ref="H246" r:id="rId245" location="Link478" display="http://www.ed-fi.org/docs/1.3/schema/ed-fi-core_interventioneffectiveness.html - Link478"/>
    <hyperlink ref="H247" r:id="rId246" location="Link47A" display="http://www.ed-fi.org/docs/1.3/schema/ed-fi-core_interventioneffectiveness.html - Link47A"/>
    <hyperlink ref="H248" r:id="rId247" location="Link570" display="http://www.ed-fi.org/docs/1.3/schema/ed-fi-core_studentprogramassociation.html - Link570"/>
    <hyperlink ref="H249" r:id="rId248" location="Link51B" display="http://www.ed-fi.org/docs/1.3/schema/ed-fi-core_servicedescriptorreferencetype.html - Link51B"/>
    <hyperlink ref="H250" r:id="rId249" location="Link60B" display="http://www.ed-fi.org/docs/1.3/schema/ed-fi-core_studentmigranteducationprogramassociation.html - Link60B"/>
    <hyperlink ref="H251" r:id="rId250" location="Link60D" display="http://www.ed-fi.org/docs/1.3/schema/ed-fi-core_studentmigranteducationprogramassociation.html - Link60D"/>
    <hyperlink ref="H252" r:id="rId251" location="Link60C" display="http://www.ed-fi.org/docs/1.3/schema/ed-fi-core_studentmigranteducationprogramassociation.html - Link60C"/>
    <hyperlink ref="H253" r:id="rId252" location="Link5F9" display="http://www.ed-fi.org/docs/1.3/schema/ed-fi-core_studentprogramassociation.html - Link5F9"/>
    <hyperlink ref="H254" r:id="rId253" location="Link570" display="http://www.ed-fi.org/docs/1.3/schema/ed-fi-core_studentprogramassociation.html - Link570"/>
    <hyperlink ref="H255" r:id="rId254" location="Link51B" display="http://www.ed-fi.org/docs/1.3/schema/ed-fi-core_servicedescriptorreferencetype.html - Link51B"/>
    <hyperlink ref="H256" r:id="rId255" location="Link384" display="http://www.ed-fi.org/docs/1.3/schema/ed-fi-core_studentschoolassociation.html - Link384"/>
    <hyperlink ref="H257" r:id="rId256" location="Link570" display="http://www.ed-fi.org/docs/1.3/schema/ed-fi-core_studentprogramassociation.html - Link570"/>
    <hyperlink ref="H258" r:id="rId257" location="Link51B" display="http://www.ed-fi.org/docs/1.3/schema/ed-fi-core_servicedescriptorreferencetype.html - Link51B"/>
    <hyperlink ref="H259" r:id="rId258" location="Link5F9" display="http://www.ed-fi.org/docs/1.3/schema/ed-fi-core_studentprogramassociation.html - Link5F9"/>
    <hyperlink ref="H260" r:id="rId259" location="Link570" display="http://www.ed-fi.org/docs/1.3/schema/ed-fi-core_studentprogramassociation.html - Link570"/>
    <hyperlink ref="H261" r:id="rId260" location="Link51B" display="http://www.ed-fi.org/docs/1.3/schema/ed-fi-core_servicedescriptorreferencetype.html - Link51B"/>
    <hyperlink ref="H262" r:id="rId261" location="Link23D" display="http://www.ed-fi.org/docs/1.3/schema/ed-fi-core_address.html - Link23D"/>
    <hyperlink ref="H263" r:id="rId262" location="Link241" display="http://www.ed-fi.org/docs/1.3/schema/ed-fi-core_address.html - Link241"/>
    <hyperlink ref="H264" r:id="rId263" location="Link242" display="http://www.ed-fi.org/docs/1.3/schema/ed-fi-core_address.html - Link242"/>
    <hyperlink ref="H265" r:id="rId264" location="Link468" display="http://www.ed-fi.org/docs/1.3/schema/ed-fi-core_identificationdocument.html - Link468"/>
    <hyperlink ref="H266" r:id="rId265" location="Link466" display="http://www.ed-fi.org/docs/1.3/schema/ed-fi-core_identificationdocument.html - Link466"/>
    <hyperlink ref="H267" r:id="rId266" location="Link46B" display="http://www.ed-fi.org/docs/1.3/schema/ed-fi-core_identificationdocument.html - Link46B"/>
    <hyperlink ref="H268" r:id="rId267" location="Link469" display="http://www.ed-fi.org/docs/1.3/schema/ed-fi-core_identificationdocument.html - Link469"/>
    <hyperlink ref="H269" r:id="rId268" location="Link46A" display="http://www.ed-fi.org/docs/1.3/schema/ed-fi-core_identificationdocument.html - Link46A"/>
    <hyperlink ref="H270" r:id="rId269" location="Link468" display="http://www.ed-fi.org/docs/1.3/schema/ed-fi-core_identificationdocument.html - Link468"/>
    <hyperlink ref="H271" r:id="rId270" location="Link466" display="http://www.ed-fi.org/docs/1.3/schema/ed-fi-core_identificationdocument.html - Link466"/>
    <hyperlink ref="H272" r:id="rId271" location="Link46B" display="http://www.ed-fi.org/docs/1.3/schema/ed-fi-core_identificationdocument.html - Link46B"/>
    <hyperlink ref="H273" r:id="rId272" location="Link469" display="http://www.ed-fi.org/docs/1.3/schema/ed-fi-core_identificationdocument.html - Link469"/>
    <hyperlink ref="H274" r:id="rId273" location="Link46A" display="http://www.ed-fi.org/docs/1.3/schema/ed-fi-core_identificationdocument.html - Link46A"/>
    <hyperlink ref="H275" r:id="rId274" location="Link33B" display="http://www.ed-fi.org/docs/1.3/schema/ed-fi-core_credential.html - Link33B"/>
    <hyperlink ref="H276" r:id="rId275" location="Link33C" display="http://www.ed-fi.org/docs/1.3/schema/ed-fi-core_credential.html - Link33C"/>
    <hyperlink ref="H277" r:id="rId276" location="Link58A" display="http://www.ed-fi.org/docs/1.3/schema/ed-fi-core_staff.html - Link58A"/>
    <hyperlink ref="H278" r:id="rId277" location="Link468" display="http://www.ed-fi.org/docs/1.3/schema/ed-fi-core_identificationdocument.html - Link468"/>
    <hyperlink ref="H279" r:id="rId278" location="Link466" display="http://www.ed-fi.org/docs/1.3/schema/ed-fi-core_identificationdocument.html - Link466"/>
    <hyperlink ref="H280" r:id="rId279" location="Link46B" display="http://www.ed-fi.org/docs/1.3/schema/ed-fi-core_identificationdocument.html - Link46B"/>
    <hyperlink ref="H281" r:id="rId280" location="Link469" display="http://www.ed-fi.org/docs/1.3/schema/ed-fi-core_identificationdocument.html - Link469"/>
    <hyperlink ref="H282" r:id="rId281" location="Link46A" display="http://www.ed-fi.org/docs/1.3/schema/ed-fi-core_identificationdocument.html - Link46A"/>
    <hyperlink ref="H283" r:id="rId282" location="Link4F4" display="http://www.ed-fi.org/docs/1.3/schema/ed-fi-core_person.html - Link4F4"/>
    <hyperlink ref="H284" r:id="rId283" location="Link62F" display="http://www.ed-fi.org/docs/1.3/schema/ed-fi-core_teacher.html - Link62F"/>
    <hyperlink ref="H285" r:id="rId284" location="Link588" display="http://www.ed-fi.org/docs/1.3/schema/ed-fi-core_staff.html - Link588"/>
    <hyperlink ref="H286" r:id="rId285" location="Link357" display="http://www.ed-fi.org/docs/1.3/schema/ed-fi-core_teacherschoolassociation.html - Link357"/>
    <hyperlink ref="H287" r:id="rId286" location="Link377" display="http://www.ed-fi.org/docs/1.3/schema/ed-fi-core_teacherschoolassociation.html - Link377"/>
    <hyperlink ref="H288" r:id="rId287" location="Link37E" display="http://www.ed-fi.org/docs/1.3/schema/ed-fi-core_teacherschoolassociation.html - Link37E"/>
    <hyperlink ref="H1691" r:id="rId288" location="Link173" display="http://specification.sifassociation.org/Implementation/NA/3.2/html/Assessment/Assessment_assessmentAssetType.html - Link173"/>
    <hyperlink ref="H1692" r:id="rId289" location="Link16D" display="http://specification.sifassociation.org/Implementation/NA/3.2/html/Assessment/Assessment_assessmentAssetType.html - Link16D"/>
    <hyperlink ref="H1693" r:id="rId290" location="Link17A" display="http://specification.sifassociation.org/Implementation/NA/3.2/html/Assessment/Assessment_assessmentFormType.html - Link17A"/>
    <hyperlink ref="H1694" r:id="rId291" location="Link17E" display="http://specification.sifassociation.org/Implementation/NA/3.2/html/Assessment/Assessment_assessmentFormType.html - Link17E"/>
    <hyperlink ref="H1695" r:id="rId292" location="LinkEE" display="http://specification.sifassociation.org/Implementation/NA/3.2/html/Assessment/Assessment_assessmentFormType.html - LinkEE"/>
    <hyperlink ref="H1696" r:id="rId293" location="Link111" display="http://specification.sifassociation.org/Implementation/NA/3.2/html/Assessment/Assessment_assessmentItemAssociationType.html - Link111"/>
    <hyperlink ref="H1697" r:id="rId294" location="Link10E" display="http://specification.sifassociation.org/Implementation/NA/3.2/html/Assessment/Assessment_assessmentItemType.html - Link10E"/>
    <hyperlink ref="H1698" r:id="rId295" location="Link109" display="http://specification.sifassociation.org/Implementation/NA/3.2/html/Assessment/Assessment_assessmentItemType.html - Link109"/>
    <hyperlink ref="H1699" r:id="rId296" location="LinkFE" display="http://specification.sifassociation.org/Implementation/NA/3.2/html/Assessment/Assessment_assessmentItemType.html - LinkFE"/>
    <hyperlink ref="H1700" r:id="rId297" location="LinkFD" display="http://specification.sifassociation.org/Implementation/NA/3.2/html/Assessment/Assessment_assessmentItemType.html - LinkFD"/>
    <hyperlink ref="H1701" r:id="rId298" location="Link11A" display="http://specification.sifassociation.org/Implementation/NA/3.2/html/Assessment/Assessment_assessmentRegistrationType.html - Link11A"/>
    <hyperlink ref="H1702" r:id="rId299" location="Link11A" display="http://specification.sifassociation.org/Implementation/NA/3.2/html/Assessment/Assessment_assessmentRegistrationType.html - Link11A"/>
    <hyperlink ref="H1703" r:id="rId300" location="Link1A5" display="http://specification.sifassociation.org/Implementation/NA/3.2/html/Assessment/Assessment_assessmentRegistrationType.html - Link1A5"/>
    <hyperlink ref="H1704" r:id="rId301" location="Link1B1" display="http://specification.sifassociation.org/Implementation/NA/3.2/html/Assessment/Assessment_assessmentRegistrationType.html - Link1B1"/>
    <hyperlink ref="H1705" r:id="rId302" location="Link1A6" display="http://specification.sifassociation.org/Implementation/NA/3.2/html/Assessment/Assessment_assessmentRegistrationType.html - Link1A6"/>
    <hyperlink ref="H1706" r:id="rId303" location="Link199" display="http://specification.sifassociation.org/Implementation/NA/3.2/html/Assessment/Assessment_assessmentRegistrationType.html - Link199"/>
    <hyperlink ref="H1707" r:id="rId304" location="Link1E0" display="http://specification.sifassociation.org/Implementation/NA/3.2/html/Assessment/Assessment_assessmentResponseSetType.html - Link1E0"/>
    <hyperlink ref="H1708" r:id="rId305" location="Link1E1" display="http://specification.sifassociation.org/Implementation/NA/3.2/html/Assessment/Assessment_assessmentResponseSetType.html - Link1E1"/>
    <hyperlink ref="H1709" r:id="rId306" location="Link1E7" display="http://specification.sifassociation.org/Implementation/NA/3.2/html/Assessment/Assessment_assessmentResponseSetType.html - Link1E7"/>
    <hyperlink ref="H1710" r:id="rId307" location="Link1EA" display="http://specification.sifassociation.org/Implementation/NA/3.2/html/Assessment/Assessment_assessmentResponseSetType.html - Link1EA"/>
    <hyperlink ref="H1711" r:id="rId308" location="Link1DA" display="http://specification.sifassociation.org/Implementation/NA/3.2/html/Assessment/Assessment_assessmentResponseSetType.html - Link1DA"/>
    <hyperlink ref="H1712" r:id="rId309" location="Link1D4" display="http://specification.sifassociation.org/Implementation/NA/3.2/html/Assessment/Assessment_assessmentResponseSetType.html - Link1D4"/>
    <hyperlink ref="H1713" r:id="rId310" location="Link1D0" display="http://specification.sifassociation.org/Implementation/NA/3.2/html/Assessment/Assessment_assessmentResponseSetType.html - Link1D0"/>
    <hyperlink ref="H1714" r:id="rId311" location="Link1E5" display="http://specification.sifassociation.org/Implementation/NA/3.2/html/Assessment/Assessment_assessmentResponseSetType.html - Link1E5"/>
    <hyperlink ref="H1715" r:id="rId312" location="Link1E3" display="http://specification.sifassociation.org/Implementation/NA/3.2/html/Assessment/Assessment_assessmentResponseSetType.html - Link1E3"/>
    <hyperlink ref="H1716" r:id="rId313" location="Link1E4" display="http://specification.sifassociation.org/Implementation/NA/3.2/html/Assessment/Assessment_assessmentResponseSetType.html - Link1E4"/>
    <hyperlink ref="H1717" r:id="rId314" location="Link12D" display="http://specification.sifassociation.org/Implementation/NA/3.2/html/Assessment/Assessment_assessmentRubricType.html - Link12D"/>
    <hyperlink ref="H1718" r:id="rId315" location="Link12C" display="http://specification.sifassociation.org/Implementation/NA/3.2/html/Assessment/Assessment_assessmentRubricType.html - Link12C"/>
    <hyperlink ref="H1719" r:id="rId316" location="Link1EF" display="http://specification.sifassociation.org/Implementation/NA/3.2/html/Assessment/Assessment_assessmentRubricType.html - Link1EF"/>
    <hyperlink ref="H1720" r:id="rId317" location="Link1F0" display="http://specification.sifassociation.org/Implementation/NA/3.2/html/Assessment/Assessment_assessmentRubricType.html - Link1F0"/>
    <hyperlink ref="H1721" r:id="rId318" location="Link1F7" display="http://specification.sifassociation.org/Implementation/NA/3.2/html/Assessment/Assessment_assessmentRubricType.html - Link1F7"/>
    <hyperlink ref="H1722" r:id="rId319" location="Link1F6" display="http://specification.sifassociation.org/Implementation/NA/3.2/html/Assessment/Assessment_assessmentRubricType.html - Link1F6"/>
    <hyperlink ref="H1723" r:id="rId320" location="Link201" display="http://specification.sifassociation.org/Implementation/NA/3.2/html/Assessment/Assessment_assessmentScoreSetType.html - Link201"/>
    <hyperlink ref="H1724" r:id="rId321" location="Link1FD" display="http://specification.sifassociation.org/Implementation/NA/3.2/html/Assessment/Assessment_assessmentScoreSetType.html - Link1FD"/>
    <hyperlink ref="H1725" r:id="rId322" location="Link1FC" display="http://specification.sifassociation.org/Implementation/NA/3.2/html/Assessment/Assessment_assessmentScoreSetType.html - Link1FC"/>
    <hyperlink ref="H1726" r:id="rId323" location="Link139" display="http://specification.sifassociation.org/Implementation/NA/3.2/html/Assessment/Assessment_assessmentScoreTableType.html - Link139"/>
    <hyperlink ref="H1727" r:id="rId324" location="Link138" display="http://specification.sifassociation.org/Implementation/NA/3.2/html/Assessment/Assessment_assessmentScoreTableType.html - Link138"/>
    <hyperlink ref="H1728" r:id="rId325" location="Link20E" display="http://specification.sifassociation.org/Implementation/NA/3.2/html/Assessment/Assessment_assessmentScoreTableType.html - Link20E"/>
    <hyperlink ref="H1729" r:id="rId326" location="Link20F" display="http://specification.sifassociation.org/Implementation/NA/3.2/html/Assessment/Assessment_assessmentScoreTableType.html - Link20F"/>
    <hyperlink ref="H1730" r:id="rId327" location="Link209" display="http://specification.sifassociation.org/Implementation/NA/3.2/html/Assessment/Assessment_assessmentScoreTableType.html - Link209"/>
    <hyperlink ref="H1731" r:id="rId328" location="Link144" display="http://specification.sifassociation.org/Implementation/NA/3.2/html/Assessment/Assessment_assessmentSectionType.html - Link144"/>
    <hyperlink ref="H1732" r:id="rId329" location="Link143" display="http://specification.sifassociation.org/Implementation/NA/3.2/html/Assessment/Assessment_assessmentSectionType.html - Link143"/>
    <hyperlink ref="H1733" r:id="rId330" location="Link214" display="http://specification.sifassociation.org/Implementation/NA/3.2/html/Assessment/Assessment_assessmentSectionType.html - Link214"/>
    <hyperlink ref="H1734" r:id="rId331" location="Link14A" display="http://specification.sifassociation.org/Implementation/NA/3.2/html/Assessment/Assessment_assessmentSessionType.html - Link14A"/>
    <hyperlink ref="H1735" r:id="rId332" location="Link165" display="http://specification.sifassociation.org/Implementation/NA/3.2/html/Assessment/Assessment_assessmentSubTestType.html - Link165"/>
    <hyperlink ref="H1736" r:id="rId333" location="Link222" display="http://specification.sifassociation.org/Implementation/NA/3.2/html/Assessment/Assessment_assessmentSubTestType.html - Link222"/>
    <hyperlink ref="H1737" r:id="rId334" location="Link13C" display="http://specification.sifassociation.org/Implementation/NA/3.2/html/Entity/EntityObjects_courseType.html - Link13C"/>
    <hyperlink ref="H1738" r:id="rId335" location="Link28F" display="http://specification.sifassociation.org/Implementation/NA/3.2/html/Entity/EntityObjects_disciplineIncidentType.html - Link28F"/>
    <hyperlink ref="H1739" r:id="rId336" location="Link147" display="http://specification.sifassociation.org/Implementation/NA/3.2/html/Entity/EntityObjects_disciplineIncidentType.html - Link147"/>
    <hyperlink ref="H1740" r:id="rId337" location="Link281" display="http://specification.sifassociation.org/Implementation/NA/3.2/html/Entity/EntityObjects_disciplineIncidentType.html - Link281"/>
    <hyperlink ref="H1741" r:id="rId338" location="Link280" display="http://specification.sifassociation.org/Implementation/NA/3.2/html/Entity/EntityObjects_disciplineIncidentType.html - Link280"/>
    <hyperlink ref="H1742" r:id="rId339" location="Link274" display="http://specification.sifassociation.org/Implementation/NA/3.2/html/Entity/EntityObjects_disciplineIncidentType.html - Link274"/>
    <hyperlink ref="H1743" r:id="rId340" location="Link273" display="http://specification.sifassociation.org/Implementation/NA/3.2/html/Entity/EntityObjects_disciplineIncidentType.html - Link273"/>
    <hyperlink ref="H1744" r:id="rId341" location="Link276" display="http://specification.sifassociation.org/Implementation/NA/3.2/html/Entity/EntityObjects_disciplineIncidentType.html - Link276"/>
    <hyperlink ref="H1745" r:id="rId342" location="Link25C" display="http://specification.sifassociation.org/Implementation/NA/3.2/html/Entity/EntityObjects_disciplineIncidentType.html - Link25C"/>
    <hyperlink ref="H1746" r:id="rId343" location="Link11B" display="http://specification.sifassociation.org/Implementation/NA/3.2/html/Entity/EntityObjects_gAddressType.html - Link11B"/>
    <hyperlink ref="H1747" r:id="rId344" location="Link4A5" display="http://specification.sifassociation.org/Implementation/NA/3.2/html/Entity/EntityObjects_gBaseNameType.html - Link4A5"/>
    <hyperlink ref="H1748" r:id="rId345" location="Link4A4" display="http://specification.sifassociation.org/Implementation/NA/3.2/html/Entity/EntityObjects_gBaseNameType.html - Link4A4"/>
    <hyperlink ref="H1749" r:id="rId346" location="Link4A1" display="http://specification.sifassociation.org/Implementation/NA/3.2/html/Entity/EntityObjects_gBaseNameType.html - Link4A1"/>
    <hyperlink ref="H1750" r:id="rId347" location="Link4A6" display="http://specification.sifassociation.org/Implementation/NA/3.2/html/Entity/EntityObjects_gBaseNameType.html - Link4A6"/>
    <hyperlink ref="H1751" r:id="rId348" location="Link4A2" display="http://specification.sifassociation.org/Implementation/NA/3.2/html/Entity/EntityObjects_gBaseNameType.html - Link4A2"/>
    <hyperlink ref="H1752" r:id="rId349" location="Link4A3" display="http://specification.sifassociation.org/Implementation/NA/3.2/html/Entity/EntityObjects_gBaseNameType.html - Link4A3"/>
    <hyperlink ref="H1753" r:id="rId350" location="Link2F2" display="http://specification.sifassociation.org/Implementation/NA/3.2/html/Entity/EntityObjects_gBellPeriodType.html - Link2F2"/>
    <hyperlink ref="H1754" r:id="rId351" location="Link2EF" display="http://specification.sifassociation.org/Implementation/NA/3.2/html/Entity/EntityObjects_gBellPeriodType.html - Link2EF"/>
    <hyperlink ref="H1755" r:id="rId352" location="Link134" display="http://specification.sifassociation.org/Implementation/NA/3.2/html/Entity/EntityObjects_gContactPersonAssociationType.html - Link134"/>
    <hyperlink ref="H1756" r:id="rId353" location="Link12A" display="http://specification.sifassociation.org/Implementation/NA/3.2/html/Entity/EntityObjects_gContactPersonType.html - Link12A"/>
    <hyperlink ref="H1757" r:id="rId354" location="Link12C" display="http://specification.sifassociation.org/Implementation/NA/3.2/html/Entity/EntityObjects_gContactPersonType.html - Link12C"/>
    <hyperlink ref="H1758" r:id="rId355" location="Link129" display="http://specification.sifassociation.org/Implementation/NA/3.2/html/Entity/EntityObjects_gContactPersonType.html - Link129"/>
    <hyperlink ref="H1759" r:id="rId356" location="Link12D" display="http://specification.sifassociation.org/Implementation/NA/3.2/html/Entity/EntityObjects_gContactPersonType.html - Link12D"/>
    <hyperlink ref="H1760" r:id="rId357" location="Link136" display="http://specification.sifassociation.org/Implementation/NA/3.2/html/Entity/EntityObjects_gCourseType.html - Link136"/>
    <hyperlink ref="H1761" r:id="rId358" location="Link255" display="http://specification.sifassociation.org/Implementation/NA/3.2/html/Entity/EntityObjects_gDemographicsType.html - Link255"/>
    <hyperlink ref="H1762" r:id="rId359" location="Link4AB" display="http://specification.sifassociation.org/Implementation/NA/3.2/html/Entity/EntityObjects_gDemographicsType.html - Link4AB"/>
    <hyperlink ref="H1763" r:id="rId360" location="Link254" display="http://specification.sifassociation.org/Implementation/NA/3.2/html/Entity/EntityObjects_gDemographicsType.html - Link254"/>
    <hyperlink ref="H1764" r:id="rId361" location="Link259" display="http://specification.sifassociation.org/Implementation/NA/3.2/html/Entity/EntityObjects_gDemographicsType.html - Link259"/>
    <hyperlink ref="H1765" r:id="rId362" location="Link257" display="http://specification.sifassociation.org/Implementation/NA/3.2/html/Entity/EntityObjects_gDemographicsType.html - Link257"/>
    <hyperlink ref="H1766" r:id="rId363" location="Link25A" display="http://specification.sifassociation.org/Implementation/NA/3.2/html/Entity/EntityObjects_gDemographicsType.html - Link25A"/>
    <hyperlink ref="H1767" r:id="rId364" location="Link250" display="http://specification.sifassociation.org/Implementation/NA/3.2/html/Entity/EntityObjects_gDemographicsType.html - Link250"/>
    <hyperlink ref="H1768" r:id="rId365" location="Link15D" display="http://specification.sifassociation.org/Implementation/NA/3.2/html/Entity/EntityObjects_gEducationGroupingType.html - Link15D"/>
    <hyperlink ref="H1769" r:id="rId366" location="Link1D2" display="http://specification.sifassociation.org/Implementation/NA/3.2/html/Entity/EntityObjects_gEventCollectionType.html - Link1D2"/>
    <hyperlink ref="H1770" r:id="rId367" location="Link1D1" display="http://specification.sifassociation.org/Implementation/NA/3.2/html/Entity/EntityObjects_gEventCollectionType.html - Link1D1"/>
    <hyperlink ref="H1771" r:id="rId368" location="Link1D0" display="http://specification.sifassociation.org/Implementation/NA/3.2/html/Entity/EntityObjects_gEventCollectionType.html - Link1D0"/>
    <hyperlink ref="H1772" r:id="rId369" location="Link240" display="http://specification.sifassociation.org/Implementation/NA/3.2/html/Entity/EntityObjects_gIntervalEventType.html - Link240"/>
    <hyperlink ref="H1773" r:id="rId370" location="Link23F" display="http://specification.sifassociation.org/Implementation/NA/3.2/html/Entity/EntityObjects_gIntervalEventType.html - Link23F"/>
    <hyperlink ref="H1774" r:id="rId371" location="Link23E" display="http://specification.sifassociation.org/Implementation/NA/3.2/html/Entity/EntityObjects_gIntervalEventType.html - Link23E"/>
    <hyperlink ref="H1775" r:id="rId372" location="Link4BC" display="http://specification.sifassociation.org/Implementation/NA/3.2/html/Entity/EntityObjects_gLanguageDescriptionType.html - Link4BC"/>
    <hyperlink ref="H1776" r:id="rId373" location="Link301" display="http://specification.sifassociation.org/Implementation/NA/3.2/html/Entity/EntityObjects_gLearningStandardDocumentType.html - Link301"/>
    <hyperlink ref="H1777" r:id="rId374" location="Link191" display="http://specification.sifassociation.org/Implementation/NA/3.2/html/Entity/EntityObjects_gLearningStandardDocumentType.html - Link191"/>
    <hyperlink ref="H1778" r:id="rId375" location="Link18E" display="http://specification.sifassociation.org/Implementation/NA/3.2/html/Entity/EntityObjects_gLearningStandardDocumentType.html - Link18E"/>
    <hyperlink ref="H1779" r:id="rId376" location="Link18F" display="http://specification.sifassociation.org/Implementation/NA/3.2/html/Entity/EntityObjects_gLearningStandardDocumentType.html - Link18F"/>
    <hyperlink ref="H1780" r:id="rId377" location="Link18A" display="http://specification.sifassociation.org/Implementation/NA/3.2/html/Entity/EntityObjects_gLearningStandardDocumentType.html - Link18A"/>
    <hyperlink ref="H1781" r:id="rId378" location="Link187" display="http://specification.sifassociation.org/Implementation/NA/3.2/html/Entity/EntityObjects_gLearningStandardDocumentType.html - Link187"/>
    <hyperlink ref="H1782" r:id="rId379" location="Link188" display="http://specification.sifassociation.org/Implementation/NA/3.2/html/Entity/EntityObjects_gLearningStandardDocumentType.html - Link188"/>
    <hyperlink ref="H1783" r:id="rId380" location="Link1A2" display="http://specification.sifassociation.org/Implementation/NA/3.2/html/Entity/EntityObjects_gLearningStandardItemType.html - Link1A2"/>
    <hyperlink ref="H1784" r:id="rId381" location="Link199" display="http://specification.sifassociation.org/Implementation/NA/3.2/html/Entity/EntityObjects_gLearningStandardItemType.html - Link199"/>
    <hyperlink ref="H1785" r:id="rId382" location="Link304" display="http://specification.sifassociation.org/Implementation/NA/3.2/html/Entity/EntityObjects_gLearningStandardItemType.html - Link304"/>
    <hyperlink ref="H1786" r:id="rId383" location="Link19C" display="http://specification.sifassociation.org/Implementation/NA/3.2/html/Entity/EntityObjects_gLearningStandardItemType.html - Link19C"/>
    <hyperlink ref="H1787" r:id="rId384" location="Link19B" display="http://specification.sifassociation.org/Implementation/NA/3.2/html/Entity/EntityObjects_gLearningStandardItemType.html - Link19B"/>
    <hyperlink ref="H1788" r:id="rId385" location="Link308" display="http://specification.sifassociation.org/Implementation/NA/3.2/html/Entity/EntityObjects_gLearningStandardItemType.html - Link308"/>
    <hyperlink ref="H1789" r:id="rId386" location="Link16A" display="http://specification.sifassociation.org/Implementation/NA/3.2/html/Entity/EntityObjects_gLEAType.html - Link16A"/>
    <hyperlink ref="H1790" r:id="rId387" location="Link32D" display="http://specification.sifassociation.org/Implementation/NA/3.2/html/Entity/EntityObjects_gMedicalAlertMessageType.html - Link32D"/>
    <hyperlink ref="H1791" r:id="rId388" location="Link31D" display="http://specification.sifassociation.org/Implementation/NA/3.2/html/Entity/EntityObjects_gNameOfRecordType.html - Link31D"/>
    <hyperlink ref="H1792" r:id="rId389" location="Link1A8" display="http://specification.sifassociation.org/Implementation/NA/3.2/html/Entity/EntityObjects_gOrganizationOrganizationAssociationType.html - Link1A8"/>
    <hyperlink ref="H1793" r:id="rId390" location="Link1AA" display="http://specification.sifassociation.org/Implementation/NA/3.2/html/Entity/EntityObjects_gOrganizationOrganizationAssociationType.html - Link1AA"/>
    <hyperlink ref="H1794" r:id="rId391" location="Link1A6" display="http://specification.sifassociation.org/Implementation/NA/3.2/html/Entity/EntityObjects_gOrganizationOrganizationAssociationType.html - Link1A6"/>
    <hyperlink ref="H1795" r:id="rId392" location="Link1A9" display="http://specification.sifassociation.org/Implementation/NA/3.2/html/Entity/EntityObjects_gOrganizationOrganizationAssociationType.html - Link1A9"/>
    <hyperlink ref="H1796" r:id="rId393" location="Link310" display="http://specification.sifassociation.org/Implementation/NA/3.2/html/Entity/EntityObjects_gOrganizationSubtypeType.html - Link310"/>
    <hyperlink ref="H1797" r:id="rId394" location="Link311" display="http://specification.sifassociation.org/Implementation/NA/3.2/html/Entity/EntityObjects_gOrganizationSubtypeType.html - Link311"/>
    <hyperlink ref="H1798" r:id="rId395" location="Link313" display="http://specification.sifassociation.org/Implementation/NA/3.2/html/Entity/EntityObjects_gOrganizationUserType.html - Link313"/>
    <hyperlink ref="H1799" r:id="rId396" location="Link312" display="http://specification.sifassociation.org/Implementation/NA/3.2/html/Entity/EntityObjects_gOrganizationUserType.html - Link312"/>
    <hyperlink ref="H1800" r:id="rId397" location="Link318" display="http://specification.sifassociation.org/Implementation/NA/3.2/html/Entity/EntityObjects_gOrganizationUserType.html - Link318"/>
    <hyperlink ref="H1801" r:id="rId398" location="Link317" display="http://specification.sifassociation.org/Implementation/NA/3.2/html/Entity/EntityObjects_gOrganizationUserType.html - Link317"/>
    <hyperlink ref="H1802" r:id="rId399" location="Link4C7" display="http://specification.sifassociation.org/Implementation/NA/3.2/html/Entity/EntityObjects_gOtherNameType.html - Link4C7"/>
    <hyperlink ref="H1803" r:id="rId400" location="Link1AE" display="http://specification.sifassociation.org/Implementation/NA/3.2/html/Entity/EntityObjects_gPartyAddressRelationType.html - Link1AE"/>
    <hyperlink ref="H1804" r:id="rId401" location="Link1B2" display="http://specification.sifassociation.org/Implementation/NA/3.2/html/Entity/EntityObjects_gPartyOrganizationAssociationType.html - Link1B2"/>
    <hyperlink ref="H1805" r:id="rId402" location="Link1B4" display="http://specification.sifassociation.org/Implementation/NA/3.2/html/Entity/EntityObjects_gPersonGroupAssociationType.html - Link1B4"/>
    <hyperlink ref="H1806" r:id="rId403" location="Link1B6" display="http://specification.sifassociation.org/Implementation/NA/3.2/html/Entity/EntityObjects_gPersonGroupAssociationType.html - Link1B6"/>
    <hyperlink ref="H1807" r:id="rId404" location="Link1B5" display="http://specification.sifassociation.org/Implementation/NA/3.2/html/Entity/EntityObjects_gPersonGroupAssociationType.html - Link1B5"/>
    <hyperlink ref="H1808" r:id="rId405" location="Link31A" display="http://specification.sifassociation.org/Implementation/NA/3.2/html/Entity/EntityObjects_gPersonOrganizationAssociationType.html - Link31A"/>
    <hyperlink ref="H1809" r:id="rId406" location="Link1B9" display="http://specification.sifassociation.org/Implementation/NA/3.2/html/Entity/EntityObjects_gPersonRoleAssociationType.html - Link1B9"/>
    <hyperlink ref="H1810" r:id="rId407" location="Link1BA" display="http://specification.sifassociation.org/Implementation/NA/3.2/html/Entity/EntityObjects_gPersonRoleAssociationType.html - Link1BA"/>
    <hyperlink ref="H1811" r:id="rId408" location="Link123" display="http://specification.sifassociation.org/Implementation/NA/3.2/html/Entity/EntityObjects_gPersonType.html - Link123"/>
    <hyperlink ref="H1812" r:id="rId409" location="Link122" display="http://specification.sifassociation.org/Implementation/NA/3.2/html/Entity/EntityObjects_gPersonType.html - Link122"/>
    <hyperlink ref="H1813" r:id="rId410" location="Link29B" display="http://specification.sifassociation.org/Implementation/NA/3.2/html/Entity/EntityObjects_gPhoneNumberType.html - Link29B"/>
    <hyperlink ref="H1814" r:id="rId411" location="Link303" display="http://specification.sifassociation.org/Implementation/NA/3.2/html/Entity/EntityObjects_gRelatedLearningStandardItemList.html - Link303"/>
    <hyperlink ref="H1815" r:id="rId412" location="Link4C9" display="http://specification.sifassociation.org/Implementation/NA/3.2/html/Entity/EntityObjects_gRelatedLearningStandardItemType.html - Link4C9"/>
    <hyperlink ref="H1816" r:id="rId413" location="Link15F" display="http://specification.sifassociation.org/Implementation/NA/3.2/html/Entity/EntityObjects_groupType.html - Link15F"/>
    <hyperlink ref="H1817" r:id="rId414" location="Link1DA" display="http://specification.sifassociation.org/Implementation/NA/3.2/html/Entity/EntityObjects_gSchoolCalendarType.html - Link1DA"/>
    <hyperlink ref="H1818" r:id="rId415" location="Link1CE" display="http://specification.sifassociation.org/Implementation/NA/3.2/html/Entity/EntityObjects_gSchoolType.html - Link1CE"/>
    <hyperlink ref="H1819" r:id="rId416" location="Link1CB" display="http://specification.sifassociation.org/Implementation/NA/3.2/html/Entity/EntityObjects_gSchoolType.html - Link1CB"/>
    <hyperlink ref="H1820" r:id="rId417" location="Link1CD" display="http://specification.sifassociation.org/Implementation/NA/3.2/html/Entity/EntityObjects_gSchoolType.html - Link1CD"/>
    <hyperlink ref="H1821" r:id="rId418" location="Link1CC" display="http://specification.sifassociation.org/Implementation/NA/3.2/html/Entity/EntityObjects_gSchoolType.html - Link1CC"/>
    <hyperlink ref="H1822" r:id="rId419" location="Link1F4" display="http://specification.sifassociation.org/Implementation/NA/3.2/html/Entity/EntityObjects_gSectionType.html - Link1F4"/>
    <hyperlink ref="H1823" r:id="rId420" location="Link203" display="http://specification.sifassociation.org/Implementation/NA/3.2/html/Entity/EntityObjects_gStaffPersonAssignmentType.html - Link203"/>
    <hyperlink ref="H1824" r:id="rId421" location="Link204" display="http://specification.sifassociation.org/Implementation/NA/3.2/html/Entity/EntityObjects_gStaffPersonAssignmentType.html - Link204"/>
    <hyperlink ref="H1825" r:id="rId422" location="Link2E0" display="http://specification.sifassociation.org/Implementation/NA/3.2/html/Entity/EntityObjects_gStreetType.html - Link2E0"/>
    <hyperlink ref="H1826" r:id="rId423" location="Link2E2" display="http://specification.sifassociation.org/Implementation/NA/3.2/html/Entity/EntityObjects_gStreetType.html - Link2E2"/>
    <hyperlink ref="H1827" r:id="rId424" location="Link2DF" display="http://specification.sifassociation.org/Implementation/NA/3.2/html/Entity/EntityObjects_gStreetType.html - Link2DF"/>
    <hyperlink ref="H1828" r:id="rId425" location="Link2D9" display="http://specification.sifassociation.org/Implementation/NA/3.2/html/Entity/EntityObjects_gStreetType.html - Link2D9"/>
    <hyperlink ref="H1829" r:id="rId426" location="Link2D7" display="http://specification.sifassociation.org/Implementation/NA/3.2/html/Entity/EntityObjects_gStreetType.html - Link2D7"/>
    <hyperlink ref="H1830" r:id="rId427" location="Link2D8" display="http://specification.sifassociation.org/Implementation/NA/3.2/html/Entity/EntityObjects_gStreetType.html - Link2D8"/>
    <hyperlink ref="H1831" r:id="rId428" location="Link2DC" display="http://specification.sifassociation.org/Implementation/NA/3.2/html/Entity/EntityObjects_gStreetType.html - Link2DC"/>
    <hyperlink ref="H1832" r:id="rId429" location="Link2DA" display="http://specification.sifassociation.org/Implementation/NA/3.2/html/Entity/EntityObjects_gStreetType.html - Link2DA"/>
    <hyperlink ref="H1833" r:id="rId430" location="Link2DB" display="http://specification.sifassociation.org/Implementation/NA/3.2/html/Entity/EntityObjects_gStreetType.html - Link2DB"/>
    <hyperlink ref="H1834" r:id="rId431" location="Link2DE" display="http://specification.sifassociation.org/Implementation/NA/3.2/html/Entity/EntityObjects_gStreetType.html - Link2DE"/>
    <hyperlink ref="H1835" r:id="rId432" location="Link2DD" display="http://specification.sifassociation.org/Implementation/NA/3.2/html/Entity/EntityObjects_gStreetType.html - Link2DD"/>
    <hyperlink ref="H1836" r:id="rId433" location="Link237" display="http://specification.sifassociation.org/Implementation/NA/3.2/html/Entity/EntityObjects_gStudentSchoolEnrollmentType.html - Link237"/>
    <hyperlink ref="H1837" r:id="rId434" location="Link22F" display="http://specification.sifassociation.org/Implementation/NA/3.2/html/Entity/EntityObjects_gStudentSchoolEnrollmentType.html - Link22F"/>
    <hyperlink ref="H1838" r:id="rId435" location="Link225" display="http://specification.sifassociation.org/Implementation/NA/3.2/html/Entity/EntityObjects_gStudentSchoolEnrollmentType.html - Link225"/>
    <hyperlink ref="H1839" r:id="rId436" location="Link233" display="http://specification.sifassociation.org/Implementation/NA/3.2/html/Entity/EntityObjects_gStudentSchoolEnrollmentType.html - Link233"/>
    <hyperlink ref="H1840" r:id="rId437" location="Link231" display="http://specification.sifassociation.org/Implementation/NA/3.2/html/Entity/EntityObjects_gStudentSchoolEnrollmentType.html - Link231"/>
    <hyperlink ref="H1841" r:id="rId438" location="Link236" display="http://specification.sifassociation.org/Implementation/NA/3.2/html/Entity/EntityObjects_gStudentSchoolEnrollmentType.html - Link236"/>
    <hyperlink ref="H1842" r:id="rId439" location="Link329" display="http://specification.sifassociation.org/Implementation/NA/3.2/html/Entity/EntityObjects_gStudentType.html - Link329"/>
    <hyperlink ref="H1843" r:id="rId440" location="Link32C" display="http://specification.sifassociation.org/Implementation/NA/3.2/html/Entity/EntityObjects_gStudentType.html - Link32C"/>
    <hyperlink ref="H1844" r:id="rId441" location="Link211" display="http://specification.sifassociation.org/Implementation/NA/3.2/html/Entity/EntityObjects_gStudentType.html - Link211"/>
    <hyperlink ref="H1845" r:id="rId442" location="Link246" display="http://specification.sifassociation.org/Implementation/NA/3.2/html/Entity/EntityObjects_gTermType.html - Link246"/>
    <hyperlink ref="H1846" r:id="rId443" location="LinkCF" display="http://specification.sifassociation.org/Implementation/NA/3.2/html/CEDS/Common/CEDS_Common_learningGoalCEDSType.html - LinkCF"/>
    <hyperlink ref="H1847" r:id="rId444" location="Link175" display="http://specification.sifassociation.org/Implementation/NA/3.2/html/Entity/EntityObjects_learningResourceType.html - Link175"/>
    <hyperlink ref="H1848" r:id="rId445" location="Link2AA" display="http://specification.sifassociation.org/Implementation/NA/3.2/html/Entity/EntityObjects_learningResourceType.html - Link2AA"/>
    <hyperlink ref="H1849" r:id="rId446" location="Link2A9" display="http://specification.sifassociation.org/Implementation/NA/3.2/html/Entity/EntityObjects_learningResourceType.html - Link2A9"/>
    <hyperlink ref="H1850" r:id="rId447" location="Link2B7" display="http://specification.sifassociation.org/Implementation/NA/3.2/html/Entity/EntityObjects_learningResourceType.html - Link2B7"/>
    <hyperlink ref="H1851" r:id="rId448" location="Link2B3" display="http://specification.sifassociation.org/Implementation/NA/3.2/html/Entity/EntityObjects_learningResourceType.html - Link2B3"/>
    <hyperlink ref="H1852" r:id="rId449" location="Link2B2" display="http://specification.sifassociation.org/Implementation/NA/3.2/html/Entity/EntityObjects_learningResourceType.html - Link2B2"/>
    <hyperlink ref="H1853" r:id="rId450" location="Link2B1" display="http://specification.sifassociation.org/Implementation/NA/3.2/html/Entity/EntityObjects_learningResourceType.html - Link2B1"/>
    <hyperlink ref="H1854" r:id="rId451" location="Link2B6" display="http://specification.sifassociation.org/Implementation/NA/3.2/html/Entity/EntityObjects_learningResourceType.html - Link2B6"/>
    <hyperlink ref="H1855" r:id="rId452" location="Link2AE" display="http://specification.sifassociation.org/Implementation/NA/3.2/html/Entity/EntityObjects_learningResourceType.html - Link2AE"/>
    <hyperlink ref="H1856" r:id="rId453" location="Link2AD" display="http://specification.sifassociation.org/Implementation/NA/3.2/html/Entity/EntityObjects_learningResourceType.html - Link2AD"/>
    <hyperlink ref="H1857" r:id="rId454" location="Link2AF" display="http://specification.sifassociation.org/Implementation/NA/3.2/html/Entity/EntityObjects_learningResourceType.html - Link2AF"/>
    <hyperlink ref="H1858" r:id="rId455" location="Link29E" display="http://specification.sifassociation.org/Implementation/NA/3.2/html/Entity/EntityObjects_learningResourceType.html - Link29E"/>
    <hyperlink ref="H1859" r:id="rId456" location="Link16F" display="http://specification.sifassociation.org/Implementation/NA/3.2/html/Entity/EntityObjects_learningResourceType.html - Link16F"/>
    <hyperlink ref="H1860" r:id="rId457" location="Link2C5" display="http://specification.sifassociation.org/Implementation/NA/3.2/html/Entity/EntityObjects_schoolCalendarItemType.html - Link2C5"/>
    <hyperlink ref="H1861" r:id="rId458" location="Link2C4" display="http://specification.sifassociation.org/Implementation/NA/3.2/html/Entity/EntityObjects_schoolCalendarItemType.html - Link2C4"/>
    <hyperlink ref="H1862" r:id="rId459" location="Link1E7" display="http://specification.sifassociation.org/Implementation/NA/3.2/html/Entity/EntityObjects_schoolCalendarItemType.html - Link1E7"/>
    <hyperlink ref="H1863" r:id="rId460" location="Link1E6" display="http://specification.sifassociation.org/Implementation/NA/3.2/html/Entity/EntityObjects_schoolCalendarItemType.html - Link1E6"/>
    <hyperlink ref="H1864" r:id="rId461" location="Link2C1" display="http://specification.sifassociation.org/Implementation/NA/3.2/html/Entity/EntityObjects_schoolCalendarItemType.html - Link2C1"/>
    <hyperlink ref="H1865" r:id="rId462" location="Link2C0" display="http://specification.sifassociation.org/Implementation/NA/3.2/html/Entity/EntityObjects_schoolCalendarItemType.html - Link2C0"/>
    <hyperlink ref="H1866" r:id="rId463" location="Link2C3" display="http://specification.sifassociation.org/Implementation/NA/3.2/html/Entity/EntityObjects_schoolCalendarItemType.html - Link2C3"/>
    <hyperlink ref="H1867" r:id="rId464" location="Link2C2" display="http://specification.sifassociation.org/Implementation/NA/3.2/html/Entity/EntityObjects_schoolCalendarItemType.html - Link2C2"/>
    <hyperlink ref="H1868" r:id="rId465" location="Link1F0" display="http://specification.sifassociation.org/Implementation/NA/3.2/html/Entity/EntityObjects_seaType.html - Link1F0"/>
    <hyperlink ref="H1869" r:id="rId466" location="Link1ED" display="http://specification.sifassociation.org/Implementation/NA/3.2/html/Entity/EntityObjects_seaType.html - Link1ED"/>
    <hyperlink ref="H1870" r:id="rId467" location="LinkF1" display="http://specification.sifassociation.org/Implementation/NA/3.2/html/Report/ReportObjects_sreType.html - LinkF1"/>
    <hyperlink ref="H1871" r:id="rId468" location="Link117" display="http://specification.sifassociation.org/Implementation/NA/3.2/html/Report/ReportObjects_sreType.html - Link117"/>
    <hyperlink ref="H1872" r:id="rId469" location="Link11B" display="http://specification.sifassociation.org/Implementation/NA/3.2/html/Report/ReportObjects_sreType.html - Link11B"/>
    <hyperlink ref="H1873" r:id="rId470" location="Link130" display="http://specification.sifassociation.org/Implementation/NA/3.2/html/Report/ReportObjects_sreType.html - Link130"/>
    <hyperlink ref="H1874" r:id="rId471" location="Link12F" display="http://specification.sifassociation.org/Implementation/NA/3.2/html/Report/ReportObjects_sreType.html - Link12F"/>
    <hyperlink ref="H1875" r:id="rId472" location="Link131" display="http://specification.sifassociation.org/Implementation/NA/3.2/html/Report/ReportObjects_sreType.html - Link131"/>
    <hyperlink ref="H1876" r:id="rId473" location="Link148" display="http://specification.sifassociation.org/Implementation/NA/3.2/html/Report/ReportObjects_sreType.html - Link148"/>
    <hyperlink ref="H1877" r:id="rId474" location="Link146" display="http://specification.sifassociation.org/Implementation/NA/3.2/html/Report/ReportObjects_sreType.html - Link146"/>
    <hyperlink ref="H1878" r:id="rId475" location="Link14B" display="http://specification.sifassociation.org/Implementation/NA/3.2/html/Report/ReportObjects_sreType.html - Link14B"/>
    <hyperlink ref="H1879" r:id="rId476" location="Link15E" display="http://specification.sifassociation.org/Implementation/NA/3.2/html/Report/ReportObjects_sreType.html - Link15E"/>
    <hyperlink ref="H1880" r:id="rId477" location="Link15D" display="http://specification.sifassociation.org/Implementation/NA/3.2/html/Report/ReportObjects_sreType.html - Link15D"/>
    <hyperlink ref="H1881" r:id="rId478" location="Link163" display="http://specification.sifassociation.org/Implementation/NA/3.2/html/Report/ReportObjects_sreType.html - Link163"/>
    <hyperlink ref="H1882" r:id="rId479" location="Link162" display="http://specification.sifassociation.org/Implementation/NA/3.2/html/Report/ReportObjects_sreType.html - Link162"/>
    <hyperlink ref="H1883" r:id="rId480" location="Link16E" display="http://specification.sifassociation.org/Implementation/NA/3.2/html/Report/ReportObjects_sreType.html - Link16E"/>
    <hyperlink ref="H1884" r:id="rId481" location="Link16F" display="http://specification.sifassociation.org/Implementation/NA/3.2/html/Report/ReportObjects_sreType.html - Link16F"/>
    <hyperlink ref="H1885" r:id="rId482" location="Link190" display="http://specification.sifassociation.org/Implementation/NA/3.2/html/Report/ReportObjects_sreType.html - Link190"/>
    <hyperlink ref="H1886" r:id="rId483" location="Link18F" display="http://specification.sifassociation.org/Implementation/NA/3.2/html/Report/ReportObjects_sreType.html - Link18F"/>
    <hyperlink ref="H1887" r:id="rId484" location="Link18D" display="http://specification.sifassociation.org/Implementation/NA/3.2/html/Report/ReportObjects_sreType.html - Link18D"/>
    <hyperlink ref="H1888" r:id="rId485" location="Link17E" display="http://specification.sifassociation.org/Implementation/NA/3.2/html/Report/ReportObjects_sreType.html - Link17E"/>
    <hyperlink ref="H1889" r:id="rId486" location="Link1FA" display="http://specification.sifassociation.org/Implementation/NA/3.2/html/Entity/EntityObjects_staffPersonType.html - Link1FA"/>
    <hyperlink ref="H1890" r:id="rId487" location="LinkC9" display="http://specification.sifassociation.org/Implementation/NA/3.2/html/Composite/Composite_studentCoreType.html - LinkC9"/>
    <hyperlink ref="H1891" r:id="rId488" location="LinkB6" display="http://specification.sifassociation.org/Implementation/NA/3.2/html/Composite/Composite_studentCoreType.html - LinkB6"/>
    <hyperlink ref="H1892" r:id="rId489" location="Link21F" display="http://specification.sifassociation.org/Implementation/NA/3.2/html/Entity/EntityObjects_studentProgramAssociationType.html - Link21F"/>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New</vt:lpstr>
      <vt:lpstr>Changed</vt:lpstr>
      <vt:lpstr>Removed</vt:lpstr>
      <vt:lpstr>All - By Name</vt:lpstr>
      <vt:lpstr>All - By Domain</vt:lpstr>
      <vt:lpstr>Extend Elements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Jill Parkes</cp:lastModifiedBy>
  <dcterms:created xsi:type="dcterms:W3CDTF">2016-06-29T00:52:27Z</dcterms:created>
  <dcterms:modified xsi:type="dcterms:W3CDTF">2016-10-31T15:10:09Z</dcterms:modified>
</cp:coreProperties>
</file>